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comments14.xml" ContentType="application/vnd.openxmlformats-officedocument.spreadsheetml.comments+xml"/>
  <Override PartName="/xl/comments11.xml" ContentType="application/vnd.openxmlformats-officedocument.spreadsheetml.comments+xml"/>
  <Override PartName="/xl/drawings/drawing8.xml" ContentType="application/vnd.openxmlformats-officedocument.drawing+xml"/>
  <Override PartName="/xl/drawings/vmlDrawing7.vml" ContentType="application/vnd.openxmlformats-officedocument.vmlDrawing"/>
  <Override PartName="/xl/drawings/drawing9.xml" ContentType="application/vnd.openxmlformats-officedocument.drawing+xml"/>
  <Override PartName="/xl/drawings/drawing1.xml" ContentType="application/vnd.openxmlformats-officedocument.drawing+xml"/>
  <Override PartName="/xl/drawings/vmlDrawing4.vml" ContentType="application/vnd.openxmlformats-officedocument.vmlDrawing"/>
  <Override PartName="/xl/drawings/drawing2.xml" ContentType="application/vnd.openxmlformats-officedocument.drawing+xml"/>
  <Override PartName="/xl/drawings/drawing11.xml" ContentType="application/vnd.openxmlformats-officedocument.drawing+xml"/>
  <Override PartName="/xl/drawings/vmlDrawing1.vml" ContentType="application/vnd.openxmlformats-officedocument.vmlDrawing"/>
  <Override PartName="/xl/drawings/_rels/drawing1.xml.rels" ContentType="application/vnd.openxmlformats-package.relationships+xml"/>
  <Override PartName="/xl/drawings/_rels/drawing2.xml.rels" ContentType="application/vnd.openxmlformats-package.relationships+xml"/>
  <Override PartName="/xl/drawings/_rels/drawing6.xml.rels" ContentType="application/vnd.openxmlformats-package.relationships+xml"/>
  <Override PartName="/xl/drawings/_rels/drawing7.xml.rels" ContentType="application/vnd.openxmlformats-package.relationships+xml"/>
  <Override PartName="/xl/drawings/_rels/drawing8.xml.rels" ContentType="application/vnd.openxmlformats-package.relationships+xml"/>
  <Override PartName="/xl/drawings/vmlDrawing2.vml" ContentType="application/vnd.openxmlformats-officedocument.vmlDrawing"/>
  <Override PartName="/xl/drawings/drawing3.xml" ContentType="application/vnd.openxmlformats-officedocument.drawing+xml"/>
  <Override PartName="/xl/drawings/vmlDrawing3.vml" ContentType="application/vnd.openxmlformats-officedocument.vmlDrawing"/>
  <Override PartName="/xl/drawings/drawing4.xml" ContentType="application/vnd.openxmlformats-officedocument.drawing+xml"/>
  <Override PartName="/xl/drawings/drawing7.xml" ContentType="application/vnd.openxmlformats-officedocument.drawing+xml"/>
  <Override PartName="/xl/drawings/vmlDrawing6.vml" ContentType="application/vnd.openxmlformats-officedocument.vmlDrawing"/>
  <Override PartName="/xl/drawings/vmlDrawing5.vml" ContentType="application/vnd.openxmlformats-officedocument.vmlDrawing"/>
  <Override PartName="/xl/drawings/drawing6.xml" ContentType="application/vnd.openxmlformats-officedocument.drawing+xml"/>
  <Override PartName="/xl/media/image1.png" ContentType="image/png"/>
  <Override PartName="/xl/ctrlProps/ctrlProps5.xml" ContentType="application/vnd.ms-excel.controlproperties+xml"/>
  <Override PartName="/xl/ctrlProps/ctrlProps10.xml" ContentType="application/vnd.ms-excel.controlproperties+xml"/>
  <Override PartName="/xl/sharedStrings.xml" ContentType="application/vnd.openxmlformats-officedocument.spreadsheetml.sharedStrings+xml"/>
  <Override PartName="/xl/comments25.xml" ContentType="application/vnd.openxmlformats-officedocument.spreadsheetml.comments+xml"/>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comments19.xml" ContentType="application/vnd.openxmlformats-officedocument.spreadsheetml.comments+xml"/>
  <Override PartName="/xl/worksheets/_rels/sheet33.xml.rels" ContentType="application/vnd.openxmlformats-package.relationships+xml"/>
  <Override PartName="/xl/worksheets/_rels/sheet3.xml.rels" ContentType="application/vnd.openxmlformats-package.relationships+xml"/>
  <Override PartName="/xl/worksheets/_rels/sheet32.xml.rels" ContentType="application/vnd.openxmlformats-package.relationships+xml"/>
  <Override PartName="/xl/worksheets/_rels/sheet11.xml.rels" ContentType="application/vnd.openxmlformats-package.relationships+xml"/>
  <Override PartName="/xl/worksheets/_rels/sheet31.xml.rels" ContentType="application/vnd.openxmlformats-package.relationships+xml"/>
  <Override PartName="/xl/worksheets/_rels/sheet14.xml.rels" ContentType="application/vnd.openxmlformats-package.relationships+xml"/>
  <Override PartName="/xl/worksheets/_rels/sheet30.xml.rels" ContentType="application/vnd.openxmlformats-package.relationships+xml"/>
  <Override PartName="/xl/worksheets/_rels/sheet19.xml.rels" ContentType="application/vnd.openxmlformats-package.relationships+xml"/>
  <Override PartName="/xl/worksheets/_rels/sheet7.xml.rels" ContentType="application/vnd.openxmlformats-package.relationships+xml"/>
  <Override PartName="/xl/worksheets/_rels/sheet25.xml.rels" ContentType="application/vnd.openxmlformats-package.relationships+xml"/>
  <Override PartName="/xl/worksheets/_rels/sheet15.xml.rels" ContentType="application/vnd.openxmlformats-package.relationships+xml"/>
  <Override PartName="/xl/worksheets/_rels/sheet18.xml.rels" ContentType="application/vnd.openxmlformats-package.relationships+xml"/>
  <Override PartName="/xl/worksheets/_rels/sheet29.xml.rels" ContentType="application/vnd.openxmlformats-package.relationships+xml"/>
  <Override PartName="/xl/worksheets/sheet29.xml" ContentType="application/vnd.openxmlformats-officedocument.spreadsheetml.worksheet+xml"/>
  <Override PartName="/xl/worksheets/sheet28.xml" ContentType="application/vnd.openxmlformats-officedocument.spreadsheetml.worksheet+xml"/>
  <Override PartName="/xl/worksheets/sheet27.xml" ContentType="application/vnd.openxmlformats-officedocument.spreadsheetml.worksheet+xml"/>
  <Override PartName="/xl/worksheets/sheet26.xml" ContentType="application/vnd.openxmlformats-officedocument.spreadsheetml.worksheet+xml"/>
  <Override PartName="/xl/worksheets/sheet25.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30.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31.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6.xml" ContentType="application/vnd.openxmlformats-officedocument.spreadsheetml.worksheet+xml"/>
  <Override PartName="/xl/worksheets/sheet1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7.xml" ContentType="application/vnd.openxmlformats-officedocument.spreadsheetml.worksheet+xml"/>
  <Override PartName="/xl/worksheets/sheet12.xml" ContentType="application/vnd.openxmlformats-officedocument.spreadsheetml.worksheet+xml"/>
  <Override PartName="/xl/worksheets/sheet4.xml" ContentType="application/vnd.openxmlformats-officedocument.spreadsheetml.worksheet+xml"/>
  <Override PartName="/xl/worksheets/sheet3.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xml" ContentType="application/vnd.openxmlformats-officedocument.spreadsheetml.worksheet+xml"/>
  <Override PartName="/xl/worksheets/sheet18.xml" ContentType="application/vnd.openxmlformats-officedocument.spreadsheetml.worksheet+xml"/>
  <Override PartName="/xl/worksheets/sheet20.xml" ContentType="application/vnd.openxmlformats-officedocument.spreadsheetml.worksheet+xml"/>
  <Override PartName="/xl/worksheets/sheet2.xml" ContentType="application/vnd.openxmlformats-officedocument.spreadsheetml.worksheet+xml"/>
  <Override PartName="/xl/worksheets/sheet19.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_rels/externalLink4.xml.rels" ContentType="application/vnd.openxmlformats-package.relationships+xml"/>
  <Override PartName="/xl/externalLinks/_rels/externalLink3.xml.rels" ContentType="application/vnd.openxmlformats-package.relationships+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4.xml" ContentType="application/vnd.openxmlformats-officedocument.spreadsheetml.externalLink+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form A info" sheetId="1" state="visible" r:id="rId3"/>
    <sheet name="1998 Expense Detail" sheetId="2" state="visible" r:id="rId4"/>
    <sheet name="Updated Final List" sheetId="3" state="visible" r:id="rId5"/>
    <sheet name="Total Baseline" sheetId="4" state="visible" r:id="rId6"/>
    <sheet name="general info" sheetId="5" state="visible" r:id="rId7"/>
    <sheet name="Electricity Exposure" sheetId="6" state="visible" r:id="rId8"/>
    <sheet name="Volumetric Exposure" sheetId="7" state="visible" r:id="rId9"/>
    <sheet name="commodity information" sheetId="8" state="visible" r:id="rId10"/>
    <sheet name="Wholesale Baseline" sheetId="9" state="visible" r:id="rId11"/>
    <sheet name="EAM Curves" sheetId="10" state="visible" r:id="rId12"/>
    <sheet name="wholesale services" sheetId="11" state="visible" r:id="rId13"/>
    <sheet name="Dereg Option" sheetId="12" state="visible" r:id="rId14"/>
    <sheet name="Dereg Option 2" sheetId="13" state="visible" r:id="rId15"/>
    <sheet name="unwinds" sheetId="14" state="visible" r:id="rId16"/>
    <sheet name="charts" sheetId="15" state="visible" r:id="rId17"/>
    <sheet name="account mgt" sheetId="16" state="visible" r:id="rId18"/>
    <sheet name="non-cash charges" sheetId="17" state="visible" r:id="rId19"/>
    <sheet name="power redistribution" sheetId="18" state="visible" r:id="rId20"/>
    <sheet name="Redistribution Scenarios" sheetId="19" state="visible" r:id="rId21"/>
    <sheet name="assumptions" sheetId="20" state="visible" r:id="rId22"/>
    <sheet name="FM Summary" sheetId="21" state="visible" r:id="rId23"/>
    <sheet name="Financial summ-EES" sheetId="22" state="visible" r:id="rId24"/>
    <sheet name="Financial summ-SPG" sheetId="23" state="visible" r:id="rId25"/>
    <sheet name="Financial summ-TFSPs" sheetId="24" state="visible" r:id="rId26"/>
    <sheet name="RMPM-Whole" sheetId="25" state="visible" r:id="rId27"/>
    <sheet name="RMPM-Redis" sheetId="26" state="visible" r:id="rId28"/>
    <sheet name="RMPM-FM" sheetId="27" state="visible" r:id="rId29"/>
    <sheet name="Breakout" sheetId="28" state="visible" r:id="rId30"/>
    <sheet name="Re-Whole" sheetId="29" state="visible" r:id="rId31"/>
    <sheet name="Re-Redis" sheetId="30" state="visible" r:id="rId32"/>
    <sheet name="Re-FM" sheetId="31" state="visible" r:id="rId33"/>
    <sheet name="Compare" sheetId="32" state="visible" r:id="rId34"/>
    <sheet name="Diagram" sheetId="33" state="visible" r:id="rId35"/>
    <sheet name="Notes" sheetId="34" state="visible" r:id="rId36"/>
  </sheets>
  <externalReferences>
    <externalReference r:id="rId37"/>
    <externalReference r:id="rId38"/>
    <externalReference r:id="rId39"/>
    <externalReference r:id="rId40"/>
  </externalReferences>
  <definedNames>
    <definedName function="false" hidden="false" localSheetId="1" name="_xlnm.Print_Titles" vbProcedure="false">'1998 Expense Detail'!$1:$1</definedName>
    <definedName function="false" hidden="false" localSheetId="31" name="_xlnm.Print_Area" vbProcedure="false">Compare!$B$2:$F$32</definedName>
    <definedName function="false" hidden="false" localSheetId="11" name="_xlnm.Print_Area" vbProcedure="false">'Dereg Option'!$H$2:$L$34</definedName>
    <definedName function="false" hidden="false" localSheetId="12" name="_xlnm.Print_Area" vbProcedure="false">'Dereg Option 2'!$H$1:$L$34</definedName>
    <definedName function="false" hidden="false" localSheetId="21" name="_xlnm.Print_Area" vbProcedure="false">'Financial summ-EES'!$A$3:$M$54</definedName>
    <definedName function="false" hidden="false" localSheetId="22" name="_xlnm.Print_Area" vbProcedure="false">'Financial summ-SPG'!$A$1:$N$47</definedName>
    <definedName function="false" hidden="false" localSheetId="0" name="_xlnm.Print_Area" vbProcedure="false">'form A info'!$A$5:$AK$265</definedName>
    <definedName function="false" hidden="false" localSheetId="0" name="_xlnm.Print_Titles" vbProcedure="false">'form A info'!$5:$5</definedName>
    <definedName function="false" hidden="false" localSheetId="30" name="_xlnm.Print_Area" vbProcedure="false">'Re-FM'!$A$1:$I$78</definedName>
    <definedName function="false" hidden="false" localSheetId="29" name="_xlnm.Print_Area" vbProcedure="false">'Re-Redis'!$A$1:$I$78</definedName>
    <definedName function="false" hidden="false" localSheetId="28" name="_xlnm.Print_Area" vbProcedure="false">'Re-Whole'!$A$1:$I$78</definedName>
    <definedName function="false" hidden="false" localSheetId="3" name="_xlnm.Print_Area" vbProcedure="false">'Total Baseline'!$A$1:$G$57</definedName>
    <definedName function="false" hidden="false" localSheetId="13" name="_xlnm.Print_Area" vbProcedure="false">unwinds!$1:$65536</definedName>
    <definedName function="false" hidden="false" localSheetId="10" name="_xlnm.Print_Area" vbProcedure="false">'wholesale services'!$A$100:$M$130</definedName>
    <definedName function="false" hidden="false" name="Baseline_1998_Gas" vbProcedure="false">'[1]'!$A$1:$F$231</definedName>
    <definedName function="false" hidden="false" name="Baseline__1998_Water___Sewer" vbProcedure="false">'[1]'!$A$1:$F$231</definedName>
    <definedName function="false" hidden="false" name="Baseline___1998_check_totals" vbProcedure="false">'[1]'!$A$1:$J$231</definedName>
    <definedName function="false" hidden="false" name="Baseline___1998_Electricity" vbProcedure="false">'[1]'!$A$1:$F$231</definedName>
    <definedName function="false" hidden="false" name="Baseline___1998_R_M" vbProcedure="false">'[1]'!$A$1:$F$231</definedName>
    <definedName function="false" hidden="false" name="Baseline___1998_S_B" vbProcedure="false">'[1]'!$A$1:$F$231</definedName>
    <definedName function="false" hidden="false" name="Baseline___Capital" vbProcedure="false">'[1]'!$A$1:$M$231</definedName>
    <definedName function="false" hidden="false" name="CAM_Baseline___1998_Actuals" vbProcedure="false">'[1]'!$A$1:$G$230</definedName>
    <definedName function="false" hidden="false" name="CAM_Expenses_and_Sq_ft_analysis" vbProcedure="false">'[1]'!$A$1:$I$225</definedName>
    <definedName function="false" hidden="false" name="Capital_Baseline___97___98_Actuals" vbProcedure="false">'[1]'!$A$1:$K$230</definedName>
    <definedName function="false" hidden="false" name="Capital___3_year_total" vbProcedure="false">'[1]'!$A$5:$C$235</definedName>
    <definedName function="false" hidden="false" name="Central_Plant_Analysis" vbProcedure="false">'[1]'!$A$1:$G$225</definedName>
    <definedName function="false" hidden="false" name="Central_Plant_Baseline___1998_Actuals" vbProcedure="false">'[1]'!$A$1:$G$230</definedName>
    <definedName function="false" hidden="false" name="Non_CAM_Baseline___1998_Actuals" vbProcedure="false">'[1]'!$A$1:$G$230</definedName>
    <definedName function="false" hidden="false" name="Non_CAM_Expenses" vbProcedure="false">'[1]'!$A$1:$F$230</definedName>
    <definedName function="false" hidden="false" name="Redistribution_Data_1999" vbProcedure="false">'[1]'!$A$1:$F$230</definedName>
    <definedName function="false" hidden="false" name="Resistribution_Baseline___1998_Actuals" vbProcedure="false">'[1]'!$A$1:$G$230</definedName>
    <definedName function="false" hidden="false" name="The_big_1998_query" vbProcedure="false">'[1]'!$A$1:$Z$250</definedName>
    <definedName function="false" hidden="false" name="Water_and_Sewer_Analysis_1998" vbProcedure="false">'[1]'!$A$1:$G$230</definedName>
    <definedName function="false" hidden="false" name="_998_Baseline___Totals_Only" vbProcedure="false">'[1]'!$A$1:$G$230</definedName>
    <definedName function="false" hidden="false" localSheetId="1" name="The_big_1998_query" vbProcedure="false">'1998 Expense Detail'!$A$1:$AE$251</definedName>
    <definedName function="false" hidden="false" localSheetId="7" name="solver_adj" vbProcedure="false">'commodity information'!$D$35</definedName>
    <definedName function="false" hidden="false" localSheetId="7" name="solver_cvg" vbProcedure="false">0.001</definedName>
    <definedName function="false" hidden="false" localSheetId="7" name="solver_drv" vbProcedure="false">1</definedName>
    <definedName function="false" hidden="false" localSheetId="7" name="solver_est" vbProcedure="false">1</definedName>
    <definedName function="false" hidden="false" localSheetId="7" name="solver_itr" vbProcedure="false">100</definedName>
    <definedName function="false" hidden="false" localSheetId="7" name="solver_lhs1" vbProcedure="false">'commodity information'!$D$35</definedName>
    <definedName function="false" hidden="false" localSheetId="7" name="solver_lin" vbProcedure="false">2</definedName>
    <definedName function="false" hidden="false" localSheetId="7" name="solver_neg" vbProcedure="false">2</definedName>
    <definedName function="false" hidden="false" localSheetId="7" name="solver_num" vbProcedure="false">1</definedName>
    <definedName function="false" hidden="false" localSheetId="7" name="solver_nwt" vbProcedure="false">1</definedName>
    <definedName function="false" hidden="false" localSheetId="7" name="solver_opt" vbProcedure="false">'commodity information'!$N$35</definedName>
    <definedName function="false" hidden="false" localSheetId="7" name="solver_pre" vbProcedure="false">0.000001</definedName>
    <definedName function="false" hidden="false" localSheetId="7" name="solver_rel1" vbProcedure="false">3</definedName>
    <definedName function="false" hidden="false" localSheetId="7" name="solver_rhs1" vbProcedure="false">0</definedName>
    <definedName function="false" hidden="false" localSheetId="7" name="solver_scl" vbProcedure="false">2</definedName>
    <definedName function="false" hidden="false" localSheetId="7" name="solver_sho" vbProcedure="false">2</definedName>
    <definedName function="false" hidden="false" localSheetId="7" name="solver_tim" vbProcedure="false">100</definedName>
    <definedName function="false" hidden="false" localSheetId="7" name="solver_tol" vbProcedure="false">0.05</definedName>
    <definedName function="false" hidden="false" localSheetId="7" name="solver_typ" vbProcedure="false">3</definedName>
    <definedName function="false" hidden="false" localSheetId="7" name="solver_val" vbProcedure="false">9.71</definedName>
    <definedName function="false" hidden="false" localSheetId="17" name="solver_adj" vbProcedure="false">#REF!</definedName>
    <definedName function="false" hidden="false" localSheetId="17" name="solver_cvg" vbProcedure="false">0.001</definedName>
    <definedName function="false" hidden="false" localSheetId="17" name="solver_drv" vbProcedure="false">1</definedName>
    <definedName function="false" hidden="false" localSheetId="17" name="solver_est" vbProcedure="false">1</definedName>
    <definedName function="false" hidden="false" localSheetId="17" name="solver_itr" vbProcedure="false">100</definedName>
    <definedName function="false" hidden="false" localSheetId="17" name="solver_lhs1" vbProcedure="false">#REF!</definedName>
    <definedName function="false" hidden="false" localSheetId="17" name="solver_lin" vbProcedure="false">2</definedName>
    <definedName function="false" hidden="false" localSheetId="17" name="solver_neg" vbProcedure="false">2</definedName>
    <definedName function="false" hidden="false" localSheetId="17" name="solver_num" vbProcedure="false">1</definedName>
    <definedName function="false" hidden="false" localSheetId="17" name="solver_nwt" vbProcedure="false">1</definedName>
    <definedName function="false" hidden="false" localSheetId="17" name="solver_opt" vbProcedure="false">'power redistribution'!$D$83</definedName>
    <definedName function="false" hidden="false" localSheetId="17" name="solver_pre" vbProcedure="false">0.000001</definedName>
    <definedName function="false" hidden="false" localSheetId="17" name="solver_rel1" vbProcedure="false">3</definedName>
    <definedName function="false" hidden="false" localSheetId="17" name="solver_rhs1" vbProcedure="false">0</definedName>
    <definedName function="false" hidden="false" localSheetId="17" name="solver_scl" vbProcedure="false">2</definedName>
    <definedName function="false" hidden="false" localSheetId="17" name="solver_sho" vbProcedure="false">2</definedName>
    <definedName function="false" hidden="false" localSheetId="17" name="solver_tim" vbProcedure="false">100</definedName>
    <definedName function="false" hidden="false" localSheetId="17" name="solver_tol" vbProcedure="false">0.05</definedName>
    <definedName function="false" hidden="false" localSheetId="17" name="solver_typ" vbProcedure="false">3</definedName>
    <definedName function="false" hidden="false" localSheetId="17" name="solver_val" vbProcedure="false">75578175</definedName>
  </definedNames>
  <calcPr iterateCount="100" refMode="A1" iterate="true" iterateDelta="0.001"/>
  <extLst>
    <ext xmlns:loext="http://schemas.libreoffice.org/" uri="{7626C862-2A13-11E5-B345-FEFF819CDC9F}">
      <loext:extCalcPr stringRefSyntax="CalcA1"/>
    </ext>
  </extLst>
</workbook>
</file>

<file path=xl/comments1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C13" authorId="0">
      <text>
        <r>
          <rPr>
            <b val="true"/>
            <sz val="8"/>
            <color rgb="FF000000"/>
            <rFont val="Tahoma"/>
            <family val="0"/>
          </rPr>
          <t xml:space="preserve">kkindal:
</t>
        </r>
        <r>
          <rPr>
            <sz val="8"/>
            <color rgb="FF000000"/>
            <rFont val="Tahoma"/>
            <family val="0"/>
          </rPr>
          <t xml:space="preserve">Revenues more or less will grow at this rate.</t>
        </r>
      </text>
      <mc:AlternateContent>
        <mc:Choice Requires="v2">
          <commentPr autoFill="true" autoScale="false" colHidden="false" locked="false" rowHidden="false" textHAlign="justify" textVAlign="top">
            <anchor moveWithCells="false" sizeWithCells="false">
              <xdr:from>
                <xdr:col>3</xdr:col>
                <xdr:colOff>16</xdr:colOff>
                <xdr:row>11</xdr:row>
                <xdr:rowOff>11</xdr:rowOff>
              </xdr:from>
              <xdr:to>
                <xdr:col>4</xdr:col>
                <xdr:colOff>15</xdr:colOff>
                <xdr:row>15</xdr:row>
                <xdr:rowOff>1</xdr:rowOff>
              </xdr:to>
            </anchor>
          </commentPr>
        </mc:Choice>
        <mc:Fallback/>
      </mc:AlternateContent>
    </comment>
  </commentList>
</comments>
</file>

<file path=xl/comments14.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N4" authorId="0">
      <text>
        <r>
          <rPr>
            <b val="true"/>
            <sz val="8"/>
            <color rgb="FF000000"/>
            <rFont val="Tahoma"/>
            <family val="0"/>
          </rPr>
          <t xml:space="preserve">jwang3:
</t>
        </r>
        <r>
          <rPr>
            <sz val="8"/>
            <color rgb="FF000000"/>
            <rFont val="Tahoma"/>
            <family val="0"/>
          </rPr>
          <t xml:space="preserve">Goal Seek cell P&amp;I to equal Gross Savings.</t>
        </r>
      </text>
      <mc:AlternateContent>
        <mc:Choice Requires="v2">
          <commentPr autoFill="true" autoScale="false" colHidden="false" locked="false" rowHidden="false" textHAlign="justify" textVAlign="top">
            <anchor moveWithCells="false" sizeWithCells="false">
              <xdr:from>
                <xdr:col>14</xdr:col>
                <xdr:colOff>53</xdr:colOff>
                <xdr:row>2</xdr:row>
                <xdr:rowOff>12</xdr:rowOff>
              </xdr:from>
              <xdr:to>
                <xdr:col>16</xdr:col>
                <xdr:colOff>55</xdr:colOff>
                <xdr:row>6</xdr:row>
                <xdr:rowOff>4</xdr:rowOff>
              </xdr:to>
            </anchor>
          </commentPr>
        </mc:Choice>
        <mc:Fallback/>
      </mc:AlternateContent>
    </comment>
  </commentList>
</comments>
</file>

<file path=xl/comments19.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E4" authorId="0">
      <text>
        <r>
          <rPr>
            <b val="true"/>
            <sz val="8"/>
            <color rgb="FF000000"/>
            <rFont val="Tahoma"/>
            <family val="0"/>
          </rPr>
          <t xml:space="preserve">kkindal:
</t>
        </r>
        <r>
          <rPr>
            <sz val="8"/>
            <color rgb="FF000000"/>
            <rFont val="Tahoma"/>
            <family val="0"/>
          </rPr>
          <t xml:space="preserve">Links to another workbook.</t>
        </r>
      </text>
      <mc:AlternateContent>
        <mc:Choice Requires="v2">
          <commentPr autoFill="true" autoScale="false" colHidden="false" locked="false" rowHidden="false" textHAlign="justify" textVAlign="top">
            <anchor moveWithCells="false" sizeWithCells="false">
              <xdr:from>
                <xdr:col>5</xdr:col>
                <xdr:colOff>16</xdr:colOff>
                <xdr:row>2</xdr:row>
                <xdr:rowOff>7</xdr:rowOff>
              </xdr:from>
              <xdr:to>
                <xdr:col>6</xdr:col>
                <xdr:colOff>60</xdr:colOff>
                <xdr:row>6</xdr:row>
                <xdr:rowOff>13</xdr:rowOff>
              </xdr:to>
            </anchor>
          </commentPr>
        </mc:Choice>
        <mc:Fallback/>
      </mc:AlternateContent>
    </comment>
  </commentList>
</comments>
</file>

<file path=xl/comments25.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K3" authorId="0">
      <text>
        <r>
          <rPr>
            <b val="true"/>
            <sz val="8"/>
            <color rgb="FF000000"/>
            <rFont val="Tahoma"/>
            <family val="0"/>
          </rPr>
          <t xml:space="preserve">kkindal:
</t>
        </r>
        <r>
          <rPr>
            <sz val="8"/>
            <color rgb="FF000000"/>
            <rFont val="Tahoma"/>
            <family val="0"/>
          </rPr>
          <t xml:space="preserve">Hard coded assumption</t>
        </r>
      </text>
      <mc:AlternateContent>
        <mc:Choice Requires="v2">
          <commentPr autoFill="true" autoScale="false" colHidden="false" locked="false" rowHidden="false" textHAlign="justify" textVAlign="top">
            <anchor moveWithCells="false" sizeWithCells="false">
              <xdr:from>
                <xdr:col>11</xdr:col>
                <xdr:colOff>16</xdr:colOff>
                <xdr:row>1</xdr:row>
                <xdr:rowOff>8</xdr:rowOff>
              </xdr:from>
              <xdr:to>
                <xdr:col>12</xdr:col>
                <xdr:colOff>58</xdr:colOff>
                <xdr:row>5</xdr:row>
                <xdr:rowOff>8</xdr:rowOff>
              </xdr:to>
            </anchor>
          </commentPr>
        </mc:Choice>
        <mc:Fallback/>
      </mc:AlternateContent>
    </comment>
    <comment ref="L36" authorId="0">
      <text>
        <r>
          <rPr>
            <b val="true"/>
            <sz val="8"/>
            <color rgb="FF000000"/>
            <rFont val="Tahoma"/>
            <family val="0"/>
          </rPr>
          <t xml:space="preserve">kkindal:
</t>
        </r>
        <r>
          <rPr>
            <sz val="8"/>
            <color rgb="FF000000"/>
            <rFont val="Tahoma"/>
            <family val="0"/>
          </rPr>
          <t xml:space="preserve">Year annual period #2</t>
        </r>
      </text>
      <mc:AlternateContent>
        <mc:Choice Requires="v2">
          <commentPr autoFill="true" autoScale="false" colHidden="false" locked="false" rowHidden="false" textHAlign="justify" textVAlign="top">
            <anchor moveWithCells="false" sizeWithCells="false">
              <xdr:from>
                <xdr:col>12</xdr:col>
                <xdr:colOff>16</xdr:colOff>
                <xdr:row>34</xdr:row>
                <xdr:rowOff>7</xdr:rowOff>
              </xdr:from>
              <xdr:to>
                <xdr:col>13</xdr:col>
                <xdr:colOff>55</xdr:colOff>
                <xdr:row>38</xdr:row>
                <xdr:rowOff>13</xdr:rowOff>
              </xdr:to>
            </anchor>
          </commentPr>
        </mc:Choice>
        <mc:Fallback/>
      </mc:AlternateContent>
    </comment>
    <comment ref="N6" authorId="0">
      <text>
        <r>
          <rPr>
            <b val="true"/>
            <sz val="8"/>
            <color rgb="FF000000"/>
            <rFont val="Tahoma"/>
            <family val="0"/>
          </rPr>
          <t xml:space="preserve">jwang3:
</t>
        </r>
        <r>
          <rPr>
            <sz val="8"/>
            <color rgb="FF000000"/>
            <rFont val="Tahoma"/>
            <family val="0"/>
          </rPr>
          <t xml:space="preserve">From Jay's quote.</t>
        </r>
      </text>
      <mc:AlternateContent>
        <mc:Choice Requires="v2">
          <commentPr autoFill="true" autoScale="false" colHidden="false" locked="false" rowHidden="false" textHAlign="justify" textVAlign="top">
            <anchor moveWithCells="false" sizeWithCells="false">
              <xdr:from>
                <xdr:col>14</xdr:col>
                <xdr:colOff>16</xdr:colOff>
                <xdr:row>4</xdr:row>
                <xdr:rowOff>2</xdr:rowOff>
              </xdr:from>
              <xdr:to>
                <xdr:col>15</xdr:col>
                <xdr:colOff>57</xdr:colOff>
                <xdr:row>8</xdr:row>
                <xdr:rowOff>3</xdr:rowOff>
              </xdr:to>
            </anchor>
          </commentPr>
        </mc:Choice>
        <mc:Fallback/>
      </mc:AlternateContent>
    </comment>
    <comment ref="O6" authorId="0">
      <text>
        <r>
          <rPr>
            <b val="true"/>
            <sz val="8"/>
            <color rgb="FF000000"/>
            <rFont val="Tahoma"/>
            <family val="0"/>
          </rPr>
          <t xml:space="preserve">jwang3:
</t>
        </r>
        <r>
          <rPr>
            <sz val="8"/>
            <color rgb="FF000000"/>
            <rFont val="Tahoma"/>
            <family val="0"/>
          </rPr>
          <t xml:space="preserve">From Jay's quote.</t>
        </r>
      </text>
      <mc:AlternateContent>
        <mc:Choice Requires="v2">
          <commentPr autoFill="true" autoScale="false" colHidden="false" locked="false" rowHidden="false" textHAlign="justify" textVAlign="top">
            <anchor moveWithCells="false" sizeWithCells="false">
              <xdr:from>
                <xdr:col>15</xdr:col>
                <xdr:colOff>16</xdr:colOff>
                <xdr:row>4</xdr:row>
                <xdr:rowOff>2</xdr:rowOff>
              </xdr:from>
              <xdr:to>
                <xdr:col>16</xdr:col>
                <xdr:colOff>53</xdr:colOff>
                <xdr:row>8</xdr:row>
                <xdr:rowOff>3</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R255" authorId="0">
      <text>
        <r>
          <rPr>
            <b val="true"/>
            <sz val="8"/>
            <color rgb="FF000000"/>
            <rFont val="Tahoma"/>
            <family val="0"/>
          </rPr>
          <t xml:space="preserve">kkindal:
</t>
        </r>
        <r>
          <rPr>
            <sz val="8"/>
            <color rgb="FF000000"/>
            <rFont val="Tahoma"/>
            <family val="0"/>
          </rPr>
          <t xml:space="preserve">Links to the total cost of power for the baseyear.  It is significant as it is part of the seed value that determines expsenses for the other years.</t>
        </r>
      </text>
      <mc:AlternateContent>
        <mc:Choice Requires="v2">
          <commentPr autoFill="true" autoScale="false" colHidden="false" locked="false" rowHidden="false" textHAlign="justify" textVAlign="top">
            <anchor moveWithCells="false" sizeWithCells="false">
              <xdr:from>
                <xdr:col>44</xdr:col>
                <xdr:colOff>16</xdr:colOff>
                <xdr:row>253</xdr:row>
                <xdr:rowOff>7</xdr:rowOff>
              </xdr:from>
              <xdr:to>
                <xdr:col>46</xdr:col>
                <xdr:colOff>45</xdr:colOff>
                <xdr:row>258</xdr:row>
                <xdr:rowOff>16</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R255" authorId="0">
      <text>
        <r>
          <rPr>
            <b val="true"/>
            <sz val="8"/>
            <color rgb="FF000000"/>
            <rFont val="Tahoma"/>
            <family val="0"/>
          </rPr>
          <t xml:space="preserve">kkindal:
</t>
        </r>
        <r>
          <rPr>
            <sz val="8"/>
            <color rgb="FF000000"/>
            <rFont val="Tahoma"/>
            <family val="0"/>
          </rPr>
          <t xml:space="preserve">Links to the total cost of power for the baseyear.  It is significant as it is part of the seed value that determines expsenses for the other years.</t>
        </r>
      </text>
      <mc:AlternateContent>
        <mc:Choice Requires="v2">
          <commentPr autoFill="true" autoScale="false" colHidden="false" locked="false" rowHidden="false" textHAlign="justify" textVAlign="top">
            <anchor moveWithCells="false" sizeWithCells="false">
              <xdr:from>
                <xdr:col>28</xdr:col>
                <xdr:colOff>58</xdr:colOff>
                <xdr:row>261</xdr:row>
                <xdr:rowOff>4</xdr:rowOff>
              </xdr:from>
              <xdr:to>
                <xdr:col>31</xdr:col>
                <xdr:colOff>9</xdr:colOff>
                <xdr:row>267</xdr:row>
                <xdr:rowOff>10</xdr:rowOff>
              </xdr:to>
            </anchor>
          </commentPr>
        </mc:Choice>
        <mc:Fallback/>
      </mc:AlternateContent>
    </comment>
    <comment ref="BR255" authorId="0">
      <text>
        <r>
          <rPr>
            <b val="true"/>
            <sz val="8"/>
            <color rgb="FF000000"/>
            <rFont val="Tahoma"/>
            <family val="0"/>
          </rPr>
          <t xml:space="preserve">kkindal:
</t>
        </r>
        <r>
          <rPr>
            <sz val="8"/>
            <color rgb="FF000000"/>
            <rFont val="Tahoma"/>
            <family val="0"/>
          </rPr>
          <t xml:space="preserve">Units are kwh.</t>
        </r>
      </text>
      <mc:AlternateContent>
        <mc:Choice Requires="v2">
          <commentPr autoFill="true" autoScale="false" colHidden="false" locked="false" rowHidden="false" textHAlign="justify" textVAlign="top">
            <anchor moveWithCells="false" sizeWithCells="false">
              <xdr:from>
                <xdr:col>47</xdr:col>
                <xdr:colOff>3</xdr:colOff>
                <xdr:row>253</xdr:row>
                <xdr:rowOff>5</xdr:rowOff>
              </xdr:from>
              <xdr:to>
                <xdr:col>49</xdr:col>
                <xdr:colOff>41</xdr:colOff>
                <xdr:row>258</xdr:row>
                <xdr:rowOff>2</xdr:rowOff>
              </xdr:to>
            </anchor>
          </commentPr>
        </mc:Choice>
        <mc:Fallback/>
      </mc:AlternateContent>
    </comment>
    <comment ref="BU255" authorId="0">
      <text>
        <r>
          <rPr>
            <b val="true"/>
            <sz val="8"/>
            <color rgb="FF000000"/>
            <rFont val="Tahoma"/>
            <family val="0"/>
          </rPr>
          <t xml:space="preserve">kkindal:
</t>
        </r>
        <r>
          <rPr>
            <sz val="8"/>
            <color rgb="FF000000"/>
            <rFont val="Tahoma"/>
            <family val="0"/>
          </rPr>
          <t xml:space="preserve">This represents the power consumption, without any savings or efficiencies.  It precisely matches 'wholesale services'!F20</t>
        </r>
      </text>
      <mc:AlternateContent>
        <mc:Choice Requires="v2">
          <commentPr autoFill="true" autoScale="false" colHidden="false" locked="false" rowHidden="false" textHAlign="justify" textVAlign="top">
            <anchor moveWithCells="false" sizeWithCells="false">
              <xdr:from>
                <xdr:col>50</xdr:col>
                <xdr:colOff>38</xdr:colOff>
                <xdr:row>253</xdr:row>
                <xdr:rowOff>5</xdr:rowOff>
              </xdr:from>
              <xdr:to>
                <xdr:col>53</xdr:col>
                <xdr:colOff>21</xdr:colOff>
                <xdr:row>259</xdr:row>
                <xdr:rowOff>11</xdr:rowOff>
              </xdr:to>
            </anchor>
          </commentPr>
        </mc:Choice>
        <mc:Fallback/>
      </mc:AlternateContent>
    </comment>
    <comment ref="BV255" authorId="0">
      <text>
        <r>
          <rPr>
            <b val="true"/>
            <sz val="8"/>
            <color rgb="FF000000"/>
            <rFont val="Tahoma"/>
            <family val="0"/>
          </rPr>
          <t xml:space="preserve">kkindal:
</t>
        </r>
        <r>
          <rPr>
            <sz val="8"/>
            <color rgb="FF000000"/>
            <rFont val="Tahoma"/>
            <family val="0"/>
          </rPr>
          <t xml:space="preserve">Units are MMBtu</t>
        </r>
      </text>
      <mc:AlternateContent>
        <mc:Choice Requires="v2">
          <commentPr autoFill="true" autoScale="false" colHidden="false" locked="false" rowHidden="false" textHAlign="justify" textVAlign="top">
            <anchor moveWithCells="false" sizeWithCells="false">
              <xdr:from>
                <xdr:col>53</xdr:col>
                <xdr:colOff>4</xdr:colOff>
                <xdr:row>253</xdr:row>
                <xdr:rowOff>5</xdr:rowOff>
              </xdr:from>
              <xdr:to>
                <xdr:col>55</xdr:col>
                <xdr:colOff>30</xdr:colOff>
                <xdr:row>258</xdr:row>
                <xdr:rowOff>2</xdr:rowOff>
              </xdr:to>
            </anchor>
          </commentPr>
        </mc:Choice>
        <mc:Fallback/>
      </mc:AlternateContent>
    </comment>
    <comment ref="BY255" authorId="0">
      <text>
        <r>
          <rPr>
            <b val="true"/>
            <sz val="8"/>
            <color rgb="FF000000"/>
            <rFont val="Tahoma"/>
            <family val="0"/>
          </rPr>
          <t xml:space="preserve">kkindal:
</t>
        </r>
        <r>
          <rPr>
            <sz val="8"/>
            <color rgb="FF000000"/>
            <rFont val="Tahoma"/>
            <family val="0"/>
          </rPr>
          <t xml:space="preserve">This matches exactly the volume on 'wholesale services'!F24.</t>
        </r>
      </text>
      <mc:AlternateContent>
        <mc:Choice Requires="v2">
          <commentPr autoFill="true" autoScale="false" colHidden="false" locked="false" rowHidden="false" textHAlign="justify" textVAlign="top">
            <anchor moveWithCells="false" sizeWithCells="false">
              <xdr:from>
                <xdr:col>57</xdr:col>
                <xdr:colOff>26</xdr:colOff>
                <xdr:row>253</xdr:row>
                <xdr:rowOff>5</xdr:rowOff>
              </xdr:from>
              <xdr:to>
                <xdr:col>60</xdr:col>
                <xdr:colOff>7</xdr:colOff>
                <xdr:row>258</xdr:row>
                <xdr:rowOff>2</xdr:rowOff>
              </xdr:to>
            </anchor>
          </commentPr>
        </mc:Choice>
        <mc:Fallback/>
      </mc:AlternateContent>
    </comment>
  </commentList>
</comments>
</file>

<file path=xl/sharedStrings.xml><?xml version="1.0" encoding="utf-8"?>
<sst xmlns="http://schemas.openxmlformats.org/spreadsheetml/2006/main" count="10159" uniqueCount="1608">
  <si>
    <t xml:space="preserve">FORM A:  Capture at Corporate Level of Mall Profiles</t>
  </si>
  <si>
    <t xml:space="preserve">GENERAL INFORMATION</t>
  </si>
  <si>
    <t xml:space="preserve">Redistribution</t>
  </si>
  <si>
    <t xml:space="preserve">Occupancy Data on O section</t>
  </si>
  <si>
    <t xml:space="preserve">SQUARE FOOTAGE </t>
  </si>
  <si>
    <t xml:space="preserve">Regional Malls</t>
  </si>
  <si>
    <t xml:space="preserve">Rooftop unit</t>
  </si>
  <si>
    <t xml:space="preserve">Central Plant - budgeted for 99</t>
  </si>
  <si>
    <t xml:space="preserve">Prop. #</t>
  </si>
  <si>
    <t xml:space="preserve">Mall</t>
  </si>
  <si>
    <t xml:space="preserve">Location</t>
  </si>
  <si>
    <t xml:space="preserve">State</t>
  </si>
  <si>
    <t xml:space="preserve">Wholly-owned (Yes/No)</t>
  </si>
  <si>
    <t xml:space="preserve">Year built </t>
  </si>
  <si>
    <t xml:space="preserve">Year acquired </t>
  </si>
  <si>
    <t xml:space="preserve">Type (Regional, Mixed Use, Specialty etc.)</t>
  </si>
  <si>
    <t xml:space="preserve"> power redistribution (yes only)</t>
  </si>
  <si>
    <t xml:space="preserve">Electric provider</t>
  </si>
  <si>
    <t xml:space="preserve">Number of Tenants</t>
  </si>
  <si>
    <t xml:space="preserve">Occupancy % - Current</t>
  </si>
  <si>
    <t xml:space="preserve">Occupancy % - Year end 1998 </t>
  </si>
  <si>
    <t xml:space="preserve">Occupancy % - Year end 1997 </t>
  </si>
  <si>
    <t xml:space="preserve">Occupancy % - Year end 1996</t>
  </si>
  <si>
    <t xml:space="preserve">Gross Building Area (GBA)</t>
  </si>
  <si>
    <t xml:space="preserve">Gross Leasable Area (GLA)</t>
  </si>
  <si>
    <t xml:space="preserve">CAM Square Footage </t>
  </si>
  <si>
    <t xml:space="preserve">Major Tenant Square footage</t>
  </si>
  <si>
    <t xml:space="preserve">Non-Major Tenant Square Footage</t>
  </si>
  <si>
    <t xml:space="preserve">Parking Stall numbers</t>
  </si>
  <si>
    <t xml:space="preserve">Total Square footage serviced by Central Plant</t>
  </si>
  <si>
    <t xml:space="preserve">CAM Square footage serviced by central plant</t>
  </si>
  <si>
    <t xml:space="preserve">Retail Square footage serviced by central plant </t>
  </si>
  <si>
    <t xml:space="preserve">Total Square Footage Serviced by Rooftops</t>
  </si>
  <si>
    <t xml:space="preserve">CAM Square footage serviced by rooftops</t>
  </si>
  <si>
    <t xml:space="preserve">Retail Square footage serviced by rooftops</t>
  </si>
  <si>
    <t xml:space="preserve">sq ft w/ central plants and electricity redist.</t>
  </si>
  <si>
    <t xml:space="preserve">sq ft w/ central plants and NO elect. Redist</t>
  </si>
  <si>
    <t xml:space="preserve">sq ft w/ NO central plants and elect. Redist</t>
  </si>
  <si>
    <t xml:space="preserve">sq ft w/ NO central plants and NO elect. Redist</t>
  </si>
  <si>
    <t xml:space="preserve">Redistribution revenues</t>
  </si>
  <si>
    <t xml:space="preserve">Redistribution Costs</t>
  </si>
  <si>
    <t xml:space="preserve">TFSP Provider</t>
  </si>
  <si>
    <t xml:space="preserve">TFSP Expenditures</t>
  </si>
  <si>
    <t xml:space="preserve"> </t>
  </si>
  <si>
    <t xml:space="preserve">y</t>
  </si>
  <si>
    <t xml:space="preserve">Alton Square</t>
  </si>
  <si>
    <t xml:space="preserve">Alton</t>
  </si>
  <si>
    <t xml:space="preserve">IL</t>
  </si>
  <si>
    <t xml:space="preserve">regional</t>
  </si>
  <si>
    <t xml:space="preserve">n</t>
  </si>
  <si>
    <t xml:space="preserve">Union Electric Co.</t>
  </si>
  <si>
    <t xml:space="preserve">SSC</t>
  </si>
  <si>
    <t xml:space="preserve">Amigoland Mall</t>
  </si>
  <si>
    <t xml:space="preserve">Brownsville</t>
  </si>
  <si>
    <t xml:space="preserve">TX</t>
  </si>
  <si>
    <t xml:space="preserve">Public Utilities Board</t>
  </si>
  <si>
    <t xml:space="preserve">Anderson Mall</t>
  </si>
  <si>
    <t xml:space="preserve">Anderson</t>
  </si>
  <si>
    <t xml:space="preserve">SC</t>
  </si>
  <si>
    <t xml:space="preserve">Duke Po</t>
  </si>
  <si>
    <t xml:space="preserve">Arboretum</t>
  </si>
  <si>
    <t xml:space="preserve">Austin</t>
  </si>
  <si>
    <t xml:space="preserve">community</t>
  </si>
  <si>
    <t xml:space="preserve">City of Austin</t>
  </si>
  <si>
    <t xml:space="preserve">Arvada Plaza</t>
  </si>
  <si>
    <t xml:space="preserve">Arvada</t>
  </si>
  <si>
    <t xml:space="preserve">CO</t>
  </si>
  <si>
    <t xml:space="preserve">Public services of Colorado</t>
  </si>
  <si>
    <t xml:space="preserve">Aurora Mall</t>
  </si>
  <si>
    <t xml:space="preserve">Aurora</t>
  </si>
  <si>
    <t xml:space="preserve">Varsity</t>
  </si>
  <si>
    <t xml:space="preserve">Aurora Plaza</t>
  </si>
  <si>
    <t xml:space="preserve">Aventura Mall</t>
  </si>
  <si>
    <t xml:space="preserve">Avenues, The</t>
  </si>
  <si>
    <t xml:space="preserve">Jacksonville</t>
  </si>
  <si>
    <t xml:space="preserve">FL</t>
  </si>
  <si>
    <t xml:space="preserve">Jacksonville Elec. Author.</t>
  </si>
  <si>
    <t xml:space="preserve">Barton Creek Square</t>
  </si>
  <si>
    <t xml:space="preserve">City of Houston</t>
  </si>
  <si>
    <t xml:space="preserve">Battlefield Mall</t>
  </si>
  <si>
    <t xml:space="preserve">Springfield</t>
  </si>
  <si>
    <t xml:space="preserve">MO</t>
  </si>
  <si>
    <t xml:space="preserve">City utility of Springfield</t>
  </si>
  <si>
    <t xml:space="preserve">Bay Park Square</t>
  </si>
  <si>
    <t xml:space="preserve">Green Bay</t>
  </si>
  <si>
    <t xml:space="preserve">WI</t>
  </si>
  <si>
    <t xml:space="preserve">Wisconsin Public services Co.</t>
  </si>
  <si>
    <t xml:space="preserve">Bergen Mall</t>
  </si>
  <si>
    <t xml:space="preserve">Paramus</t>
  </si>
  <si>
    <t xml:space="preserve">NJ</t>
  </si>
  <si>
    <t xml:space="preserve">Public Services Elec. &amp; Gas Co.</t>
  </si>
  <si>
    <t xml:space="preserve">Control</t>
  </si>
  <si>
    <t xml:space="preserve">Biltmore Square</t>
  </si>
  <si>
    <t xml:space="preserve">Asheville</t>
  </si>
  <si>
    <t xml:space="preserve">NC</t>
  </si>
  <si>
    <t xml:space="preserve">Carolina Power &amp; Light</t>
  </si>
  <si>
    <t xml:space="preserve">Bloomingdale Court</t>
  </si>
  <si>
    <t xml:space="preserve">Bloomingdale</t>
  </si>
  <si>
    <t xml:space="preserve">Commonwealth Edison</t>
  </si>
  <si>
    <t xml:space="preserve">Boardamn Plaza</t>
  </si>
  <si>
    <t xml:space="preserve">Youngstown</t>
  </si>
  <si>
    <t xml:space="preserve">OH</t>
  </si>
  <si>
    <t xml:space="preserve">Ohio Edison</t>
  </si>
  <si>
    <t xml:space="preserve">Boynton Beach Mall</t>
  </si>
  <si>
    <t xml:space="preserve">Boynton Beach</t>
  </si>
  <si>
    <t xml:space="preserve">Florida Power &amp; Light</t>
  </si>
  <si>
    <t xml:space="preserve">Brea Mall</t>
  </si>
  <si>
    <t xml:space="preserve">Brea</t>
  </si>
  <si>
    <t xml:space="preserve">CA</t>
  </si>
  <si>
    <t xml:space="preserve">Southern California Edison</t>
  </si>
  <si>
    <t xml:space="preserve">Bridgeview Court</t>
  </si>
  <si>
    <t xml:space="preserve">Bridgeview</t>
  </si>
  <si>
    <t xml:space="preserve">Brightwood Plaza</t>
  </si>
  <si>
    <t xml:space="preserve">Indianapolis</t>
  </si>
  <si>
    <t xml:space="preserve">IN</t>
  </si>
  <si>
    <t xml:space="preserve">Indianapolis Pwr &amp; Light</t>
  </si>
  <si>
    <t xml:space="preserve">Broadway Square</t>
  </si>
  <si>
    <t xml:space="preserve">Tyler</t>
  </si>
  <si>
    <t xml:space="preserve">Texas Electric Service</t>
  </si>
  <si>
    <t xml:space="preserve">Brunswick square</t>
  </si>
  <si>
    <t xml:space="preserve">East Brunswick</t>
  </si>
  <si>
    <t xml:space="preserve">Buffalo Groove Towne Center</t>
  </si>
  <si>
    <t xml:space="preserve">buffalo Groove</t>
  </si>
  <si>
    <t xml:space="preserve">Burbank Towne Center</t>
  </si>
  <si>
    <t xml:space="preserve">Burbank </t>
  </si>
  <si>
    <t xml:space="preserve">Burlington Mall</t>
  </si>
  <si>
    <t xml:space="preserve">Burlington</t>
  </si>
  <si>
    <t xml:space="preserve">MA</t>
  </si>
  <si>
    <t xml:space="preserve">Regional</t>
  </si>
  <si>
    <t xml:space="preserve">Boston Edison</t>
  </si>
  <si>
    <t xml:space="preserve">Unicco</t>
  </si>
  <si>
    <t xml:space="preserve">Castleton Square</t>
  </si>
  <si>
    <t xml:space="preserve">Celina Plaza</t>
  </si>
  <si>
    <t xml:space="preserve">El Paso</t>
  </si>
  <si>
    <t xml:space="preserve">The Electric company</t>
  </si>
  <si>
    <t xml:space="preserve">Century III Mall</t>
  </si>
  <si>
    <t xml:space="preserve">Pittsburgh</t>
  </si>
  <si>
    <t xml:space="preserve">PA</t>
  </si>
  <si>
    <t xml:space="preserve">Dusquesne Light &amp; Co.</t>
  </si>
  <si>
    <t xml:space="preserve">Century Mall</t>
  </si>
  <si>
    <t xml:space="preserve">Merrilville</t>
  </si>
  <si>
    <t xml:space="preserve">Northern IN Public Service</t>
  </si>
  <si>
    <t xml:space="preserve">Charles Towne Square</t>
  </si>
  <si>
    <t xml:space="preserve">Charleston</t>
  </si>
  <si>
    <t xml:space="preserve">S. Carolina Electric &amp; Gas</t>
  </si>
  <si>
    <t xml:space="preserve">Charlottesville Fashion Square</t>
  </si>
  <si>
    <t xml:space="preserve">Charlottesville</t>
  </si>
  <si>
    <t xml:space="preserve">VA</t>
  </si>
  <si>
    <t xml:space="preserve">Virginia Electric Power</t>
  </si>
  <si>
    <t xml:space="preserve">Chautauqua Mall</t>
  </si>
  <si>
    <t xml:space="preserve">Jamestown</t>
  </si>
  <si>
    <t xml:space="preserve">NY</t>
  </si>
  <si>
    <t xml:space="preserve">Niagara Mohawk Power</t>
  </si>
  <si>
    <t xml:space="preserve">Cheltenham Square</t>
  </si>
  <si>
    <t xml:space="preserve">Philadelphia</t>
  </si>
  <si>
    <t xml:space="preserve">PECO Energy</t>
  </si>
  <si>
    <t xml:space="preserve">Chesapeake Center</t>
  </si>
  <si>
    <t xml:space="preserve">Chesapeake</t>
  </si>
  <si>
    <t xml:space="preserve">Chesapeake Square</t>
  </si>
  <si>
    <t xml:space="preserve">Cielo Vista Mall</t>
  </si>
  <si>
    <t xml:space="preserve">El Paso Electric Co.</t>
  </si>
  <si>
    <t xml:space="preserve">Circle Center</t>
  </si>
  <si>
    <t xml:space="preserve">CLAYPOOL COURT</t>
  </si>
  <si>
    <t xml:space="preserve">Cobblestone Court</t>
  </si>
  <si>
    <t xml:space="preserve">Victor</t>
  </si>
  <si>
    <t xml:space="preserve">Rochester gas &amp; Electric</t>
  </si>
  <si>
    <t xml:space="preserve">Cohoes Commons</t>
  </si>
  <si>
    <t xml:space="preserve">Rochester</t>
  </si>
  <si>
    <t xml:space="preserve">College Mall</t>
  </si>
  <si>
    <t xml:space="preserve">Bloomington</t>
  </si>
  <si>
    <t xml:space="preserve">Cinergy</t>
  </si>
  <si>
    <t xml:space="preserve">Columbia Center</t>
  </si>
  <si>
    <t xml:space="preserve">Kennewick</t>
  </si>
  <si>
    <t xml:space="preserve">WA</t>
  </si>
  <si>
    <t xml:space="preserve">Benton Co. Public Utility</t>
  </si>
  <si>
    <t xml:space="preserve">Coral Square</t>
  </si>
  <si>
    <t xml:space="preserve">Coral Springs</t>
  </si>
  <si>
    <t xml:space="preserve">Cordova Mall</t>
  </si>
  <si>
    <t xml:space="preserve">Pensacola</t>
  </si>
  <si>
    <t xml:space="preserve">Gulf Power</t>
  </si>
  <si>
    <t xml:space="preserve">Cottonwood Mall</t>
  </si>
  <si>
    <t xml:space="preserve">Albuquerque</t>
  </si>
  <si>
    <t xml:space="preserve">NM</t>
  </si>
  <si>
    <t xml:space="preserve">Pub. Ser. Co. of</t>
  </si>
  <si>
    <t xml:space="preserve">Countryside Mall</t>
  </si>
  <si>
    <t xml:space="preserve">Countryside Plaza</t>
  </si>
  <si>
    <t xml:space="preserve">Countryside</t>
  </si>
  <si>
    <t xml:space="preserve">FPL</t>
  </si>
  <si>
    <t xml:space="preserve">Crossroads mall</t>
  </si>
  <si>
    <t xml:space="preserve">Omaha</t>
  </si>
  <si>
    <t xml:space="preserve">NE</t>
  </si>
  <si>
    <t xml:space="preserve">Omaha Pub. Util.</t>
  </si>
  <si>
    <t xml:space="preserve">Crystal Court </t>
  </si>
  <si>
    <t xml:space="preserve">Crystal lake</t>
  </si>
  <si>
    <t xml:space="preserve">Crystal River Mall</t>
  </si>
  <si>
    <t xml:space="preserve">Crystal River</t>
  </si>
  <si>
    <t xml:space="preserve">FPC</t>
  </si>
  <si>
    <t xml:space="preserve">Dadeland Mall</t>
  </si>
  <si>
    <t xml:space="preserve">Miami</t>
  </si>
  <si>
    <t xml:space="preserve">DeSoto Square</t>
  </si>
  <si>
    <t xml:space="preserve">Bradenton </t>
  </si>
  <si>
    <t xml:space="preserve">Eastern Hills Mall</t>
  </si>
  <si>
    <t xml:space="preserve">Buffalo</t>
  </si>
  <si>
    <t xml:space="preserve">NY State Elec. &amp; Gas Corp</t>
  </si>
  <si>
    <t xml:space="preserve">Eastgate Consumer mall</t>
  </si>
  <si>
    <t xml:space="preserve">IPL</t>
  </si>
  <si>
    <t xml:space="preserve">Eastland Mall</t>
  </si>
  <si>
    <t xml:space="preserve">Tulsa</t>
  </si>
  <si>
    <t xml:space="preserve">OK</t>
  </si>
  <si>
    <t xml:space="preserve">Public Service of OK</t>
  </si>
  <si>
    <t xml:space="preserve">Eastland Mall-IN</t>
  </si>
  <si>
    <t xml:space="preserve">Evansville</t>
  </si>
  <si>
    <t xml:space="preserve">So IN Gas &amp; Electric</t>
  </si>
  <si>
    <t xml:space="preserve">Eastland Plaza</t>
  </si>
  <si>
    <t xml:space="preserve">Public Services of Oklahoma</t>
  </si>
  <si>
    <t xml:space="preserve">Edison Mall</t>
  </si>
  <si>
    <t xml:space="preserve">Fort Myers</t>
  </si>
  <si>
    <t xml:space="preserve">Empire Mall</t>
  </si>
  <si>
    <t xml:space="preserve">Fairfax Court </t>
  </si>
  <si>
    <t xml:space="preserve">Fairfax</t>
  </si>
  <si>
    <t xml:space="preserve">Fairmont Plaza</t>
  </si>
  <si>
    <t xml:space="preserve">Fashion Center at Pentagon City, The</t>
  </si>
  <si>
    <t xml:space="preserve">Arlington</t>
  </si>
  <si>
    <t xml:space="preserve">VA Electric Po Co,</t>
  </si>
  <si>
    <t xml:space="preserve">FASHION MALL @ PLANTATION </t>
  </si>
  <si>
    <t xml:space="preserve">Ft. Lauderdale</t>
  </si>
  <si>
    <t xml:space="preserve">Fashion Mall at Keystone at the crossing, the</t>
  </si>
  <si>
    <t xml:space="preserve">Florida Mall</t>
  </si>
  <si>
    <t xml:space="preserve">Orlando</t>
  </si>
  <si>
    <t xml:space="preserve">Florida Power Corp.</t>
  </si>
  <si>
    <t xml:space="preserve">Forest Mall</t>
  </si>
  <si>
    <t xml:space="preserve">Fond du lac</t>
  </si>
  <si>
    <t xml:space="preserve">Wisconsin Power &amp; Light</t>
  </si>
  <si>
    <t xml:space="preserve">Forest Plaza</t>
  </si>
  <si>
    <t xml:space="preserve">Rockford</t>
  </si>
  <si>
    <t xml:space="preserve">Forest Village Park Mall</t>
  </si>
  <si>
    <t xml:space="preserve">Forestville</t>
  </si>
  <si>
    <t xml:space="preserve">MD</t>
  </si>
  <si>
    <t xml:space="preserve">Potomac Electric Pwr. Co.</t>
  </si>
  <si>
    <t xml:space="preserve">Forum Shops at the Caesars, The</t>
  </si>
  <si>
    <t xml:space="preserve">Las Vegas</t>
  </si>
  <si>
    <t xml:space="preserve">NV</t>
  </si>
  <si>
    <t xml:space="preserve">Nevada power Co.</t>
  </si>
  <si>
    <t xml:space="preserve">Fox River Plaza</t>
  </si>
  <si>
    <t xml:space="preserve">Elgin</t>
  </si>
  <si>
    <t xml:space="preserve">Fremont Mall</t>
  </si>
  <si>
    <t xml:space="preserve">Fremont</t>
  </si>
  <si>
    <t xml:space="preserve">Fremont Dept of Utilities</t>
  </si>
  <si>
    <t xml:space="preserve">Gaitway Plaza</t>
  </si>
  <si>
    <t xml:space="preserve">Ocala</t>
  </si>
  <si>
    <t xml:space="preserve">City of Ocala Utility Dept.</t>
  </si>
  <si>
    <t xml:space="preserve">Glen Burnie Mall</t>
  </si>
  <si>
    <t xml:space="preserve">Glen Burnie</t>
  </si>
  <si>
    <t xml:space="preserve">Baltimore Gas &amp; Electric</t>
  </si>
  <si>
    <t xml:space="preserve">Golden Ring Mall</t>
  </si>
  <si>
    <t xml:space="preserve">Baltimore</t>
  </si>
  <si>
    <t xml:space="preserve">Golden Triangle Mall</t>
  </si>
  <si>
    <t xml:space="preserve">Granite Run Mall</t>
  </si>
  <si>
    <t xml:space="preserve">Great Lakes Mall</t>
  </si>
  <si>
    <t xml:space="preserve">Cleveland</t>
  </si>
  <si>
    <t xml:space="preserve">The Cleveland Illuminating Co.</t>
  </si>
  <si>
    <t xml:space="preserve">Great Lakes Plaza</t>
  </si>
  <si>
    <t xml:space="preserve">Great Northeast Plaza</t>
  </si>
  <si>
    <t xml:space="preserve">Great Northern Mall</t>
  </si>
  <si>
    <t xml:space="preserve">Greenwood Park</t>
  </si>
  <si>
    <t xml:space="preserve">Greenwood</t>
  </si>
  <si>
    <t xml:space="preserve">Greenwood Plus</t>
  </si>
  <si>
    <t xml:space="preserve">Griffith Park Plaza</t>
  </si>
  <si>
    <t xml:space="preserve">Griffith</t>
  </si>
  <si>
    <t xml:space="preserve">Grove at lakeland Square, The</t>
  </si>
  <si>
    <t xml:space="preserve">Lakeland </t>
  </si>
  <si>
    <t xml:space="preserve">Lakeland Electric</t>
  </si>
  <si>
    <t xml:space="preserve">Gulf View Square</t>
  </si>
  <si>
    <t xml:space="preserve">Port Richey</t>
  </si>
  <si>
    <t xml:space="preserve">Gwinnett Place</t>
  </si>
  <si>
    <t xml:space="preserve">Duluth</t>
  </si>
  <si>
    <t xml:space="preserve">GA</t>
  </si>
  <si>
    <t xml:space="preserve">Georgia Power</t>
  </si>
  <si>
    <t xml:space="preserve">HAYWOOD MALL</t>
  </si>
  <si>
    <t xml:space="preserve">Greenville</t>
  </si>
  <si>
    <t xml:space="preserve">Duke Power</t>
  </si>
  <si>
    <t xml:space="preserve">Heritage Park Mall</t>
  </si>
  <si>
    <t xml:space="preserve">Midwest city</t>
  </si>
  <si>
    <t xml:space="preserve">Oklahoma gas &amp; electric</t>
  </si>
  <si>
    <t xml:space="preserve">Highland Lakes Center</t>
  </si>
  <si>
    <t xml:space="preserve">Highland Mall</t>
  </si>
  <si>
    <t xml:space="preserve">Hutchinson Mall</t>
  </si>
  <si>
    <t xml:space="preserve">Hutchinson</t>
  </si>
  <si>
    <t xml:space="preserve">KS</t>
  </si>
  <si>
    <t xml:space="preserve">Kansas power &amp; Light</t>
  </si>
  <si>
    <t xml:space="preserve">Independence Center</t>
  </si>
  <si>
    <t xml:space="preserve">Independence</t>
  </si>
  <si>
    <t xml:space="preserve">Indepen. Power &amp; Light</t>
  </si>
  <si>
    <t xml:space="preserve">Indian River Commons</t>
  </si>
  <si>
    <t xml:space="preserve">Vero Beach</t>
  </si>
  <si>
    <t xml:space="preserve">City Of Vero Beach</t>
  </si>
  <si>
    <t xml:space="preserve">Indian River Mall</t>
  </si>
  <si>
    <t xml:space="preserve">Ingram Park Mall</t>
  </si>
  <si>
    <t xml:space="preserve">San Antonio</t>
  </si>
  <si>
    <t xml:space="preserve">City of Public Service</t>
  </si>
  <si>
    <t xml:space="preserve">Ingram Plaza</t>
  </si>
  <si>
    <t xml:space="preserve">Irving Mall</t>
  </si>
  <si>
    <t xml:space="preserve">Irving </t>
  </si>
  <si>
    <t xml:space="preserve">Texas Power &amp; light</t>
  </si>
  <si>
    <t xml:space="preserve">Jefferson Valley Mall</t>
  </si>
  <si>
    <t xml:space="preserve">Yorktown Heigths</t>
  </si>
  <si>
    <t xml:space="preserve">Con Edison</t>
  </si>
  <si>
    <t xml:space="preserve">Keystone Fashion Mall</t>
  </si>
  <si>
    <t xml:space="preserve">Keystone shoppers</t>
  </si>
  <si>
    <t xml:space="preserve">Knoxville Center</t>
  </si>
  <si>
    <t xml:space="preserve">Knoxville</t>
  </si>
  <si>
    <t xml:space="preserve">TN</t>
  </si>
  <si>
    <t xml:space="preserve">Knoxville Util Board</t>
  </si>
  <si>
    <t xml:space="preserve">Knoxville Commons</t>
  </si>
  <si>
    <t xml:space="preserve">La Plaza</t>
  </si>
  <si>
    <t xml:space="preserve">McAllen</t>
  </si>
  <si>
    <t xml:space="preserve">Central power &amp; Light</t>
  </si>
  <si>
    <t xml:space="preserve">Lafayette Square</t>
  </si>
  <si>
    <t xml:space="preserve">Laguna Hills Mall</t>
  </si>
  <si>
    <t xml:space="preserve">Laguna Hills</t>
  </si>
  <si>
    <t xml:space="preserve">Lake Plaza</t>
  </si>
  <si>
    <t xml:space="preserve">Waukegan</t>
  </si>
  <si>
    <t xml:space="preserve">Lake View Plaza</t>
  </si>
  <si>
    <t xml:space="preserve">Orland Park</t>
  </si>
  <si>
    <t xml:space="preserve">Lakeland Square</t>
  </si>
  <si>
    <t xml:space="preserve">lakeland </t>
  </si>
  <si>
    <t xml:space="preserve">Lakeline Mall</t>
  </si>
  <si>
    <t xml:space="preserve">N.Austin</t>
  </si>
  <si>
    <t xml:space="preserve">Piedernales Ele. Co-op</t>
  </si>
  <si>
    <t xml:space="preserve">Lakeline Plaza</t>
  </si>
  <si>
    <t xml:space="preserve">LENOX SQUARE </t>
  </si>
  <si>
    <t xml:space="preserve">Atlanta</t>
  </si>
  <si>
    <t xml:space="preserve">Lima Center</t>
  </si>
  <si>
    <t xml:space="preserve">Lima</t>
  </si>
  <si>
    <t xml:space="preserve">American Electric Power</t>
  </si>
  <si>
    <t xml:space="preserve">Lima Mall</t>
  </si>
  <si>
    <t xml:space="preserve">Lincoln Crossing</t>
  </si>
  <si>
    <t xml:space="preserve">O'Fallon</t>
  </si>
  <si>
    <t xml:space="preserve">Illinois Power Co.</t>
  </si>
  <si>
    <t xml:space="preserve">Lincolnwood Town Center</t>
  </si>
  <si>
    <t xml:space="preserve">Lincolnwood</t>
  </si>
  <si>
    <t xml:space="preserve">Com. Ed</t>
  </si>
  <si>
    <t xml:space="preserve">Lindale Mall</t>
  </si>
  <si>
    <t xml:space="preserve">LIVINGSTON MALL </t>
  </si>
  <si>
    <t xml:space="preserve">Livingston</t>
  </si>
  <si>
    <t xml:space="preserve">GPU Energy</t>
  </si>
  <si>
    <t xml:space="preserve">Longview Mall</t>
  </si>
  <si>
    <t xml:space="preserve">Longview</t>
  </si>
  <si>
    <t xml:space="preserve">Southwest Elec. Power Co.</t>
  </si>
  <si>
    <t xml:space="preserve">LYNNHAVEN MALL </t>
  </si>
  <si>
    <t xml:space="preserve">Virginia Beach</t>
  </si>
  <si>
    <t xml:space="preserve">VA Electric Po Co</t>
  </si>
  <si>
    <t xml:space="preserve">Machesney Park Mall</t>
  </si>
  <si>
    <t xml:space="preserve">Mainland Crossing</t>
  </si>
  <si>
    <t xml:space="preserve">Galveston</t>
  </si>
  <si>
    <t xml:space="preserve">Texas New Mexico Pwr. Co.</t>
  </si>
  <si>
    <t xml:space="preserve">MALL OF AMERICA </t>
  </si>
  <si>
    <t xml:space="preserve">Northern States Power</t>
  </si>
  <si>
    <t xml:space="preserve">MANHATTAN MALL (included 3621)</t>
  </si>
  <si>
    <t xml:space="preserve">New York</t>
  </si>
  <si>
    <t xml:space="preserve">Maplewood Square</t>
  </si>
  <si>
    <t xml:space="preserve">Markland Mall</t>
  </si>
  <si>
    <t xml:space="preserve">Kokomo</t>
  </si>
  <si>
    <t xml:space="preserve">Markland Plaza</t>
  </si>
  <si>
    <t xml:space="preserve">Martinville Plaza</t>
  </si>
  <si>
    <t xml:space="preserve">Martinsville</t>
  </si>
  <si>
    <t xml:space="preserve">Marwood Plaza</t>
  </si>
  <si>
    <t xml:space="preserve">Matteson Plaza</t>
  </si>
  <si>
    <t xml:space="preserve">Matteson</t>
  </si>
  <si>
    <t xml:space="preserve">McCain Mall</t>
  </si>
  <si>
    <t xml:space="preserve">N. Little Rock</t>
  </si>
  <si>
    <t xml:space="preserve">AR</t>
  </si>
  <si>
    <t xml:space="preserve">No. Little Rock Utility</t>
  </si>
  <si>
    <t xml:space="preserve">Melbourne Square</t>
  </si>
  <si>
    <t xml:space="preserve">Melbourne</t>
  </si>
  <si>
    <t xml:space="preserve">Memorial Mall</t>
  </si>
  <si>
    <t xml:space="preserve">Sheboygan</t>
  </si>
  <si>
    <t xml:space="preserve">Memorial Plaza</t>
  </si>
  <si>
    <t xml:space="preserve">Menlo Park Mall</t>
  </si>
  <si>
    <t xml:space="preserve">Edison</t>
  </si>
  <si>
    <t xml:space="preserve">Public Svc. Elec. &amp; Gas Co.</t>
  </si>
  <si>
    <t xml:space="preserve">Mesa Mall</t>
  </si>
  <si>
    <t xml:space="preserve">Miami International Mall</t>
  </si>
  <si>
    <t xml:space="preserve">Midland Park Mall</t>
  </si>
  <si>
    <t xml:space="preserve">Midland </t>
  </si>
  <si>
    <t xml:space="preserve">Midway Mall</t>
  </si>
  <si>
    <t xml:space="preserve">Miller Hill Mall</t>
  </si>
  <si>
    <t xml:space="preserve">MN</t>
  </si>
  <si>
    <t xml:space="preserve">Minnesota power Co.</t>
  </si>
  <si>
    <t xml:space="preserve">Mission Viejo Mall</t>
  </si>
  <si>
    <t xml:space="preserve">Mission Viejo</t>
  </si>
  <si>
    <t xml:space="preserve">San Diego Gas &amp; Electric</t>
  </si>
  <si>
    <t xml:space="preserve">Mounds Mall</t>
  </si>
  <si>
    <t xml:space="preserve">Anderson City Utility</t>
  </si>
  <si>
    <t xml:space="preserve">Muncie Mall</t>
  </si>
  <si>
    <t xml:space="preserve">Muncie</t>
  </si>
  <si>
    <t xml:space="preserve">Muncie Plaza</t>
  </si>
  <si>
    <t xml:space="preserve">NANUET MALL </t>
  </si>
  <si>
    <t xml:space="preserve">Nanuet</t>
  </si>
  <si>
    <t xml:space="preserve">Orange &amp; Rockland Utility</t>
  </si>
  <si>
    <t xml:space="preserve">New Castle Plaza</t>
  </si>
  <si>
    <t xml:space="preserve">New Castle</t>
  </si>
  <si>
    <t xml:space="preserve">New Orleans Centre/CNG Tower</t>
  </si>
  <si>
    <t xml:space="preserve">New Orleans</t>
  </si>
  <si>
    <t xml:space="preserve">LA</t>
  </si>
  <si>
    <t xml:space="preserve">mixed use</t>
  </si>
  <si>
    <t xml:space="preserve">Entergy</t>
  </si>
  <si>
    <t xml:space="preserve">NEWPORT CENTER</t>
  </si>
  <si>
    <t xml:space="preserve">Jersey City</t>
  </si>
  <si>
    <t xml:space="preserve">Public Ser. &amp; Elec.</t>
  </si>
  <si>
    <t xml:space="preserve">North East Mall</t>
  </si>
  <si>
    <t xml:space="preserve">Hurst</t>
  </si>
  <si>
    <t xml:space="preserve">NORTH PARK MALL </t>
  </si>
  <si>
    <t xml:space="preserve">Davenport</t>
  </si>
  <si>
    <t xml:space="preserve">Mid-American Energy (IA)</t>
  </si>
  <si>
    <t xml:space="preserve">North Ridge Plaza</t>
  </si>
  <si>
    <t xml:space="preserve">Joliet</t>
  </si>
  <si>
    <t xml:space="preserve">North Riverside Park Plaza</t>
  </si>
  <si>
    <t xml:space="preserve">N. Riverside</t>
  </si>
  <si>
    <t xml:space="preserve">North Towne Square</t>
  </si>
  <si>
    <t xml:space="preserve">Toledo</t>
  </si>
  <si>
    <t xml:space="preserve">Toledo Edison</t>
  </si>
  <si>
    <t xml:space="preserve">Northfield square</t>
  </si>
  <si>
    <t xml:space="preserve">Bradley</t>
  </si>
  <si>
    <t xml:space="preserve">Northgate Mall</t>
  </si>
  <si>
    <t xml:space="preserve">Seattle</t>
  </si>
  <si>
    <t xml:space="preserve">Seattle City Light</t>
  </si>
  <si>
    <t xml:space="preserve">NORTHLAKE MALL</t>
  </si>
  <si>
    <t xml:space="preserve">Northland Plaza</t>
  </si>
  <si>
    <t xml:space="preserve">Columbus</t>
  </si>
  <si>
    <t xml:space="preserve">Northwood Plaza</t>
  </si>
  <si>
    <t xml:space="preserve">Fort Wayne</t>
  </si>
  <si>
    <t xml:space="preserve">Northwoods Mall</t>
  </si>
  <si>
    <t xml:space="preserve">Peoria</t>
  </si>
  <si>
    <t xml:space="preserve">CILCO/ QST</t>
  </si>
  <si>
    <t xml:space="preserve">Oak Court Mall</t>
  </si>
  <si>
    <t xml:space="preserve">Memphis</t>
  </si>
  <si>
    <t xml:space="preserve">Memphis Light Gas &amp; Water</t>
  </si>
  <si>
    <t xml:space="preserve">Oakwood Mall</t>
  </si>
  <si>
    <t xml:space="preserve">Ocean County Mall</t>
  </si>
  <si>
    <t xml:space="preserve">Toms Rivers</t>
  </si>
  <si>
    <t xml:space="preserve">O'Hare International Center</t>
  </si>
  <si>
    <t xml:space="preserve">Rosemont</t>
  </si>
  <si>
    <t xml:space="preserve">Orange Park Mall</t>
  </si>
  <si>
    <t xml:space="preserve">Clay Electric co-op</t>
  </si>
  <si>
    <t xml:space="preserve">Orland Square</t>
  </si>
  <si>
    <t xml:space="preserve">Paddock Mall</t>
  </si>
  <si>
    <t xml:space="preserve">Palm Beach Mall</t>
  </si>
  <si>
    <t xml:space="preserve">West Palm Beach </t>
  </si>
  <si>
    <t xml:space="preserve">Florida power &amp; Light</t>
  </si>
  <si>
    <t xml:space="preserve">Park Plaza</t>
  </si>
  <si>
    <t xml:space="preserve">Hopkinsville</t>
  </si>
  <si>
    <t xml:space="preserve">KY</t>
  </si>
  <si>
    <t xml:space="preserve">Electric plant Board</t>
  </si>
  <si>
    <t xml:space="preserve">PHIPPS PLAZA </t>
  </si>
  <si>
    <t xml:space="preserve">Plaza at Buckland Hills</t>
  </si>
  <si>
    <t xml:space="preserve">Manchester</t>
  </si>
  <si>
    <t xml:space="preserve">CT</t>
  </si>
  <si>
    <t xml:space="preserve">Connecticut Light &amp; power</t>
  </si>
  <si>
    <t xml:space="preserve">Port Charlotte Town Center</t>
  </si>
  <si>
    <t xml:space="preserve">Port Charlotte</t>
  </si>
  <si>
    <t xml:space="preserve">Prien Lake Mall</t>
  </si>
  <si>
    <t xml:space="preserve">Lake Charles</t>
  </si>
  <si>
    <t xml:space="preserve">Raleigh Springs Mall</t>
  </si>
  <si>
    <t xml:space="preserve">Memphis Light, Gas &amp; Water</t>
  </si>
  <si>
    <t xml:space="preserve">Randall Park Mall</t>
  </si>
  <si>
    <t xml:space="preserve">Cleveland OH</t>
  </si>
  <si>
    <t xml:space="preserve">Regency Plaza</t>
  </si>
  <si>
    <t xml:space="preserve">StCharles</t>
  </si>
  <si>
    <t xml:space="preserve">Richardson Square</t>
  </si>
  <si>
    <t xml:space="preserve">Dallas</t>
  </si>
  <si>
    <t xml:space="preserve">Richmond Square</t>
  </si>
  <si>
    <t xml:space="preserve">Richmond</t>
  </si>
  <si>
    <t xml:space="preserve">Richmond Power &amp; light</t>
  </si>
  <si>
    <t xml:space="preserve">Richmond Town Square</t>
  </si>
  <si>
    <t xml:space="preserve">Ridge Plaza</t>
  </si>
  <si>
    <t xml:space="preserve">Arlington Heigths</t>
  </si>
  <si>
    <t xml:space="preserve">Ridgewood court</t>
  </si>
  <si>
    <t xml:space="preserve">Jackson</t>
  </si>
  <si>
    <t xml:space="preserve">MS</t>
  </si>
  <si>
    <t xml:space="preserve">River Oaks Center</t>
  </si>
  <si>
    <t xml:space="preserve">Calumet City</t>
  </si>
  <si>
    <t xml:space="preserve">Riverway</t>
  </si>
  <si>
    <t xml:space="preserve">ROCKAWAY TOWNSQUARE </t>
  </si>
  <si>
    <t xml:space="preserve">Rockaway</t>
  </si>
  <si>
    <t xml:space="preserve">Rolling Oaks Mall</t>
  </si>
  <si>
    <t xml:space="preserve">N, San Antonio</t>
  </si>
  <si>
    <t xml:space="preserve">City Public Service</t>
  </si>
  <si>
    <t xml:space="preserve">Roosevelt field </t>
  </si>
  <si>
    <t xml:space="preserve">Garden City</t>
  </si>
  <si>
    <t xml:space="preserve">Long Is. Light Co.</t>
  </si>
  <si>
    <t xml:space="preserve">Ross Park Mall</t>
  </si>
  <si>
    <t xml:space="preserve">Duquesne Light Co.</t>
  </si>
  <si>
    <t xml:space="preserve">Royal Eagle Plaza</t>
  </si>
  <si>
    <t xml:space="preserve">Rushmore Mall</t>
  </si>
  <si>
    <t xml:space="preserve">Santa Rosa Plaza</t>
  </si>
  <si>
    <t xml:space="preserve">Santa Rosa</t>
  </si>
  <si>
    <t xml:space="preserve">PG&amp;E</t>
  </si>
  <si>
    <t xml:space="preserve">Seminole Towne Center</t>
  </si>
  <si>
    <t xml:space="preserve">Sanford</t>
  </si>
  <si>
    <t xml:space="preserve">Shops at Sunset Place, The</t>
  </si>
  <si>
    <t xml:space="preserve">under construction</t>
  </si>
  <si>
    <t xml:space="preserve">SI/RMST Riverway East</t>
  </si>
  <si>
    <t xml:space="preserve">SI/RMST Riverway West</t>
  </si>
  <si>
    <t xml:space="preserve">Smith Haven Mall</t>
  </si>
  <si>
    <t xml:space="preserve">Lake Grove</t>
  </si>
  <si>
    <t xml:space="preserve">Source,The</t>
  </si>
  <si>
    <t xml:space="preserve">Long Island</t>
  </si>
  <si>
    <t xml:space="preserve">South Hills Village</t>
  </si>
  <si>
    <t xml:space="preserve">Alleghenny Power </t>
  </si>
  <si>
    <t xml:space="preserve">South Park Mall</t>
  </si>
  <si>
    <t xml:space="preserve">Shreveport</t>
  </si>
  <si>
    <t xml:space="preserve">Southwest Electric Power Co.</t>
  </si>
  <si>
    <t xml:space="preserve">Moline</t>
  </si>
  <si>
    <t xml:space="preserve">Mid American Energy</t>
  </si>
  <si>
    <t xml:space="preserve">South Shore plaza</t>
  </si>
  <si>
    <t xml:space="preserve">Braintree</t>
  </si>
  <si>
    <t xml:space="preserve">Towne of Braintree Electric Light Dept.</t>
  </si>
  <si>
    <t xml:space="preserve">Southern Hills Mall</t>
  </si>
  <si>
    <t xml:space="preserve">Southern park Mall</t>
  </si>
  <si>
    <t xml:space="preserve">Youngstowne</t>
  </si>
  <si>
    <t xml:space="preserve">Southgate Mall</t>
  </si>
  <si>
    <t xml:space="preserve">Yuma</t>
  </si>
  <si>
    <t xml:space="preserve">AZ</t>
  </si>
  <si>
    <t xml:space="preserve">Arizona Pub. Services</t>
  </si>
  <si>
    <t xml:space="preserve">Southridge Mall</t>
  </si>
  <si>
    <t xml:space="preserve">St. Charles Towne Center</t>
  </si>
  <si>
    <t xml:space="preserve">Waldorf</t>
  </si>
  <si>
    <t xml:space="preserve">So. Md. Electric Co-op</t>
  </si>
  <si>
    <t xml:space="preserve">ST. LOUIS CENTRE </t>
  </si>
  <si>
    <t xml:space="preserve">St. Louis</t>
  </si>
  <si>
    <t xml:space="preserve">MI</t>
  </si>
  <si>
    <t xml:space="preserve">StCharles Towne Plaza</t>
  </si>
  <si>
    <t xml:space="preserve">Southern MD Electric corp</t>
  </si>
  <si>
    <t xml:space="preserve">Summit Mall</t>
  </si>
  <si>
    <t xml:space="preserve">Akron</t>
  </si>
  <si>
    <t xml:space="preserve">Sunland Park Mall</t>
  </si>
  <si>
    <t xml:space="preserve">Tacoma Mall</t>
  </si>
  <si>
    <t xml:space="preserve">Tacoma</t>
  </si>
  <si>
    <t xml:space="preserve">Tacoma public utilities</t>
  </si>
  <si>
    <t xml:space="preserve">Teal Plaza</t>
  </si>
  <si>
    <t xml:space="preserve">Lafayette</t>
  </si>
  <si>
    <t xml:space="preserve">Terrace at the Florida Mall</t>
  </si>
  <si>
    <t xml:space="preserve">Tippecanoe Mall</t>
  </si>
  <si>
    <t xml:space="preserve">Tippecanoe Plaza</t>
  </si>
  <si>
    <t xml:space="preserve">Tower Shops, The</t>
  </si>
  <si>
    <t xml:space="preserve">Towne Center @ Boca Raton</t>
  </si>
  <si>
    <t xml:space="preserve">Boca Raton</t>
  </si>
  <si>
    <t xml:space="preserve">Towne Center @ Cobb</t>
  </si>
  <si>
    <t xml:space="preserve">Kennesaw</t>
  </si>
  <si>
    <t xml:space="preserve">Towne east Square</t>
  </si>
  <si>
    <t xml:space="preserve">Wichita </t>
  </si>
  <si>
    <t xml:space="preserve">KS Gas &amp; Electric</t>
  </si>
  <si>
    <t xml:space="preserve">Towne West Square</t>
  </si>
  <si>
    <t xml:space="preserve">Kansas gas &amp; Electric</t>
  </si>
  <si>
    <t xml:space="preserve">Treasure Coast Square</t>
  </si>
  <si>
    <t xml:space="preserve">Jenson Beach</t>
  </si>
  <si>
    <t xml:space="preserve">Trolley Square</t>
  </si>
  <si>
    <t xml:space="preserve">Salt Lake City</t>
  </si>
  <si>
    <t xml:space="preserve">UT</t>
  </si>
  <si>
    <t xml:space="preserve">UT Po</t>
  </si>
  <si>
    <t xml:space="preserve">Tyrone Square</t>
  </si>
  <si>
    <t xml:space="preserve">St. Petersburg </t>
  </si>
  <si>
    <t xml:space="preserve">University Center</t>
  </si>
  <si>
    <t xml:space="preserve">South Bend</t>
  </si>
  <si>
    <t xml:space="preserve">Mishawaka public utility</t>
  </si>
  <si>
    <t xml:space="preserve">University Mall</t>
  </si>
  <si>
    <t xml:space="preserve">Little Rock</t>
  </si>
  <si>
    <t xml:space="preserve">Gulf Po</t>
  </si>
  <si>
    <t xml:space="preserve">University Park Mall</t>
  </si>
  <si>
    <t xml:space="preserve">Southbend</t>
  </si>
  <si>
    <t xml:space="preserve">Upper Valley Mall</t>
  </si>
  <si>
    <t xml:space="preserve">Valle Vista Mall</t>
  </si>
  <si>
    <t xml:space="preserve">Harlingten</t>
  </si>
  <si>
    <t xml:space="preserve">Central power &amp; light</t>
  </si>
  <si>
    <t xml:space="preserve">Valley Mall</t>
  </si>
  <si>
    <t xml:space="preserve">Village Park Plaza</t>
  </si>
  <si>
    <t xml:space="preserve">Westfield</t>
  </si>
  <si>
    <t xml:space="preserve">Virginia Center Commons</t>
  </si>
  <si>
    <t xml:space="preserve">Virginia power</t>
  </si>
  <si>
    <t xml:space="preserve">Wabash Village</t>
  </si>
  <si>
    <t xml:space="preserve">West lafayette</t>
  </si>
  <si>
    <t xml:space="preserve">Walt Whitman Mall</t>
  </si>
  <si>
    <t xml:space="preserve">Huntington Station</t>
  </si>
  <si>
    <t xml:space="preserve">Washington Plaza</t>
  </si>
  <si>
    <t xml:space="preserve">Indianapolis Power &amp; Light</t>
  </si>
  <si>
    <t xml:space="preserve">Washington Square</t>
  </si>
  <si>
    <t xml:space="preserve">West Ridge Mall</t>
  </si>
  <si>
    <t xml:space="preserve">Topeka</t>
  </si>
  <si>
    <t xml:space="preserve">KS Po &amp; Light</t>
  </si>
  <si>
    <t xml:space="preserve">West Ridge plaza</t>
  </si>
  <si>
    <t xml:space="preserve">West Town Corner</t>
  </si>
  <si>
    <t xml:space="preserve">Altamonte Springs</t>
  </si>
  <si>
    <t xml:space="preserve">West Town Mall</t>
  </si>
  <si>
    <t xml:space="preserve">Knoxville Utility Board</t>
  </si>
  <si>
    <t xml:space="preserve">Westchester,the</t>
  </si>
  <si>
    <t xml:space="preserve">White Plains</t>
  </si>
  <si>
    <t xml:space="preserve">Westland Park Plaza</t>
  </si>
  <si>
    <t xml:space="preserve">Orange Park</t>
  </si>
  <si>
    <t xml:space="preserve">Jacksonville Elec Auth.</t>
  </si>
  <si>
    <t xml:space="preserve">WESTMINISTER MALL</t>
  </si>
  <si>
    <t xml:space="preserve">Westminister</t>
  </si>
  <si>
    <t xml:space="preserve">Southern Cal Edison</t>
  </si>
  <si>
    <t xml:space="preserve">White Oaks Mall</t>
  </si>
  <si>
    <t xml:space="preserve">City Water, light &amp; Power </t>
  </si>
  <si>
    <t xml:space="preserve">White Oaks Plaza</t>
  </si>
  <si>
    <t xml:space="preserve">Wichita mall</t>
  </si>
  <si>
    <t xml:space="preserve">Wichita</t>
  </si>
  <si>
    <t xml:space="preserve">Willow Knolls Court</t>
  </si>
  <si>
    <t xml:space="preserve">Central illinois Light Co.</t>
  </si>
  <si>
    <t xml:space="preserve">Windsor Park Mall</t>
  </si>
  <si>
    <t xml:space="preserve">City Public Ser.</t>
  </si>
  <si>
    <t xml:space="preserve">Wood Plaza</t>
  </si>
  <si>
    <t xml:space="preserve">Fort Dodge</t>
  </si>
  <si>
    <t xml:space="preserve">IA</t>
  </si>
  <si>
    <t xml:space="preserve">Woodville Mall</t>
  </si>
  <si>
    <t xml:space="preserve">Yards Plaza,The</t>
  </si>
  <si>
    <t xml:space="preserve">Chicago</t>
  </si>
  <si>
    <t xml:space="preserve">GL</t>
  </si>
  <si>
    <t xml:space="preserve">BB</t>
  </si>
  <si>
    <t xml:space="preserve">SBV Initiatives and 10K</t>
  </si>
  <si>
    <t xml:space="preserve">10K</t>
  </si>
  <si>
    <t xml:space="preserve">SBV Init.</t>
  </si>
  <si>
    <t xml:space="preserve">SPG Elect Revenue Report</t>
  </si>
  <si>
    <t xml:space="preserve">SBV Init</t>
  </si>
  <si>
    <t xml:space="preserve">Derived</t>
  </si>
  <si>
    <t xml:space="preserve">Sum of next 2 columns</t>
  </si>
  <si>
    <t xml:space="preserve">All CAM assumed if CP exists</t>
  </si>
  <si>
    <t xml:space="preserve">Central Plant Analysis; sq ft # assumed to be tenant sq #</t>
  </si>
  <si>
    <t xml:space="preserve">Represents all CAM sq ft where no C.P. exists</t>
  </si>
  <si>
    <t xml:space="preserve">Derived: GLA - retail sq ft served by C.P.</t>
  </si>
  <si>
    <t xml:space="preserve">G/L</t>
  </si>
  <si>
    <t xml:space="preserve">GL?</t>
  </si>
  <si>
    <t xml:space="preserve">Medium</t>
  </si>
  <si>
    <t xml:space="preserve">High</t>
  </si>
  <si>
    <t xml:space="preserve">Low-Medium</t>
  </si>
  <si>
    <t xml:space="preserve">Low</t>
  </si>
  <si>
    <t xml:space="preserve">AVERAGES:</t>
  </si>
  <si>
    <t xml:space="preserve">Minimum</t>
  </si>
  <si>
    <t xml:space="preserve">Maximum</t>
  </si>
  <si>
    <t xml:space="preserve">Site .</t>
  </si>
  <si>
    <t xml:space="preserve">Wholly-Owned</t>
  </si>
  <si>
    <t xml:space="preserve">E_CP_98</t>
  </si>
  <si>
    <t xml:space="preserve">E_Redist_98</t>
  </si>
  <si>
    <t xml:space="preserve">E_Cam_98</t>
  </si>
  <si>
    <t xml:space="preserve">E_Non_CAM_98</t>
  </si>
  <si>
    <t xml:space="preserve">G_CP_98</t>
  </si>
  <si>
    <t xml:space="preserve">G_Redist_98</t>
  </si>
  <si>
    <t xml:space="preserve">G_Cam_98</t>
  </si>
  <si>
    <t xml:space="preserve">G_Non_CAM_98</t>
  </si>
  <si>
    <t xml:space="preserve">WS_CP_98</t>
  </si>
  <si>
    <t xml:space="preserve">WS_Redist_98</t>
  </si>
  <si>
    <t xml:space="preserve">WS_Cam_98</t>
  </si>
  <si>
    <t xml:space="preserve">WS_Non_CAM_98</t>
  </si>
  <si>
    <t xml:space="preserve">R&amp;M_CP_98</t>
  </si>
  <si>
    <t xml:space="preserve">R&amp;M_Redist_98</t>
  </si>
  <si>
    <t xml:space="preserve">R&amp;M_Cam_98</t>
  </si>
  <si>
    <t xml:space="preserve">R&amp;M_Non_CAM_98</t>
  </si>
  <si>
    <t xml:space="preserve">S&amp;B_CP_98</t>
  </si>
  <si>
    <t xml:space="preserve">S&amp;B_Redist_98</t>
  </si>
  <si>
    <t xml:space="preserve">S&amp;B_Cam_98</t>
  </si>
  <si>
    <t xml:space="preserve">S&amp;B_Non_CAM_98</t>
  </si>
  <si>
    <t xml:space="preserve">1998_CI_Capital</t>
  </si>
  <si>
    <t xml:space="preserve">1998_CA_Capital</t>
  </si>
  <si>
    <t xml:space="preserve">1998_NC_Capital</t>
  </si>
  <si>
    <t xml:space="preserve">TFSP Expenses</t>
  </si>
  <si>
    <t xml:space="preserve">LENOX SQUARE</t>
  </si>
  <si>
    <t xml:space="preserve">LIVINGSTON MALL</t>
  </si>
  <si>
    <t xml:space="preserve">NANUET MALL</t>
  </si>
  <si>
    <t xml:space="preserve">PHIPPS PLAZA</t>
  </si>
  <si>
    <t xml:space="preserve">ROCKAWAY TOWNSQUARE</t>
  </si>
  <si>
    <t xml:space="preserve">Roosevelt field</t>
  </si>
  <si>
    <t xml:space="preserve">SOUTH SHORE PLAZA</t>
  </si>
  <si>
    <t xml:space="preserve">ST. LOUIS CENTRE</t>
  </si>
  <si>
    <t xml:space="preserve">Wichita Mall</t>
  </si>
  <si>
    <t xml:space="preserve">Crystal Court</t>
  </si>
  <si>
    <t xml:space="preserve">Fairfax Court</t>
  </si>
  <si>
    <t xml:space="preserve">FASHION MALL @ PLANTATION</t>
  </si>
  <si>
    <t xml:space="preserve">LYNNHAVEN MALL</t>
  </si>
  <si>
    <t xml:space="preserve">MALL OF AMERICA</t>
  </si>
  <si>
    <t xml:space="preserve">NORTH PARK MALL</t>
  </si>
  <si>
    <t xml:space="preserve">SI/RSMT RIVERWAY-EA</t>
  </si>
  <si>
    <t xml:space="preserve">SI/RSMT RIVERWAY-WE</t>
  </si>
  <si>
    <t xml:space="preserve">Westchester</t>
  </si>
  <si>
    <t xml:space="preserve">TOTAL</t>
  </si>
  <si>
    <t xml:space="preserve">WHOLLY-Owned</t>
  </si>
  <si>
    <t xml:space="preserve">Total =</t>
  </si>
  <si>
    <t xml:space="preserve">Prop #</t>
  </si>
  <si>
    <t xml:space="preserve">Redisatributed currently</t>
  </si>
  <si>
    <t xml:space="preserve">CAM Square Footage</t>
  </si>
  <si>
    <t xml:space="preserve">Tenant HVAC Square Feet</t>
  </si>
  <si>
    <t xml:space="preserve">Total Facility Square Feet</t>
  </si>
  <si>
    <t xml:space="preserve">Type (Regional, Mixed Use, Specialty etc)</t>
  </si>
  <si>
    <t xml:space="preserve">Power redistribution</t>
  </si>
  <si>
    <t xml:space="preserve">Occupancy % - Year end 1998</t>
  </si>
  <si>
    <t xml:space="preserve">Occupancy % - Year end 1997</t>
  </si>
  <si>
    <t xml:space="preserve">Retail Square footage serviced by central plant</t>
  </si>
  <si>
    <t xml:space="preserve">sq ft w central plants and electricity redist</t>
  </si>
  <si>
    <t xml:space="preserve">sq ft w central plants and NO elect Redist</t>
  </si>
  <si>
    <t xml:space="preserve">sq ft w NO central plants and elect Redist</t>
  </si>
  <si>
    <t xml:space="preserve">sq ft w NO central plants and NO elect Redist</t>
  </si>
  <si>
    <t xml:space="preserve">Zone</t>
  </si>
  <si>
    <t xml:space="preserve">Index Region</t>
  </si>
  <si>
    <t xml:space="preserve">EAM Square Footage</t>
  </si>
  <si>
    <t xml:space="preserve">Wholesale Baseline </t>
  </si>
  <si>
    <t xml:space="preserve">EAM Baseline</t>
  </si>
  <si>
    <t xml:space="preserve">MAIN</t>
  </si>
  <si>
    <t xml:space="preserve">2</t>
  </si>
  <si>
    <t xml:space="preserve">ERCOT</t>
  </si>
  <si>
    <t xml:space="preserve">Anchorage 5th Ave</t>
  </si>
  <si>
    <t xml:space="preserve">5</t>
  </si>
  <si>
    <t xml:space="preserve">PNW</t>
  </si>
  <si>
    <t xml:space="preserve">SERC</t>
  </si>
  <si>
    <t xml:space="preserve">RM</t>
  </si>
  <si>
    <t xml:space="preserve">FRCC</t>
  </si>
  <si>
    <t xml:space="preserve">3</t>
  </si>
  <si>
    <t xml:space="preserve">MAAC</t>
  </si>
  <si>
    <t xml:space="preserve">Block 74 Garage</t>
  </si>
  <si>
    <t xml:space="preserve">other</t>
  </si>
  <si>
    <t xml:space="preserve">Blocks Building Company</t>
  </si>
  <si>
    <t xml:space="preserve">ECAR</t>
  </si>
  <si>
    <t xml:space="preserve">1</t>
  </si>
  <si>
    <t xml:space="preserve">NEPOOL</t>
  </si>
  <si>
    <t xml:space="preserve">Community</t>
  </si>
  <si>
    <t xml:space="preserve">NYPP</t>
  </si>
  <si>
    <t xml:space="preserve">Circle Center - Off Bldg.?</t>
  </si>
  <si>
    <t xml:space="preserve">Claypool Court</t>
  </si>
  <si>
    <t xml:space="preserve">DSW</t>
  </si>
  <si>
    <t xml:space="preserve">MAPP</t>
  </si>
  <si>
    <t xml:space="preserve">SPP</t>
  </si>
  <si>
    <t xml:space="preserve">Forum Shops II</t>
  </si>
  <si>
    <t xml:space="preserve">Golden Triangle Mall (Denton 1310</t>
  </si>
  <si>
    <t xml:space="preserve">Golden Triangle Mall (Denton 705)</t>
  </si>
  <si>
    <t xml:space="preserve">Great Northeast Plaza- Off Bldg?</t>
  </si>
  <si>
    <t xml:space="preserve">Haywood Mall</t>
  </si>
  <si>
    <t xml:space="preserve">Lake Square Mall</t>
  </si>
  <si>
    <t xml:space="preserve">Lenox Bldg</t>
  </si>
  <si>
    <t xml:space="preserve">Office</t>
  </si>
  <si>
    <t xml:space="preserve">Lenox Square</t>
  </si>
  <si>
    <t xml:space="preserve">Livingston Mall</t>
  </si>
  <si>
    <t xml:space="preserve">Lynnhaven Mall</t>
  </si>
  <si>
    <t xml:space="preserve">Mall of America</t>
  </si>
  <si>
    <t xml:space="preserve">Mall of Georgia</t>
  </si>
  <si>
    <t xml:space="preserve">Mall of Georgia Village</t>
  </si>
  <si>
    <t xml:space="preserve">Manhattan Mall</t>
  </si>
  <si>
    <t xml:space="preserve">Manhattan Mall (Size 3?)</t>
  </si>
  <si>
    <t xml:space="preserve">Menlo Park Office Bldg</t>
  </si>
  <si>
    <t xml:space="preserve">Mounds Mall Cinema</t>
  </si>
  <si>
    <t xml:space="preserve">Nanuet Mall</t>
  </si>
  <si>
    <t xml:space="preserve">Mixed Use</t>
  </si>
  <si>
    <t xml:space="preserve">New Orleans Centre/CNG Tower- Off Bldg.?</t>
  </si>
  <si>
    <t xml:space="preserve">Newport Plaza</t>
  </si>
  <si>
    <t xml:space="preserve">Northlake Mall</t>
  </si>
  <si>
    <t xml:space="preserve">Oak Court Mall Office Bldg</t>
  </si>
  <si>
    <t xml:space="preserve">O'Hare International Center- Off Bldg.?</t>
  </si>
  <si>
    <t xml:space="preserve">Palm Beach Mall-Off Bldg.?</t>
  </si>
  <si>
    <t xml:space="preserve">Phipps Plaza</t>
  </si>
  <si>
    <t xml:space="preserve">River Oaks Center Off Bld</t>
  </si>
  <si>
    <t xml:space="preserve">Riverway East</t>
  </si>
  <si>
    <t xml:space="preserve">Riverway West</t>
  </si>
  <si>
    <t xml:space="preserve">Rockaway Convenience</t>
  </si>
  <si>
    <t xml:space="preserve">Rockaway Off Bldg</t>
  </si>
  <si>
    <t xml:space="preserve">Rockaway Townsquare</t>
  </si>
  <si>
    <t xml:space="preserve">Roosevelt field Industrial</t>
  </si>
  <si>
    <t xml:space="preserve">Roosevelt field-Off Bldg.?</t>
  </si>
  <si>
    <t xml:space="preserve">St. Louis Center</t>
  </si>
  <si>
    <t xml:space="preserve">The Arboretum</t>
  </si>
  <si>
    <t xml:space="preserve">Tippecanoe Mall- Off Bldg?</t>
  </si>
  <si>
    <t xml:space="preserve">Westminister Mall</t>
  </si>
  <si>
    <t xml:space="preserve">City Public Services</t>
  </si>
  <si>
    <t xml:space="preserve">Simon Properties</t>
  </si>
  <si>
    <t xml:space="preserve">Expenditure Baseline Summary</t>
  </si>
  <si>
    <t xml:space="preserve">In Thousands</t>
  </si>
  <si>
    <t xml:space="preserve">(Compiled using 1998 Actuals)</t>
  </si>
  <si>
    <t xml:space="preserve">All Facilities</t>
  </si>
  <si>
    <t xml:space="preserve">Central</t>
  </si>
  <si>
    <t xml:space="preserve">Commodity</t>
  </si>
  <si>
    <t xml:space="preserve">% of Total</t>
  </si>
  <si>
    <t xml:space="preserve">Plant</t>
  </si>
  <si>
    <t xml:space="preserve">Resistribution</t>
  </si>
  <si>
    <t xml:space="preserve">CAM-In</t>
  </si>
  <si>
    <t xml:space="preserve">CAM-Out</t>
  </si>
  <si>
    <t xml:space="preserve">Totals</t>
  </si>
  <si>
    <t xml:space="preserve">Electricity</t>
  </si>
  <si>
    <t xml:space="preserve">Gas/Fuel Oil</t>
  </si>
  <si>
    <t xml:space="preserve">Water/Sewer</t>
  </si>
  <si>
    <t xml:space="preserve">Total Commodity</t>
  </si>
  <si>
    <t xml:space="preserve">Direct FM Expenses</t>
  </si>
  <si>
    <t xml:space="preserve">Repair &amp; Maintenance</t>
  </si>
  <si>
    <t xml:space="preserve">Labor and Benefits</t>
  </si>
  <si>
    <t xml:space="preserve">Admin/Corporate Overhead</t>
  </si>
  <si>
    <t xml:space="preserve">Total TFSP Expenses</t>
  </si>
  <si>
    <t xml:space="preserve">Assumed % in Scope</t>
  </si>
  <si>
    <t xml:space="preserve">TFSP Expenses in Scope</t>
  </si>
  <si>
    <t xml:space="preserve">Capital*</t>
  </si>
  <si>
    <t xml:space="preserve">Total Baseline</t>
  </si>
  <si>
    <t xml:space="preserve">Wholly-Owned Facilities Only</t>
  </si>
  <si>
    <t xml:space="preserve">General Information</t>
  </si>
  <si>
    <t xml:space="preserve">Total</t>
  </si>
  <si>
    <t xml:space="preserve">Mall and Occupancy Data</t>
  </si>
  <si>
    <t xml:space="preserve">Total # of Shopping Centers</t>
  </si>
  <si>
    <t xml:space="preserve">Total Square Feet of Retail Space</t>
  </si>
  <si>
    <t xml:space="preserve">Total Square Feet of CAM</t>
  </si>
  <si>
    <t xml:space="preserve">Total # of Lessees</t>
  </si>
  <si>
    <t xml:space="preserve">Total occupance percentage</t>
  </si>
  <si>
    <t xml:space="preserve">Total retail space under lease (sq ft)</t>
  </si>
  <si>
    <t xml:space="preserve">Retail Energy Services Information</t>
  </si>
  <si>
    <t xml:space="preserve">Total retail space outfitted for redistributed electricity</t>
  </si>
  <si>
    <t xml:space="preserve">Assumes malls w/ redistribution have 100% "O" (non-major) tenant penetration</t>
  </si>
  <si>
    <t xml:space="preserve">Estimated retail space currently under power redistrib.</t>
  </si>
  <si>
    <t xml:space="preserve">(based on current occupancy rate)</t>
  </si>
  <si>
    <t xml:space="preserve">Total retail space with no redistributed electricity</t>
  </si>
  <si>
    <t xml:space="preserve">Assumes no major tenants are receiving redistribution</t>
  </si>
  <si>
    <t xml:space="preserve">Estimated retail space currently w/o power redistribution</t>
  </si>
  <si>
    <t xml:space="preserve">Total GLA served with central plant</t>
  </si>
  <si>
    <t xml:space="preserve">Total GLA served with rooftop units</t>
  </si>
  <si>
    <t xml:space="preserve">Total GLA occupied by major tenants</t>
  </si>
  <si>
    <t xml:space="preserve">Total GLA occupied by non-major tenants</t>
  </si>
  <si>
    <t xml:space="preserve">CAM Energy Services Breakdown</t>
  </si>
  <si>
    <t xml:space="preserve">CAM served by central plants</t>
  </si>
  <si>
    <t xml:space="preserve">CAM served by rooftop units</t>
  </si>
  <si>
    <t xml:space="preserve">Tenant Energy Services Breakdown</t>
  </si>
  <si>
    <t xml:space="preserve">No Retail HVAC Services</t>
  </si>
  <si>
    <t xml:space="preserve">Comprehensive HVAC Services: Bundled Central Plant Services</t>
  </si>
  <si>
    <t xml:space="preserve">No Redistributed Electricity</t>
  </si>
  <si>
    <t xml:space="preserve">Redistributed Electricity</t>
  </si>
  <si>
    <t xml:space="preserve">Square Feet of CAM Served by Central Plants</t>
  </si>
  <si>
    <t xml:space="preserve">Square Feet of CAM Served by Rooftop Units</t>
  </si>
  <si>
    <t xml:space="preserve">Assumes central plant always provides CAM cooling </t>
  </si>
  <si>
    <t xml:space="preserve">Discount Rate Used in Analysis</t>
  </si>
  <si>
    <t xml:space="preserve">Wholly Owned Only in Wholesale (Outsource)?</t>
  </si>
  <si>
    <t xml:space="preserve">Wholly-Owned Only in Redistribution?</t>
  </si>
  <si>
    <t xml:space="preserve">Wholly Owned Assets</t>
  </si>
  <si>
    <t xml:space="preserve">Total (kwh)</t>
  </si>
  <si>
    <t xml:space="preserve">Wholly and Partially Owned Assets</t>
  </si>
  <si>
    <t xml:space="preserve">Total Electricty Profile</t>
  </si>
  <si>
    <t xml:space="preserve">Total Gas Profile</t>
  </si>
  <si>
    <t xml:space="preserve">Total electricty profile</t>
  </si>
  <si>
    <t xml:space="preserve">Commodity Information</t>
  </si>
  <si>
    <t xml:space="preserve">Consumption in </t>
  </si>
  <si>
    <t xml:space="preserve">Central Plants</t>
  </si>
  <si>
    <t xml:space="preserve">CAM</t>
  </si>
  <si>
    <t xml:space="preserve">Non-CAM Areas</t>
  </si>
  <si>
    <t xml:space="preserve">Redistr. Tenant Space</t>
  </si>
  <si>
    <t xml:space="preserve">(CAM lighting, rooftop units)</t>
  </si>
  <si>
    <t xml:space="preserve">(tenant lighting, rooftop units)</t>
  </si>
  <si>
    <t xml:space="preserve">Baseline Electricity Expenditures</t>
  </si>
  <si>
    <t xml:space="preserve">Baseline Gas / Fuel Oil Expenditures</t>
  </si>
  <si>
    <t xml:space="preserve">Water/Sewer Expenditures</t>
  </si>
  <si>
    <t xml:space="preserve">Wgt. Avg.</t>
  </si>
  <si>
    <t xml:space="preserve">Total Consumption</t>
  </si>
  <si>
    <t xml:space="preserve">$ / Kwh</t>
  </si>
  <si>
    <t xml:space="preserve">(Kwh)</t>
  </si>
  <si>
    <t xml:space="preserve">Esitmated Power Consumption (Kwh) </t>
  </si>
  <si>
    <t xml:space="preserve">$ / MMBtu</t>
  </si>
  <si>
    <t xml:space="preserve">(MMBtu)</t>
  </si>
  <si>
    <t xml:space="preserve">Estimated Gas and Fuel Oil Consumption (MMBtu)</t>
  </si>
  <si>
    <t xml:space="preserve">Baseline</t>
  </si>
  <si>
    <t xml:space="preserve">Forward Power Commodity Curve (as % of current): Mid</t>
  </si>
  <si>
    <t xml:space="preserve">Power Cost ($/Kwh): Mid</t>
  </si>
  <si>
    <t xml:space="preserve">Forward Power Commodity Curve (as % of current): Offer</t>
  </si>
  <si>
    <t xml:space="preserve">Power Cost ($/Kwh): Offer</t>
  </si>
  <si>
    <t xml:space="preserve">PV for Swap</t>
  </si>
  <si>
    <t xml:space="preserve">Forward Gas Commodity Curve (as % of current): Mid</t>
  </si>
  <si>
    <t xml:space="preserve">Gas Cost ($/MMBtu):Mid</t>
  </si>
  <si>
    <t xml:space="preserve">Forward Gas Commodity Curve (as % of current): Offer</t>
  </si>
  <si>
    <t xml:space="preserve">Gas Cost ($/MMBtu): Offer</t>
  </si>
  <si>
    <t xml:space="preserve">Gas Escalators from Deb Merrill</t>
  </si>
  <si>
    <t xml:space="preserve">Gas Swap Curve: Mid</t>
  </si>
  <si>
    <t xml:space="preserve">Gas Swap Curve: Offer</t>
  </si>
  <si>
    <t xml:space="preserve">Risk Free Rate</t>
  </si>
  <si>
    <t xml:space="preserve">Wholesale Baseline</t>
  </si>
  <si>
    <t xml:space="preserve">All Facilities:</t>
  </si>
  <si>
    <t xml:space="preserve">Direct Energy O&amp;M</t>
  </si>
  <si>
    <t xml:space="preserve">TFSP Energy O&amp;M*</t>
  </si>
  <si>
    <t xml:space="preserve">Maintenance Capital</t>
  </si>
  <si>
    <t xml:space="preserve">Admin</t>
  </si>
  <si>
    <t xml:space="preserve">Wholly-Owned Only:</t>
  </si>
  <si>
    <t xml:space="preserve">* Estimated</t>
  </si>
  <si>
    <t xml:space="preserve">AOPS</t>
  </si>
  <si>
    <t xml:space="preserve">Simon Cashflows</t>
  </si>
  <si>
    <t xml:space="preserve">Labor &amp; Parts Esc</t>
  </si>
  <si>
    <t xml:space="preserve">Non</t>
  </si>
  <si>
    <t xml:space="preserve">Wholly-owned</t>
  </si>
  <si>
    <t xml:space="preserve">TFSPs</t>
  </si>
  <si>
    <t xml:space="preserve">Partly-owned</t>
  </si>
  <si>
    <t xml:space="preserve">Sub-Total</t>
  </si>
  <si>
    <t xml:space="preserve">Cost</t>
  </si>
  <si>
    <t xml:space="preserve">Offer</t>
  </si>
  <si>
    <t xml:space="preserve">% of Baseline</t>
  </si>
  <si>
    <t xml:space="preserve">Mid</t>
  </si>
  <si>
    <t xml:space="preserve">Direct O &amp; M</t>
  </si>
  <si>
    <t xml:space="preserve">Notes:</t>
  </si>
  <si>
    <t xml:space="preserve">Non-TFSPs</t>
  </si>
  <si>
    <t xml:space="preserve">TFSP</t>
  </si>
  <si>
    <t xml:space="preserve">Wholesale Services</t>
  </si>
  <si>
    <t xml:space="preserve">Energy-Related FM Included in Wholesale Services</t>
  </si>
  <si>
    <t xml:space="preserve">Non-Energy-Related FM Included in Wholesale Services</t>
  </si>
  <si>
    <t xml:space="preserve">Include only C.P. water/sewer in scope</t>
  </si>
  <si>
    <t xml:space="preserve">Lease Payment as a % of Wholesale Revenues</t>
  </si>
  <si>
    <t xml:space="preserve">% Reduction of Wholesale Baseline</t>
  </si>
  <si>
    <t xml:space="preserve">Show at mid or offer?</t>
  </si>
  <si>
    <t xml:space="preserve">mid</t>
  </si>
  <si>
    <t xml:space="preserve">Include Gas in Fixed Price?</t>
  </si>
  <si>
    <t xml:space="preserve">Include Billing Costs?</t>
  </si>
  <si>
    <t xml:space="preserve">Escalator (excluding capital component)</t>
  </si>
  <si>
    <t xml:space="preserve">All Properties Included?</t>
  </si>
  <si>
    <t xml:space="preserve">Non-CAM</t>
  </si>
  <si>
    <t xml:space="preserve">Total Simon </t>
  </si>
  <si>
    <t xml:space="preserve">Baseline Simon Electricity Expenditures</t>
  </si>
  <si>
    <t xml:space="preserve">Weighted Average Electricity Cost ($ / Kwh)</t>
  </si>
  <si>
    <t xml:space="preserve">Baseline Simon Electricity Consumption (kwh) -- Estimated</t>
  </si>
  <si>
    <t xml:space="preserve">Baseline Simon Gas and Fuel Oil Expenditures</t>
  </si>
  <si>
    <t xml:space="preserve">Weighted Average Gas and Fuel Oil Cost ($ / MMBtu)</t>
  </si>
  <si>
    <t xml:space="preserve">Baseline Simon Gas Consumption (MMBtu) -- Estimated</t>
  </si>
  <si>
    <t xml:space="preserve">Baseline Simon Water and Sewer Expenditures</t>
  </si>
  <si>
    <t xml:space="preserve">Consumption Premium as a % of Commodity Baseline</t>
  </si>
  <si>
    <t xml:space="preserve">Present value of Credit Reserve</t>
  </si>
  <si>
    <t xml:space="preserve">Comprehensive</t>
  </si>
  <si>
    <t xml:space="preserve">HVAC Services Breakdown</t>
  </si>
  <si>
    <t xml:space="preserve">No HVAC Services</t>
  </si>
  <si>
    <t xml:space="preserve">Rooftop</t>
  </si>
  <si>
    <t xml:space="preserve">Provided by Simon/TFSPs</t>
  </si>
  <si>
    <t xml:space="preserve">Services</t>
  </si>
  <si>
    <t xml:space="preserve">Retail area serviced (sq ft)</t>
  </si>
  <si>
    <t xml:space="preserve">Percent of total tenant space served</t>
  </si>
  <si>
    <t xml:space="preserve">CAM area serviced (sq ft)</t>
  </si>
  <si>
    <t xml:space="preserve">Percent of total CAM serviced</t>
  </si>
  <si>
    <t xml:space="preserve">Breakdown based on incomplete data -- no sq ft info on rooftop R&amp;M</t>
  </si>
  <si>
    <t xml:space="preserve">Facility Management, Administration, and Maintenance Capex Costs</t>
  </si>
  <si>
    <t xml:space="preserve">% in scope</t>
  </si>
  <si>
    <t xml:space="preserve">Total in Baseline</t>
  </si>
  <si>
    <t xml:space="preserve">Direct Energy O&amp;M Costs</t>
  </si>
  <si>
    <t xml:space="preserve">TFSP Costs</t>
  </si>
  <si>
    <t xml:space="preserve">HVAC Maintenance Capex</t>
  </si>
  <si>
    <t xml:space="preserve">Management Costs (TFSP mgt, commodity procurement)</t>
  </si>
  <si>
    <t xml:space="preserve">Cost of Billing and Energy Information Management</t>
  </si>
  <si>
    <t xml:space="preserve">   Totals</t>
  </si>
  <si>
    <t xml:space="preserve">Bill payment and management costs estimated; energy-related breakdowns estimated</t>
  </si>
  <si>
    <t xml:space="preserve">Baseline Costs</t>
  </si>
  <si>
    <t xml:space="preserve">Cost Items</t>
  </si>
  <si>
    <t xml:space="preserve">% Total</t>
  </si>
  <si>
    <t xml:space="preserve">Total Cost of Power</t>
  </si>
  <si>
    <t xml:space="preserve">Total Cost of Gas</t>
  </si>
  <si>
    <t xml:space="preserve">Cost of Water &amp; Sewer</t>
  </si>
  <si>
    <t xml:space="preserve">Direct O&amp;M Costs</t>
  </si>
  <si>
    <t xml:space="preserve">No breakdown</t>
  </si>
  <si>
    <t xml:space="preserve">Total Baseline Costs</t>
  </si>
  <si>
    <t xml:space="preserve">Gas Escalation</t>
  </si>
  <si>
    <t xml:space="preserve">Enron discount off baseline Simon costs</t>
  </si>
  <si>
    <t xml:space="preserve">Discount</t>
  </si>
  <si>
    <t xml:space="preserve">Enron price for first year of contract</t>
  </si>
  <si>
    <t xml:space="preserve">$ Savings</t>
  </si>
  <si>
    <t xml:space="preserve">Electricity Savings</t>
  </si>
  <si>
    <t xml:space="preserve">% from Electricity</t>
  </si>
  <si>
    <t xml:space="preserve">Projected Costs and Savings</t>
  </si>
  <si>
    <t xml:space="preserve">Consumption Savings / DSM Opportunities</t>
  </si>
  <si>
    <t xml:space="preserve">Total Investment in DSM Projects</t>
  </si>
  <si>
    <t xml:space="preserve">Weighted Average Simple Payback</t>
  </si>
  <si>
    <t xml:space="preserve">% of Savings from Power</t>
  </si>
  <si>
    <t xml:space="preserve">% of  Savings from Gas</t>
  </si>
  <si>
    <t xml:space="preserve">Implied % Power Consumption Savings</t>
  </si>
  <si>
    <t xml:space="preserve">Implied % Gas Consumption Savings</t>
  </si>
  <si>
    <t xml:space="preserve">% of total consumption savings occuring in second year</t>
  </si>
  <si>
    <t xml:space="preserve">(all assumed to occur by third year)</t>
  </si>
  <si>
    <t xml:space="preserve">Labor Costs Escalation Curve</t>
  </si>
  <si>
    <t xml:space="preserve">Operational Savings</t>
  </si>
  <si>
    <t xml:space="preserve">Wateras a % of Baseline Costs</t>
  </si>
  <si>
    <t xml:space="preserve">Direct O&amp;M as % of Baseline Costs</t>
  </si>
  <si>
    <t xml:space="preserve">TFSP Costs as % of Baseline Costs</t>
  </si>
  <si>
    <t xml:space="preserve">Maintenance Capex as % of Baseline Costs</t>
  </si>
  <si>
    <t xml:space="preserve">Bill Consolidation and Payment (Omnicomp and CSC)</t>
  </si>
  <si>
    <t xml:space="preserve">Total # of meters</t>
  </si>
  <si>
    <t xml:space="preserve">Omnicomp Cost per Bill</t>
  </si>
  <si>
    <t xml:space="preserve">Total Omnicomp Cost</t>
  </si>
  <si>
    <t xml:space="preserve">CSC Cost per Bill</t>
  </si>
  <si>
    <t xml:space="preserve">% of Bills in deregulated markets</t>
  </si>
  <si>
    <t xml:space="preserve">Total Cost of Bill Payment</t>
  </si>
  <si>
    <t xml:space="preserve">Wholesale Services Economic Summary</t>
  </si>
  <si>
    <t xml:space="preserve">Cash Inflows</t>
  </si>
  <si>
    <t xml:space="preserve">Wholesale Services Revenues</t>
  </si>
  <si>
    <t xml:space="preserve">Annual contract escalator (excluding capital)</t>
  </si>
  <si>
    <t xml:space="preserve">Capital Amortization</t>
  </si>
  <si>
    <t xml:space="preserve">Cash outflows</t>
  </si>
  <si>
    <t xml:space="preserve">Lease Payment to Simon</t>
  </si>
  <si>
    <t xml:space="preserve">Electricity Consumption</t>
  </si>
  <si>
    <t xml:space="preserve">Weighted Avg Electricity Price</t>
  </si>
  <si>
    <t xml:space="preserve">Total Electricity Costs</t>
  </si>
  <si>
    <t xml:space="preserve">Gas Consumption</t>
  </si>
  <si>
    <t xml:space="preserve">Gas Price</t>
  </si>
  <si>
    <t xml:space="preserve">Total Gas Costs</t>
  </si>
  <si>
    <t xml:space="preserve">Water and Sewer Costs</t>
  </si>
  <si>
    <t xml:space="preserve">Direct O&amp;M</t>
  </si>
  <si>
    <t xml:space="preserve">DSM Capital Expenditures</t>
  </si>
  <si>
    <t xml:space="preserve">Maintenance Capital Expenditures</t>
  </si>
  <si>
    <t xml:space="preserve">Utility Bill Payments / Omnicomp</t>
  </si>
  <si>
    <t xml:space="preserve">CSC</t>
  </si>
  <si>
    <t xml:space="preserve">One Time  Charge for Billing</t>
  </si>
  <si>
    <t xml:space="preserve">Total Wholesale Services Costs</t>
  </si>
  <si>
    <t xml:space="preserve">Net Cashflow before consumption premium</t>
  </si>
  <si>
    <t xml:space="preserve">Credit Reserve</t>
  </si>
  <si>
    <t xml:space="preserve">Consumption Premium</t>
  </si>
  <si>
    <t xml:space="preserve">Total Net Cashflow after consumption premium</t>
  </si>
  <si>
    <t xml:space="preserve">Total NPV</t>
  </si>
  <si>
    <t xml:space="preserve">Total Square Footage of CAM</t>
  </si>
  <si>
    <t xml:space="preserve">Tenant Square Footage Receiving Central Plant Services</t>
  </si>
  <si>
    <t xml:space="preserve">All square footage #s need to be refined</t>
  </si>
  <si>
    <t xml:space="preserve">IRR</t>
  </si>
  <si>
    <t xml:space="preserve">Deal Cash Flows</t>
  </si>
  <si>
    <t xml:space="preserve">Net Cash Flows to Deal</t>
  </si>
  <si>
    <t xml:space="preserve">NPV @ 9.45%</t>
  </si>
  <si>
    <t xml:space="preserve">NPV 6</t>
  </si>
  <si>
    <t xml:space="preserve">Total </t>
  </si>
  <si>
    <t xml:space="preserve">Total Contract Value</t>
  </si>
  <si>
    <t xml:space="preserve">Total Contract Margin</t>
  </si>
  <si>
    <t xml:space="preserve">Margin</t>
  </si>
  <si>
    <t xml:space="preserve">DSM Capital</t>
  </si>
  <si>
    <t xml:space="preserve">Dereg Option -110</t>
  </si>
  <si>
    <t xml:space="preserve">Upside 50/50 beyond +10% from 2000</t>
  </si>
  <si>
    <t xml:space="preserve">Participation at 90%</t>
  </si>
  <si>
    <t xml:space="preserve">Participation below 90%</t>
  </si>
  <si>
    <t xml:space="preserve">75/25</t>
  </si>
  <si>
    <t xml:space="preserve">50/50</t>
  </si>
  <si>
    <t xml:space="preserve">25/75</t>
  </si>
  <si>
    <t xml:space="preserve">Upside 25/75 beyond +10% from 2000</t>
  </si>
  <si>
    <t xml:space="preserve">Upside 75/25 beyond +10% from 2000</t>
  </si>
  <si>
    <t xml:space="preserve">Dereg Option -100</t>
  </si>
  <si>
    <t xml:space="preserve">Upside 50/50 from 2000</t>
  </si>
  <si>
    <t xml:space="preserve">Upside 25/75 from 2000</t>
  </si>
  <si>
    <t xml:space="preserve">Upside 75/25 from 2000</t>
  </si>
  <si>
    <t xml:space="preserve">Unwind Analysis</t>
  </si>
  <si>
    <t xml:space="preserve">Conversion of Simple Payback to Discounted Payback</t>
  </si>
  <si>
    <t xml:space="preserve">Investment</t>
  </si>
  <si>
    <t xml:space="preserve">Discounted Payback</t>
  </si>
  <si>
    <t xml:space="preserve">Discount Rate to be Used in Analysis</t>
  </si>
  <si>
    <t xml:space="preserve">Annual Savings</t>
  </si>
  <si>
    <t xml:space="preserve">Total Term Loan</t>
  </si>
  <si>
    <t xml:space="preserve">Weighted Average Simple Payback Period</t>
  </si>
  <si>
    <t xml:space="preserve">PV of Savings</t>
  </si>
  <si>
    <t xml:space="preserve">Simple Payback</t>
  </si>
  <si>
    <t xml:space="preserve">Weighted Average Discounted Payback</t>
  </si>
  <si>
    <t xml:space="preserve">PV of Cum Savings</t>
  </si>
  <si>
    <t xml:space="preserve">Gross Savings</t>
  </si>
  <si>
    <t xml:space="preserve">Amortization Method</t>
  </si>
  <si>
    <t xml:space="preserve">("y" for payback years amortization and "n" for term amortization)</t>
  </si>
  <si>
    <t xml:space="preserve">P&amp;I</t>
  </si>
  <si>
    <t xml:space="preserve">Revenues</t>
  </si>
  <si>
    <t xml:space="preserve">Costs</t>
  </si>
  <si>
    <t xml:space="preserve">Mid Power Costs (Rate and Consump Svgs)</t>
  </si>
  <si>
    <t xml:space="preserve">Gas Costs</t>
  </si>
  <si>
    <t xml:space="preserve">DSM Capital Amortization</t>
  </si>
  <si>
    <t xml:space="preserve">Lease Payment</t>
  </si>
  <si>
    <t xml:space="preserve">Cumulative Future Value Exposure</t>
  </si>
  <si>
    <t xml:space="preserve">PV of Future Revenues</t>
  </si>
  <si>
    <t xml:space="preserve">PV of Future Margin</t>
  </si>
  <si>
    <t xml:space="preserve">Percentage Factors Governing Termination</t>
  </si>
  <si>
    <t xml:space="preserve">Default</t>
  </si>
  <si>
    <t xml:space="preserve">Change of Control</t>
  </si>
  <si>
    <t xml:space="preserve">Sale or Closure</t>
  </si>
  <si>
    <t xml:space="preserve">Termination Payments Owed to EES (excl. of capital)</t>
  </si>
  <si>
    <t xml:space="preserve">Customer Default</t>
  </si>
  <si>
    <t xml:space="preserve">Capital Unwind Payment Owed to EES</t>
  </si>
  <si>
    <t xml:space="preserve">Pre Threshold Termination Amount(95%)</t>
  </si>
  <si>
    <t xml:space="preserve">Net Positions:                                    Customer Termination Payment                           -PV of Future Margin                                  +capital unwind payment</t>
  </si>
  <si>
    <t xml:space="preserve">Net Position Under Default, incl of Future Margin</t>
  </si>
  <si>
    <t xml:space="preserve">Net Position Under Default, excl of Future Margin</t>
  </si>
  <si>
    <t xml:space="preserve">Net Position Under Change of Control incl of Future Margin</t>
  </si>
  <si>
    <t xml:space="preserve">Net Position Under Change of Control excl of Future Margin</t>
  </si>
  <si>
    <t xml:space="preserve">Net Position Under Sale or Closure incl of Future Margin</t>
  </si>
  <si>
    <t xml:space="preserve">Net Position Under Sale or Closure excl of Future Margin</t>
  </si>
  <si>
    <t xml:space="preserve">Future Value Exposure as % of Future Revenues</t>
  </si>
  <si>
    <t xml:space="preserve">Future Margin as a % of Future Revenues</t>
  </si>
  <si>
    <t xml:space="preserve">SPG</t>
  </si>
  <si>
    <t xml:space="preserve">Upfront Payment</t>
  </si>
  <si>
    <t xml:space="preserve">FM Alliance</t>
  </si>
  <si>
    <t xml:space="preserve">EESO</t>
  </si>
  <si>
    <t xml:space="preserve">NPV</t>
  </si>
  <si>
    <t xml:space="preserve">*Account mgt costs allocated equally between the three segments</t>
  </si>
  <si>
    <t xml:space="preserve">Redistribution Business</t>
  </si>
  <si>
    <t xml:space="preserve">Forecasts Under Outsource</t>
  </si>
  <si>
    <t xml:space="preserve">Current Business Forecasts</t>
  </si>
  <si>
    <t xml:space="preserve">Account Management and Sales</t>
  </si>
  <si>
    <t xml:space="preserve">Account Management</t>
  </si>
  <si>
    <t xml:space="preserve">Start-up</t>
  </si>
  <si>
    <t xml:space="preserve">Ongoing</t>
  </si>
  <si>
    <t xml:space="preserve">Personnel</t>
  </si>
  <si>
    <t xml:space="preserve">Travel</t>
  </si>
  <si>
    <t xml:space="preserve">Communications</t>
  </si>
  <si>
    <t xml:space="preserve">Annual Inflator</t>
  </si>
  <si>
    <t xml:space="preserve">Administrative Economic Summary</t>
  </si>
  <si>
    <t xml:space="preserve">Cash Outflows</t>
  </si>
  <si>
    <t xml:space="preserve">Total Net Cashflows</t>
  </si>
  <si>
    <t xml:space="preserve">Total NPV10</t>
  </si>
  <si>
    <t xml:space="preserve">Non-Cash Charges</t>
  </si>
  <si>
    <t xml:space="preserve">Consumption Risk Premium as % of Wholesale Commodity Revenues</t>
  </si>
  <si>
    <t xml:space="preserve">Consumption Risk Premium</t>
  </si>
  <si>
    <t xml:space="preserve">Power Redistribution</t>
  </si>
  <si>
    <t xml:space="preserve">Scenarios</t>
  </si>
  <si>
    <t xml:space="preserve">Pure Participation</t>
  </si>
  <si>
    <t xml:space="preserve"> Adjusting Guarenteed Plus (Watermark)</t>
  </si>
  <si>
    <t xml:space="preserve">Adjusting Guarantee rolling to PP</t>
  </si>
  <si>
    <t xml:space="preserve">Trigger point for pure participation (monthly revenue)</t>
  </si>
  <si>
    <t xml:space="preserve">Current Redistribution Business Summary</t>
  </si>
  <si>
    <t xml:space="preserve">Total Tenant Area Outfitted for Electricity Redistribution </t>
  </si>
  <si>
    <t xml:space="preserve">(includes "O" tenants only)</t>
  </si>
  <si>
    <t xml:space="preserve">Total Tenant Area Actually Receiving Redistributed Electricity</t>
  </si>
  <si>
    <t xml:space="preserve">(accounts for vacancy)</t>
  </si>
  <si>
    <t xml:space="preserve">Total Cost of Redistributed Electricity</t>
  </si>
  <si>
    <t xml:space="preserve">Total Cost of Redistributed Gas and Fuel Oil</t>
  </si>
  <si>
    <t xml:space="preserve">Current Simon Mark-up for Gas and Fuel Oil</t>
  </si>
  <si>
    <t xml:space="preserve">Revenue Projections</t>
  </si>
  <si>
    <t xml:space="preserve">Total Revenue Growth Rate</t>
  </si>
  <si>
    <t xml:space="preserve">Total Revenue Generated from Power Redistribution</t>
  </si>
  <si>
    <t xml:space="preserve">Total Revenue Generated from Gas and Fuel Oil</t>
  </si>
  <si>
    <t xml:space="preserve">Estimated URA Audit Refund</t>
  </si>
  <si>
    <t xml:space="preserve">Baseline Commodity Redistribution Costs</t>
  </si>
  <si>
    <t xml:space="preserve">Gas &amp; Fuel Oil</t>
  </si>
  <si>
    <t xml:space="preserve">Weighted Average Cost of Electricity ($ / Kwh or MMBtu)</t>
  </si>
  <si>
    <t xml:space="preserve">Redistribution Commodity Costs </t>
  </si>
  <si>
    <t xml:space="preserve">Total kWh or MMBtu consumed in retail space and billed by SPG</t>
  </si>
  <si>
    <t xml:space="preserve">Redistribution Sales, Marketing, and Reg Costs for SPG</t>
  </si>
  <si>
    <t xml:space="preserve">Consumption Savings / DSM Opportunities in Tenant Space</t>
  </si>
  <si>
    <t xml:space="preserve">Total Investment in Tenant DSM Projects</t>
  </si>
  <si>
    <t xml:space="preserve">Implied % Power Consumption Savings in Tenant Space</t>
  </si>
  <si>
    <t xml:space="preserve">% of total consumption savings occuring in first year</t>
  </si>
  <si>
    <t xml:space="preserve">EESO Tenant Billing Costs</t>
  </si>
  <si>
    <t xml:space="preserve">Bills Processed</t>
  </si>
  <si>
    <t xml:space="preserve">Cost per Bill / Year</t>
  </si>
  <si>
    <t xml:space="preserve">Billing Costs</t>
  </si>
  <si>
    <t xml:space="preserve">Redistribution Sales &amp; Marketing Costs</t>
  </si>
  <si>
    <t xml:space="preserve">Sales and marketing costs</t>
  </si>
  <si>
    <t xml:space="preserve">PV of Credit Reserve</t>
  </si>
  <si>
    <t xml:space="preserve">Power Redistribution Economic Summary</t>
  </si>
  <si>
    <t xml:space="preserve">URA Audit Refunds</t>
  </si>
  <si>
    <t xml:space="preserve">Electricity Billings</t>
  </si>
  <si>
    <t xml:space="preserve">Gas and Fuel Oil Billings</t>
  </si>
  <si>
    <t xml:space="preserve">Total Revenues</t>
  </si>
  <si>
    <t xml:space="preserve">Fixed Payment to SPG for Redistribution Business</t>
  </si>
  <si>
    <t xml:space="preserve">Variable Payment to SPG for Redistribution Business</t>
  </si>
  <si>
    <t xml:space="preserve">Electricity Redistribution Costs</t>
  </si>
  <si>
    <t xml:space="preserve">Gas and Fuel Oil Redistribution Costs</t>
  </si>
  <si>
    <t xml:space="preserve">Tenant Billing &amp; Metering</t>
  </si>
  <si>
    <t xml:space="preserve">Sales &amp; Marketing Costs</t>
  </si>
  <si>
    <t xml:space="preserve">DSM Capital Expenditures in Tenant Space</t>
  </si>
  <si>
    <t xml:space="preserve">Total Costs</t>
  </si>
  <si>
    <t xml:space="preserve">Total Net Cashflow, before credit reserve</t>
  </si>
  <si>
    <t xml:space="preserve">Total Net Cashflow, after credit reserve</t>
  </si>
  <si>
    <t xml:space="preserve">Power Redistribution Revenue </t>
  </si>
  <si>
    <t xml:space="preserve">Change in Revenue</t>
  </si>
  <si>
    <t xml:space="preserve">Revenue Growth Rate</t>
  </si>
  <si>
    <t xml:space="preserve">Power Redistribution Costs</t>
  </si>
  <si>
    <t xml:space="preserve">Change in Costs</t>
  </si>
  <si>
    <t xml:space="preserve">Cost Growth Rate</t>
  </si>
  <si>
    <t xml:space="preserve">Total Margin</t>
  </si>
  <si>
    <t xml:space="preserve">Growth in Margin</t>
  </si>
  <si>
    <t xml:space="preserve">Margin Growth Rate</t>
  </si>
  <si>
    <t xml:space="preserve">Annual Watermark </t>
  </si>
  <si>
    <t xml:space="preserve">Fixed</t>
  </si>
  <si>
    <t xml:space="preserve">Variable</t>
  </si>
  <si>
    <t xml:space="preserve">Fixed + Cumulative Variable</t>
  </si>
  <si>
    <t xml:space="preserve">Pure Participation (Variable)</t>
  </si>
  <si>
    <t xml:space="preserve">Annual Watermark Rolling to PP</t>
  </si>
  <si>
    <t xml:space="preserve">Variable Watermark</t>
  </si>
  <si>
    <t xml:space="preserve">Pure Participation Variable</t>
  </si>
  <si>
    <t xml:space="preserve">Revenue Trigger Point</t>
  </si>
  <si>
    <t xml:space="preserve">PP</t>
  </si>
  <si>
    <t xml:space="preserve">Assumptions Summary</t>
  </si>
  <si>
    <t xml:space="preserve">Overall Scope</t>
  </si>
  <si>
    <t xml:space="preserve">FM Scope:</t>
  </si>
  <si>
    <t xml:space="preserve">Annual Baseline</t>
  </si>
  <si>
    <t xml:space="preserve">Annual Escalator</t>
  </si>
  <si>
    <t xml:space="preserve">Lease Payment as % of Revenues</t>
  </si>
  <si>
    <t xml:space="preserve">DSM Investments</t>
  </si>
  <si>
    <t xml:space="preserve">Consumption Premium (% of commodity)</t>
  </si>
  <si>
    <t xml:space="preserve">Valued at:</t>
  </si>
  <si>
    <t xml:space="preserve">Billing Costs Included?</t>
  </si>
  <si>
    <t xml:space="preserve">NPV for EESO</t>
  </si>
  <si>
    <t xml:space="preserve">Commodity Redistribution</t>
  </si>
  <si>
    <t xml:space="preserve">Opportunity Scope</t>
  </si>
  <si>
    <t xml:space="preserve">Payment Type to SPG</t>
  </si>
  <si>
    <t xml:space="preserve">Estimated URA Refund</t>
  </si>
  <si>
    <t xml:space="preserve">Total Investment in Retail Space DSM</t>
  </si>
  <si>
    <t xml:space="preserve">Retail FM Alliance</t>
  </si>
  <si>
    <t xml:space="preserve">Upfront Investment to Simon</t>
  </si>
  <si>
    <t xml:space="preserve">Simon Percent of Outsource FM Revenues</t>
  </si>
  <si>
    <t xml:space="preserve">Simon Earn-Out Floor</t>
  </si>
  <si>
    <t xml:space="preserve">Margin Value of FM Hedge</t>
  </si>
  <si>
    <t xml:space="preserve">Facilities Management Alliance</t>
  </si>
  <si>
    <t xml:space="preserve">FM Alliance Scope &amp; Structure</t>
  </si>
  <si>
    <t xml:space="preserve">Current Situation</t>
  </si>
  <si>
    <t xml:space="preserve">Current TFSP Margin</t>
  </si>
  <si>
    <t xml:space="preserve">Current SPG distribution as % of Revenues</t>
  </si>
  <si>
    <t xml:space="preserve">Annual Run Rate Revenues from Tenant Space</t>
  </si>
  <si>
    <t xml:space="preserve">TFSP Marketing Expense</t>
  </si>
  <si>
    <t xml:space="preserve">Proposed Structure</t>
  </si>
  <si>
    <t xml:space="preserve">Upfront Payment to SPG for Alliance Participation</t>
  </si>
  <si>
    <t xml:space="preserve">Simon Cumulative Earn-Out Floor</t>
  </si>
  <si>
    <t xml:space="preserve">Floor Period (yrs)</t>
  </si>
  <si>
    <t xml:space="preserve">Simon Percent of Bundled FM Revenues</t>
  </si>
  <si>
    <t xml:space="preserve">TFSP Fixed Margin for Facility Services</t>
  </si>
  <si>
    <t xml:space="preserve">Guaranteed Cumulative FM Outsource Revenues</t>
  </si>
  <si>
    <t xml:space="preserve">(within 3 years)</t>
  </si>
  <si>
    <t xml:space="preserve">Simon % of Revenue (weighted average) for tenant business</t>
  </si>
  <si>
    <t xml:space="preserve">Forecasts</t>
  </si>
  <si>
    <t xml:space="preserve">FM Hedge Value</t>
  </si>
  <si>
    <t xml:space="preserve">TFSP Fixed Margin for FM Services</t>
  </si>
  <si>
    <t xml:space="preserve">EESO Margin Benefit through TFSPs</t>
  </si>
  <si>
    <t xml:space="preserve">Represents tangible cost benefits and intangible benefits</t>
  </si>
  <si>
    <t xml:space="preserve">EESO In-scope Outsource Revenue Forecasts</t>
  </si>
  <si>
    <t xml:space="preserve">% or Revenues representing Facility Management</t>
  </si>
  <si>
    <t xml:space="preserve">Total FM Outsource Revenues</t>
  </si>
  <si>
    <t xml:space="preserve">TFSP Cash Flows</t>
  </si>
  <si>
    <t xml:space="preserve">Current Scenario</t>
  </si>
  <si>
    <t xml:space="preserve">Revenues from FM</t>
  </si>
  <si>
    <t xml:space="preserve"> Revenue Growth without EESO involvement</t>
  </si>
  <si>
    <t xml:space="preserve">FM Costs</t>
  </si>
  <si>
    <t xml:space="preserve"> Margin Before Simon Payment</t>
  </si>
  <si>
    <t xml:space="preserve">TFSP Rent payment to Simon</t>
  </si>
  <si>
    <t xml:space="preserve">TSFP Margin</t>
  </si>
  <si>
    <t xml:space="preserve">Alliance Scenario</t>
  </si>
  <si>
    <t xml:space="preserve">Base Revenues from Tenant FM Business</t>
  </si>
  <si>
    <t xml:space="preserve"> Payment to Simon</t>
  </si>
  <si>
    <t xml:space="preserve"> TFSP Marketing Expense</t>
  </si>
  <si>
    <t xml:space="preserve"> Incremental Revenues as EES Outsource FM Provider</t>
  </si>
  <si>
    <t xml:space="preserve"> TFSP Costs as EESO Outsource FM Provider</t>
  </si>
  <si>
    <t xml:space="preserve"> Simon Share of FM Outsource Business</t>
  </si>
  <si>
    <t xml:space="preserve">TFSP Margin</t>
  </si>
  <si>
    <t xml:space="preserve">Incremental NPV (TFSPs)</t>
  </si>
  <si>
    <t xml:space="preserve">Simon Cash Flows</t>
  </si>
  <si>
    <t xml:space="preserve"> TFSP Rent Payment to Simon</t>
  </si>
  <si>
    <t xml:space="preserve"> Upfront Payment from EESO</t>
  </si>
  <si>
    <t xml:space="preserve"> Variable Outsource Participation Payment</t>
  </si>
  <si>
    <t xml:space="preserve">Admin Expense (Marketing Assistance)</t>
  </si>
  <si>
    <t xml:space="preserve"> Total Simon Cash Flow</t>
  </si>
  <si>
    <t xml:space="preserve">Incremental Cash Flow (Simon)</t>
  </si>
  <si>
    <t xml:space="preserve">Incremental NPV (Simon)</t>
  </si>
  <si>
    <t xml:space="preserve">EES Cash Flows</t>
  </si>
  <si>
    <t xml:space="preserve">Margin Benefits of FM Alliance Hedge</t>
  </si>
  <si>
    <t xml:space="preserve">Upfront Payment to Simon</t>
  </si>
  <si>
    <t xml:space="preserve">Margin Benefit of FM Alliance Hedge</t>
  </si>
  <si>
    <t xml:space="preserve">EES Total Cash Flow</t>
  </si>
  <si>
    <t xml:space="preserve">EES NPV </t>
  </si>
  <si>
    <t xml:space="preserve">Include FM in calculation</t>
  </si>
  <si>
    <t xml:space="preserve">Financial Summary</t>
  </si>
  <si>
    <t xml:space="preserve">Wholesale Services Revenue</t>
  </si>
  <si>
    <t xml:space="preserve">Redistributed Commodity Revenue</t>
  </si>
  <si>
    <t xml:space="preserve">URA Bill Audit</t>
  </si>
  <si>
    <t xml:space="preserve">NA</t>
  </si>
  <si>
    <t xml:space="preserve">Fixed Electricity Redistribution Payment to SPG</t>
  </si>
  <si>
    <t xml:space="preserve">Variable Redistribution Participation Fee to SPG</t>
  </si>
  <si>
    <t xml:space="preserve">Power Used for Wholesale Services</t>
  </si>
  <si>
    <t xml:space="preserve">Gas &amp; Fuel Oil Used for Wholesale Services</t>
  </si>
  <si>
    <t xml:space="preserve">Water and Sewer Costs for Wholesale Services</t>
  </si>
  <si>
    <t xml:space="preserve">Direct FM Costs for Wholesale Services</t>
  </si>
  <si>
    <t xml:space="preserve">TFSP Costs for Wholesale Services</t>
  </si>
  <si>
    <t xml:space="preserve">Billing Costs for Wholesale Services</t>
  </si>
  <si>
    <t xml:space="preserve">Upfront Payment to SPG for Share of FM Alliance</t>
  </si>
  <si>
    <t xml:space="preserve">Redistributed Commodity Costs</t>
  </si>
  <si>
    <t xml:space="preserve">Redistribution Sales &amp; Marketing</t>
  </si>
  <si>
    <t xml:space="preserve">Redistribution Billing and Metering</t>
  </si>
  <si>
    <t xml:space="preserve">Account Management Costs</t>
  </si>
  <si>
    <t xml:space="preserve">Total Expenses</t>
  </si>
  <si>
    <t xml:space="preserve">EBITDA (before Capex)</t>
  </si>
  <si>
    <t xml:space="preserve">Capital Expenditures</t>
  </si>
  <si>
    <t xml:space="preserve">DSM Capital Expenditures in Central Plants, CAM</t>
  </si>
  <si>
    <t xml:space="preserve">DSM Capital Expenditures in Retail Space</t>
  </si>
  <si>
    <t xml:space="preserve">Maintenance CapEx in Central Plants, CAM</t>
  </si>
  <si>
    <t xml:space="preserve">Total Capital Expenditures</t>
  </si>
  <si>
    <t xml:space="preserve">NET CASHFLOW (after CapEx)</t>
  </si>
  <si>
    <t xml:space="preserve">Credit Reserve Premium</t>
  </si>
  <si>
    <t xml:space="preserve">TOTAL NON-CASH CHARGES</t>
  </si>
  <si>
    <t xml:space="preserve">INCOME AFTER NON-CASH CHARGES</t>
  </si>
  <si>
    <t xml:space="preserve">Discount Rate</t>
  </si>
  <si>
    <t xml:space="preserve">Net Present Value for EESO</t>
  </si>
  <si>
    <t xml:space="preserve">Enron Net Cash</t>
  </si>
  <si>
    <t xml:space="preserve">Reconciliation</t>
  </si>
  <si>
    <t xml:space="preserve">Sub Total</t>
  </si>
  <si>
    <t xml:space="preserve">  Wholesale</t>
  </si>
  <si>
    <t xml:space="preserve">  Redist.</t>
  </si>
  <si>
    <t xml:space="preserve">  FM</t>
  </si>
  <si>
    <t xml:space="preserve">Financial Deal Impact for SPG: Income Statement Analysis</t>
  </si>
  <si>
    <t xml:space="preserve">PV</t>
  </si>
  <si>
    <t xml:space="preserve">Incremental Revenues</t>
  </si>
  <si>
    <t xml:space="preserve">Guaranteed Redistribution Revenue</t>
  </si>
  <si>
    <t xml:space="preserve">Lease Revenue- HVAC</t>
  </si>
  <si>
    <t xml:space="preserve">Upfront Payment for participation in FM Alliance</t>
  </si>
  <si>
    <t xml:space="preserve">Total Guaranteed Incremental Revenues</t>
  </si>
  <si>
    <t xml:space="preserve">Variable Redistribution Revenue</t>
  </si>
  <si>
    <t xml:space="preserve">Performance-based payment for Outsourcings Utilizing FM Alliance</t>
  </si>
  <si>
    <t xml:space="preserve">Referral Fees</t>
  </si>
  <si>
    <t xml:space="preserve">Total Projected Variable Revenues</t>
  </si>
  <si>
    <t xml:space="preserve">Discount off Baseline Costs</t>
  </si>
  <si>
    <t xml:space="preserve">Change in difference under SPG management</t>
  </si>
  <si>
    <t xml:space="preserve">Total Gross Impact of Enron Offering </t>
  </si>
  <si>
    <t xml:space="preserve">Forecasted EBITDA Without EES Deal</t>
  </si>
  <si>
    <t xml:space="preserve">Foregone EBITDA from electricity and gas redistribution, net of billing </t>
  </si>
  <si>
    <t xml:space="preserve">Expected Change in EBITDA for electricity &amp; gas redistribution</t>
  </si>
  <si>
    <t xml:space="preserve">Total Incremental Cashflow from EES Deal</t>
  </si>
  <si>
    <t xml:space="preserve">Present Value of Cashflows for SPG @ WACC</t>
  </si>
  <si>
    <t xml:space="preserve">WACC = </t>
  </si>
  <si>
    <t xml:space="preserve">Analysis does not include Simon's avoided administrative costs for commodity redistribution business</t>
  </si>
  <si>
    <t xml:space="preserve">Capital Amortization Impact</t>
  </si>
  <si>
    <t xml:space="preserve">Average depreciable life of assets (years)</t>
  </si>
  <si>
    <t xml:space="preserve">Portion of Wholesale Services Price run through B/S (FFO add-back)</t>
  </si>
  <si>
    <t xml:space="preserve">FFO Impact</t>
  </si>
  <si>
    <t xml:space="preserve"># of Shares</t>
  </si>
  <si>
    <t xml:space="preserve">FFO / Share</t>
  </si>
  <si>
    <t xml:space="preserve">  Outsource</t>
  </si>
  <si>
    <t xml:space="preserve">  Redistribution</t>
  </si>
  <si>
    <t xml:space="preserve">  Upfront Payment</t>
  </si>
  <si>
    <t xml:space="preserve">  FM Outsouce Participation</t>
  </si>
  <si>
    <t xml:space="preserve">Total Simon NPV</t>
  </si>
  <si>
    <t xml:space="preserve">Financial Deal Impact for TFSPs</t>
  </si>
  <si>
    <t xml:space="preserve">Installation Work Assumptions</t>
  </si>
  <si>
    <t xml:space="preserve">Total Labor Costs as % of capital expenditures</t>
  </si>
  <si>
    <t xml:space="preserve">Margin of Installation Work</t>
  </si>
  <si>
    <t xml:space="preserve">Percent of Central Plant and CAM Installation Work Awarded to SSC</t>
  </si>
  <si>
    <t xml:space="preserve">Percent of Tenant DSM Work Awarded to TFSPs</t>
  </si>
  <si>
    <t xml:space="preserve">Incremental Cash Flows</t>
  </si>
  <si>
    <t xml:space="preserve">Margin from Installation Work in CAM and Central Plants</t>
  </si>
  <si>
    <t xml:space="preserve">Margin from DSM Installation in Tenant Space</t>
  </si>
  <si>
    <t xml:space="preserve">Margin from EES Outsource Contracts Outside SPG facilities</t>
  </si>
  <si>
    <t xml:space="preserve">Less incremental rental payment to SPG</t>
  </si>
  <si>
    <t xml:space="preserve">Total Incremental Cashflows from EESO Deal to TFSPs</t>
  </si>
  <si>
    <t xml:space="preserve">Present Value of Cashflows at WACC for TFSPs</t>
  </si>
  <si>
    <t xml:space="preserve">Simon</t>
  </si>
  <si>
    <t xml:space="preserve">Structuring Cash Flows</t>
  </si>
  <si>
    <t xml:space="preserve">idc</t>
  </si>
  <si>
    <t xml:space="preserve">Capital</t>
  </si>
  <si>
    <t xml:space="preserve">Wholesale</t>
  </si>
  <si>
    <t xml:space="preserve">term</t>
  </si>
  <si>
    <t xml:space="preserve">MID</t>
  </si>
  <si>
    <t xml:space="preserve">power</t>
  </si>
  <si>
    <t xml:space="preserve">Wholesale TCV</t>
  </si>
  <si>
    <t xml:space="preserve">Total TCV</t>
  </si>
  <si>
    <t xml:space="preserve">Payback</t>
  </si>
  <si>
    <t xml:space="preserve">mid or offer</t>
  </si>
  <si>
    <t xml:space="preserve">Pricing Date</t>
  </si>
  <si>
    <t xml:space="preserve">total</t>
  </si>
  <si>
    <t xml:space="preserve">Jay's Quote</t>
  </si>
  <si>
    <t xml:space="preserve">Gross savings</t>
  </si>
  <si>
    <t xml:space="preserve">Total Savings</t>
  </si>
  <si>
    <t xml:space="preserve">Pricing Expires</t>
  </si>
  <si>
    <t xml:space="preserve">Capital Annuity</t>
  </si>
  <si>
    <t xml:space="preserve">Jun's Cost mid</t>
  </si>
  <si>
    <t xml:space="preserve">NPV Breakout Net</t>
  </si>
  <si>
    <t xml:space="preserve">NPV Breakout Baseline</t>
  </si>
  <si>
    <t xml:space="preserve">Unwind Capital</t>
  </si>
  <si>
    <t xml:space="preserve">construction draw</t>
  </si>
  <si>
    <t xml:space="preserve">Net Savings</t>
  </si>
  <si>
    <t xml:space="preserve">Kevin's Cost</t>
  </si>
  <si>
    <t xml:space="preserve">Capital Draw</t>
  </si>
  <si>
    <t xml:space="preserve">Beginning</t>
  </si>
  <si>
    <t xml:space="preserve">Interest</t>
  </si>
  <si>
    <t xml:space="preserve">Ending</t>
  </si>
  <si>
    <t xml:space="preserve">Amortization</t>
  </si>
  <si>
    <t xml:space="preserve">Unwind</t>
  </si>
  <si>
    <t xml:space="preserve">Savings Start Month</t>
  </si>
  <si>
    <t xml:space="preserve">Power</t>
  </si>
  <si>
    <t xml:space="preserve">Gas</t>
  </si>
  <si>
    <t xml:space="preserve">Water</t>
  </si>
  <si>
    <t xml:space="preserve">O&amp;M</t>
  </si>
  <si>
    <t xml:space="preserve">HVAC</t>
  </si>
  <si>
    <t xml:space="preserve">Billing</t>
  </si>
  <si>
    <t xml:space="preserve">Lease </t>
  </si>
  <si>
    <t xml:space="preserve">Consumption</t>
  </si>
  <si>
    <t xml:space="preserve">gas</t>
  </si>
  <si>
    <t xml:space="preserve">water</t>
  </si>
  <si>
    <t xml:space="preserve">o&amp;m</t>
  </si>
  <si>
    <t xml:space="preserve">tfsp</t>
  </si>
  <si>
    <t xml:space="preserve">hvac</t>
  </si>
  <si>
    <t xml:space="preserve">billing</t>
  </si>
  <si>
    <t xml:space="preserve">offer</t>
  </si>
  <si>
    <t xml:space="preserve">AM Costs</t>
  </si>
  <si>
    <t xml:space="preserve">Balance</t>
  </si>
  <si>
    <t xml:space="preserve">balance</t>
  </si>
  <si>
    <t xml:space="preserve">Construction</t>
  </si>
  <si>
    <t xml:space="preserve">Project</t>
  </si>
  <si>
    <t xml:space="preserve">EAM</t>
  </si>
  <si>
    <t xml:space="preserve">Construction </t>
  </si>
  <si>
    <t xml:space="preserve">Structuring</t>
  </si>
  <si>
    <t xml:space="preserve">Interest Revenue</t>
  </si>
  <si>
    <t xml:space="preserve">Principal Repayment</t>
  </si>
  <si>
    <t xml:space="preserve">Residual </t>
  </si>
  <si>
    <t xml:space="preserve">Total Expected</t>
  </si>
  <si>
    <t xml:space="preserve">Internal Loan</t>
  </si>
  <si>
    <t xml:space="preserve">Billing &amp; IS</t>
  </si>
  <si>
    <t xml:space="preserve">Lease</t>
  </si>
  <si>
    <t xml:space="preserve">Consumption </t>
  </si>
  <si>
    <t xml:space="preserve">Revenue</t>
  </si>
  <si>
    <t xml:space="preserve">NPV at MID</t>
  </si>
  <si>
    <t xml:space="preserve">NPV at OFFER</t>
  </si>
  <si>
    <t xml:space="preserve">Volume</t>
  </si>
  <si>
    <t xml:space="preserve">Drawdown</t>
  </si>
  <si>
    <t xml:space="preserve">Finance</t>
  </si>
  <si>
    <t xml:space="preserve">Savings</t>
  </si>
  <si>
    <t xml:space="preserve">Deal Period</t>
  </si>
  <si>
    <t xml:space="preserve">Date</t>
  </si>
  <si>
    <t xml:space="preserve">Cash Flows</t>
  </si>
  <si>
    <t xml:space="preserve">Fee</t>
  </si>
  <si>
    <t xml:space="preserve">Finance Term</t>
  </si>
  <si>
    <t xml:space="preserve">Cash Flow</t>
  </si>
  <si>
    <t xml:space="preserve">Draw</t>
  </si>
  <si>
    <t xml:space="preserve">Pass through</t>
  </si>
  <si>
    <t xml:space="preserve">Savings MID</t>
  </si>
  <si>
    <t xml:space="preserve">Savings Offer</t>
  </si>
  <si>
    <t xml:space="preserve">Cost MID</t>
  </si>
  <si>
    <t xml:space="preserve">Cost Offer</t>
  </si>
  <si>
    <t xml:space="preserve">Direct</t>
  </si>
  <si>
    <t xml:space="preserve">Cost Mid</t>
  </si>
  <si>
    <t xml:space="preserve">Payment Mid</t>
  </si>
  <si>
    <t xml:space="preserve">Payment Offer</t>
  </si>
  <si>
    <t xml:space="preserve">Premium Mid</t>
  </si>
  <si>
    <t xml:space="preserve">Premium Offer</t>
  </si>
  <si>
    <t xml:space="preserve">KWH</t>
  </si>
  <si>
    <t xml:space="preserve">MMBTU</t>
  </si>
  <si>
    <t xml:space="preserve">TCV</t>
  </si>
  <si>
    <t xml:space="preserve">Estimate</t>
  </si>
  <si>
    <t xml:space="preserve">Gas </t>
  </si>
  <si>
    <t xml:space="preserve">Billing &amp;</t>
  </si>
  <si>
    <t xml:space="preserve">Marketing</t>
  </si>
  <si>
    <t xml:space="preserve">Fixed Pay</t>
  </si>
  <si>
    <t xml:space="preserve">Varied Pay</t>
  </si>
  <si>
    <t xml:space="preserve">Cost </t>
  </si>
  <si>
    <t xml:space="preserve">Metering</t>
  </si>
  <si>
    <t xml:space="preserve">to Simon</t>
  </si>
  <si>
    <t xml:space="preserve">at Offer</t>
  </si>
  <si>
    <t xml:space="preserve">at Mid</t>
  </si>
  <si>
    <t xml:space="preserve">FM</t>
  </si>
  <si>
    <t xml:space="preserve">Upfront Pay</t>
  </si>
  <si>
    <t xml:space="preserve">Earn-out Pay</t>
  </si>
  <si>
    <t xml:space="preserve">Cost at MID</t>
  </si>
  <si>
    <t xml:space="preserve">Benefit</t>
  </si>
  <si>
    <t xml:space="preserve">Expense</t>
  </si>
  <si>
    <t xml:space="preserve">Capital Breakout</t>
  </si>
  <si>
    <t xml:space="preserve">MID or Offer</t>
  </si>
  <si>
    <t xml:space="preserve">Billing and IS</t>
  </si>
  <si>
    <t xml:space="preserve">Wholesale Business</t>
  </si>
  <si>
    <t xml:space="preserve">Esc. Factor</t>
  </si>
  <si>
    <t xml:space="preserve">Revenue Baseline</t>
  </si>
  <si>
    <t xml:space="preserve">Revenue EESO</t>
  </si>
  <si>
    <t xml:space="preserve">Net Baseline</t>
  </si>
  <si>
    <t xml:space="preserve">Net EESO</t>
  </si>
  <si>
    <t xml:space="preserve">NPV Baseline</t>
  </si>
  <si>
    <t xml:space="preserve">NPV EESO</t>
  </si>
  <si>
    <t xml:space="preserve">Savings to Customer</t>
  </si>
  <si>
    <t xml:space="preserve">HVAC Maintenance</t>
  </si>
  <si>
    <t xml:space="preserve">Billing and Information Management</t>
  </si>
  <si>
    <t xml:space="preserve">Net</t>
  </si>
  <si>
    <t xml:space="preserve">DSM Capital Expendirures</t>
  </si>
  <si>
    <t xml:space="preserve">amortization</t>
  </si>
  <si>
    <t xml:space="preserve">CSC Costs</t>
  </si>
  <si>
    <t xml:space="preserve">CSC  </t>
  </si>
  <si>
    <t xml:space="preserve">Capital NPV</t>
  </si>
  <si>
    <t xml:space="preserve">Total Revenue Baseline</t>
  </si>
  <si>
    <t xml:space="preserve">Total Revenue</t>
  </si>
  <si>
    <t xml:space="preserve">Total Cost</t>
  </si>
  <si>
    <t xml:space="preserve">Cash Flow -- Baseline</t>
  </si>
  <si>
    <t xml:space="preserve">Cash Flow -- EESO</t>
  </si>
  <si>
    <t xml:space="preserve">Total NPV Baseline</t>
  </si>
  <si>
    <t xml:space="preserve">Total NPV EESO</t>
  </si>
  <si>
    <t xml:space="preserve">Redistributed Commodites</t>
  </si>
  <si>
    <t xml:space="preserve">Gas and Fuel Oil</t>
  </si>
  <si>
    <t xml:space="preserve">Tenant Billing and Metering</t>
  </si>
  <si>
    <t xml:space="preserve">Sales and Marketing Costs</t>
  </si>
  <si>
    <t xml:space="preserve">DSM Expenditures</t>
  </si>
  <si>
    <t xml:space="preserve">NPV Revenue</t>
  </si>
  <si>
    <t xml:space="preserve">Cash Flows at MID</t>
  </si>
  <si>
    <t xml:space="preserve">Cash Flows at Offer</t>
  </si>
  <si>
    <t xml:space="preserve">Up-front Payment to Simon</t>
  </si>
  <si>
    <t xml:space="preserve">Earn-out Payment to Simon</t>
  </si>
  <si>
    <t xml:space="preserve">Marketing Expense</t>
  </si>
  <si>
    <t xml:space="preserve">Other Expenditures</t>
  </si>
  <si>
    <t xml:space="preserve">Transaction Economics Deal Snapshot</t>
  </si>
  <si>
    <t xml:space="preserve">DEAL INFORMATION</t>
  </si>
  <si>
    <t xml:space="preserve">Deal Name:</t>
  </si>
  <si>
    <t xml:space="preserve">Simon Property Group</t>
  </si>
  <si>
    <t xml:space="preserve">Snapshot Date:</t>
  </si>
  <si>
    <t xml:space="preserve">Salesperson:</t>
  </si>
  <si>
    <t xml:space="preserve">Angela Schwarz</t>
  </si>
  <si>
    <t xml:space="preserve">Deal Manager:</t>
  </si>
  <si>
    <t xml:space="preserve">Stuart Rexrode</t>
  </si>
  <si>
    <t xml:space="preserve">Deal Term:</t>
  </si>
  <si>
    <t xml:space="preserve">10 years</t>
  </si>
  <si>
    <t xml:space="preserve">Transaction Economist:</t>
  </si>
  <si>
    <t xml:space="preserve">Kevin Greiner / Jun Wang</t>
  </si>
  <si>
    <t xml:space="preserve">KEY DEAL PARAMETERS</t>
  </si>
  <si>
    <t xml:space="preserve">                        Pricing Structure</t>
  </si>
  <si>
    <t xml:space="preserve">Component</t>
  </si>
  <si>
    <t xml:space="preserve">1998 Values</t>
  </si>
  <si>
    <t xml:space="preserve">Escalation</t>
  </si>
  <si>
    <t xml:space="preserve">Pricing Status </t>
  </si>
  <si>
    <t xml:space="preserve">Executable</t>
  </si>
  <si>
    <t xml:space="preserve"> Commodity</t>
  </si>
  <si>
    <t xml:space="preserve">Effective Date:</t>
  </si>
  <si>
    <t xml:space="preserve">Present</t>
  </si>
  <si>
    <t xml:space="preserve">   Electricity</t>
  </si>
  <si>
    <t xml:space="preserve">Disc.Off Baseline</t>
  </si>
  <si>
    <t xml:space="preserve">   Natural Gas</t>
  </si>
  <si>
    <t xml:space="preserve">Offer to Baseline Spread</t>
  </si>
  <si>
    <t xml:space="preserve">   Water/Wastewater</t>
  </si>
  <si>
    <t xml:space="preserve">    Power</t>
  </si>
  <si>
    <t xml:space="preserve"> O&amp;M</t>
  </si>
  <si>
    <t xml:space="preserve">    Gas</t>
  </si>
  <si>
    <t xml:space="preserve"> TFSP</t>
  </si>
  <si>
    <t xml:space="preserve">    EAM</t>
  </si>
  <si>
    <t xml:space="preserve"> HVAC</t>
  </si>
  <si>
    <t xml:space="preserve">    AOS</t>
  </si>
  <si>
    <t xml:space="preserve"> Billing and IS Mangmt</t>
  </si>
  <si>
    <t xml:space="preserve">with gas adjustment</t>
  </si>
  <si>
    <t xml:space="preserve">ECONOMICS</t>
  </si>
  <si>
    <t xml:space="preserve">Economic Summary</t>
  </si>
  <si>
    <t xml:space="preserve">Total Deal Exposure</t>
  </si>
  <si>
    <t xml:space="preserve">Value</t>
  </si>
  <si>
    <t xml:space="preserve">%</t>
  </si>
  <si>
    <t xml:space="preserve">NPV at Mid to Offer</t>
  </si>
  <si>
    <t xml:space="preserve">NPV at Offer to Contract</t>
  </si>
  <si>
    <t xml:space="preserve">Projects</t>
  </si>
  <si>
    <t xml:space="preserve">NPV at Mid to Contract</t>
  </si>
  <si>
    <t xml:space="preserve">Monetizations</t>
  </si>
  <si>
    <t xml:space="preserve">Est. Project Capital</t>
  </si>
  <si>
    <t xml:space="preserve">Capital Rate</t>
  </si>
  <si>
    <t xml:space="preserve">Economic Breakout</t>
  </si>
  <si>
    <t xml:space="preserve">Value Sources</t>
  </si>
  <si>
    <t xml:space="preserve">Mid NPV</t>
  </si>
  <si>
    <t xml:space="preserve">Offer NPV</t>
  </si>
  <si>
    <t xml:space="preserve">Mid/Offer Spread</t>
  </si>
  <si>
    <t xml:space="preserve">  DSM Projects</t>
  </si>
  <si>
    <t xml:space="preserve">     Electricity</t>
  </si>
  <si>
    <t xml:space="preserve">     Natural Gas</t>
  </si>
  <si>
    <t xml:space="preserve">     Water/Wstwater</t>
  </si>
  <si>
    <t xml:space="preserve">  O&amp;M</t>
  </si>
  <si>
    <t xml:space="preserve">  TFSP</t>
  </si>
  <si>
    <t xml:space="preserve">  HVAC</t>
  </si>
  <si>
    <t xml:space="preserve">  Billing and Mangmt</t>
  </si>
  <si>
    <t xml:space="preserve">  Subtotal - Sources</t>
  </si>
  <si>
    <t xml:space="preserve">Value Draws </t>
  </si>
  <si>
    <t xml:space="preserve">Subtotal</t>
  </si>
  <si>
    <t xml:space="preserve">"Above the Line" Margin</t>
  </si>
  <si>
    <t xml:space="preserve">EESO Billing</t>
  </si>
  <si>
    <t xml:space="preserve">EESO Metering</t>
  </si>
  <si>
    <t xml:space="preserve">EESO Acct Mgmt</t>
  </si>
  <si>
    <t xml:space="preserve">"Below The Line" Margin</t>
  </si>
  <si>
    <t xml:space="preserve">COMMENTS</t>
  </si>
  <si>
    <t xml:space="preserve">CONFIDENTIAL - FOR INTERNAL USE ONLY</t>
  </si>
  <si>
    <t xml:space="preserve">Jun</t>
  </si>
  <si>
    <t xml:space="preserve">Jun - Kevin</t>
  </si>
  <si>
    <t xml:space="preserve">Kevin</t>
  </si>
  <si>
    <t xml:space="preserve">Adjusted Offer</t>
  </si>
  <si>
    <t xml:space="preserve">Adjusted Mid</t>
  </si>
  <si>
    <t xml:space="preserve">Reconciled</t>
  </si>
  <si>
    <t xml:space="preserve">Variable Payment</t>
  </si>
  <si>
    <t xml:space="preserve">N/A</t>
  </si>
  <si>
    <t xml:space="preserve"> Sales and Marketing</t>
  </si>
  <si>
    <t xml:space="preserve">  AOS</t>
  </si>
  <si>
    <t xml:space="preserve">  Commodity</t>
  </si>
  <si>
    <t xml:space="preserve">  Billing and Mgmt</t>
  </si>
  <si>
    <t xml:space="preserve">Fixed Pay to Simon</t>
  </si>
  <si>
    <t xml:space="preserve">Variable Pay to Simon</t>
  </si>
  <si>
    <t xml:space="preserve">EESO Sales and Mkting</t>
  </si>
  <si>
    <t xml:space="preserve">Enron Charges 1%</t>
  </si>
  <si>
    <t xml:space="preserve">  FM Alliance </t>
  </si>
  <si>
    <t xml:space="preserve">Up-front Pay to Simon</t>
  </si>
  <si>
    <t xml:space="preserve">Earn-out Pay to Simon</t>
  </si>
  <si>
    <t xml:space="preserve">Marketing Expenses</t>
  </si>
  <si>
    <t xml:space="preserve">Curve</t>
  </si>
  <si>
    <t xml:space="preserve">Model</t>
  </si>
  <si>
    <t xml:space="preserve">RMPM</t>
  </si>
  <si>
    <t xml:space="preserve">Timeline</t>
  </si>
  <si>
    <t xml:space="preserve">monthly</t>
  </si>
  <si>
    <t xml:space="preserve">annual</t>
  </si>
  <si>
    <t xml:space="preserve">DSM</t>
  </si>
  <si>
    <t xml:space="preserve">Payback years</t>
  </si>
  <si>
    <t xml:space="preserve">Deal Workbook</t>
  </si>
  <si>
    <t xml:space="preserve">Billing &amp; Metering</t>
  </si>
  <si>
    <t xml:space="preserve">Operation Mgmt</t>
  </si>
  <si>
    <t xml:space="preserve">Mgmt Fee</t>
  </si>
  <si>
    <t xml:space="preserve">5.5% Lease Payment</t>
  </si>
  <si>
    <t xml:space="preserve">Debt Annuity</t>
  </si>
  <si>
    <t xml:space="preserve">Billing and Metering</t>
  </si>
  <si>
    <t xml:space="preserve">DSM Projects</t>
  </si>
  <si>
    <t xml:space="preserve">Consumption -- EAM</t>
  </si>
  <si>
    <t xml:space="preserve">Simon Property</t>
  </si>
  <si>
    <t xml:space="preserve">Group</t>
  </si>
  <si>
    <t xml:space="preserve">Commodities</t>
  </si>
  <si>
    <t xml:space="preserve">Power, Gas, Water</t>
  </si>
  <si>
    <t xml:space="preserve">Cash</t>
  </si>
  <si>
    <t xml:space="preserve">Water/Wastewater</t>
  </si>
  <si>
    <t xml:space="preserve">Total Facility</t>
  </si>
  <si>
    <t xml:space="preserve">Facility Management</t>
  </si>
  <si>
    <t xml:space="preserve">Fixed (1.15% Escalation)</t>
  </si>
  <si>
    <t xml:space="preserve">Service Provider</t>
  </si>
  <si>
    <t xml:space="preserve">(TFSP)</t>
  </si>
  <si>
    <t xml:space="preserve">$ baseline - 4% savings</t>
  </si>
  <si>
    <t xml:space="preserve">Transaction</t>
  </si>
  <si>
    <t xml:space="preserve">(EESO)</t>
  </si>
  <si>
    <t xml:space="preserve">Term = 10 years</t>
  </si>
  <si>
    <t xml:space="preserve">Variable Payment to Simon</t>
  </si>
  <si>
    <t xml:space="preserve">Power and Gas</t>
  </si>
  <si>
    <t xml:space="preserve">(19% of Redist. Rev.)</t>
  </si>
  <si>
    <t xml:space="preserve">Commodity Payment</t>
  </si>
  <si>
    <t xml:space="preserve">FM Alliance Services</t>
  </si>
  <si>
    <t xml:space="preserve">99% FM Service Rev.</t>
  </si>
  <si>
    <t xml:space="preserve">FM Service Rev.</t>
  </si>
  <si>
    <t xml:space="preserve">Marketing  </t>
  </si>
  <si>
    <t xml:space="preserve">$4M Up-front Payment</t>
  </si>
  <si>
    <t xml:space="preserve">1. Change the Re-Whole to accommodate the macro.</t>
  </si>
  <si>
    <t xml:space="preserve">2. Add another macro for Compare.</t>
  </si>
</sst>
</file>

<file path=xl/styles.xml><?xml version="1.0" encoding="utf-8"?>
<styleSheet xmlns="http://schemas.openxmlformats.org/spreadsheetml/2006/main">
  <numFmts count="30">
    <numFmt numFmtId="164" formatCode="General"/>
    <numFmt numFmtId="165" formatCode="_(\$* #,##0.00_);_(\$* \(#,##0.00\);_(\$* \-??_);_(@_)"/>
    <numFmt numFmtId="166" formatCode="0_)"/>
    <numFmt numFmtId="167" formatCode="_(* #,##0.00_);_(* \(#,##0.00\);_(* \-??_);_(@_)"/>
    <numFmt numFmtId="168" formatCode="_(* #,##0_);_(* \(#,##0\);_(* \-??_);_(@_)"/>
    <numFmt numFmtId="169" formatCode="[$-409]m/d/yyyy"/>
    <numFmt numFmtId="170" formatCode="0%"/>
    <numFmt numFmtId="171" formatCode="_(\$* #,##0_);_(\$* \(#,##0\);_(\$* \-??_);_(@_)"/>
    <numFmt numFmtId="172" formatCode="\$#,##0"/>
    <numFmt numFmtId="173" formatCode="_(\$* #,##0.0000_);_(\$* \(#,##0.0000\);_(\$* \-??_);_(@_)"/>
    <numFmt numFmtId="174" formatCode="0"/>
    <numFmt numFmtId="175" formatCode="\$#,##0_);&quot;($&quot;#,##0\)"/>
    <numFmt numFmtId="176" formatCode="_(* #,##0_);_(* \(#,##0\);_(* \-_);_(@_)"/>
    <numFmt numFmtId="177" formatCode="#,##0"/>
    <numFmt numFmtId="178" formatCode="0.0%"/>
    <numFmt numFmtId="179" formatCode="\$#,##0.00_);[RED]&quot;($&quot;#,##0.00\)"/>
    <numFmt numFmtId="180" formatCode="0.00%"/>
    <numFmt numFmtId="181" formatCode="_(\$* #,##0.000_);_(\$* \(#,##0.000\);_(\$* \-??_);_(@_)"/>
    <numFmt numFmtId="182" formatCode="_(* #,##0.000_);_(* \(#,##0.000\);_(* \-??_);_(@_)"/>
    <numFmt numFmtId="183" formatCode="_(* #,##0.0000_);_(* \(#,##0.0000\);_(* \-??_);_(@_)"/>
    <numFmt numFmtId="184" formatCode="0.00"/>
    <numFmt numFmtId="185" formatCode="\$#,##0.00"/>
    <numFmt numFmtId="186" formatCode="\$#,##0_);[RED]&quot;($&quot;#,##0\)"/>
    <numFmt numFmtId="187" formatCode="_(* #,##0.0_);_(* \(#,##0.0\);_(* \-??_);_(@_)"/>
    <numFmt numFmtId="188" formatCode="_(\$* #,##0_);_(\$* \(#,##0\);_(\$* \-_);_(@_)"/>
    <numFmt numFmtId="189" formatCode="0.000%"/>
    <numFmt numFmtId="190" formatCode="mm/dd/yy"/>
    <numFmt numFmtId="191" formatCode="#,##0.00000"/>
    <numFmt numFmtId="192" formatCode="#,##0.00"/>
    <numFmt numFmtId="193" formatCode="[$-409]#,##0_);\(#,##0\)"/>
  </numFmts>
  <fonts count="105">
    <font>
      <sz val="10"/>
      <name val="Arial"/>
      <family val="0"/>
    </font>
    <font>
      <sz val="10"/>
      <name val="Arial"/>
      <family val="0"/>
    </font>
    <font>
      <sz val="10"/>
      <name val="Arial"/>
      <family val="0"/>
    </font>
    <font>
      <sz val="10"/>
      <name val="Arial"/>
      <family val="0"/>
    </font>
    <font>
      <sz val="10"/>
      <name val="Times New Roman"/>
      <family val="1"/>
    </font>
    <font>
      <sz val="10"/>
      <name val="MS Sans Serif"/>
      <family val="0"/>
    </font>
    <font>
      <sz val="10"/>
      <color rgb="FF000000"/>
      <name val="MS Sans Serif"/>
      <family val="0"/>
    </font>
    <font>
      <sz val="10"/>
      <name val="Courier New"/>
      <family val="0"/>
    </font>
    <font>
      <sz val="10"/>
      <name val="Arial"/>
      <family val="2"/>
    </font>
    <font>
      <b val="true"/>
      <sz val="14"/>
      <color rgb="FF000080"/>
      <name val="Arial"/>
      <family val="2"/>
    </font>
    <font>
      <sz val="10"/>
      <color rgb="FF000080"/>
      <name val="Arial"/>
      <family val="2"/>
    </font>
    <font>
      <sz val="10"/>
      <color rgb="FF3366FF"/>
      <name val="Arial"/>
      <family val="2"/>
    </font>
    <font>
      <sz val="10"/>
      <color rgb="FFFF6600"/>
      <name val="Arial"/>
      <family val="2"/>
    </font>
    <font>
      <b val="true"/>
      <sz val="14"/>
      <name val="Arial"/>
      <family val="2"/>
    </font>
    <font>
      <b val="true"/>
      <sz val="10"/>
      <color rgb="FF000080"/>
      <name val="Arial"/>
      <family val="2"/>
    </font>
    <font>
      <b val="true"/>
      <sz val="10"/>
      <color rgb="FF339966"/>
      <name val="Arial"/>
      <family val="2"/>
    </font>
    <font>
      <b val="true"/>
      <sz val="11"/>
      <color rgb="FF000080"/>
      <name val="Arial"/>
      <family val="2"/>
    </font>
    <font>
      <sz val="10"/>
      <color rgb="FF008000"/>
      <name val="Arial"/>
      <family val="2"/>
    </font>
    <font>
      <b val="true"/>
      <sz val="10"/>
      <name val="Arial"/>
      <family val="2"/>
    </font>
    <font>
      <b val="true"/>
      <sz val="10"/>
      <name val="Arial"/>
      <family val="0"/>
    </font>
    <font>
      <b val="true"/>
      <sz val="10"/>
      <color rgb="FF000080"/>
      <name val="Arial"/>
      <family val="0"/>
    </font>
    <font>
      <b val="true"/>
      <sz val="10"/>
      <color rgb="FF3366FF"/>
      <name val="Arial"/>
      <family val="0"/>
    </font>
    <font>
      <b val="true"/>
      <sz val="10"/>
      <color rgb="FF008000"/>
      <name val="Arial"/>
      <family val="0"/>
    </font>
    <font>
      <sz val="12"/>
      <color rgb="FF008000"/>
      <name val="Times New Roman"/>
      <family val="1"/>
    </font>
    <font>
      <sz val="12"/>
      <color rgb="FF000080"/>
      <name val="Arial"/>
      <family val="2"/>
    </font>
    <font>
      <sz val="12"/>
      <color rgb="FF3366FF"/>
      <name val="Arial"/>
      <family val="2"/>
    </font>
    <font>
      <sz val="10"/>
      <color rgb="FF000080"/>
      <name val="Arial"/>
      <family val="0"/>
    </font>
    <font>
      <sz val="10"/>
      <color rgb="FFFFFFFF"/>
      <name val="Arial"/>
      <family val="2"/>
    </font>
    <font>
      <sz val="10"/>
      <color rgb="FF0000FF"/>
      <name val="Arial"/>
      <family val="2"/>
    </font>
    <font>
      <sz val="10"/>
      <color rgb="FF333399"/>
      <name val="Arial"/>
      <family val="2"/>
    </font>
    <font>
      <b val="true"/>
      <sz val="10"/>
      <name val="MS Sans Serif"/>
      <family val="2"/>
    </font>
    <font>
      <sz val="10"/>
      <color rgb="FF000000"/>
      <name val="Arial"/>
      <family val="0"/>
    </font>
    <font>
      <sz val="10"/>
      <color rgb="FFFF0000"/>
      <name val="Arial"/>
      <family val="2"/>
    </font>
    <font>
      <sz val="11"/>
      <name val="Arial"/>
      <family val="2"/>
    </font>
    <font>
      <sz val="8"/>
      <name val="Arial"/>
      <family val="2"/>
    </font>
    <font>
      <sz val="10"/>
      <color rgb="FF000000"/>
      <name val="Arial"/>
      <family val="2"/>
    </font>
    <font>
      <b val="true"/>
      <sz val="8"/>
      <color rgb="FF000000"/>
      <name val="Tahoma"/>
      <family val="0"/>
    </font>
    <font>
      <sz val="8"/>
      <color rgb="FF000000"/>
      <name val="Tahoma"/>
      <family val="0"/>
    </font>
    <font>
      <i val="true"/>
      <sz val="10"/>
      <name val="Arial"/>
      <family val="2"/>
    </font>
    <font>
      <b val="true"/>
      <u val="single"/>
      <sz val="10"/>
      <name val="Arial"/>
      <family val="2"/>
    </font>
    <font>
      <b val="true"/>
      <i val="true"/>
      <u val="single"/>
      <sz val="10"/>
      <name val="Arial"/>
      <family val="2"/>
    </font>
    <font>
      <i val="true"/>
      <u val="single"/>
      <sz val="10"/>
      <name val="Arial"/>
      <family val="2"/>
    </font>
    <font>
      <b val="true"/>
      <sz val="16"/>
      <name val="Times New Roman"/>
      <family val="1"/>
    </font>
    <font>
      <b val="true"/>
      <u val="single"/>
      <sz val="10"/>
      <name val="Times New Roman"/>
      <family val="1"/>
    </font>
    <font>
      <sz val="10"/>
      <color rgb="FF0000FF"/>
      <name val="Times New Roman"/>
      <family val="1"/>
    </font>
    <font>
      <sz val="10"/>
      <color rgb="FFFF0000"/>
      <name val="Times New Roman"/>
      <family val="1"/>
    </font>
    <font>
      <sz val="10"/>
      <color rgb="FF3366FF"/>
      <name val="Times New Roman"/>
      <family val="1"/>
    </font>
    <font>
      <sz val="8"/>
      <color rgb="FF000000"/>
      <name val="Arial"/>
      <family val="2"/>
    </font>
    <font>
      <b val="true"/>
      <sz val="8"/>
      <color rgb="FFFFFFFF"/>
      <name val="Arial"/>
      <family val="2"/>
    </font>
    <font>
      <b val="true"/>
      <sz val="8"/>
      <name val="Arial"/>
      <family val="2"/>
    </font>
    <font>
      <sz val="8"/>
      <color rgb="FFFF0000"/>
      <name val="Arial"/>
      <family val="2"/>
    </font>
    <font>
      <sz val="8"/>
      <color rgb="FFFFFF99"/>
      <name val="Arial"/>
      <family val="2"/>
    </font>
    <font>
      <b val="true"/>
      <sz val="8"/>
      <color rgb="FFFFFF99"/>
      <name val="Arial"/>
      <family val="2"/>
    </font>
    <font>
      <b val="true"/>
      <sz val="14"/>
      <name val="Times New Roman"/>
      <family val="1"/>
    </font>
    <font>
      <b val="true"/>
      <sz val="10"/>
      <name val="Times New Roman"/>
      <family val="1"/>
    </font>
    <font>
      <sz val="8"/>
      <name val="Times New Roman"/>
      <family val="1"/>
    </font>
    <font>
      <sz val="10"/>
      <color rgb="FF3366FF"/>
      <name val="Arial"/>
      <family val="0"/>
    </font>
    <font>
      <sz val="14"/>
      <name val="Times New Roman"/>
      <family val="1"/>
    </font>
    <font>
      <b val="true"/>
      <sz val="12"/>
      <name val="Arial"/>
      <family val="0"/>
    </font>
    <font>
      <sz val="8"/>
      <name val="Arial"/>
      <family val="0"/>
    </font>
    <font>
      <u val="single"/>
      <sz val="10"/>
      <name val="Arial"/>
      <family val="2"/>
    </font>
    <font>
      <b val="true"/>
      <sz val="12"/>
      <name val="Arial"/>
      <family val="2"/>
    </font>
    <font>
      <u val="single"/>
      <sz val="10"/>
      <name val="Times New Roman"/>
      <family val="1"/>
    </font>
    <font>
      <b val="true"/>
      <sz val="11.5"/>
      <color rgb="FF000000"/>
      <name val="Arial"/>
      <family val="2"/>
    </font>
    <font>
      <sz val="9.5"/>
      <color rgb="FF000000"/>
      <name val="Arial"/>
      <family val="2"/>
    </font>
    <font>
      <b val="true"/>
      <sz val="12"/>
      <color rgb="FF000000"/>
      <name val="Arial"/>
      <family val="2"/>
    </font>
    <font>
      <sz val="10.25"/>
      <color rgb="FF000000"/>
      <name val="Arial"/>
      <family val="2"/>
    </font>
    <font>
      <b val="true"/>
      <sz val="10"/>
      <color rgb="FF000000"/>
      <name val="Arial"/>
      <family val="2"/>
    </font>
    <font>
      <sz val="12"/>
      <name val="Times New Roman"/>
      <family val="1"/>
    </font>
    <font>
      <sz val="12"/>
      <color rgb="FF3366FF"/>
      <name val="Times New Roman"/>
      <family val="1"/>
    </font>
    <font>
      <sz val="16"/>
      <name val="Times New Roman"/>
      <family val="1"/>
    </font>
    <font>
      <b val="true"/>
      <sz val="10"/>
      <color rgb="FFFF0000"/>
      <name val="Times New Roman"/>
      <family val="1"/>
    </font>
    <font>
      <b val="true"/>
      <sz val="12"/>
      <name val="Times New Roman"/>
      <family val="1"/>
    </font>
    <font>
      <b val="true"/>
      <u val="single"/>
      <sz val="12"/>
      <name val="Times New Roman"/>
      <family val="1"/>
    </font>
    <font>
      <b val="true"/>
      <sz val="10"/>
      <color rgb="FF000080"/>
      <name val="Times New Roman"/>
      <family val="1"/>
    </font>
    <font>
      <sz val="10"/>
      <color rgb="FFFFFFFF"/>
      <name val="Times New Roman"/>
      <family val="1"/>
    </font>
    <font>
      <sz val="10"/>
      <color rgb="FFFF00FF"/>
      <name val="Arial"/>
      <family val="2"/>
    </font>
    <font>
      <sz val="10"/>
      <color rgb="FF800000"/>
      <name val="Arial"/>
      <family val="2"/>
    </font>
    <font>
      <sz val="10"/>
      <color rgb="FF333333"/>
      <name val="Arial"/>
      <family val="2"/>
    </font>
    <font>
      <b val="true"/>
      <sz val="10"/>
      <color rgb="FFFF00FF"/>
      <name val="Arial"/>
      <family val="2"/>
    </font>
    <font>
      <b val="true"/>
      <sz val="10"/>
      <color rgb="FF333399"/>
      <name val="Arial"/>
      <family val="2"/>
    </font>
    <font>
      <b val="true"/>
      <sz val="10"/>
      <color rgb="FF0000FF"/>
      <name val="Arial"/>
      <family val="2"/>
    </font>
    <font>
      <b val="true"/>
      <sz val="10"/>
      <color rgb="FF333333"/>
      <name val="Arial"/>
      <family val="2"/>
    </font>
    <font>
      <b val="true"/>
      <sz val="10"/>
      <color rgb="FF008000"/>
      <name val="Arial"/>
      <family val="2"/>
    </font>
    <font>
      <b val="true"/>
      <sz val="10"/>
      <color rgb="FF008080"/>
      <name val="Arial"/>
      <family val="2"/>
    </font>
    <font>
      <b val="true"/>
      <sz val="10"/>
      <color rgb="FF800000"/>
      <name val="Arial"/>
      <family val="2"/>
    </font>
    <font>
      <b val="true"/>
      <sz val="10"/>
      <color rgb="FFFF0000"/>
      <name val="Arial"/>
      <family val="2"/>
    </font>
    <font>
      <b val="true"/>
      <sz val="10"/>
      <color rgb="FFFF6600"/>
      <name val="Arial"/>
      <family val="2"/>
    </font>
    <font>
      <b val="true"/>
      <sz val="10"/>
      <color rgb="FF3366FF"/>
      <name val="Arial"/>
      <family val="2"/>
    </font>
    <font>
      <b val="true"/>
      <sz val="12"/>
      <color rgb="FFFF0000"/>
      <name val="Arial"/>
      <family val="2"/>
    </font>
    <font>
      <b val="true"/>
      <i val="true"/>
      <u val="single"/>
      <sz val="10"/>
      <color rgb="FFFF00FF"/>
      <name val="Arial"/>
      <family val="2"/>
    </font>
    <font>
      <b val="true"/>
      <i val="true"/>
      <u val="single"/>
      <sz val="10"/>
      <color rgb="FF003300"/>
      <name val="Arial"/>
      <family val="2"/>
    </font>
    <font>
      <b val="true"/>
      <i val="true"/>
      <sz val="10"/>
      <name val="Arial"/>
      <family val="2"/>
    </font>
    <font>
      <b val="true"/>
      <sz val="12"/>
      <color rgb="FFFFFFFF"/>
      <name val="Arial"/>
      <family val="2"/>
    </font>
    <font>
      <b val="true"/>
      <i val="true"/>
      <sz val="10"/>
      <color rgb="FFFFFFFF"/>
      <name val="Arial"/>
      <family val="2"/>
    </font>
    <font>
      <sz val="12"/>
      <name val="Arial"/>
      <family val="2"/>
    </font>
    <font>
      <b val="true"/>
      <sz val="9"/>
      <color rgb="FF000000"/>
      <name val="Arial"/>
      <family val="2"/>
    </font>
    <font>
      <b val="true"/>
      <sz val="8"/>
      <color rgb="FF000000"/>
      <name val="Arial"/>
      <family val="2"/>
    </font>
    <font>
      <b val="true"/>
      <u val="single"/>
      <sz val="12"/>
      <name val="Arial"/>
      <family val="2"/>
    </font>
    <font>
      <i val="true"/>
      <sz val="11"/>
      <name val="Arial"/>
      <family val="2"/>
    </font>
    <font>
      <b val="true"/>
      <i val="true"/>
      <u val="single"/>
      <sz val="12"/>
      <name val="Arial"/>
      <family val="2"/>
    </font>
    <font>
      <sz val="12"/>
      <color rgb="FF000000"/>
      <name val="Arial"/>
      <family val="2"/>
    </font>
    <font>
      <b val="true"/>
      <sz val="14"/>
      <color rgb="FFFF0000"/>
      <name val="Arial"/>
      <family val="2"/>
    </font>
    <font>
      <b val="true"/>
      <sz val="10"/>
      <color rgb="FF003300"/>
      <name val="Arial"/>
      <family val="2"/>
    </font>
    <font>
      <b val="true"/>
      <sz val="9"/>
      <name val="Arial"/>
      <family val="2"/>
    </font>
  </fonts>
  <fills count="21">
    <fill>
      <patternFill patternType="none"/>
    </fill>
    <fill>
      <patternFill patternType="gray125"/>
    </fill>
    <fill>
      <patternFill patternType="solid">
        <fgColor rgb="FFC0C0C0"/>
        <bgColor rgb="FFCCCCFF"/>
      </patternFill>
    </fill>
    <fill>
      <patternFill patternType="solid">
        <fgColor rgb="FF808080"/>
        <bgColor rgb="FF969696"/>
      </patternFill>
    </fill>
    <fill>
      <patternFill patternType="solid">
        <fgColor rgb="FFFFFFFF"/>
        <bgColor rgb="FFEFEFEF"/>
      </patternFill>
    </fill>
    <fill>
      <patternFill patternType="solid">
        <fgColor rgb="FFFFFF99"/>
        <bgColor rgb="FFFFFFCC"/>
      </patternFill>
    </fill>
    <fill>
      <patternFill patternType="solid">
        <fgColor rgb="FFCCFFCC"/>
        <bgColor rgb="FFCCFFFF"/>
      </patternFill>
    </fill>
    <fill>
      <patternFill patternType="solid">
        <fgColor rgb="FFFFFF00"/>
        <bgColor rgb="FFFFFF00"/>
      </patternFill>
    </fill>
    <fill>
      <patternFill patternType="solid">
        <fgColor rgb="FF33CCCC"/>
        <bgColor rgb="FF00CCFF"/>
      </patternFill>
    </fill>
    <fill>
      <patternFill patternType="solid">
        <fgColor rgb="FF339966"/>
        <bgColor rgb="FF008080"/>
      </patternFill>
    </fill>
    <fill>
      <patternFill patternType="solid">
        <fgColor rgb="FF0000FF"/>
        <bgColor rgb="FF0000FF"/>
      </patternFill>
    </fill>
    <fill>
      <patternFill patternType="solid">
        <fgColor rgb="FFCCFFFF"/>
        <bgColor rgb="FFCCFFCC"/>
      </patternFill>
    </fill>
    <fill>
      <patternFill patternType="solid">
        <fgColor rgb="FFCC99FF"/>
        <bgColor rgb="FF9999FF"/>
      </patternFill>
    </fill>
    <fill>
      <patternFill patternType="solid">
        <fgColor rgb="FFEFEFEF"/>
        <bgColor rgb="FFFFFFFF"/>
      </patternFill>
    </fill>
    <fill>
      <patternFill patternType="solid">
        <fgColor rgb="FFFFFFCC"/>
        <bgColor rgb="FFFFFFFF"/>
      </patternFill>
    </fill>
    <fill>
      <patternFill patternType="solid">
        <fgColor rgb="FFCCCCFF"/>
        <bgColor rgb="FFC0C0C0"/>
      </patternFill>
    </fill>
    <fill>
      <patternFill patternType="solid">
        <fgColor rgb="FF969696"/>
        <bgColor rgb="FF808080"/>
      </patternFill>
    </fill>
    <fill>
      <patternFill patternType="solid">
        <fgColor rgb="FFFF99CC"/>
        <bgColor rgb="FFFF8080"/>
      </patternFill>
    </fill>
    <fill>
      <patternFill patternType="solid">
        <fgColor rgb="FF99CCFF"/>
        <bgColor rgb="FFCCCCFF"/>
      </patternFill>
    </fill>
    <fill>
      <patternFill patternType="solid">
        <fgColor rgb="FFFFCC99"/>
        <bgColor rgb="FFC0C0C0"/>
      </patternFill>
    </fill>
    <fill>
      <patternFill patternType="solid">
        <fgColor rgb="FFFF8080"/>
        <bgColor rgb="FFFF99CC"/>
      </patternFill>
    </fill>
  </fills>
  <borders count="74">
    <border diagonalUp="false" diagonalDown="false">
      <left/>
      <right/>
      <top/>
      <bottom/>
      <diagonal/>
    </border>
    <border diagonalUp="false" diagonalDown="false">
      <left style="thin"/>
      <right/>
      <top/>
      <bottom/>
      <diagonal/>
    </border>
    <border diagonalUp="false" diagonalDown="false">
      <left style="medium"/>
      <right/>
      <top style="medium"/>
      <bottom style="medium"/>
      <diagonal/>
    </border>
    <border diagonalUp="false" diagonalDown="false">
      <left/>
      <right style="medium"/>
      <top style="medium"/>
      <bottom style="medium"/>
      <diagonal/>
    </border>
    <border diagonalUp="false" diagonalDown="false">
      <left/>
      <right/>
      <top style="medium"/>
      <bottom style="medium"/>
      <diagonal/>
    </border>
    <border diagonalUp="false" diagonalDown="false">
      <left/>
      <right style="thin"/>
      <top style="medium"/>
      <bottom style="medium"/>
      <diagonal/>
    </border>
    <border diagonalUp="false" diagonalDown="false">
      <left style="medium"/>
      <right/>
      <top style="medium"/>
      <bottom/>
      <diagonal/>
    </border>
    <border diagonalUp="false" diagonalDown="false">
      <left/>
      <right/>
      <top style="medium"/>
      <bottom/>
      <diagonal/>
    </border>
    <border diagonalUp="false" diagonalDown="false">
      <left style="medium"/>
      <right/>
      <top/>
      <bottom style="medium"/>
      <diagonal/>
    </border>
    <border diagonalUp="false" diagonalDown="false">
      <left/>
      <right/>
      <top/>
      <bottom style="medium"/>
      <diagonal/>
    </border>
    <border diagonalUp="false" diagonalDown="false">
      <left/>
      <right style="medium"/>
      <top style="medium"/>
      <bottom/>
      <diagonal/>
    </border>
    <border diagonalUp="false" diagonalDown="false">
      <left style="medium"/>
      <right/>
      <top/>
      <bottom/>
      <diagonal/>
    </border>
    <border diagonalUp="false" diagonalDown="false">
      <left/>
      <right style="medium"/>
      <top/>
      <bottom/>
      <diagonal/>
    </border>
    <border diagonalUp="false" diagonalDown="false">
      <left/>
      <right style="medium"/>
      <top/>
      <bottom style="medium"/>
      <diagonal/>
    </border>
    <border diagonalUp="false" diagonalDown="false">
      <left/>
      <right/>
      <top style="thin"/>
      <bottom style="thin"/>
      <diagonal/>
    </border>
    <border diagonalUp="false" diagonalDown="false">
      <left/>
      <right/>
      <top style="thin"/>
      <bottom style="double"/>
      <diagonal/>
    </border>
    <border diagonalUp="false" diagonalDown="false">
      <left style="thin"/>
      <right style="thin"/>
      <top style="thin"/>
      <bottom style="thin"/>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C0C0C0"/>
      </left>
      <right style="thin">
        <color rgb="FFC0C0C0"/>
      </right>
      <top style="thin">
        <color rgb="FFC0C0C0"/>
      </top>
      <bottom/>
      <diagonal/>
    </border>
    <border diagonalUp="false" diagonalDown="false">
      <left style="thin">
        <color rgb="FFC0C0C0"/>
      </left>
      <right/>
      <top style="thin">
        <color rgb="FFC0C0C0"/>
      </top>
      <bottom style="thin">
        <color rgb="FFC0C0C0"/>
      </bottom>
      <diagonal/>
    </border>
    <border diagonalUp="false" diagonalDown="false">
      <left/>
      <right style="thin">
        <color rgb="FFC0C0C0"/>
      </right>
      <top style="thin">
        <color rgb="FFC0C0C0"/>
      </top>
      <bottom style="thin">
        <color rgb="FFC0C0C0"/>
      </bottom>
      <diagonal/>
    </border>
    <border diagonalUp="false" diagonalDown="false">
      <left style="thin">
        <color rgb="FFC0C0C0"/>
      </left>
      <right style="thin">
        <color rgb="FFC0C0C0"/>
      </right>
      <top/>
      <bottom style="thin">
        <color rgb="FFC0C0C0"/>
      </bottom>
      <diagonal/>
    </border>
    <border diagonalUp="false" diagonalDown="false">
      <left/>
      <right/>
      <top style="thin"/>
      <bottom/>
      <diagonal/>
    </border>
    <border diagonalUp="false" diagonalDown="false">
      <left/>
      <right/>
      <top/>
      <bottom style="double"/>
      <diagonal/>
    </border>
    <border diagonalUp="false" diagonalDown="false">
      <left/>
      <right/>
      <top/>
      <bottom style="thin"/>
      <diagonal/>
    </border>
    <border diagonalUp="false" diagonalDown="false">
      <left style="thin"/>
      <right/>
      <top style="thin"/>
      <bottom style="thin"/>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style="thin"/>
      <top/>
      <bottom/>
      <diagonal/>
    </border>
    <border diagonalUp="false" diagonalDown="false">
      <left/>
      <right style="thin"/>
      <top/>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style="thin"/>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right style="medium"/>
      <top/>
      <bottom style="thin"/>
      <diagonal/>
    </border>
    <border diagonalUp="false" diagonalDown="false">
      <left/>
      <right style="thin"/>
      <top/>
      <bottom style="thin"/>
      <diagonal/>
    </border>
    <border diagonalUp="false" diagonalDown="false">
      <left/>
      <right style="thin"/>
      <top style="thin"/>
      <bottom/>
      <diagonal/>
    </border>
    <border diagonalUp="false" diagonalDown="false">
      <left style="double"/>
      <right/>
      <top style="double"/>
      <bottom/>
      <diagonal/>
    </border>
    <border diagonalUp="false" diagonalDown="false">
      <left/>
      <right style="double"/>
      <top style="double"/>
      <bottom/>
      <diagonal/>
    </border>
    <border diagonalUp="false" diagonalDown="false">
      <left style="double"/>
      <right/>
      <top/>
      <bottom/>
      <diagonal/>
    </border>
    <border diagonalUp="false" diagonalDown="false">
      <left/>
      <right style="double"/>
      <top/>
      <bottom/>
      <diagonal/>
    </border>
    <border diagonalUp="false" diagonalDown="false">
      <left style="double"/>
      <right/>
      <top/>
      <bottom style="double"/>
      <diagonal/>
    </border>
    <border diagonalUp="false" diagonalDown="false">
      <left/>
      <right style="double"/>
      <top/>
      <bottom style="double"/>
      <diagonal/>
    </border>
    <border diagonalUp="false" diagonalDown="false">
      <left style="double">
        <color rgb="FFFF6600"/>
      </left>
      <right/>
      <top style="double">
        <color rgb="FFFF6600"/>
      </top>
      <bottom/>
      <diagonal/>
    </border>
    <border diagonalUp="false" diagonalDown="false">
      <left/>
      <right/>
      <top style="double">
        <color rgb="FFFF6600"/>
      </top>
      <bottom/>
      <diagonal/>
    </border>
    <border diagonalUp="false" diagonalDown="false">
      <left/>
      <right style="double">
        <color rgb="FFFF6600"/>
      </right>
      <top style="double">
        <color rgb="FFFF6600"/>
      </top>
      <bottom/>
      <diagonal/>
    </border>
    <border diagonalUp="false" diagonalDown="false">
      <left style="double">
        <color rgb="FFFF6600"/>
      </left>
      <right/>
      <top/>
      <bottom/>
      <diagonal/>
    </border>
    <border diagonalUp="false" diagonalDown="false">
      <left/>
      <right style="double">
        <color rgb="FFFF6600"/>
      </right>
      <top/>
      <bottom/>
      <diagonal/>
    </border>
    <border diagonalUp="false" diagonalDown="false">
      <left style="double"/>
      <right/>
      <top style="double"/>
      <bottom style="double"/>
      <diagonal/>
    </border>
    <border diagonalUp="false" diagonalDown="false">
      <left/>
      <right style="double"/>
      <top style="double"/>
      <bottom style="double"/>
      <diagonal/>
    </border>
    <border diagonalUp="false" diagonalDown="false">
      <left style="double">
        <color rgb="FF3366FF"/>
      </left>
      <right/>
      <top style="double">
        <color rgb="FF3366FF"/>
      </top>
      <bottom/>
      <diagonal/>
    </border>
    <border diagonalUp="false" diagonalDown="false">
      <left/>
      <right/>
      <top style="double">
        <color rgb="FF3366FF"/>
      </top>
      <bottom/>
      <diagonal/>
    </border>
    <border diagonalUp="false" diagonalDown="false">
      <left/>
      <right style="double">
        <color rgb="FF3366FF"/>
      </right>
      <top style="double">
        <color rgb="FF3366FF"/>
      </top>
      <bottom/>
      <diagonal/>
    </border>
    <border diagonalUp="false" diagonalDown="false">
      <left style="double">
        <color rgb="FF3366FF"/>
      </left>
      <right/>
      <top/>
      <bottom style="double">
        <color rgb="FF3366FF"/>
      </bottom>
      <diagonal/>
    </border>
    <border diagonalUp="false" diagonalDown="false">
      <left/>
      <right/>
      <top/>
      <bottom style="double">
        <color rgb="FF3366FF"/>
      </bottom>
      <diagonal/>
    </border>
    <border diagonalUp="false" diagonalDown="false">
      <left/>
      <right style="double">
        <color rgb="FF3366FF"/>
      </right>
      <top/>
      <bottom style="double">
        <color rgb="FF3366FF"/>
      </bottom>
      <diagonal/>
    </border>
    <border diagonalUp="false" diagonalDown="false">
      <left style="double">
        <color rgb="FFFF6600"/>
      </left>
      <right/>
      <top/>
      <bottom style="double">
        <color rgb="FFFF6600"/>
      </bottom>
      <diagonal/>
    </border>
    <border diagonalUp="false" diagonalDown="false">
      <left/>
      <right/>
      <top/>
      <bottom style="double">
        <color rgb="FFFF6600"/>
      </bottom>
      <diagonal/>
    </border>
    <border diagonalUp="false" diagonalDown="false">
      <left/>
      <right style="double">
        <color rgb="FFFF6600"/>
      </right>
      <top/>
      <bottom style="double">
        <color rgb="FFFF6600"/>
      </bottom>
      <diagonal/>
    </border>
    <border diagonalUp="false" diagonalDown="false">
      <left/>
      <right/>
      <top/>
      <bottom style="dotted">
        <color rgb="FFFF0000"/>
      </bottom>
      <diagonal/>
    </border>
    <border diagonalUp="false" diagonalDown="false">
      <left/>
      <right/>
      <top style="dotted"/>
      <bottom/>
      <diagonal/>
    </border>
    <border diagonalUp="false" diagonalDown="false">
      <left/>
      <right/>
      <top/>
      <bottom style="dotted"/>
      <diagonal/>
    </border>
    <border diagonalUp="false" diagonalDown="false">
      <left/>
      <right/>
      <top style="double">
        <color rgb="FF00FF00"/>
      </top>
      <bottom style="dashed"/>
      <diagonal/>
    </border>
    <border diagonalUp="false" diagonalDown="false">
      <left/>
      <right/>
      <top style="dashed"/>
      <bottom/>
      <diagonal/>
    </border>
    <border diagonalUp="false" diagonalDown="false">
      <left style="double">
        <color rgb="FFFF6600"/>
      </left>
      <right/>
      <top style="double">
        <color rgb="FFFF6600"/>
      </top>
      <bottom style="double">
        <color rgb="FFFF6600"/>
      </bottom>
      <diagonal/>
    </border>
    <border diagonalUp="false" diagonalDown="false">
      <left/>
      <right style="double">
        <color rgb="FFFF6600"/>
      </right>
      <top style="double">
        <color rgb="FFFF6600"/>
      </top>
      <bottom style="double">
        <color rgb="FFFF6600"/>
      </bottom>
      <diagonal/>
    </border>
    <border diagonalUp="false" diagonalDown="false">
      <left style="thin"/>
      <right style="thin"/>
      <top style="thin"/>
      <bottom style="double"/>
      <diagonal/>
    </border>
    <border diagonalUp="false" diagonalDown="false">
      <left style="thin"/>
      <right/>
      <top style="thin"/>
      <bottom style="double"/>
      <diagonal/>
    </border>
    <border diagonalUp="false" diagonalDown="false">
      <left style="thin"/>
      <right style="thin"/>
      <top style="double"/>
      <bottom style="thin"/>
      <diagonal/>
    </border>
    <border diagonalUp="false" diagonalDown="false">
      <left style="medium"/>
      <right style="medium"/>
      <top style="medium"/>
      <botto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medium"/>
      <right style="medium"/>
      <top/>
      <bottom style="dotted"/>
      <diagonal/>
    </border>
  </borders>
  <cellStyleXfs count="57">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7" fontId="0" fillId="0" borderId="0" applyFont="true" applyBorder="false" applyAlignment="false" applyProtection="false"/>
    <xf numFmtId="41" fontId="1" fillId="0" borderId="0" applyFont="true" applyBorder="false" applyAlignment="false" applyProtection="false"/>
    <xf numFmtId="165" fontId="0" fillId="0" borderId="0" applyFont="true" applyBorder="false" applyAlignment="false" applyProtection="false"/>
    <xf numFmtId="42" fontId="1" fillId="0" borderId="0" applyFont="true" applyBorder="false" applyAlignment="false" applyProtection="false"/>
    <xf numFmtId="170" fontId="0" fillId="0" borderId="0" applyFont="true" applyBorder="false" applyAlignment="false" applyProtection="false"/>
    <xf numFmtId="165" fontId="4" fillId="0" borderId="0" applyFont="true" applyBorder="false" applyAlignment="false" applyProtection="false"/>
    <xf numFmtId="165" fontId="4" fillId="0" borderId="0" applyFont="true" applyBorder="false" applyAlignment="false" applyProtection="false"/>
    <xf numFmtId="165" fontId="4" fillId="0" borderId="0" applyFont="true" applyBorder="false" applyAlignment="false" applyProtection="false"/>
    <xf numFmtId="165" fontId="0" fillId="0" borderId="0" applyFont="true" applyBorder="false" applyAlignment="false" applyProtection="false"/>
    <xf numFmtId="165" fontId="4" fillId="0" borderId="0" applyFont="true" applyBorder="false" applyAlignment="false" applyProtection="false"/>
    <xf numFmtId="164" fontId="5"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6" fontId="7"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cellStyleXfs>
  <cellXfs count="1051">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51" applyFont="false" applyBorder="false" applyAlignment="false" applyProtection="false">
      <alignment horizontal="general" vertical="bottom" textRotation="0" wrapText="false" indent="0" shrinkToFit="false"/>
      <protection locked="true" hidden="false"/>
    </xf>
    <xf numFmtId="164" fontId="8" fillId="0" borderId="0" xfId="51" applyFont="true" applyBorder="false" applyAlignment="false" applyProtection="false">
      <alignment horizontal="general" vertical="bottom" textRotation="0" wrapText="false" indent="0" shrinkToFit="false"/>
      <protection locked="true" hidden="false"/>
    </xf>
    <xf numFmtId="164" fontId="9" fillId="0" borderId="0" xfId="51" applyFont="true" applyBorder="false" applyAlignment="false" applyProtection="false">
      <alignment horizontal="general" vertical="bottom" textRotation="0" wrapText="false" indent="0" shrinkToFit="false"/>
      <protection locked="true" hidden="false"/>
    </xf>
    <xf numFmtId="164" fontId="10" fillId="0" borderId="0" xfId="51" applyFont="true" applyBorder="false" applyAlignment="false" applyProtection="false">
      <alignment horizontal="general" vertical="bottom" textRotation="0" wrapText="false" indent="0" shrinkToFit="false"/>
      <protection locked="true" hidden="false"/>
    </xf>
    <xf numFmtId="164" fontId="11" fillId="0" borderId="0" xfId="51" applyFont="true" applyBorder="false" applyAlignment="false" applyProtection="false">
      <alignment horizontal="general" vertical="bottom" textRotation="0" wrapText="false" indent="0" shrinkToFit="false"/>
      <protection locked="true" hidden="false"/>
    </xf>
    <xf numFmtId="164" fontId="11" fillId="0" borderId="0" xfId="51" applyFont="true" applyBorder="true" applyAlignment="false" applyProtection="false">
      <alignment horizontal="general" vertical="bottom" textRotation="0" wrapText="false" indent="0" shrinkToFit="false"/>
      <protection locked="true" hidden="false"/>
    </xf>
    <xf numFmtId="164" fontId="12" fillId="0" borderId="0" xfId="51" applyFont="true" applyBorder="false" applyAlignment="false" applyProtection="false">
      <alignment horizontal="general" vertical="bottom" textRotation="0" wrapText="false" indent="0" shrinkToFit="false"/>
      <protection locked="true" hidden="false"/>
    </xf>
    <xf numFmtId="168" fontId="8" fillId="0" borderId="0" xfId="15" applyFont="true" applyBorder="true" applyAlignment="true" applyProtection="true">
      <alignment horizontal="general" vertical="bottom" textRotation="0" wrapText="false" indent="0" shrinkToFit="false"/>
      <protection locked="true" hidden="false"/>
    </xf>
    <xf numFmtId="164" fontId="8" fillId="0" borderId="0" xfId="51" applyFont="true" applyBorder="true" applyAlignment="false" applyProtection="false">
      <alignment horizontal="general" vertical="bottom" textRotation="0" wrapText="false" indent="0" shrinkToFit="false"/>
      <protection locked="true" hidden="false"/>
    </xf>
    <xf numFmtId="169" fontId="13" fillId="0" borderId="0" xfId="51" applyFont="true" applyBorder="true" applyAlignment="false" applyProtection="false">
      <alignment horizontal="general" vertical="bottom" textRotation="0" wrapText="false" indent="0" shrinkToFit="false"/>
      <protection locked="true" hidden="false"/>
    </xf>
    <xf numFmtId="165" fontId="8" fillId="0" borderId="0" xfId="24" applyFont="true" applyBorder="true" applyAlignment="true" applyProtection="true">
      <alignment horizontal="center" vertical="bottom" textRotation="0" wrapText="false" indent="0" shrinkToFit="false"/>
      <protection locked="true" hidden="false"/>
    </xf>
    <xf numFmtId="164" fontId="8" fillId="0" borderId="0" xfId="51" applyFont="true" applyBorder="false" applyAlignment="false" applyProtection="false">
      <alignment horizontal="general" vertical="bottom" textRotation="0" wrapText="false" indent="0" shrinkToFit="false"/>
      <protection locked="true" hidden="false"/>
    </xf>
    <xf numFmtId="164" fontId="14" fillId="2" borderId="0" xfId="51" applyFont="true" applyBorder="false" applyAlignment="true" applyProtection="false">
      <alignment horizontal="center" vertical="bottom" textRotation="0" wrapText="false" indent="0" shrinkToFit="false"/>
      <protection locked="true" hidden="false"/>
    </xf>
    <xf numFmtId="164" fontId="11" fillId="2" borderId="0" xfId="51" applyFont="true" applyBorder="true" applyAlignment="true" applyProtection="false">
      <alignment horizontal="center" vertical="bottom" textRotation="0" wrapText="false" indent="0" shrinkToFit="false"/>
      <protection locked="true" hidden="false"/>
    </xf>
    <xf numFmtId="164" fontId="15" fillId="2" borderId="0" xfId="51" applyFont="true" applyBorder="true" applyAlignment="true" applyProtection="false">
      <alignment horizontal="center" vertical="bottom" textRotation="0" wrapText="false" indent="0" shrinkToFit="false"/>
      <protection locked="true" hidden="false"/>
    </xf>
    <xf numFmtId="168" fontId="14" fillId="2" borderId="0" xfId="15" applyFont="true" applyBorder="true" applyAlignment="true" applyProtection="true">
      <alignment horizontal="center" vertical="bottom" textRotation="0" wrapText="true" indent="0" shrinkToFit="false"/>
      <protection locked="true" hidden="false"/>
    </xf>
    <xf numFmtId="164" fontId="16" fillId="0" borderId="0" xfId="51" applyFont="true" applyBorder="false" applyAlignment="false" applyProtection="false">
      <alignment horizontal="general" vertical="bottom" textRotation="0" wrapText="false" indent="0" shrinkToFit="false"/>
      <protection locked="true" hidden="false"/>
    </xf>
    <xf numFmtId="170" fontId="11" fillId="0" borderId="0" xfId="19" applyFont="true" applyBorder="true" applyAlignment="true" applyProtection="true">
      <alignment horizontal="general" vertical="bottom" textRotation="90" wrapText="false" indent="0" shrinkToFit="false"/>
      <protection locked="true" hidden="false"/>
    </xf>
    <xf numFmtId="164" fontId="17" fillId="2" borderId="0" xfId="51" applyFont="true" applyBorder="false" applyAlignment="false" applyProtection="false">
      <alignment horizontal="general" vertical="bottom" textRotation="0" wrapText="false" indent="0" shrinkToFit="false"/>
      <protection locked="true" hidden="false"/>
    </xf>
    <xf numFmtId="168" fontId="10" fillId="2" borderId="0" xfId="15" applyFont="true" applyBorder="true" applyAlignment="true" applyProtection="true">
      <alignment horizontal="general" vertical="bottom" textRotation="0" wrapText="false" indent="0" shrinkToFit="false"/>
      <protection locked="true" hidden="false"/>
    </xf>
    <xf numFmtId="164" fontId="10" fillId="2" borderId="0" xfId="51" applyFont="true" applyBorder="false" applyAlignment="false" applyProtection="false">
      <alignment horizontal="general" vertical="bottom" textRotation="0" wrapText="false" indent="0" shrinkToFit="false"/>
      <protection locked="true" hidden="false"/>
    </xf>
    <xf numFmtId="164" fontId="18" fillId="0" borderId="0" xfId="51" applyFont="true" applyBorder="true" applyAlignment="true" applyProtection="false">
      <alignment horizontal="general" vertical="bottom" textRotation="90" wrapText="false" indent="0" shrinkToFit="false"/>
      <protection locked="true" hidden="false"/>
    </xf>
    <xf numFmtId="168" fontId="18" fillId="0" borderId="0" xfId="15" applyFont="true" applyBorder="true" applyAlignment="true" applyProtection="true">
      <alignment horizontal="general" vertical="bottom" textRotation="90" wrapText="false" indent="0" shrinkToFit="false"/>
      <protection locked="true" hidden="false"/>
    </xf>
    <xf numFmtId="164" fontId="18" fillId="0" borderId="0" xfId="51" applyFont="true" applyBorder="true" applyAlignment="true" applyProtection="false">
      <alignment horizontal="general" vertical="bottom" textRotation="0" wrapText="false" indent="0" shrinkToFit="false"/>
      <protection locked="true" hidden="false"/>
    </xf>
    <xf numFmtId="171" fontId="8" fillId="0" borderId="0" xfId="24" applyFont="true" applyBorder="true" applyAlignment="true" applyProtection="true">
      <alignment horizontal="general" vertical="bottom" textRotation="0" wrapText="false" indent="0" shrinkToFit="false"/>
      <protection locked="true" hidden="false"/>
    </xf>
    <xf numFmtId="165" fontId="18" fillId="0" borderId="0" xfId="24" applyFont="true" applyBorder="true" applyAlignment="true" applyProtection="true">
      <alignment horizontal="general" vertical="bottom" textRotation="0" wrapText="false" indent="0" shrinkToFit="false"/>
      <protection locked="true" hidden="false"/>
    </xf>
    <xf numFmtId="170" fontId="11" fillId="0" borderId="0" xfId="19" applyFont="true" applyBorder="true" applyAlignment="true" applyProtection="true">
      <alignment horizontal="general" vertical="bottom" textRotation="0" wrapText="false" indent="0" shrinkToFit="false"/>
      <protection locked="true" hidden="false"/>
    </xf>
    <xf numFmtId="164" fontId="8" fillId="0" borderId="0" xfId="51" applyFont="true" applyBorder="true" applyAlignment="true" applyProtection="false">
      <alignment horizontal="general" vertical="bottom" textRotation="0" wrapText="false" indent="0" shrinkToFit="false"/>
      <protection locked="true" hidden="false"/>
    </xf>
    <xf numFmtId="172" fontId="8" fillId="0" borderId="0" xfId="15" applyFont="true" applyBorder="true" applyAlignment="true" applyProtection="true">
      <alignment horizontal="general" vertical="bottom" textRotation="0" wrapText="false" indent="0" shrinkToFit="false"/>
      <protection locked="true" hidden="false"/>
    </xf>
    <xf numFmtId="173" fontId="8" fillId="0" borderId="0" xfId="24" applyFont="true" applyBorder="true" applyAlignment="true" applyProtection="true">
      <alignment horizontal="general" vertical="bottom" textRotation="0" wrapText="false" indent="0" shrinkToFit="false"/>
      <protection locked="true" hidden="false"/>
    </xf>
    <xf numFmtId="165" fontId="8" fillId="0" borderId="0" xfId="24" applyFont="true" applyBorder="true" applyAlignment="true" applyProtection="true">
      <alignment horizontal="general" vertical="bottom" textRotation="0" wrapText="false" indent="0" shrinkToFit="false"/>
      <protection locked="true" hidden="false"/>
    </xf>
    <xf numFmtId="164" fontId="19" fillId="0" borderId="0" xfId="51" applyFont="true" applyBorder="false" applyAlignment="true" applyProtection="false">
      <alignment horizontal="general" vertical="bottom" textRotation="0" wrapText="true" indent="0" shrinkToFit="false"/>
      <protection locked="true" hidden="false"/>
    </xf>
    <xf numFmtId="164" fontId="20" fillId="3" borderId="0" xfId="51" applyFont="true" applyBorder="false" applyAlignment="true" applyProtection="false">
      <alignment horizontal="general" vertical="bottom" textRotation="73" wrapText="true" indent="0" shrinkToFit="false"/>
      <protection locked="true" hidden="false"/>
    </xf>
    <xf numFmtId="164" fontId="21" fillId="4" borderId="1" xfId="51" applyFont="true" applyBorder="true" applyAlignment="true" applyProtection="false">
      <alignment horizontal="general" vertical="bottom" textRotation="73" wrapText="true" indent="0" shrinkToFit="false"/>
      <protection locked="true" hidden="false"/>
    </xf>
    <xf numFmtId="164" fontId="21" fillId="4" borderId="0" xfId="51" applyFont="true" applyBorder="true" applyAlignment="true" applyProtection="false">
      <alignment horizontal="center" vertical="bottom" textRotation="73" wrapText="false" indent="0" shrinkToFit="false"/>
      <protection locked="true" hidden="false"/>
    </xf>
    <xf numFmtId="164" fontId="22" fillId="2" borderId="1" xfId="51" applyFont="true" applyBorder="true" applyAlignment="true" applyProtection="false">
      <alignment horizontal="general" vertical="bottom" textRotation="73" wrapText="true" indent="0" shrinkToFit="false"/>
      <protection locked="true" hidden="false"/>
    </xf>
    <xf numFmtId="164" fontId="22" fillId="2" borderId="0" xfId="51" applyFont="true" applyBorder="true" applyAlignment="true" applyProtection="false">
      <alignment horizontal="general" vertical="bottom" textRotation="73" wrapText="true" indent="0" shrinkToFit="false"/>
      <protection locked="true" hidden="false"/>
    </xf>
    <xf numFmtId="168" fontId="20" fillId="4" borderId="2" xfId="15" applyFont="true" applyBorder="true" applyAlignment="true" applyProtection="true">
      <alignment horizontal="general" vertical="bottom" textRotation="73" wrapText="true" indent="0" shrinkToFit="false"/>
      <protection locked="true" hidden="false"/>
    </xf>
    <xf numFmtId="164" fontId="20" fillId="4" borderId="3" xfId="51" applyFont="true" applyBorder="true" applyAlignment="true" applyProtection="false">
      <alignment horizontal="general" vertical="bottom" textRotation="73" wrapText="true" indent="0" shrinkToFit="false"/>
      <protection locked="true" hidden="false"/>
    </xf>
    <xf numFmtId="164" fontId="20" fillId="4" borderId="2" xfId="51" applyFont="true" applyBorder="true" applyAlignment="true" applyProtection="false">
      <alignment horizontal="general" vertical="bottom" textRotation="73" wrapText="true" indent="0" shrinkToFit="false"/>
      <protection locked="true" hidden="false"/>
    </xf>
    <xf numFmtId="164" fontId="20" fillId="4" borderId="4" xfId="51" applyFont="true" applyBorder="true" applyAlignment="true" applyProtection="false">
      <alignment horizontal="general" vertical="bottom" textRotation="73" wrapText="true" indent="0" shrinkToFit="false"/>
      <protection locked="true" hidden="false"/>
    </xf>
    <xf numFmtId="164" fontId="20" fillId="4" borderId="5" xfId="51" applyFont="true" applyBorder="true" applyAlignment="true" applyProtection="false">
      <alignment horizontal="general" vertical="bottom" textRotation="73" wrapText="true" indent="0" shrinkToFit="false"/>
      <protection locked="true" hidden="false"/>
    </xf>
    <xf numFmtId="164" fontId="20" fillId="4" borderId="0" xfId="51" applyFont="true" applyBorder="true" applyAlignment="true" applyProtection="false">
      <alignment horizontal="general" vertical="bottom" textRotation="73" wrapText="true" indent="0" shrinkToFit="false"/>
      <protection locked="true" hidden="false"/>
    </xf>
    <xf numFmtId="168" fontId="22" fillId="4" borderId="0" xfId="15" applyFont="true" applyBorder="true" applyAlignment="true" applyProtection="true">
      <alignment horizontal="left" vertical="bottom" textRotation="62" wrapText="false" indent="0" shrinkToFit="false"/>
      <protection locked="true" hidden="false"/>
    </xf>
    <xf numFmtId="164" fontId="22" fillId="0" borderId="0" xfId="51" applyFont="true" applyBorder="true" applyAlignment="true" applyProtection="false">
      <alignment horizontal="left" vertical="bottom" textRotation="62" wrapText="false" indent="0" shrinkToFit="false"/>
      <protection locked="true" hidden="false"/>
    </xf>
    <xf numFmtId="164" fontId="23" fillId="0" borderId="0" xfId="51" applyFont="true" applyBorder="false" applyAlignment="true" applyProtection="false">
      <alignment horizontal="general" vertical="bottom" textRotation="61" wrapText="false" indent="0" shrinkToFit="false"/>
      <protection locked="true" hidden="false"/>
    </xf>
    <xf numFmtId="164" fontId="17" fillId="0" borderId="0" xfId="51" applyFont="true" applyBorder="true" applyAlignment="true" applyProtection="false">
      <alignment horizontal="center" vertical="bottom" textRotation="62" wrapText="false" indent="0" shrinkToFit="false"/>
      <protection locked="true" hidden="false"/>
    </xf>
    <xf numFmtId="171" fontId="17" fillId="0" borderId="0" xfId="24" applyFont="true" applyBorder="true" applyAlignment="true" applyProtection="true">
      <alignment horizontal="center" vertical="bottom" textRotation="62" wrapText="false" indent="0" shrinkToFit="false"/>
      <protection locked="true" hidden="false"/>
    </xf>
    <xf numFmtId="168" fontId="17" fillId="0" borderId="0" xfId="24" applyFont="true" applyBorder="true" applyAlignment="true" applyProtection="true">
      <alignment horizontal="center" vertical="bottom" textRotation="62" wrapText="false" indent="0" shrinkToFit="false"/>
      <protection locked="true" hidden="false"/>
    </xf>
    <xf numFmtId="164" fontId="24" fillId="0" borderId="0" xfId="51" applyFont="true" applyBorder="false" applyAlignment="true" applyProtection="false">
      <alignment horizontal="general" vertical="bottom" textRotation="0" wrapText="true" indent="0" shrinkToFit="false"/>
      <protection locked="true" hidden="false"/>
    </xf>
    <xf numFmtId="164" fontId="25" fillId="0" borderId="0" xfId="51" applyFont="true" applyBorder="true" applyAlignment="true" applyProtection="false">
      <alignment horizontal="center" vertical="bottom" textRotation="0" wrapText="false" indent="0" shrinkToFit="false"/>
      <protection locked="true" hidden="false"/>
    </xf>
    <xf numFmtId="168" fontId="18" fillId="0" borderId="0" xfId="15" applyFont="true" applyBorder="true" applyAlignment="true" applyProtection="true">
      <alignment horizontal="center" vertical="bottom" textRotation="0" wrapText="false" indent="0" shrinkToFit="false"/>
      <protection locked="true" hidden="false"/>
    </xf>
    <xf numFmtId="164" fontId="18" fillId="0" borderId="0" xfId="51" applyFont="true" applyBorder="true" applyAlignment="true" applyProtection="false">
      <alignment horizontal="center" vertical="bottom" textRotation="0" wrapText="false" indent="0" shrinkToFit="false"/>
      <protection locked="true" hidden="false"/>
    </xf>
    <xf numFmtId="170" fontId="18" fillId="0" borderId="0" xfId="19" applyFont="true" applyBorder="true" applyAlignment="true" applyProtection="true">
      <alignment horizontal="center" vertical="bottom" textRotation="0" wrapText="false" indent="0" shrinkToFit="false"/>
      <protection locked="true" hidden="false"/>
    </xf>
    <xf numFmtId="171" fontId="18" fillId="0" borderId="0" xfId="24" applyFont="true" applyBorder="true" applyAlignment="true" applyProtection="true">
      <alignment horizontal="center" vertical="bottom" textRotation="0" wrapText="false" indent="0" shrinkToFit="false"/>
      <protection locked="true" hidden="false"/>
    </xf>
    <xf numFmtId="168" fontId="8" fillId="0" borderId="0" xfId="24" applyFont="true" applyBorder="true" applyAlignment="true" applyProtection="true">
      <alignment horizontal="center" vertical="bottom" textRotation="0" wrapText="false" indent="0" shrinkToFit="false"/>
      <protection locked="true" hidden="false"/>
    </xf>
    <xf numFmtId="173" fontId="18" fillId="0" borderId="0" xfId="24" applyFont="true" applyBorder="true" applyAlignment="true" applyProtection="true">
      <alignment horizontal="general" vertical="bottom" textRotation="0" wrapText="false" indent="0" shrinkToFit="false"/>
      <protection locked="true" hidden="false"/>
    </xf>
    <xf numFmtId="164" fontId="11" fillId="0" borderId="0" xfId="51" applyFont="true" applyBorder="true" applyAlignment="true" applyProtection="false">
      <alignment horizontal="general" vertical="bottom" textRotation="0" wrapText="false" indent="0" shrinkToFit="false"/>
      <protection locked="true" hidden="false"/>
    </xf>
    <xf numFmtId="170" fontId="8" fillId="0" borderId="0" xfId="19" applyFont="true" applyBorder="true" applyAlignment="true" applyProtection="true">
      <alignment horizontal="general" vertical="bottom" textRotation="0" wrapText="false" indent="0" shrinkToFit="false"/>
      <protection locked="true" hidden="false"/>
    </xf>
    <xf numFmtId="168" fontId="8" fillId="0" borderId="0" xfId="51" applyFont="true" applyBorder="false" applyAlignment="false" applyProtection="false">
      <alignment horizontal="general" vertical="bottom" textRotation="0" wrapText="false" indent="0" shrinkToFit="false"/>
      <protection locked="true" hidden="false"/>
    </xf>
    <xf numFmtId="168" fontId="18" fillId="0" borderId="0" xfId="15" applyFont="true" applyBorder="true" applyAlignment="true" applyProtection="true">
      <alignment horizontal="general" vertical="bottom" textRotation="0" wrapText="false" indent="0" shrinkToFit="false"/>
      <protection locked="true" hidden="false"/>
    </xf>
    <xf numFmtId="168" fontId="18" fillId="0" borderId="0" xfId="15" applyFont="true" applyBorder="true" applyAlignment="true" applyProtection="true">
      <alignment horizontal="left" vertical="bottom" textRotation="0" wrapText="false" indent="0" shrinkToFit="false"/>
      <protection locked="true" hidden="false"/>
    </xf>
    <xf numFmtId="171" fontId="4" fillId="0" borderId="0" xfId="24" applyFont="false" applyBorder="true" applyAlignment="true" applyProtection="true">
      <alignment horizontal="general" vertical="bottom" textRotation="0" wrapText="false" indent="0" shrinkToFit="false"/>
      <protection locked="true" hidden="false"/>
    </xf>
    <xf numFmtId="164" fontId="10" fillId="5" borderId="0" xfId="51" applyFont="true" applyBorder="false" applyAlignment="false" applyProtection="false">
      <alignment horizontal="general" vertical="bottom" textRotation="0" wrapText="false" indent="0" shrinkToFit="false"/>
      <protection locked="true" hidden="false"/>
    </xf>
    <xf numFmtId="164" fontId="10" fillId="0" borderId="0" xfId="51" applyFont="true" applyBorder="true" applyAlignment="false" applyProtection="false">
      <alignment horizontal="general" vertical="bottom" textRotation="0" wrapText="false" indent="0" shrinkToFit="false"/>
      <protection locked="true" hidden="false"/>
    </xf>
    <xf numFmtId="164" fontId="10" fillId="6" borderId="0" xfId="51" applyFont="true" applyBorder="false" applyAlignment="false" applyProtection="false">
      <alignment horizontal="general" vertical="bottom" textRotation="0" wrapText="false" indent="0" shrinkToFit="false"/>
      <protection locked="true" hidden="false"/>
    </xf>
    <xf numFmtId="164" fontId="10" fillId="5" borderId="0" xfId="51" applyFont="true" applyBorder="true" applyAlignment="false" applyProtection="false">
      <alignment horizontal="general" vertical="bottom" textRotation="0" wrapText="false" indent="0" shrinkToFit="false"/>
      <protection locked="true" hidden="false"/>
    </xf>
    <xf numFmtId="164" fontId="10" fillId="0" borderId="0" xfId="51" applyFont="true" applyBorder="false" applyAlignment="false" applyProtection="false">
      <alignment horizontal="general" vertical="bottom" textRotation="0" wrapText="false" indent="0" shrinkToFit="false"/>
      <protection locked="true" hidden="false"/>
    </xf>
    <xf numFmtId="164" fontId="18" fillId="0" borderId="0" xfId="51" applyFont="true" applyBorder="true" applyAlignment="false" applyProtection="false">
      <alignment horizontal="general" vertical="bottom" textRotation="0" wrapText="false" indent="0" shrinkToFit="false"/>
      <protection locked="true" hidden="false"/>
    </xf>
    <xf numFmtId="164" fontId="11" fillId="0" borderId="0" xfId="51" applyFont="true" applyBorder="false" applyAlignment="false" applyProtection="false">
      <alignment horizontal="general" vertical="bottom" textRotation="0" wrapText="false" indent="0" shrinkToFit="false"/>
      <protection locked="true" hidden="false"/>
    </xf>
    <xf numFmtId="164" fontId="12" fillId="0" borderId="0" xfId="51" applyFont="true" applyBorder="false" applyAlignment="false" applyProtection="false">
      <alignment horizontal="general" vertical="bottom" textRotation="0" wrapText="false" indent="0" shrinkToFit="false"/>
      <protection locked="true" hidden="false"/>
    </xf>
    <xf numFmtId="164" fontId="8" fillId="2" borderId="6" xfId="51" applyFont="true" applyBorder="true" applyAlignment="false" applyProtection="false">
      <alignment horizontal="general" vertical="bottom" textRotation="0" wrapText="false" indent="0" shrinkToFit="false"/>
      <protection locked="true" hidden="false"/>
    </xf>
    <xf numFmtId="164" fontId="8" fillId="2" borderId="7" xfId="51" applyFont="true" applyBorder="true" applyAlignment="false" applyProtection="false">
      <alignment horizontal="general" vertical="bottom" textRotation="0" wrapText="false" indent="0" shrinkToFit="false"/>
      <protection locked="true" hidden="false"/>
    </xf>
    <xf numFmtId="164" fontId="10" fillId="2" borderId="7" xfId="51" applyFont="true" applyBorder="true" applyAlignment="false" applyProtection="false">
      <alignment horizontal="general" vertical="bottom" textRotation="0" wrapText="false" indent="0" shrinkToFit="false"/>
      <protection locked="true" hidden="false"/>
    </xf>
    <xf numFmtId="164" fontId="4" fillId="0" borderId="7" xfId="51" applyFont="false" applyBorder="true" applyAlignment="false" applyProtection="false">
      <alignment horizontal="general" vertical="bottom" textRotation="0" wrapText="false" indent="0" shrinkToFit="false"/>
      <protection locked="true" hidden="false"/>
    </xf>
    <xf numFmtId="168" fontId="10" fillId="2" borderId="7" xfId="15" applyFont="true" applyBorder="true" applyAlignment="true" applyProtection="true">
      <alignment horizontal="general" vertical="bottom" textRotation="0" wrapText="false" indent="0" shrinkToFit="false"/>
      <protection locked="true" hidden="false"/>
    </xf>
    <xf numFmtId="168" fontId="26" fillId="2" borderId="7" xfId="15" applyFont="true" applyBorder="true" applyAlignment="true" applyProtection="true">
      <alignment horizontal="general" vertical="bottom" textRotation="0" wrapText="false" indent="0" shrinkToFit="false"/>
      <protection locked="true" hidden="false"/>
    </xf>
    <xf numFmtId="164" fontId="27" fillId="0" borderId="0" xfId="51" applyFont="true" applyBorder="true" applyAlignment="false" applyProtection="false">
      <alignment horizontal="general" vertical="bottom" textRotation="0" wrapText="false" indent="0" shrinkToFit="false"/>
      <protection locked="true" hidden="false"/>
    </xf>
    <xf numFmtId="164" fontId="8" fillId="2" borderId="8" xfId="51" applyFont="true" applyBorder="true" applyAlignment="true" applyProtection="false">
      <alignment horizontal="general" vertical="bottom" textRotation="0" wrapText="true" indent="0" shrinkToFit="false"/>
      <protection locked="true" hidden="false"/>
    </xf>
    <xf numFmtId="164" fontId="8" fillId="2" borderId="9" xfId="51" applyFont="true" applyBorder="true" applyAlignment="true" applyProtection="false">
      <alignment horizontal="general" vertical="bottom" textRotation="0" wrapText="true" indent="0" shrinkToFit="false"/>
      <protection locked="true" hidden="false"/>
    </xf>
    <xf numFmtId="164" fontId="10" fillId="2" borderId="9" xfId="51" applyFont="true" applyBorder="true" applyAlignment="true" applyProtection="false">
      <alignment horizontal="general" vertical="bottom" textRotation="0" wrapText="true" indent="0" shrinkToFit="false"/>
      <protection locked="true" hidden="false"/>
    </xf>
    <xf numFmtId="164" fontId="28" fillId="0" borderId="9" xfId="51" applyFont="true" applyBorder="true" applyAlignment="true" applyProtection="false">
      <alignment horizontal="general" vertical="bottom" textRotation="0" wrapText="true" indent="0" shrinkToFit="false"/>
      <protection locked="true" hidden="false"/>
    </xf>
    <xf numFmtId="168" fontId="10" fillId="2" borderId="9" xfId="15" applyFont="true" applyBorder="true" applyAlignment="true" applyProtection="true">
      <alignment horizontal="general" vertical="bottom" textRotation="0" wrapText="true" indent="0" shrinkToFit="false"/>
      <protection locked="true" hidden="false"/>
    </xf>
    <xf numFmtId="164" fontId="27" fillId="0" borderId="0" xfId="51" applyFont="true" applyBorder="true" applyAlignment="true" applyProtection="false">
      <alignment horizontal="general" vertical="bottom" textRotation="0" wrapText="true" indent="0" shrinkToFit="false"/>
      <protection locked="true" hidden="false"/>
    </xf>
    <xf numFmtId="164" fontId="8" fillId="2" borderId="0" xfId="51" applyFont="true" applyBorder="false" applyAlignment="false" applyProtection="false">
      <alignment horizontal="general" vertical="bottom" textRotation="0" wrapText="false" indent="0" shrinkToFit="false"/>
      <protection locked="true" hidden="false"/>
    </xf>
    <xf numFmtId="164" fontId="10" fillId="2" borderId="0" xfId="51" applyFont="true" applyBorder="true" applyAlignment="false" applyProtection="false">
      <alignment horizontal="general" vertical="bottom" textRotation="0" wrapText="false" indent="0" shrinkToFit="false"/>
      <protection locked="true" hidden="false"/>
    </xf>
    <xf numFmtId="164" fontId="29" fillId="2" borderId="0" xfId="51" applyFont="true" applyBorder="true" applyAlignment="false" applyProtection="false">
      <alignment horizontal="general" vertical="bottom" textRotation="0" wrapText="false" indent="0" shrinkToFit="false"/>
      <protection locked="true" hidden="false"/>
    </xf>
    <xf numFmtId="164" fontId="10" fillId="2" borderId="0" xfId="51" applyFont="true" applyBorder="true" applyAlignment="true" applyProtection="false">
      <alignment horizontal="general" vertical="bottom" textRotation="0" wrapText="false" indent="0" shrinkToFit="false"/>
      <protection locked="true" hidden="false"/>
    </xf>
    <xf numFmtId="164" fontId="10" fillId="0" borderId="6" xfId="51" applyFont="true" applyBorder="true" applyAlignment="false" applyProtection="false">
      <alignment horizontal="general" vertical="bottom" textRotation="0" wrapText="false" indent="0" shrinkToFit="false"/>
      <protection locked="true" hidden="false"/>
    </xf>
    <xf numFmtId="164" fontId="10" fillId="0" borderId="7" xfId="51" applyFont="true" applyBorder="true" applyAlignment="false" applyProtection="false">
      <alignment horizontal="general" vertical="bottom" textRotation="0" wrapText="false" indent="0" shrinkToFit="false"/>
      <protection locked="true" hidden="false"/>
    </xf>
    <xf numFmtId="164" fontId="10" fillId="2" borderId="7" xfId="51" applyFont="true" applyBorder="true" applyAlignment="false" applyProtection="false">
      <alignment horizontal="general" vertical="bottom" textRotation="0" wrapText="false" indent="0" shrinkToFit="false"/>
      <protection locked="true" hidden="false"/>
    </xf>
    <xf numFmtId="164" fontId="11" fillId="0" borderId="7" xfId="51" applyFont="true" applyBorder="true" applyAlignment="false" applyProtection="false">
      <alignment horizontal="general" vertical="bottom" textRotation="0" wrapText="false" indent="0" shrinkToFit="false"/>
      <protection locked="true" hidden="false"/>
    </xf>
    <xf numFmtId="164" fontId="11" fillId="0" borderId="7" xfId="51" applyFont="true" applyBorder="true" applyAlignment="false" applyProtection="false">
      <alignment horizontal="general" vertical="bottom" textRotation="0" wrapText="false" indent="0" shrinkToFit="false"/>
      <protection locked="true" hidden="false"/>
    </xf>
    <xf numFmtId="174" fontId="4" fillId="0" borderId="7" xfId="51" applyFont="false" applyBorder="true" applyAlignment="false" applyProtection="false">
      <alignment horizontal="general" vertical="bottom" textRotation="0" wrapText="false" indent="0" shrinkToFit="false"/>
      <protection locked="true" hidden="false"/>
    </xf>
    <xf numFmtId="170" fontId="4" fillId="0" borderId="7" xfId="19" applyFont="true" applyBorder="true" applyAlignment="true" applyProtection="true">
      <alignment horizontal="general" vertical="bottom" textRotation="0" wrapText="false" indent="0" shrinkToFit="false"/>
      <protection locked="true" hidden="false"/>
    </xf>
    <xf numFmtId="168" fontId="4" fillId="0" borderId="7" xfId="15" applyFont="true" applyBorder="true" applyAlignment="true" applyProtection="true">
      <alignment horizontal="general" vertical="bottom" textRotation="0" wrapText="false" indent="0" shrinkToFit="false"/>
      <protection locked="true" hidden="false"/>
    </xf>
    <xf numFmtId="164" fontId="8" fillId="0" borderId="7" xfId="51" applyFont="true" applyBorder="true" applyAlignment="false" applyProtection="false">
      <alignment horizontal="general" vertical="bottom" textRotation="0" wrapText="false" indent="0" shrinkToFit="false"/>
      <protection locked="true" hidden="false"/>
    </xf>
    <xf numFmtId="164" fontId="8" fillId="0" borderId="7" xfId="51" applyFont="true" applyBorder="true" applyAlignment="false" applyProtection="false">
      <alignment horizontal="general" vertical="bottom" textRotation="0" wrapText="false" indent="0" shrinkToFit="false"/>
      <protection locked="true" hidden="false"/>
    </xf>
    <xf numFmtId="164" fontId="8" fillId="0" borderId="10" xfId="51" applyFont="true" applyBorder="true" applyAlignment="false" applyProtection="false">
      <alignment horizontal="general" vertical="bottom" textRotation="0" wrapText="false" indent="0" shrinkToFit="false"/>
      <protection locked="true" hidden="false"/>
    </xf>
    <xf numFmtId="164" fontId="4" fillId="0" borderId="11" xfId="51" applyFont="true" applyBorder="true" applyAlignment="false" applyProtection="false">
      <alignment horizontal="general" vertical="bottom" textRotation="0" wrapText="false" indent="0" shrinkToFit="false"/>
      <protection locked="true" hidden="false"/>
    </xf>
    <xf numFmtId="164" fontId="4" fillId="0" borderId="0" xfId="51" applyFont="false" applyBorder="true" applyAlignment="false" applyProtection="false">
      <alignment horizontal="general" vertical="bottom" textRotation="0" wrapText="false" indent="0" shrinkToFit="false"/>
      <protection locked="true" hidden="false"/>
    </xf>
    <xf numFmtId="170" fontId="4" fillId="0" borderId="0" xfId="19" applyFont="true" applyBorder="true" applyAlignment="true" applyProtection="true">
      <alignment horizontal="general" vertical="bottom" textRotation="0" wrapText="false" indent="0" shrinkToFit="false"/>
      <protection locked="true" hidden="false"/>
    </xf>
    <xf numFmtId="168" fontId="4" fillId="0" borderId="0" xfId="15" applyFont="true" applyBorder="true" applyAlignment="true" applyProtection="true">
      <alignment horizontal="general" vertical="bottom" textRotation="0" wrapText="false" indent="0" shrinkToFit="false"/>
      <protection locked="true" hidden="false"/>
    </xf>
    <xf numFmtId="164" fontId="4" fillId="0" borderId="12" xfId="51" applyFont="false" applyBorder="true" applyAlignment="false" applyProtection="false">
      <alignment horizontal="general" vertical="bottom" textRotation="0" wrapText="false" indent="0" shrinkToFit="false"/>
      <protection locked="true" hidden="false"/>
    </xf>
    <xf numFmtId="164" fontId="4" fillId="0" borderId="8" xfId="51" applyFont="false" applyBorder="true" applyAlignment="false" applyProtection="false">
      <alignment horizontal="general" vertical="bottom" textRotation="0" wrapText="false" indent="0" shrinkToFit="false"/>
      <protection locked="true" hidden="false"/>
    </xf>
    <xf numFmtId="164" fontId="4" fillId="0" borderId="9" xfId="51" applyFont="false" applyBorder="true" applyAlignment="false" applyProtection="false">
      <alignment horizontal="general" vertical="bottom" textRotation="0" wrapText="false" indent="0" shrinkToFit="false"/>
      <protection locked="true" hidden="false"/>
    </xf>
    <xf numFmtId="170" fontId="4" fillId="0" borderId="9" xfId="19" applyFont="true" applyBorder="true" applyAlignment="true" applyProtection="true">
      <alignment horizontal="general" vertical="bottom" textRotation="0" wrapText="false" indent="0" shrinkToFit="false"/>
      <protection locked="true" hidden="false"/>
    </xf>
    <xf numFmtId="168" fontId="4" fillId="0" borderId="9" xfId="15" applyFont="true" applyBorder="true" applyAlignment="true" applyProtection="true">
      <alignment horizontal="general" vertical="bottom" textRotation="0" wrapText="false" indent="0" shrinkToFit="false"/>
      <protection locked="true" hidden="false"/>
    </xf>
    <xf numFmtId="164" fontId="4" fillId="0" borderId="13" xfId="51" applyFont="false" applyBorder="true" applyAlignment="false" applyProtection="false">
      <alignment horizontal="general" vertical="bottom" textRotation="0" wrapText="false" indent="0" shrinkToFit="false"/>
      <protection locked="true" hidden="false"/>
    </xf>
    <xf numFmtId="164" fontId="12" fillId="0" borderId="0" xfId="51" applyFont="true" applyBorder="false" applyAlignment="true" applyProtection="false">
      <alignment horizontal="general" vertical="bottom" textRotation="0" wrapText="true" indent="0" shrinkToFit="false"/>
      <protection locked="true" hidden="false"/>
    </xf>
    <xf numFmtId="164" fontId="5" fillId="0" borderId="0" xfId="55" applyFont="false" applyBorder="false" applyAlignment="false" applyProtection="false">
      <alignment horizontal="general" vertical="bottom" textRotation="0" wrapText="false" indent="0" shrinkToFit="false"/>
      <protection locked="true" hidden="false"/>
    </xf>
    <xf numFmtId="164" fontId="5" fillId="2" borderId="0" xfId="55" applyFont="false" applyBorder="false" applyAlignment="false" applyProtection="false">
      <alignment horizontal="general" vertical="bottom" textRotation="0" wrapText="false" indent="0" shrinkToFit="false"/>
      <protection locked="true" hidden="false"/>
    </xf>
    <xf numFmtId="164" fontId="5" fillId="2" borderId="0" xfId="55" applyFont="false" applyBorder="true" applyAlignment="false" applyProtection="false">
      <alignment horizontal="general" vertical="bottom" textRotation="0" wrapText="false" indent="0" shrinkToFit="false"/>
      <protection locked="true" hidden="false"/>
    </xf>
    <xf numFmtId="164" fontId="30" fillId="0" borderId="0" xfId="55" applyFont="true" applyBorder="false" applyAlignment="false" applyProtection="false">
      <alignment horizontal="general" vertical="bottom" textRotation="0" wrapText="false" indent="0" shrinkToFit="false"/>
      <protection locked="true" hidden="false"/>
    </xf>
    <xf numFmtId="164" fontId="30" fillId="0" borderId="0" xfId="55" applyFont="true" applyBorder="false" applyAlignment="true" applyProtection="false">
      <alignment horizontal="general" vertical="bottom" textRotation="0" wrapText="true" indent="0" shrinkToFit="false"/>
      <protection locked="true" hidden="false"/>
    </xf>
    <xf numFmtId="164" fontId="30" fillId="2" borderId="0" xfId="55" applyFont="true" applyBorder="false" applyAlignment="false" applyProtection="false">
      <alignment horizontal="general" vertical="bottom" textRotation="0" wrapText="false" indent="0" shrinkToFit="false"/>
      <protection locked="true" hidden="false"/>
    </xf>
    <xf numFmtId="164" fontId="30" fillId="2" borderId="0" xfId="55" applyFont="true" applyBorder="true" applyAlignment="false" applyProtection="false">
      <alignment horizontal="general" vertical="bottom" textRotation="0" wrapText="false" indent="0" shrinkToFit="false"/>
      <protection locked="true" hidden="false"/>
    </xf>
    <xf numFmtId="164" fontId="18" fillId="0" borderId="0" xfId="50" applyFont="true" applyBorder="false" applyAlignment="false" applyProtection="false">
      <alignment horizontal="general" vertical="bottom" textRotation="0" wrapText="false" indent="0" shrinkToFit="false"/>
      <protection locked="true" hidden="false"/>
    </xf>
    <xf numFmtId="175" fontId="5" fillId="0" borderId="0" xfId="55" applyFont="false" applyBorder="false" applyAlignment="false" applyProtection="false">
      <alignment horizontal="general" vertical="bottom" textRotation="0" wrapText="false" indent="0" shrinkToFit="false"/>
      <protection locked="true" hidden="false"/>
    </xf>
    <xf numFmtId="175" fontId="5" fillId="2" borderId="0" xfId="55" applyFont="false" applyBorder="false" applyAlignment="false" applyProtection="false">
      <alignment horizontal="general" vertical="bottom" textRotation="0" wrapText="false" indent="0" shrinkToFit="false"/>
      <protection locked="true" hidden="false"/>
    </xf>
    <xf numFmtId="175" fontId="5" fillId="2" borderId="0" xfId="55" applyFont="false" applyBorder="true" applyAlignment="false" applyProtection="false">
      <alignment horizontal="general" vertical="bottom" textRotation="0" wrapText="false" indent="0" shrinkToFit="false"/>
      <protection locked="true" hidden="false"/>
    </xf>
    <xf numFmtId="175" fontId="5" fillId="0" borderId="0" xfId="23" applyFont="true" applyBorder="true" applyAlignment="true" applyProtection="true">
      <alignment horizontal="general" vertical="bottom" textRotation="0" wrapText="false" indent="0" shrinkToFit="false"/>
      <protection locked="true" hidden="false"/>
    </xf>
    <xf numFmtId="164" fontId="5" fillId="0" borderId="0" xfId="55" applyFont="true" applyBorder="false" applyAlignment="false" applyProtection="false">
      <alignment horizontal="general" vertical="bottom" textRotation="0" wrapText="false" indent="0" shrinkToFit="false"/>
      <protection locked="true" hidden="false"/>
    </xf>
    <xf numFmtId="164" fontId="8" fillId="0" borderId="0" xfId="50" applyFont="true" applyBorder="false" applyAlignment="false" applyProtection="false">
      <alignment horizontal="general" vertical="bottom" textRotation="0" wrapText="false" indent="0" shrinkToFit="false"/>
      <protection locked="true" hidden="false"/>
    </xf>
    <xf numFmtId="170" fontId="8" fillId="0" borderId="0" xfId="50" applyFont="true" applyBorder="false" applyAlignment="false" applyProtection="false">
      <alignment horizontal="general" vertical="bottom" textRotation="0" wrapText="false" indent="0" shrinkToFit="false"/>
      <protection locked="true" hidden="false"/>
    </xf>
    <xf numFmtId="175" fontId="5" fillId="0" borderId="14" xfId="55" applyFont="false" applyBorder="true" applyAlignment="false" applyProtection="false">
      <alignment horizontal="general" vertical="bottom" textRotation="0" wrapText="false" indent="0" shrinkToFit="false"/>
      <protection locked="true" hidden="false"/>
    </xf>
    <xf numFmtId="165" fontId="5" fillId="0" borderId="0" xfId="23" applyFont="true" applyBorder="true" applyAlignment="true" applyProtection="true">
      <alignment horizontal="general" vertical="bottom" textRotation="0" wrapText="false" indent="0" shrinkToFit="false"/>
      <protection locked="true" hidden="false"/>
    </xf>
    <xf numFmtId="175" fontId="5" fillId="0" borderId="0" xfId="55" applyFont="true" applyBorder="false" applyAlignment="false" applyProtection="false">
      <alignment horizontal="general" vertical="bottom" textRotation="0" wrapText="false" indent="0" shrinkToFit="false"/>
      <protection locked="true" hidden="false"/>
    </xf>
    <xf numFmtId="175" fontId="5" fillId="0" borderId="15" xfId="55" applyFont="false" applyBorder="true" applyAlignment="false" applyProtection="false">
      <alignment horizontal="general" vertical="bottom" textRotation="0" wrapText="false" indent="0" shrinkToFit="false"/>
      <protection locked="true" hidden="false"/>
    </xf>
    <xf numFmtId="164" fontId="31" fillId="0" borderId="16" xfId="45" applyFont="true" applyBorder="true" applyAlignment="true" applyProtection="false">
      <alignment horizontal="center" vertical="center" textRotation="0" wrapText="true" indent="0" shrinkToFit="false"/>
      <protection locked="true" hidden="false"/>
    </xf>
    <xf numFmtId="164" fontId="31" fillId="0" borderId="17" xfId="45" applyFont="true" applyBorder="true" applyAlignment="true" applyProtection="false">
      <alignment horizontal="right" vertical="bottom" textRotation="0" wrapText="true" indent="0" shrinkToFit="false"/>
      <protection locked="true" hidden="false"/>
    </xf>
    <xf numFmtId="164" fontId="31" fillId="0" borderId="17" xfId="45" applyFont="true" applyBorder="true" applyAlignment="true" applyProtection="false">
      <alignment horizontal="left" vertical="bottom" textRotation="0" wrapText="true" indent="0" shrinkToFit="false"/>
      <protection locked="true" hidden="false"/>
    </xf>
    <xf numFmtId="164" fontId="31" fillId="0" borderId="17" xfId="52" applyFont="true" applyBorder="true" applyAlignment="true" applyProtection="false">
      <alignment horizontal="left" vertical="bottom" textRotation="0" wrapText="true" indent="0" shrinkToFit="false"/>
      <protection locked="true" hidden="false"/>
    </xf>
    <xf numFmtId="168" fontId="31" fillId="0" borderId="17" xfId="15" applyFont="true" applyBorder="true" applyAlignment="true" applyProtection="true">
      <alignment horizontal="right" vertical="bottom" textRotation="0" wrapText="true" indent="0" shrinkToFit="false"/>
      <protection locked="true" hidden="false"/>
    </xf>
    <xf numFmtId="168" fontId="31" fillId="0" borderId="17" xfId="15" applyFont="true" applyBorder="true" applyAlignment="true" applyProtection="true">
      <alignment horizontal="left" vertical="bottom" textRotation="0" wrapText="true" indent="0" shrinkToFit="false"/>
      <protection locked="true" hidden="false"/>
    </xf>
    <xf numFmtId="164" fontId="31" fillId="0" borderId="17" xfId="52" applyFont="true" applyBorder="true" applyAlignment="true" applyProtection="false">
      <alignment horizontal="right" vertical="bottom" textRotation="0" wrapText="true" indent="0" shrinkToFit="false"/>
      <protection locked="true" hidden="false"/>
    </xf>
    <xf numFmtId="174" fontId="31" fillId="0" borderId="17" xfId="52" applyFont="true" applyBorder="true" applyAlignment="true" applyProtection="false">
      <alignment horizontal="left" vertical="bottom" textRotation="0" wrapText="true" indent="0" shrinkToFit="false"/>
      <protection locked="true" hidden="false"/>
    </xf>
    <xf numFmtId="164" fontId="8" fillId="0" borderId="17" xfId="45" applyFont="true" applyBorder="true" applyAlignment="true" applyProtection="false">
      <alignment horizontal="right" vertical="bottom" textRotation="0" wrapText="true" indent="0" shrinkToFit="false"/>
      <protection locked="true" hidden="false"/>
    </xf>
    <xf numFmtId="164" fontId="8" fillId="0" borderId="17" xfId="45" applyFont="true" applyBorder="true" applyAlignment="true" applyProtection="false">
      <alignment horizontal="left" vertical="bottom" textRotation="0" wrapText="true" indent="0" shrinkToFit="false"/>
      <protection locked="true" hidden="false"/>
    </xf>
    <xf numFmtId="164" fontId="32" fillId="0" borderId="17" xfId="52" applyFont="true" applyBorder="true" applyAlignment="true" applyProtection="false">
      <alignment horizontal="left" vertical="bottom" textRotation="0" wrapText="true" indent="0" shrinkToFit="false"/>
      <protection locked="true" hidden="false"/>
    </xf>
    <xf numFmtId="168" fontId="32" fillId="0" borderId="17" xfId="15" applyFont="true" applyBorder="true" applyAlignment="true" applyProtection="true">
      <alignment horizontal="right" vertical="bottom" textRotation="0" wrapText="true" indent="0" shrinkToFit="false"/>
      <protection locked="true" hidden="false"/>
    </xf>
    <xf numFmtId="164" fontId="32" fillId="0" borderId="17" xfId="52" applyFont="true" applyBorder="true" applyAlignment="true" applyProtection="false">
      <alignment horizontal="right" vertical="bottom" textRotation="0" wrapText="true" indent="0" shrinkToFit="false"/>
      <protection locked="true" hidden="false"/>
    </xf>
    <xf numFmtId="164" fontId="8" fillId="0" borderId="17" xfId="52" applyFont="true" applyBorder="true" applyAlignment="true" applyProtection="false">
      <alignment horizontal="left" vertical="bottom" textRotation="0" wrapText="true" indent="0" shrinkToFit="false"/>
      <protection locked="true" hidden="false"/>
    </xf>
    <xf numFmtId="174" fontId="8" fillId="0" borderId="17" xfId="52" applyFont="true" applyBorder="true" applyAlignment="true" applyProtection="false">
      <alignment horizontal="left" vertical="bottom" textRotation="0" wrapText="true" indent="0" shrinkToFit="false"/>
      <protection locked="true" hidden="false"/>
    </xf>
    <xf numFmtId="176" fontId="8" fillId="0" borderId="0" xfId="0" applyFont="true" applyBorder="true" applyAlignment="false" applyProtection="false">
      <alignment horizontal="general" vertical="bottom" textRotation="0" wrapText="false" indent="0" shrinkToFit="false"/>
      <protection locked="true" hidden="false"/>
    </xf>
    <xf numFmtId="164" fontId="0" fillId="6" borderId="17" xfId="0" applyFont="false" applyBorder="true" applyAlignment="false" applyProtection="false">
      <alignment horizontal="general" vertical="bottom" textRotation="0" wrapText="false" indent="0" shrinkToFit="false"/>
      <protection locked="true" hidden="false"/>
    </xf>
    <xf numFmtId="164" fontId="0" fillId="0" borderId="17" xfId="0" applyFont="true" applyBorder="true" applyAlignment="false" applyProtection="false">
      <alignment horizontal="general" vertical="bottom" textRotation="0" wrapText="false" indent="0" shrinkToFit="false"/>
      <protection locked="true" hidden="false"/>
    </xf>
    <xf numFmtId="168" fontId="0" fillId="0" borderId="17" xfId="15" applyFont="true" applyBorder="true" applyAlignment="true" applyProtection="true">
      <alignment horizontal="general" vertical="bottom" textRotation="0" wrapText="false" indent="0" shrinkToFit="false"/>
      <protection locked="true" hidden="false"/>
    </xf>
    <xf numFmtId="174" fontId="0" fillId="6" borderId="17" xfId="0" applyFont="false" applyBorder="true" applyAlignment="false" applyProtection="false">
      <alignment horizontal="general" vertical="bottom" textRotation="0" wrapText="false" indent="0" shrinkToFit="false"/>
      <protection locked="true" hidden="false"/>
    </xf>
    <xf numFmtId="164" fontId="0" fillId="6" borderId="0" xfId="0" applyFont="false" applyBorder="true" applyAlignment="false" applyProtection="false">
      <alignment horizontal="general" vertical="bottom" textRotation="0" wrapText="false" indent="0" shrinkToFit="false"/>
      <protection locked="true" hidden="false"/>
    </xf>
    <xf numFmtId="164" fontId="8" fillId="6" borderId="17" xfId="45" applyFont="true" applyBorder="true" applyAlignment="true" applyProtection="false">
      <alignment horizontal="right" vertical="bottom" textRotation="0" wrapText="true" indent="0" shrinkToFit="false"/>
      <protection locked="true" hidden="false"/>
    </xf>
    <xf numFmtId="164" fontId="8" fillId="6" borderId="17" xfId="45" applyFont="true" applyBorder="true" applyAlignment="true" applyProtection="false">
      <alignment horizontal="left" vertical="bottom" textRotation="0" wrapText="true" indent="0" shrinkToFit="false"/>
      <protection locked="true" hidden="false"/>
    </xf>
    <xf numFmtId="164" fontId="8" fillId="7" borderId="17" xfId="52" applyFont="true" applyBorder="true" applyAlignment="true" applyProtection="false">
      <alignment horizontal="left" vertical="bottom" textRotation="0" wrapText="true" indent="0" shrinkToFit="false"/>
      <protection locked="true" hidden="false"/>
    </xf>
    <xf numFmtId="164" fontId="8" fillId="6" borderId="17" xfId="52" applyFont="true" applyBorder="true" applyAlignment="true" applyProtection="false">
      <alignment horizontal="left" vertical="bottom" textRotation="0" wrapText="true" indent="0" shrinkToFit="false"/>
      <protection locked="true" hidden="false"/>
    </xf>
    <xf numFmtId="174" fontId="8" fillId="6" borderId="17" xfId="52" applyFont="true" applyBorder="true" applyAlignment="true" applyProtection="false">
      <alignment horizontal="left" vertical="bottom" textRotation="0" wrapText="true" indent="0" shrinkToFit="false"/>
      <protection locked="true" hidden="false"/>
    </xf>
    <xf numFmtId="176" fontId="8" fillId="0" borderId="17" xfId="0" applyFont="true" applyBorder="true" applyAlignment="false" applyProtection="false">
      <alignment horizontal="general" vertical="bottom" textRotation="0" wrapText="false" indent="0" shrinkToFit="false"/>
      <protection locked="true" hidden="false"/>
    </xf>
    <xf numFmtId="176" fontId="33" fillId="0" borderId="17" xfId="0" applyFont="true" applyBorder="true" applyAlignment="false" applyProtection="false">
      <alignment horizontal="general" vertical="bottom" textRotation="0" wrapText="false" indent="0" shrinkToFit="false"/>
      <protection locked="true" hidden="false"/>
    </xf>
    <xf numFmtId="164" fontId="31" fillId="0" borderId="0" xfId="45" applyFont="true" applyBorder="true" applyAlignment="true" applyProtection="false">
      <alignment horizontal="right" vertical="bottom" textRotation="0" wrapText="true" indent="0" shrinkToFit="false"/>
      <protection locked="true" hidden="false"/>
    </xf>
    <xf numFmtId="164" fontId="8"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76" fontId="8" fillId="0" borderId="0" xfId="0" applyFont="true" applyBorder="false" applyAlignment="false" applyProtection="false">
      <alignment horizontal="general" vertical="bottom" textRotation="0" wrapText="false" indent="0" shrinkToFit="false"/>
      <protection locked="true" hidden="false"/>
    </xf>
    <xf numFmtId="176" fontId="8" fillId="0" borderId="0" xfId="0" applyFont="true" applyBorder="true" applyAlignment="false" applyProtection="false">
      <alignment horizontal="general" vertical="bottom" textRotation="0" wrapText="false" indent="0" shrinkToFit="false"/>
      <protection locked="true" hidden="false"/>
    </xf>
    <xf numFmtId="174" fontId="31" fillId="0" borderId="17" xfId="45" applyFont="true" applyBorder="true" applyAlignment="true" applyProtection="false">
      <alignment horizontal="right" vertical="bottom" textRotation="0" wrapText="true" indent="0" shrinkToFit="false"/>
      <protection locked="true" hidden="false"/>
    </xf>
    <xf numFmtId="176" fontId="8" fillId="0" borderId="17" xfId="0" applyFont="true" applyBorder="true" applyAlignment="false" applyProtection="false">
      <alignment horizontal="general" vertical="bottom" textRotation="0" wrapText="false" indent="0" shrinkToFit="false"/>
      <protection locked="true" hidden="false"/>
    </xf>
    <xf numFmtId="176" fontId="34" fillId="6" borderId="17" xfId="0" applyFont="true" applyBorder="true" applyAlignment="false" applyProtection="false">
      <alignment horizontal="general" vertical="bottom" textRotation="0" wrapText="false" indent="0" shrinkToFit="false"/>
      <protection locked="true" hidden="false"/>
    </xf>
    <xf numFmtId="164" fontId="35" fillId="0" borderId="17" xfId="45" applyFont="true" applyBorder="true" applyAlignment="true" applyProtection="false">
      <alignment horizontal="right" vertical="bottom" textRotation="0" wrapText="true" indent="0" shrinkToFit="false"/>
      <protection locked="true" hidden="false"/>
    </xf>
    <xf numFmtId="164" fontId="8" fillId="8" borderId="17" xfId="52" applyFont="true" applyBorder="true" applyAlignment="true" applyProtection="false">
      <alignment horizontal="left" vertical="bottom" textRotation="0" wrapText="true" indent="0" shrinkToFit="false"/>
      <protection locked="true" hidden="false"/>
    </xf>
    <xf numFmtId="164" fontId="31" fillId="6" borderId="17" xfId="45" applyFont="true" applyBorder="true" applyAlignment="true" applyProtection="false">
      <alignment horizontal="right" vertical="bottom" textRotation="0" wrapText="true" indent="0" shrinkToFit="false"/>
      <protection locked="true" hidden="false"/>
    </xf>
    <xf numFmtId="164" fontId="32" fillId="6" borderId="17" xfId="52" applyFont="true" applyBorder="true" applyAlignment="true" applyProtection="false">
      <alignment horizontal="left" vertical="bottom" textRotation="0" wrapText="true" indent="0" shrinkToFit="false"/>
      <protection locked="true" hidden="false"/>
    </xf>
    <xf numFmtId="164" fontId="31" fillId="0" borderId="18" xfId="45" applyFont="true" applyBorder="true" applyAlignment="true" applyProtection="false">
      <alignment horizontal="right" vertical="bottom" textRotation="0" wrapText="true" indent="0" shrinkToFit="false"/>
      <protection locked="true" hidden="false"/>
    </xf>
    <xf numFmtId="164" fontId="31" fillId="0" borderId="19" xfId="45" applyFont="true" applyBorder="true" applyAlignment="true" applyProtection="false">
      <alignment horizontal="right" vertical="bottom" textRotation="0" wrapText="true" indent="0" shrinkToFit="false"/>
      <protection locked="true" hidden="false"/>
    </xf>
    <xf numFmtId="164" fontId="31" fillId="0" borderId="20" xfId="45" applyFont="true" applyBorder="true" applyAlignment="true" applyProtection="false">
      <alignment horizontal="right" vertical="bottom" textRotation="0" wrapText="true" indent="0" shrinkToFit="false"/>
      <protection locked="true" hidden="false"/>
    </xf>
    <xf numFmtId="164" fontId="31" fillId="0" borderId="21" xfId="45" applyFont="true" applyBorder="true" applyAlignment="true" applyProtection="false">
      <alignment horizontal="right" vertical="bottom" textRotation="0" wrapText="true" indent="0" shrinkToFit="false"/>
      <protection locked="true" hidden="false"/>
    </xf>
    <xf numFmtId="164" fontId="31" fillId="6" borderId="17" xfId="45" applyFont="true" applyBorder="true" applyAlignment="true" applyProtection="false">
      <alignment horizontal="left" vertical="bottom" textRotation="0" wrapText="true" indent="0" shrinkToFit="false"/>
      <protection locked="true" hidden="false"/>
    </xf>
    <xf numFmtId="164" fontId="31" fillId="7" borderId="17" xfId="52" applyFont="true" applyBorder="true" applyAlignment="true" applyProtection="false">
      <alignment horizontal="left" vertical="bottom" textRotation="0" wrapText="true" indent="0" shrinkToFit="false"/>
      <protection locked="true" hidden="false"/>
    </xf>
    <xf numFmtId="164" fontId="31" fillId="6" borderId="17" xfId="52" applyFont="true" applyBorder="true" applyAlignment="true" applyProtection="false">
      <alignment horizontal="left" vertical="bottom" textRotation="0" wrapText="true" indent="0" shrinkToFit="false"/>
      <protection locked="true" hidden="false"/>
    </xf>
    <xf numFmtId="174" fontId="32" fillId="6" borderId="17" xfId="52" applyFont="true" applyBorder="true" applyAlignment="true" applyProtection="false">
      <alignment horizontal="left" vertical="bottom" textRotation="0" wrapText="true" indent="0" shrinkToFit="false"/>
      <protection locked="true" hidden="false"/>
    </xf>
    <xf numFmtId="164" fontId="35" fillId="6" borderId="17" xfId="45" applyFont="true" applyBorder="true" applyAlignment="true" applyProtection="false">
      <alignment horizontal="right" vertical="bottom" textRotation="0" wrapText="true" indent="0" shrinkToFit="false"/>
      <protection locked="true" hidden="false"/>
    </xf>
    <xf numFmtId="164" fontId="32" fillId="0" borderId="0" xfId="0" applyFont="true" applyBorder="false" applyAlignment="false" applyProtection="false">
      <alignment horizontal="general" vertical="bottom" textRotation="0" wrapText="false" indent="0" shrinkToFit="false"/>
      <protection locked="true" hidden="false"/>
    </xf>
    <xf numFmtId="164" fontId="8" fillId="0" borderId="17" xfId="0" applyFont="true" applyBorder="true" applyAlignment="false" applyProtection="false">
      <alignment horizontal="general" vertical="bottom" textRotation="0" wrapText="false" indent="0" shrinkToFit="false"/>
      <protection locked="true" hidden="false"/>
    </xf>
    <xf numFmtId="164" fontId="8" fillId="0" borderId="0" xfId="0" applyFont="true" applyBorder="true" applyAlignment="false" applyProtection="false">
      <alignment horizontal="general" vertical="bottom" textRotation="0" wrapText="false" indent="0" shrinkToFit="false"/>
      <protection locked="true" hidden="false"/>
    </xf>
    <xf numFmtId="176" fontId="8" fillId="7" borderId="0" xfId="0" applyFont="true" applyBorder="true" applyAlignment="false" applyProtection="false">
      <alignment horizontal="general" vertical="bottom" textRotation="0" wrapText="false" indent="0" shrinkToFit="false"/>
      <protection locked="true" hidden="false"/>
    </xf>
    <xf numFmtId="164" fontId="8" fillId="6" borderId="0" xfId="45" applyFont="true" applyBorder="true" applyAlignment="true" applyProtection="false">
      <alignment horizontal="right" vertical="bottom" textRotation="0" wrapText="true" indent="0" shrinkToFit="false"/>
      <protection locked="true" hidden="false"/>
    </xf>
    <xf numFmtId="164" fontId="8" fillId="0" borderId="0" xfId="45" applyFont="true" applyBorder="true" applyAlignment="true" applyProtection="false">
      <alignment horizontal="right" vertical="bottom" textRotation="0" wrapText="true" indent="0" shrinkToFit="false"/>
      <protection locked="true" hidden="false"/>
    </xf>
    <xf numFmtId="176" fontId="34" fillId="0" borderId="17" xfId="0" applyFont="true" applyBorder="true" applyAlignment="false" applyProtection="false">
      <alignment horizontal="general" vertical="bottom" textRotation="0" wrapText="false" indent="0" shrinkToFit="false"/>
      <protection locked="true" hidden="false"/>
    </xf>
    <xf numFmtId="176" fontId="34" fillId="6" borderId="0" xfId="0" applyFont="true" applyBorder="true" applyAlignment="false" applyProtection="false">
      <alignment horizontal="general" vertical="bottom" textRotation="0" wrapText="false" indent="0" shrinkToFit="false"/>
      <protection locked="true" hidden="false"/>
    </xf>
    <xf numFmtId="177" fontId="32" fillId="0" borderId="17" xfId="52" applyFont="true" applyBorder="true" applyAlignment="true" applyProtection="false">
      <alignment horizontal="right" vertical="bottom" textRotation="0" wrapText="true" indent="0" shrinkToFit="false"/>
      <protection locked="true" hidden="false"/>
    </xf>
    <xf numFmtId="176" fontId="34" fillId="0" borderId="0" xfId="0" applyFont="true" applyBorder="true" applyAlignment="false" applyProtection="false">
      <alignment horizontal="general" vertical="bottom" textRotation="0" wrapText="false" indent="0" shrinkToFit="false"/>
      <protection locked="true" hidden="false"/>
    </xf>
    <xf numFmtId="177" fontId="8" fillId="0" borderId="17" xfId="0" applyFont="true" applyBorder="true" applyAlignment="false" applyProtection="false">
      <alignment horizontal="general" vertical="bottom" textRotation="0" wrapText="false" indent="0" shrinkToFit="false"/>
      <protection locked="true" hidden="false"/>
    </xf>
    <xf numFmtId="164" fontId="32" fillId="6" borderId="17" xfId="45" applyFont="true" applyBorder="true" applyAlignment="true" applyProtection="false">
      <alignment horizontal="right" vertical="bottom" textRotation="0" wrapText="true" indent="0" shrinkToFit="false"/>
      <protection locked="true" hidden="false"/>
    </xf>
    <xf numFmtId="164" fontId="8" fillId="6" borderId="0" xfId="52" applyFont="true" applyBorder="true" applyAlignment="true" applyProtection="false">
      <alignment horizontal="left" vertical="bottom" textRotation="0" wrapText="true" indent="0" shrinkToFit="false"/>
      <protection locked="true" hidden="false"/>
    </xf>
    <xf numFmtId="174" fontId="8" fillId="6" borderId="0" xfId="52" applyFont="true" applyBorder="true" applyAlignment="true" applyProtection="false">
      <alignment horizontal="left" vertical="bottom" textRotation="0" wrapText="true" indent="0" shrinkToFit="false"/>
      <protection locked="true" hidden="false"/>
    </xf>
    <xf numFmtId="174" fontId="8" fillId="0" borderId="17" xfId="0" applyFont="true" applyBorder="true" applyAlignment="false" applyProtection="false">
      <alignment horizontal="general" vertical="bottom" textRotation="0" wrapText="false" indent="0" shrinkToFit="false"/>
      <protection locked="true" hidden="false"/>
    </xf>
    <xf numFmtId="176" fontId="18" fillId="0" borderId="17" xfId="0" applyFont="true" applyBorder="true" applyAlignment="false" applyProtection="false">
      <alignment horizontal="general" vertical="bottom" textRotation="0" wrapText="false" indent="0" shrinkToFit="false"/>
      <protection locked="true" hidden="false"/>
    </xf>
    <xf numFmtId="164" fontId="8" fillId="0" borderId="0" xfId="0" applyFont="true" applyBorder="true" applyAlignment="false" applyProtection="false">
      <alignment horizontal="general" vertical="bottom" textRotation="0" wrapText="false" indent="0" shrinkToFit="false"/>
      <protection locked="true" hidden="false"/>
    </xf>
    <xf numFmtId="164" fontId="31" fillId="0" borderId="0" xfId="45" applyFont="true" applyBorder="true" applyAlignment="true" applyProtection="false">
      <alignment horizontal="left" vertical="bottom" textRotation="0" wrapText="true" indent="0" shrinkToFit="false"/>
      <protection locked="true" hidden="false"/>
    </xf>
    <xf numFmtId="164" fontId="31" fillId="0" borderId="0" xfId="52" applyFont="true" applyBorder="true" applyAlignment="true" applyProtection="false">
      <alignment horizontal="left" vertical="bottom" textRotation="0" wrapText="true" indent="0" shrinkToFit="false"/>
      <protection locked="true" hidden="false"/>
    </xf>
    <xf numFmtId="168" fontId="31" fillId="0" borderId="0" xfId="15" applyFont="true" applyBorder="true" applyAlignment="true" applyProtection="true">
      <alignment horizontal="right" vertical="bottom" textRotation="0" wrapText="true" indent="0" shrinkToFit="false"/>
      <protection locked="true" hidden="false"/>
    </xf>
    <xf numFmtId="164" fontId="31" fillId="0" borderId="0" xfId="52" applyFont="true" applyBorder="true" applyAlignment="true" applyProtection="false">
      <alignment horizontal="right" vertical="bottom" textRotation="0" wrapText="true" indent="0" shrinkToFit="false"/>
      <protection locked="true" hidden="false"/>
    </xf>
    <xf numFmtId="174" fontId="31" fillId="0" borderId="0" xfId="52" applyFont="true" applyBorder="true" applyAlignment="true" applyProtection="false">
      <alignment horizontal="left" vertical="bottom" textRotation="0" wrapText="true" indent="0" shrinkToFit="false"/>
      <protection locked="true" hidden="false"/>
    </xf>
    <xf numFmtId="168" fontId="31" fillId="0" borderId="18" xfId="15" applyFont="true" applyBorder="true" applyAlignment="true" applyProtection="true">
      <alignment horizontal="left" vertical="bottom" textRotation="0" wrapText="true" indent="0" shrinkToFit="false"/>
      <protection locked="true" hidden="false"/>
    </xf>
    <xf numFmtId="168" fontId="18" fillId="0" borderId="22" xfId="15" applyFont="true" applyBorder="true" applyAlignment="true" applyProtection="true">
      <alignment horizontal="general" vertical="bottom" textRotation="0" wrapText="false" indent="0" shrinkToFit="false"/>
      <protection locked="true" hidden="false"/>
    </xf>
    <xf numFmtId="168" fontId="18" fillId="9" borderId="22" xfId="15" applyFont="true" applyBorder="true" applyAlignment="true" applyProtection="true">
      <alignment horizontal="general" vertical="bottom" textRotation="0" wrapText="false" indent="0" shrinkToFit="false"/>
      <protection locked="tru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18" fillId="0" borderId="23" xfId="0" applyFont="true" applyBorder="true" applyAlignment="false" applyProtection="false">
      <alignment horizontal="general" vertical="bottom" textRotation="0" wrapText="false" indent="0" shrinkToFit="false"/>
      <protection locked="true" hidden="false"/>
    </xf>
    <xf numFmtId="168" fontId="18" fillId="0" borderId="23" xfId="15" applyFont="true" applyBorder="true" applyAlignment="true" applyProtection="true">
      <alignment horizontal="general" vertical="bottom" textRotation="0" wrapText="false" indent="0" shrinkToFit="false"/>
      <protection locked="true" hidden="false"/>
    </xf>
    <xf numFmtId="168" fontId="18" fillId="6" borderId="23" xfId="0" applyFont="true" applyBorder="true" applyAlignment="false" applyProtection="false">
      <alignment horizontal="general" vertical="bottom" textRotation="0" wrapText="false" indent="0" shrinkToFit="false"/>
      <protection locked="true" hidden="false"/>
    </xf>
    <xf numFmtId="168" fontId="18" fillId="0" borderId="23" xfId="0" applyFont="true" applyBorder="true" applyAlignment="false" applyProtection="false">
      <alignment horizontal="general" vertical="bottom" textRotation="0" wrapText="false" indent="0" shrinkToFit="false"/>
      <protection locked="true" hidden="false"/>
    </xf>
    <xf numFmtId="164" fontId="0" fillId="0" borderId="0" xfId="50" applyFont="false" applyBorder="false" applyAlignment="false" applyProtection="false">
      <alignment horizontal="general" vertical="bottom" textRotation="0" wrapText="false" indent="0" shrinkToFit="false"/>
      <protection locked="true" hidden="false"/>
    </xf>
    <xf numFmtId="178" fontId="0" fillId="0" borderId="0" xfId="19" applyFont="true" applyBorder="true" applyAlignment="true" applyProtection="true">
      <alignment horizontal="general" vertical="bottom" textRotation="0" wrapText="false" indent="0" shrinkToFit="false"/>
      <protection locked="true" hidden="false"/>
    </xf>
    <xf numFmtId="164" fontId="38" fillId="0" borderId="0" xfId="50" applyFont="true" applyBorder="false" applyAlignment="false" applyProtection="false">
      <alignment horizontal="general" vertical="bottom" textRotation="0" wrapText="false" indent="0" shrinkToFit="false"/>
      <protection locked="true" hidden="false"/>
    </xf>
    <xf numFmtId="164" fontId="13" fillId="0" borderId="0" xfId="50" applyFont="true" applyBorder="false" applyAlignment="false" applyProtection="false">
      <alignment horizontal="general" vertical="bottom" textRotation="0" wrapText="false" indent="0" shrinkToFit="false"/>
      <protection locked="true" hidden="false"/>
    </xf>
    <xf numFmtId="164" fontId="18" fillId="0" borderId="0" xfId="50" applyFont="true" applyBorder="false" applyAlignment="true" applyProtection="false">
      <alignment horizontal="center" vertical="bottom" textRotation="0" wrapText="false" indent="0" shrinkToFit="false"/>
      <protection locked="true" hidden="false"/>
    </xf>
    <xf numFmtId="178" fontId="18" fillId="0" borderId="0" xfId="19" applyFont="true" applyBorder="true" applyAlignment="true" applyProtection="true">
      <alignment horizontal="center" vertical="bottom" textRotation="0" wrapText="false" indent="0" shrinkToFit="false"/>
      <protection locked="true" hidden="false"/>
    </xf>
    <xf numFmtId="164" fontId="39" fillId="0" borderId="0" xfId="50" applyFont="true" applyBorder="false" applyAlignment="true" applyProtection="false">
      <alignment horizontal="center" vertical="bottom" textRotation="0" wrapText="false" indent="0" shrinkToFit="false"/>
      <protection locked="true" hidden="false"/>
    </xf>
    <xf numFmtId="178" fontId="39" fillId="0" borderId="0" xfId="19" applyFont="true" applyBorder="true" applyAlignment="true" applyProtection="true">
      <alignment horizontal="center" vertical="bottom" textRotation="0" wrapText="false" indent="0" shrinkToFit="false"/>
      <protection locked="true" hidden="false"/>
    </xf>
    <xf numFmtId="171" fontId="0" fillId="0" borderId="0" xfId="23" applyFont="true" applyBorder="true" applyAlignment="true" applyProtection="true">
      <alignment horizontal="general" vertical="bottom" textRotation="0" wrapText="false" indent="0" shrinkToFit="false"/>
      <protection locked="true" hidden="false"/>
    </xf>
    <xf numFmtId="171" fontId="0" fillId="0" borderId="0" xfId="50" applyFont="false" applyBorder="false" applyAlignment="false" applyProtection="false">
      <alignment horizontal="general" vertical="bottom" textRotation="0" wrapText="false" indent="0" shrinkToFit="false"/>
      <protection locked="true" hidden="false"/>
    </xf>
    <xf numFmtId="171" fontId="0" fillId="9" borderId="0" xfId="23" applyFont="true" applyBorder="true" applyAlignment="true" applyProtection="true">
      <alignment horizontal="general" vertical="bottom" textRotation="0" wrapText="false" indent="0" shrinkToFit="false"/>
      <protection locked="true" hidden="false"/>
    </xf>
    <xf numFmtId="171" fontId="0" fillId="0" borderId="24" xfId="23" applyFont="true" applyBorder="true" applyAlignment="true" applyProtection="true">
      <alignment horizontal="general" vertical="bottom" textRotation="0" wrapText="false" indent="0" shrinkToFit="false"/>
      <protection locked="true" hidden="false"/>
    </xf>
    <xf numFmtId="164" fontId="0" fillId="0" borderId="24" xfId="50" applyFont="false" applyBorder="true" applyAlignment="false" applyProtection="false">
      <alignment horizontal="general" vertical="bottom" textRotation="0" wrapText="false" indent="0" shrinkToFit="false"/>
      <protection locked="true" hidden="false"/>
    </xf>
    <xf numFmtId="164" fontId="40" fillId="0" borderId="0" xfId="50" applyFont="true" applyBorder="false" applyAlignment="false" applyProtection="false">
      <alignment horizontal="general" vertical="bottom" textRotation="0" wrapText="false" indent="0" shrinkToFit="false"/>
      <protection locked="true" hidden="false"/>
    </xf>
    <xf numFmtId="167" fontId="0" fillId="0" borderId="0" xfId="15" applyFont="true" applyBorder="true" applyAlignment="true" applyProtection="true">
      <alignment horizontal="general" vertical="bottom" textRotation="0" wrapText="false" indent="0" shrinkToFit="false"/>
      <protection locked="true" hidden="false"/>
    </xf>
    <xf numFmtId="165" fontId="0" fillId="0" borderId="0" xfId="23" applyFont="true" applyBorder="true" applyAlignment="true" applyProtection="true">
      <alignment horizontal="general" vertical="bottom" textRotation="0" wrapText="false" indent="0" shrinkToFit="false"/>
      <protection locked="true" hidden="false"/>
    </xf>
    <xf numFmtId="171" fontId="18" fillId="0" borderId="0" xfId="23" applyFont="true" applyBorder="true" applyAlignment="true" applyProtection="true">
      <alignment horizontal="general" vertical="bottom" textRotation="0" wrapText="false" indent="0" shrinkToFit="false"/>
      <protection locked="true" hidden="false"/>
    </xf>
    <xf numFmtId="171" fontId="18" fillId="0" borderId="0" xfId="50" applyFont="true" applyBorder="false" applyAlignment="false" applyProtection="false">
      <alignment horizontal="general" vertical="bottom" textRotation="0" wrapText="false" indent="0" shrinkToFit="false"/>
      <protection locked="true" hidden="false"/>
    </xf>
    <xf numFmtId="178" fontId="18" fillId="0" borderId="0" xfId="19" applyFont="true" applyBorder="true" applyAlignment="true" applyProtection="true">
      <alignment horizontal="general" vertical="bottom" textRotation="0" wrapText="false" indent="0" shrinkToFit="false"/>
      <protection locked="true" hidden="false"/>
    </xf>
    <xf numFmtId="170" fontId="18" fillId="0" borderId="0" xfId="19" applyFont="true" applyBorder="true" applyAlignment="true" applyProtection="true">
      <alignment horizontal="general" vertical="bottom" textRotation="0" wrapText="false" indent="0" shrinkToFit="false"/>
      <protection locked="true" hidden="false"/>
    </xf>
    <xf numFmtId="171" fontId="0" fillId="0" borderId="14" xfId="50" applyFont="false" applyBorder="true" applyAlignment="false" applyProtection="false">
      <alignment horizontal="general" vertical="bottom" textRotation="0" wrapText="false" indent="0" shrinkToFit="false"/>
      <protection locked="true" hidden="false"/>
    </xf>
    <xf numFmtId="171" fontId="0" fillId="0" borderId="0" xfId="50" applyFont="false" applyBorder="true" applyAlignment="false" applyProtection="false">
      <alignment horizontal="general" vertical="bottom" textRotation="0" wrapText="false" indent="0" shrinkToFit="false"/>
      <protection locked="true" hidden="false"/>
    </xf>
    <xf numFmtId="171" fontId="0" fillId="6" borderId="0" xfId="23" applyFont="true" applyBorder="true" applyAlignment="true" applyProtection="true">
      <alignment horizontal="general" vertical="bottom" textRotation="0" wrapText="false" indent="0" shrinkToFit="false"/>
      <protection locked="true" hidden="false"/>
    </xf>
    <xf numFmtId="164" fontId="0" fillId="0" borderId="0" xfId="50" applyFont="false" applyBorder="true" applyAlignment="false" applyProtection="false">
      <alignment horizontal="general" vertical="bottom" textRotation="0" wrapText="false" indent="0" shrinkToFit="false"/>
      <protection locked="true" hidden="false"/>
    </xf>
    <xf numFmtId="164" fontId="41" fillId="0" borderId="0" xfId="50" applyFont="true" applyBorder="false" applyAlignment="false" applyProtection="false">
      <alignment horizontal="general" vertical="bottom" textRotation="0" wrapText="false" indent="0" shrinkToFit="false"/>
      <protection locked="true" hidden="false"/>
    </xf>
    <xf numFmtId="171" fontId="0" fillId="6" borderId="0" xfId="50" applyFont="false" applyBorder="true" applyAlignment="false" applyProtection="false">
      <alignment horizontal="general" vertical="bottom" textRotation="0" wrapText="false" indent="0" shrinkToFit="false"/>
      <protection locked="true" hidden="false"/>
    </xf>
    <xf numFmtId="170" fontId="18" fillId="6" borderId="0" xfId="19" applyFont="true" applyBorder="true" applyAlignment="true" applyProtection="true">
      <alignment horizontal="general" vertical="bottom" textRotation="0" wrapText="false" indent="0" shrinkToFit="false"/>
      <protection locked="true" hidden="false"/>
    </xf>
    <xf numFmtId="171" fontId="18" fillId="6" borderId="0" xfId="23" applyFont="true" applyBorder="true" applyAlignment="true" applyProtection="true">
      <alignment horizontal="general" vertical="bottom" textRotation="0" wrapText="false" indent="0" shrinkToFit="false"/>
      <protection locked="true" hidden="false"/>
    </xf>
    <xf numFmtId="167" fontId="0" fillId="0" borderId="0" xfId="50" applyFont="false" applyBorder="false" applyAlignment="false" applyProtection="false">
      <alignment horizontal="general" vertical="bottom" textRotation="0" wrapText="false" indent="0" shrinkToFit="false"/>
      <protection locked="true" hidden="false"/>
    </xf>
    <xf numFmtId="179" fontId="0" fillId="0" borderId="0" xfId="50" applyFont="false" applyBorder="false" applyAlignment="false" applyProtection="false">
      <alignment horizontal="general" vertical="bottom" textRotation="0" wrapText="false" indent="0" shrinkToFit="false"/>
      <protection locked="true" hidden="false"/>
    </xf>
    <xf numFmtId="164" fontId="42" fillId="0" borderId="0" xfId="51" applyFont="true" applyBorder="false" applyAlignment="false" applyProtection="false">
      <alignment horizontal="general" vertical="bottom" textRotation="0" wrapText="false" indent="0" shrinkToFit="false"/>
      <protection locked="true" hidden="false"/>
    </xf>
    <xf numFmtId="164" fontId="4" fillId="0" borderId="25" xfId="51" applyFont="false" applyBorder="true" applyAlignment="false" applyProtection="false">
      <alignment horizontal="general" vertical="bottom" textRotation="0" wrapText="false" indent="0" shrinkToFit="false"/>
      <protection locked="true" hidden="false"/>
    </xf>
    <xf numFmtId="164" fontId="4" fillId="0" borderId="25" xfId="51" applyFont="true" applyBorder="true" applyAlignment="true" applyProtection="false">
      <alignment horizontal="center" vertical="bottom" textRotation="0" wrapText="false" indent="0" shrinkToFit="false"/>
      <protection locked="true" hidden="false"/>
    </xf>
    <xf numFmtId="164" fontId="4" fillId="0" borderId="16" xfId="51" applyFont="true" applyBorder="true" applyAlignment="true" applyProtection="false">
      <alignment horizontal="center" vertical="bottom" textRotation="0" wrapText="false" indent="0" shrinkToFit="false"/>
      <protection locked="true" hidden="false"/>
    </xf>
    <xf numFmtId="164" fontId="43" fillId="0" borderId="26" xfId="51" applyFont="true" applyBorder="true" applyAlignment="false" applyProtection="false">
      <alignment horizontal="general" vertical="bottom" textRotation="0" wrapText="false" indent="0" shrinkToFit="false"/>
      <protection locked="true" hidden="false"/>
    </xf>
    <xf numFmtId="164" fontId="4" fillId="0" borderId="26" xfId="51" applyFont="false" applyBorder="true" applyAlignment="false" applyProtection="false">
      <alignment horizontal="general" vertical="bottom" textRotation="0" wrapText="false" indent="0" shrinkToFit="false"/>
      <protection locked="true" hidden="false"/>
    </xf>
    <xf numFmtId="164" fontId="4" fillId="0" borderId="27" xfId="51" applyFont="false" applyBorder="true" applyAlignment="false" applyProtection="false">
      <alignment horizontal="general" vertical="bottom" textRotation="0" wrapText="false" indent="0" shrinkToFit="false"/>
      <protection locked="true" hidden="false"/>
    </xf>
    <xf numFmtId="164" fontId="4" fillId="0" borderId="1" xfId="51" applyFont="true" applyBorder="true" applyAlignment="false" applyProtection="false">
      <alignment horizontal="general" vertical="bottom" textRotation="0" wrapText="false" indent="0" shrinkToFit="false"/>
      <protection locked="true" hidden="false"/>
    </xf>
    <xf numFmtId="164" fontId="4" fillId="0" borderId="28" xfId="51" applyFont="false" applyBorder="true" applyAlignment="false" applyProtection="false">
      <alignment horizontal="general" vertical="bottom" textRotation="0" wrapText="false" indent="0" shrinkToFit="false"/>
      <protection locked="true" hidden="false"/>
    </xf>
    <xf numFmtId="164" fontId="44" fillId="0" borderId="1" xfId="51" applyFont="true" applyBorder="true" applyAlignment="false" applyProtection="false">
      <alignment horizontal="general" vertical="bottom" textRotation="0" wrapText="false" indent="0" shrinkToFit="false"/>
      <protection locked="true" hidden="false"/>
    </xf>
    <xf numFmtId="168" fontId="4" fillId="0" borderId="1" xfId="15" applyFont="true" applyBorder="true" applyAlignment="true" applyProtection="true">
      <alignment horizontal="general" vertical="bottom" textRotation="0" wrapText="false" indent="0" shrinkToFit="false"/>
      <protection locked="true" hidden="false"/>
    </xf>
    <xf numFmtId="168" fontId="4" fillId="0" borderId="28" xfId="15" applyFont="true" applyBorder="true" applyAlignment="true" applyProtection="true">
      <alignment horizontal="general" vertical="bottom" textRotation="0" wrapText="false" indent="0" shrinkToFit="false"/>
      <protection locked="true" hidden="false"/>
    </xf>
    <xf numFmtId="168" fontId="4" fillId="0" borderId="29" xfId="15" applyFont="true" applyBorder="true" applyAlignment="true" applyProtection="true">
      <alignment horizontal="general" vertical="bottom" textRotation="0" wrapText="false" indent="0" shrinkToFit="false"/>
      <protection locked="true" hidden="false"/>
    </xf>
    <xf numFmtId="178" fontId="4" fillId="0" borderId="28" xfId="51" applyFont="false" applyBorder="true" applyAlignment="false" applyProtection="false">
      <alignment horizontal="general" vertical="bottom" textRotation="0" wrapText="false" indent="0" shrinkToFit="false"/>
      <protection locked="true" hidden="false"/>
    </xf>
    <xf numFmtId="164" fontId="43" fillId="0" borderId="1" xfId="51" applyFont="true" applyBorder="true" applyAlignment="false" applyProtection="false">
      <alignment horizontal="general" vertical="bottom" textRotation="0" wrapText="false" indent="0" shrinkToFit="false"/>
      <protection locked="true" hidden="false"/>
    </xf>
    <xf numFmtId="164" fontId="45" fillId="0" borderId="0" xfId="51" applyFont="true" applyBorder="false" applyAlignment="false" applyProtection="false">
      <alignment horizontal="general" vertical="bottom" textRotation="0" wrapText="false" indent="0" shrinkToFit="false"/>
      <protection locked="true" hidden="false"/>
    </xf>
    <xf numFmtId="168" fontId="4" fillId="0" borderId="1" xfId="51" applyFont="false" applyBorder="true" applyAlignment="false" applyProtection="false">
      <alignment horizontal="general" vertical="bottom" textRotation="0" wrapText="false" indent="0" shrinkToFit="false"/>
      <protection locked="true" hidden="false"/>
    </xf>
    <xf numFmtId="164" fontId="4" fillId="0" borderId="24" xfId="51" applyFont="true" applyBorder="true" applyAlignment="false" applyProtection="false">
      <alignment horizontal="general" vertical="bottom" textRotation="0" wrapText="false" indent="0" shrinkToFit="false"/>
      <protection locked="true" hidden="false"/>
    </xf>
    <xf numFmtId="168" fontId="4" fillId="0" borderId="30" xfId="15" applyFont="true" applyBorder="true" applyAlignment="true" applyProtection="true">
      <alignment horizontal="general" vertical="bottom" textRotation="0" wrapText="false" indent="0" shrinkToFit="false"/>
      <protection locked="true" hidden="false"/>
    </xf>
    <xf numFmtId="168" fontId="4" fillId="0" borderId="31" xfId="15" applyFont="true" applyBorder="true" applyAlignment="true" applyProtection="true">
      <alignment horizontal="general" vertical="bottom" textRotation="0" wrapText="false" indent="0" shrinkToFit="false"/>
      <protection locked="true" hidden="false"/>
    </xf>
    <xf numFmtId="164" fontId="43" fillId="0" borderId="0" xfId="51" applyFont="true" applyBorder="true" applyAlignment="true" applyProtection="false">
      <alignment horizontal="left" vertical="bottom" textRotation="0" wrapText="false" indent="0" shrinkToFit="false"/>
      <protection locked="true" hidden="false"/>
    </xf>
    <xf numFmtId="168" fontId="44" fillId="0" borderId="0" xfId="15" applyFont="true" applyBorder="true" applyAlignment="true" applyProtection="true">
      <alignment horizontal="general" vertical="bottom" textRotation="0" wrapText="false" indent="0" shrinkToFit="false"/>
      <protection locked="true" hidden="false"/>
    </xf>
    <xf numFmtId="164" fontId="4" fillId="0" borderId="16" xfId="51" applyFont="false" applyBorder="true" applyAlignment="false" applyProtection="false">
      <alignment horizontal="general" vertical="bottom" textRotation="0" wrapText="false" indent="0" shrinkToFit="false"/>
      <protection locked="true" hidden="false"/>
    </xf>
    <xf numFmtId="168" fontId="4" fillId="0" borderId="16" xfId="15" applyFont="true" applyBorder="true" applyAlignment="true" applyProtection="true">
      <alignment horizontal="center" vertical="bottom" textRotation="0" wrapText="true" indent="0" shrinkToFit="false"/>
      <protection locked="true" hidden="false"/>
    </xf>
    <xf numFmtId="164" fontId="4" fillId="0" borderId="32" xfId="51" applyFont="true" applyBorder="true" applyAlignment="true" applyProtection="false">
      <alignment horizontal="center" vertical="bottom" textRotation="0" wrapText="true" indent="0" shrinkToFit="false"/>
      <protection locked="true" hidden="false"/>
    </xf>
    <xf numFmtId="164" fontId="4" fillId="0" borderId="16" xfId="51" applyFont="true" applyBorder="true" applyAlignment="true" applyProtection="false">
      <alignment horizontal="general" vertical="bottom" textRotation="0" wrapText="true" indent="0" shrinkToFit="false"/>
      <protection locked="true" hidden="false"/>
    </xf>
    <xf numFmtId="168" fontId="4" fillId="0" borderId="16" xfId="15" applyFont="true" applyBorder="true" applyAlignment="true" applyProtection="true">
      <alignment horizontal="center" vertical="bottom" textRotation="0" wrapText="false" indent="0" shrinkToFit="false"/>
      <protection locked="true" hidden="false"/>
    </xf>
    <xf numFmtId="168" fontId="4" fillId="0" borderId="31" xfId="51" applyFont="false" applyBorder="true" applyAlignment="false" applyProtection="false">
      <alignment horizontal="general" vertical="bottom" textRotation="0" wrapText="false" indent="0" shrinkToFit="false"/>
      <protection locked="true" hidden="false"/>
    </xf>
    <xf numFmtId="164" fontId="4" fillId="0" borderId="16" xfId="51" applyFont="true" applyBorder="true" applyAlignment="true" applyProtection="false">
      <alignment horizontal="general" vertical="bottom" textRotation="0" wrapText="false" indent="0" shrinkToFit="false"/>
      <protection locked="true" hidden="false"/>
    </xf>
    <xf numFmtId="168" fontId="4" fillId="0" borderId="16" xfId="15" applyFont="true" applyBorder="true" applyAlignment="true" applyProtection="true">
      <alignment horizontal="general" vertical="bottom" textRotation="0" wrapText="false" indent="0" shrinkToFit="false"/>
      <protection locked="true" hidden="false"/>
    </xf>
    <xf numFmtId="168" fontId="4" fillId="0" borderId="16" xfId="51" applyFont="true" applyBorder="true" applyAlignment="true" applyProtection="false">
      <alignment horizontal="general" vertical="bottom" textRotation="0" wrapText="false" indent="0" shrinkToFit="false"/>
      <protection locked="true" hidden="false"/>
    </xf>
    <xf numFmtId="168" fontId="4" fillId="0" borderId="0" xfId="51" applyFont="true" applyBorder="true" applyAlignment="true" applyProtection="false">
      <alignment horizontal="general" vertical="bottom" textRotation="0" wrapText="false" indent="0" shrinkToFit="false"/>
      <protection locked="true" hidden="false"/>
    </xf>
    <xf numFmtId="168" fontId="4" fillId="0" borderId="0" xfId="51" applyFont="false" applyBorder="true" applyAlignment="false" applyProtection="false">
      <alignment horizontal="general" vertical="bottom" textRotation="0" wrapText="false" indent="0" shrinkToFit="false"/>
      <protection locked="true" hidden="false"/>
    </xf>
    <xf numFmtId="164" fontId="43" fillId="0" borderId="0" xfId="51" applyFont="true" applyBorder="true" applyAlignment="false" applyProtection="false">
      <alignment horizontal="general" vertical="bottom" textRotation="0" wrapText="false" indent="0" shrinkToFit="false"/>
      <protection locked="true" hidden="false"/>
    </xf>
    <xf numFmtId="164" fontId="44" fillId="0" borderId="0" xfId="51" applyFont="true" applyBorder="true" applyAlignment="true" applyProtection="false">
      <alignment horizontal="general" vertical="bottom" textRotation="0" wrapText="false" indent="0" shrinkToFit="false"/>
      <protection locked="true" hidden="false"/>
    </xf>
    <xf numFmtId="164" fontId="45" fillId="0" borderId="0" xfId="51" applyFont="true" applyBorder="true" applyAlignment="false" applyProtection="false">
      <alignment horizontal="general" vertical="bottom" textRotation="0" wrapText="false" indent="0" shrinkToFit="false"/>
      <protection locked="true" hidden="false"/>
    </xf>
    <xf numFmtId="164" fontId="4" fillId="0" borderId="0" xfId="51" applyFont="true" applyBorder="true" applyAlignment="true" applyProtection="false">
      <alignment horizontal="general" vertical="bottom" textRotation="0" wrapText="false" indent="0" shrinkToFit="false"/>
      <protection locked="true" hidden="false"/>
    </xf>
    <xf numFmtId="180" fontId="44" fillId="0" borderId="0" xfId="19" applyFont="true" applyBorder="true" applyAlignment="true" applyProtection="true">
      <alignment horizontal="general" vertical="bottom" textRotation="0" wrapText="false" indent="0" shrinkToFit="false"/>
      <protection locked="true" hidden="false"/>
    </xf>
    <xf numFmtId="164" fontId="4" fillId="0" borderId="0" xfId="51" applyFont="true" applyBorder="false" applyAlignment="false" applyProtection="false">
      <alignment horizontal="general" vertical="bottom" textRotation="0" wrapText="false" indent="0" shrinkToFit="false"/>
      <protection locked="true" hidden="false"/>
    </xf>
    <xf numFmtId="164" fontId="46" fillId="0" borderId="0" xfId="51" applyFont="true" applyBorder="false" applyAlignment="true" applyProtection="false">
      <alignment horizontal="right" vertical="bottom" textRotation="0" wrapText="false" indent="0" shrinkToFit="false"/>
      <protection locked="true" hidden="false"/>
    </xf>
    <xf numFmtId="164" fontId="44" fillId="0" borderId="0" xfId="51" applyFont="true" applyBorder="false" applyAlignment="true" applyProtection="false">
      <alignment horizontal="right" vertical="bottom" textRotation="0" wrapText="false" indent="0" shrinkToFit="false"/>
      <protection locked="true" hidden="false"/>
    </xf>
    <xf numFmtId="179" fontId="4" fillId="0" borderId="0" xfId="51" applyFont="false" applyBorder="false" applyAlignment="false" applyProtection="false">
      <alignment horizontal="general" vertical="bottom" textRotation="0" wrapText="false" indent="0" shrinkToFit="false"/>
      <protection locked="true" hidden="false"/>
    </xf>
    <xf numFmtId="164" fontId="34" fillId="0" borderId="0" xfId="0" applyFont="true" applyBorder="false" applyAlignment="false" applyProtection="false">
      <alignment horizontal="general" vertical="bottom" textRotation="0" wrapText="false" indent="0" shrinkToFit="false"/>
      <protection locked="true" hidden="false"/>
    </xf>
    <xf numFmtId="164" fontId="34" fillId="10" borderId="0" xfId="0" applyFont="true" applyBorder="false" applyAlignment="false" applyProtection="false">
      <alignment horizontal="general" vertical="bottom" textRotation="0" wrapText="false" indent="0" shrinkToFit="false"/>
      <protection locked="true" hidden="false"/>
    </xf>
    <xf numFmtId="164" fontId="47" fillId="0" borderId="16" xfId="45" applyFont="true" applyBorder="true" applyAlignment="true" applyProtection="false">
      <alignment horizontal="center" vertical="center" textRotation="0" wrapText="true" indent="0" shrinkToFit="false"/>
      <protection locked="true" hidden="false"/>
    </xf>
    <xf numFmtId="164" fontId="48" fillId="10" borderId="0" xfId="0" applyFont="true" applyBorder="false" applyAlignment="true" applyProtection="false">
      <alignment horizontal="center" vertical="center" textRotation="90" wrapText="false" indent="0" shrinkToFit="false"/>
      <protection locked="true" hidden="false"/>
    </xf>
    <xf numFmtId="164" fontId="47" fillId="0" borderId="17" xfId="45" applyFont="true" applyBorder="true" applyAlignment="true" applyProtection="false">
      <alignment horizontal="right" vertical="bottom" textRotation="0" wrapText="true" indent="0" shrinkToFit="false"/>
      <protection locked="true" hidden="false"/>
    </xf>
    <xf numFmtId="164" fontId="47" fillId="0" borderId="17" xfId="45" applyFont="true" applyBorder="true" applyAlignment="true" applyProtection="false">
      <alignment horizontal="left" vertical="bottom" textRotation="0" wrapText="true" indent="0" shrinkToFit="false"/>
      <protection locked="true" hidden="false"/>
    </xf>
    <xf numFmtId="164" fontId="47" fillId="0" borderId="17" xfId="52" applyFont="true" applyBorder="true" applyAlignment="true" applyProtection="false">
      <alignment horizontal="left" vertical="bottom" textRotation="0" wrapText="true" indent="0" shrinkToFit="false"/>
      <protection locked="true" hidden="false"/>
    </xf>
    <xf numFmtId="168" fontId="47" fillId="0" borderId="17" xfId="15" applyFont="true" applyBorder="true" applyAlignment="true" applyProtection="true">
      <alignment horizontal="right" vertical="bottom" textRotation="0" wrapText="true" indent="0" shrinkToFit="false"/>
      <protection locked="true" hidden="false"/>
    </xf>
    <xf numFmtId="168" fontId="47" fillId="0" borderId="17" xfId="15" applyFont="true" applyBorder="true" applyAlignment="true" applyProtection="true">
      <alignment horizontal="left" vertical="bottom" textRotation="0" wrapText="true" indent="0" shrinkToFit="false"/>
      <protection locked="true" hidden="false"/>
    </xf>
    <xf numFmtId="176" fontId="49" fillId="0" borderId="0" xfId="0" applyFont="true" applyBorder="false" applyAlignment="false" applyProtection="false">
      <alignment horizontal="general" vertical="bottom" textRotation="0" wrapText="false" indent="0" shrinkToFit="false"/>
      <protection locked="true" hidden="false"/>
    </xf>
    <xf numFmtId="164" fontId="34" fillId="0" borderId="17" xfId="45" applyFont="true" applyBorder="true" applyAlignment="true" applyProtection="false">
      <alignment horizontal="right" vertical="bottom" textRotation="0" wrapText="true" indent="0" shrinkToFit="false"/>
      <protection locked="true" hidden="false"/>
    </xf>
    <xf numFmtId="164" fontId="34" fillId="0" borderId="17" xfId="45" applyFont="true" applyBorder="true" applyAlignment="true" applyProtection="false">
      <alignment horizontal="left" vertical="bottom" textRotation="0" wrapText="true" indent="0" shrinkToFit="false"/>
      <protection locked="true" hidden="false"/>
    </xf>
    <xf numFmtId="164" fontId="50" fillId="0" borderId="17" xfId="52" applyFont="true" applyBorder="true" applyAlignment="true" applyProtection="false">
      <alignment horizontal="left" vertical="bottom" textRotation="0" wrapText="true" indent="0" shrinkToFit="false"/>
      <protection locked="true" hidden="false"/>
    </xf>
    <xf numFmtId="168" fontId="50" fillId="0" borderId="17" xfId="15" applyFont="true" applyBorder="true" applyAlignment="true" applyProtection="true">
      <alignment horizontal="right" vertical="bottom" textRotation="0" wrapText="true" indent="0" shrinkToFit="false"/>
      <protection locked="true" hidden="false"/>
    </xf>
    <xf numFmtId="164" fontId="34" fillId="6" borderId="17" xfId="0" applyFont="true" applyBorder="true" applyAlignment="false" applyProtection="false">
      <alignment horizontal="general" vertical="bottom" textRotation="0" wrapText="false" indent="0" shrinkToFit="false"/>
      <protection locked="true" hidden="false"/>
    </xf>
    <xf numFmtId="164" fontId="34" fillId="0" borderId="17" xfId="0" applyFont="true" applyBorder="true" applyAlignment="false" applyProtection="false">
      <alignment horizontal="general" vertical="bottom" textRotation="0" wrapText="false" indent="0" shrinkToFit="false"/>
      <protection locked="true" hidden="false"/>
    </xf>
    <xf numFmtId="168" fontId="34" fillId="0" borderId="17" xfId="15" applyFont="true" applyBorder="true" applyAlignment="true" applyProtection="true">
      <alignment horizontal="general" vertical="bottom" textRotation="0" wrapText="false" indent="0" shrinkToFit="false"/>
      <protection locked="true" hidden="false"/>
    </xf>
    <xf numFmtId="164" fontId="34" fillId="6" borderId="17" xfId="45" applyFont="true" applyBorder="true" applyAlignment="true" applyProtection="false">
      <alignment horizontal="right" vertical="bottom" textRotation="0" wrapText="true" indent="0" shrinkToFit="false"/>
      <protection locked="true" hidden="false"/>
    </xf>
    <xf numFmtId="164" fontId="34" fillId="6" borderId="17" xfId="45" applyFont="true" applyBorder="true" applyAlignment="true" applyProtection="false">
      <alignment horizontal="left" vertical="bottom" textRotation="0" wrapText="true" indent="0" shrinkToFit="false"/>
      <protection locked="true" hidden="false"/>
    </xf>
    <xf numFmtId="164" fontId="47" fillId="6" borderId="17" xfId="45" applyFont="true" applyBorder="true" applyAlignment="true" applyProtection="false">
      <alignment horizontal="right" vertical="bottom" textRotation="0" wrapText="true" indent="0" shrinkToFit="false"/>
      <protection locked="true" hidden="false"/>
    </xf>
    <xf numFmtId="164" fontId="47" fillId="6" borderId="17" xfId="45" applyFont="true" applyBorder="true" applyAlignment="true" applyProtection="false">
      <alignment horizontal="left" vertical="bottom" textRotation="0" wrapText="true" indent="0" shrinkToFit="false"/>
      <protection locked="true" hidden="false"/>
    </xf>
    <xf numFmtId="164" fontId="47" fillId="0" borderId="0" xfId="45" applyFont="true" applyBorder="true" applyAlignment="true" applyProtection="false">
      <alignment horizontal="right" vertical="bottom" textRotation="0" wrapText="true" indent="0" shrinkToFit="false"/>
      <protection locked="true" hidden="false"/>
    </xf>
    <xf numFmtId="164" fontId="47" fillId="0" borderId="0" xfId="45" applyFont="true" applyBorder="true" applyAlignment="true" applyProtection="false">
      <alignment horizontal="left" vertical="bottom" textRotation="0" wrapText="true" indent="0" shrinkToFit="false"/>
      <protection locked="true" hidden="false"/>
    </xf>
    <xf numFmtId="164" fontId="47" fillId="0" borderId="0" xfId="52" applyFont="true" applyBorder="true" applyAlignment="true" applyProtection="false">
      <alignment horizontal="left" vertical="bottom" textRotation="0" wrapText="true" indent="0" shrinkToFit="false"/>
      <protection locked="true" hidden="false"/>
    </xf>
    <xf numFmtId="168" fontId="47" fillId="0" borderId="0" xfId="15" applyFont="true" applyBorder="true" applyAlignment="true" applyProtection="true">
      <alignment horizontal="right" vertical="bottom" textRotation="0" wrapText="true" indent="0" shrinkToFit="false"/>
      <protection locked="true" hidden="false"/>
    </xf>
    <xf numFmtId="168" fontId="47" fillId="0" borderId="18" xfId="15" applyFont="true" applyBorder="true" applyAlignment="true" applyProtection="true">
      <alignment horizontal="left" vertical="bottom" textRotation="0" wrapText="true" indent="0" shrinkToFit="false"/>
      <protection locked="true" hidden="false"/>
    </xf>
    <xf numFmtId="168" fontId="49" fillId="0" borderId="0" xfId="15" applyFont="true" applyBorder="true" applyAlignment="true" applyProtection="true">
      <alignment horizontal="general" vertical="bottom" textRotation="0" wrapText="false" indent="0" shrinkToFit="false"/>
      <protection locked="true" hidden="false"/>
    </xf>
    <xf numFmtId="168" fontId="49" fillId="0" borderId="22" xfId="15" applyFont="true" applyBorder="true" applyAlignment="true" applyProtection="true">
      <alignment horizontal="general" vertical="bottom" textRotation="0" wrapText="false" indent="0" shrinkToFit="false"/>
      <protection locked="true" hidden="false"/>
    </xf>
    <xf numFmtId="168" fontId="49" fillId="10" borderId="0" xfId="15" applyFont="true" applyBorder="true" applyAlignment="true" applyProtection="true">
      <alignment horizontal="general" vertical="bottom" textRotation="0" wrapText="false" indent="0" shrinkToFit="false"/>
      <protection locked="true" hidden="false"/>
    </xf>
    <xf numFmtId="164" fontId="49" fillId="0" borderId="0" xfId="0" applyFont="true" applyBorder="true" applyAlignment="false" applyProtection="false">
      <alignment horizontal="general" vertical="bottom" textRotation="0" wrapText="false" indent="0" shrinkToFit="false"/>
      <protection locked="true" hidden="false"/>
    </xf>
    <xf numFmtId="164" fontId="49" fillId="0" borderId="23" xfId="0" applyFont="true" applyBorder="true" applyAlignment="false" applyProtection="false">
      <alignment horizontal="general" vertical="bottom" textRotation="0" wrapText="false" indent="0" shrinkToFit="false"/>
      <protection locked="true" hidden="false"/>
    </xf>
    <xf numFmtId="164" fontId="49" fillId="10" borderId="0" xfId="0" applyFont="true" applyBorder="false" applyAlignment="false" applyProtection="false">
      <alignment horizontal="general" vertical="bottom" textRotation="0" wrapText="false" indent="0" shrinkToFit="false"/>
      <protection locked="true" hidden="false"/>
    </xf>
    <xf numFmtId="164" fontId="51" fillId="2" borderId="0" xfId="0" applyFont="true" applyBorder="false" applyAlignment="false" applyProtection="false">
      <alignment horizontal="general" vertical="bottom" textRotation="0" wrapText="false" indent="0" shrinkToFit="false"/>
      <protection locked="true" hidden="false"/>
    </xf>
    <xf numFmtId="164" fontId="34" fillId="0" borderId="0" xfId="0" applyFont="true" applyBorder="false" applyAlignment="true" applyProtection="false">
      <alignment horizontal="general" vertical="bottom" textRotation="60" wrapText="false" indent="0" shrinkToFit="false"/>
      <protection locked="true" hidden="false"/>
    </xf>
    <xf numFmtId="164" fontId="48" fillId="10" borderId="0" xfId="0" applyFont="true" applyBorder="false" applyAlignment="true" applyProtection="false">
      <alignment horizontal="center" vertical="center" textRotation="90" wrapText="true" indent="0" shrinkToFit="false"/>
      <protection locked="true" hidden="false"/>
    </xf>
    <xf numFmtId="164" fontId="51" fillId="2" borderId="0" xfId="0" applyFont="true" applyBorder="false" applyAlignment="true" applyProtection="false">
      <alignment horizontal="general" vertical="bottom" textRotation="60" wrapText="false" indent="0" shrinkToFit="false"/>
      <protection locked="true" hidden="false"/>
    </xf>
    <xf numFmtId="164" fontId="47" fillId="0" borderId="17" xfId="52" applyFont="true" applyBorder="true" applyAlignment="true" applyProtection="false">
      <alignment horizontal="right" vertical="bottom" textRotation="0" wrapText="true" indent="0" shrinkToFit="false"/>
      <protection locked="true" hidden="false"/>
    </xf>
    <xf numFmtId="168" fontId="34" fillId="0" borderId="0" xfId="15" applyFont="true" applyBorder="true" applyAlignment="true" applyProtection="true">
      <alignment horizontal="general" vertical="bottom" textRotation="0" wrapText="false" indent="0" shrinkToFit="false"/>
      <protection locked="true" hidden="false"/>
    </xf>
    <xf numFmtId="174" fontId="47" fillId="0" borderId="17" xfId="52" applyFont="true" applyBorder="true" applyAlignment="true" applyProtection="false">
      <alignment horizontal="left" vertical="bottom" textRotation="0" wrapText="true" indent="0" shrinkToFit="false"/>
      <protection locked="true" hidden="false"/>
    </xf>
    <xf numFmtId="164" fontId="50" fillId="0" borderId="17" xfId="52" applyFont="true" applyBorder="true" applyAlignment="true" applyProtection="false">
      <alignment horizontal="right" vertical="bottom" textRotation="0" wrapText="true" indent="0" shrinkToFit="false"/>
      <protection locked="true" hidden="false"/>
    </xf>
    <xf numFmtId="164" fontId="34" fillId="0" borderId="17" xfId="52" applyFont="true" applyBorder="true" applyAlignment="true" applyProtection="false">
      <alignment horizontal="left" vertical="bottom" textRotation="0" wrapText="true" indent="0" shrinkToFit="false"/>
      <protection locked="true" hidden="false"/>
    </xf>
    <xf numFmtId="174" fontId="34" fillId="0" borderId="17" xfId="52" applyFont="true" applyBorder="true" applyAlignment="true" applyProtection="false">
      <alignment horizontal="left" vertical="bottom" textRotation="0" wrapText="true" indent="0" shrinkToFit="false"/>
      <protection locked="true" hidden="false"/>
    </xf>
    <xf numFmtId="176" fontId="34" fillId="0" borderId="0" xfId="0" applyFont="true" applyBorder="true" applyAlignment="false" applyProtection="false">
      <alignment horizontal="general" vertical="bottom" textRotation="0" wrapText="false" indent="0" shrinkToFit="false"/>
      <protection locked="true" hidden="false"/>
    </xf>
    <xf numFmtId="164" fontId="34" fillId="0" borderId="0" xfId="0" applyFont="true" applyBorder="false" applyAlignment="false" applyProtection="false">
      <alignment horizontal="general" vertical="bottom" textRotation="0" wrapText="false" indent="0" shrinkToFit="false"/>
      <protection locked="true" hidden="false"/>
    </xf>
    <xf numFmtId="174" fontId="34" fillId="6" borderId="17" xfId="0" applyFont="true" applyBorder="true" applyAlignment="false" applyProtection="false">
      <alignment horizontal="general" vertical="bottom" textRotation="0" wrapText="false" indent="0" shrinkToFit="false"/>
      <protection locked="true" hidden="false"/>
    </xf>
    <xf numFmtId="164" fontId="34" fillId="6" borderId="0" xfId="0" applyFont="true" applyBorder="true" applyAlignment="false" applyProtection="false">
      <alignment horizontal="general" vertical="bottom" textRotation="0" wrapText="false" indent="0" shrinkToFit="false"/>
      <protection locked="true" hidden="false"/>
    </xf>
    <xf numFmtId="164" fontId="34" fillId="7" borderId="17" xfId="52" applyFont="true" applyBorder="true" applyAlignment="true" applyProtection="false">
      <alignment horizontal="left" vertical="bottom" textRotation="0" wrapText="true" indent="0" shrinkToFit="false"/>
      <protection locked="true" hidden="false"/>
    </xf>
    <xf numFmtId="164" fontId="34" fillId="6" borderId="17" xfId="52" applyFont="true" applyBorder="true" applyAlignment="true" applyProtection="false">
      <alignment horizontal="left" vertical="bottom" textRotation="0" wrapText="true" indent="0" shrinkToFit="false"/>
      <protection locked="true" hidden="false"/>
    </xf>
    <xf numFmtId="174" fontId="34" fillId="6" borderId="17" xfId="52" applyFont="true" applyBorder="true" applyAlignment="true" applyProtection="false">
      <alignment horizontal="left" vertical="bottom" textRotation="0" wrapText="true" indent="0" shrinkToFit="false"/>
      <protection locked="true" hidden="false"/>
    </xf>
    <xf numFmtId="164" fontId="34" fillId="7" borderId="0" xfId="0" applyFont="true" applyBorder="false" applyAlignment="false" applyProtection="false">
      <alignment horizontal="general" vertical="bottom" textRotation="0" wrapText="false" indent="0" shrinkToFit="false"/>
      <protection locked="true" hidden="false"/>
    </xf>
    <xf numFmtId="176" fontId="34" fillId="0" borderId="0" xfId="0" applyFont="true" applyBorder="false" applyAlignment="false" applyProtection="false">
      <alignment horizontal="general" vertical="bottom" textRotation="0" wrapText="false" indent="0" shrinkToFit="false"/>
      <protection locked="true" hidden="false"/>
    </xf>
    <xf numFmtId="174" fontId="47" fillId="0" borderId="17" xfId="45" applyFont="true" applyBorder="true" applyAlignment="true" applyProtection="false">
      <alignment horizontal="right" vertical="bottom" textRotation="0" wrapText="true" indent="0" shrinkToFit="false"/>
      <protection locked="true" hidden="false"/>
    </xf>
    <xf numFmtId="164" fontId="34" fillId="6" borderId="0" xfId="0" applyFont="true" applyBorder="false" applyAlignment="false" applyProtection="false">
      <alignment horizontal="general" vertical="bottom" textRotation="0" wrapText="false" indent="0" shrinkToFit="false"/>
      <protection locked="true" hidden="false"/>
    </xf>
    <xf numFmtId="176" fontId="34" fillId="0" borderId="17" xfId="0" applyFont="true" applyBorder="true" applyAlignment="false" applyProtection="false">
      <alignment horizontal="general" vertical="bottom" textRotation="0" wrapText="false" indent="0" shrinkToFit="false"/>
      <protection locked="true" hidden="false"/>
    </xf>
    <xf numFmtId="164" fontId="34" fillId="8" borderId="0" xfId="0" applyFont="true" applyBorder="false" applyAlignment="false" applyProtection="false">
      <alignment horizontal="general" vertical="bottom" textRotation="0" wrapText="false" indent="0" shrinkToFit="false"/>
      <protection locked="true" hidden="false"/>
    </xf>
    <xf numFmtId="164" fontId="34" fillId="8" borderId="17" xfId="52" applyFont="true" applyBorder="true" applyAlignment="true" applyProtection="false">
      <alignment horizontal="left" vertical="bottom" textRotation="0" wrapText="true" indent="0" shrinkToFit="false"/>
      <protection locked="true" hidden="false"/>
    </xf>
    <xf numFmtId="164" fontId="50" fillId="6" borderId="17" xfId="52" applyFont="true" applyBorder="true" applyAlignment="true" applyProtection="false">
      <alignment horizontal="left" vertical="bottom" textRotation="0" wrapText="true" indent="0" shrinkToFit="false"/>
      <protection locked="true" hidden="false"/>
    </xf>
    <xf numFmtId="164" fontId="47" fillId="0" borderId="18" xfId="45" applyFont="true" applyBorder="true" applyAlignment="true" applyProtection="false">
      <alignment horizontal="right" vertical="bottom" textRotation="0" wrapText="true" indent="0" shrinkToFit="false"/>
      <protection locked="true" hidden="false"/>
    </xf>
    <xf numFmtId="164" fontId="47" fillId="0" borderId="19" xfId="45" applyFont="true" applyBorder="true" applyAlignment="true" applyProtection="false">
      <alignment horizontal="right" vertical="bottom" textRotation="0" wrapText="true" indent="0" shrinkToFit="false"/>
      <protection locked="true" hidden="false"/>
    </xf>
    <xf numFmtId="164" fontId="47" fillId="0" borderId="20" xfId="45" applyFont="true" applyBorder="true" applyAlignment="true" applyProtection="false">
      <alignment horizontal="right" vertical="bottom" textRotation="0" wrapText="true" indent="0" shrinkToFit="false"/>
      <protection locked="true" hidden="false"/>
    </xf>
    <xf numFmtId="164" fontId="47" fillId="0" borderId="21" xfId="45" applyFont="true" applyBorder="true" applyAlignment="true" applyProtection="false">
      <alignment horizontal="right" vertical="bottom" textRotation="0" wrapText="true" indent="0" shrinkToFit="false"/>
      <protection locked="true" hidden="false"/>
    </xf>
    <xf numFmtId="164" fontId="47" fillId="7" borderId="17" xfId="52" applyFont="true" applyBorder="true" applyAlignment="true" applyProtection="false">
      <alignment horizontal="left" vertical="bottom" textRotation="0" wrapText="true" indent="0" shrinkToFit="false"/>
      <protection locked="true" hidden="false"/>
    </xf>
    <xf numFmtId="164" fontId="47" fillId="6" borderId="17" xfId="52" applyFont="true" applyBorder="true" applyAlignment="true" applyProtection="false">
      <alignment horizontal="left" vertical="bottom" textRotation="0" wrapText="true" indent="0" shrinkToFit="false"/>
      <protection locked="true" hidden="false"/>
    </xf>
    <xf numFmtId="174" fontId="50" fillId="6" borderId="17" xfId="52" applyFont="true" applyBorder="true" applyAlignment="true" applyProtection="false">
      <alignment horizontal="left" vertical="bottom" textRotation="0" wrapText="true" indent="0" shrinkToFit="false"/>
      <protection locked="true" hidden="false"/>
    </xf>
    <xf numFmtId="164" fontId="50" fillId="0" borderId="0" xfId="0" applyFont="true" applyBorder="false" applyAlignment="false" applyProtection="false">
      <alignment horizontal="general" vertical="bottom" textRotation="0" wrapText="false" indent="0" shrinkToFit="false"/>
      <protection locked="true" hidden="false"/>
    </xf>
    <xf numFmtId="164" fontId="50" fillId="6" borderId="0" xfId="0" applyFont="true" applyBorder="false" applyAlignment="false" applyProtection="false">
      <alignment horizontal="general" vertical="bottom" textRotation="0" wrapText="false" indent="0" shrinkToFit="false"/>
      <protection locked="true" hidden="false"/>
    </xf>
    <xf numFmtId="164" fontId="34" fillId="0" borderId="17" xfId="0" applyFont="true" applyBorder="true" applyAlignment="false" applyProtection="false">
      <alignment horizontal="general" vertical="bottom" textRotation="0" wrapText="false" indent="0" shrinkToFit="false"/>
      <protection locked="true" hidden="false"/>
    </xf>
    <xf numFmtId="164" fontId="34" fillId="0" borderId="0" xfId="0" applyFont="true" applyBorder="true" applyAlignment="false" applyProtection="false">
      <alignment horizontal="general" vertical="bottom" textRotation="0" wrapText="false" indent="0" shrinkToFit="false"/>
      <protection locked="true" hidden="false"/>
    </xf>
    <xf numFmtId="176" fontId="34" fillId="7" borderId="0" xfId="0" applyFont="true" applyBorder="true" applyAlignment="false" applyProtection="false">
      <alignment horizontal="general" vertical="bottom" textRotation="0" wrapText="false" indent="0" shrinkToFit="false"/>
      <protection locked="true" hidden="false"/>
    </xf>
    <xf numFmtId="164" fontId="34" fillId="6" borderId="0" xfId="45" applyFont="true" applyBorder="true" applyAlignment="true" applyProtection="false">
      <alignment horizontal="right" vertical="bottom" textRotation="0" wrapText="true" indent="0" shrinkToFit="false"/>
      <protection locked="true" hidden="false"/>
    </xf>
    <xf numFmtId="164" fontId="34" fillId="0" borderId="0" xfId="45" applyFont="true" applyBorder="true" applyAlignment="true" applyProtection="false">
      <alignment horizontal="right" vertical="bottom" textRotation="0" wrapText="true" indent="0" shrinkToFit="false"/>
      <protection locked="true" hidden="false"/>
    </xf>
    <xf numFmtId="177" fontId="50" fillId="0" borderId="17" xfId="52" applyFont="true" applyBorder="true" applyAlignment="true" applyProtection="false">
      <alignment horizontal="right" vertical="bottom" textRotation="0" wrapText="true" indent="0" shrinkToFit="false"/>
      <protection locked="true" hidden="false"/>
    </xf>
    <xf numFmtId="177" fontId="34" fillId="0" borderId="17" xfId="0" applyFont="true" applyBorder="true" applyAlignment="false" applyProtection="false">
      <alignment horizontal="general" vertical="bottom" textRotation="0" wrapText="false" indent="0" shrinkToFit="false"/>
      <protection locked="true" hidden="false"/>
    </xf>
    <xf numFmtId="164" fontId="50" fillId="6" borderId="17" xfId="45" applyFont="true" applyBorder="true" applyAlignment="true" applyProtection="false">
      <alignment horizontal="right" vertical="bottom" textRotation="0" wrapText="true" indent="0" shrinkToFit="false"/>
      <protection locked="true" hidden="false"/>
    </xf>
    <xf numFmtId="164" fontId="34" fillId="6" borderId="0" xfId="52" applyFont="true" applyBorder="true" applyAlignment="true" applyProtection="false">
      <alignment horizontal="left" vertical="bottom" textRotation="0" wrapText="true" indent="0" shrinkToFit="false"/>
      <protection locked="true" hidden="false"/>
    </xf>
    <xf numFmtId="174" fontId="34" fillId="6" borderId="0" xfId="52" applyFont="true" applyBorder="true" applyAlignment="true" applyProtection="false">
      <alignment horizontal="left" vertical="bottom" textRotation="0" wrapText="true" indent="0" shrinkToFit="false"/>
      <protection locked="true" hidden="false"/>
    </xf>
    <xf numFmtId="174" fontId="34" fillId="0" borderId="17" xfId="0" applyFont="true" applyBorder="true" applyAlignment="false" applyProtection="false">
      <alignment horizontal="general" vertical="bottom" textRotation="0" wrapText="false" indent="0" shrinkToFit="false"/>
      <protection locked="true" hidden="false"/>
    </xf>
    <xf numFmtId="176" fontId="49" fillId="0" borderId="17" xfId="0" applyFont="true" applyBorder="true" applyAlignment="false" applyProtection="false">
      <alignment horizontal="general" vertical="bottom" textRotation="0" wrapText="false" indent="0" shrinkToFit="false"/>
      <protection locked="true" hidden="false"/>
    </xf>
    <xf numFmtId="164" fontId="34" fillId="0" borderId="0" xfId="0" applyFont="true" applyBorder="true" applyAlignment="false" applyProtection="false">
      <alignment horizontal="general" vertical="bottom" textRotation="0" wrapText="false" indent="0" shrinkToFit="false"/>
      <protection locked="true" hidden="false"/>
    </xf>
    <xf numFmtId="164" fontId="47" fillId="0" borderId="0" xfId="52" applyFont="true" applyBorder="true" applyAlignment="true" applyProtection="false">
      <alignment horizontal="right" vertical="bottom" textRotation="0" wrapText="true" indent="0" shrinkToFit="false"/>
      <protection locked="true" hidden="false"/>
    </xf>
    <xf numFmtId="174" fontId="47" fillId="0" borderId="0" xfId="52" applyFont="true" applyBorder="true" applyAlignment="true" applyProtection="false">
      <alignment horizontal="left" vertical="bottom" textRotation="0" wrapText="true" indent="0" shrinkToFit="false"/>
      <protection locked="true" hidden="false"/>
    </xf>
    <xf numFmtId="176" fontId="49" fillId="0" borderId="24" xfId="0" applyFont="true" applyBorder="true" applyAlignment="false" applyProtection="false">
      <alignment horizontal="general" vertical="bottom" textRotation="0" wrapText="false" indent="0" shrinkToFit="false"/>
      <protection locked="true" hidden="false"/>
    </xf>
    <xf numFmtId="168" fontId="49" fillId="9" borderId="22" xfId="15" applyFont="true" applyBorder="true" applyAlignment="true" applyProtection="true">
      <alignment horizontal="general" vertical="bottom" textRotation="0" wrapText="false" indent="0" shrinkToFit="false"/>
      <protection locked="true" hidden="false"/>
    </xf>
    <xf numFmtId="164" fontId="49" fillId="0" borderId="22" xfId="15" applyFont="true" applyBorder="true" applyAlignment="true" applyProtection="true">
      <alignment horizontal="general" vertical="bottom" textRotation="0" wrapText="false" indent="0" shrinkToFit="false"/>
      <protection locked="true" hidden="false"/>
    </xf>
    <xf numFmtId="176" fontId="49" fillId="0" borderId="22" xfId="15" applyFont="true" applyBorder="true" applyAlignment="true" applyProtection="true">
      <alignment horizontal="general" vertical="bottom" textRotation="0" wrapText="false" indent="0" shrinkToFit="false"/>
      <protection locked="true" hidden="false"/>
    </xf>
    <xf numFmtId="168" fontId="52" fillId="2" borderId="0" xfId="15" applyFont="true" applyBorder="true" applyAlignment="true" applyProtection="true">
      <alignment horizontal="general" vertical="bottom" textRotation="0" wrapText="false" indent="0" shrinkToFit="false"/>
      <protection locked="true" hidden="false"/>
    </xf>
    <xf numFmtId="168" fontId="49" fillId="0" borderId="23" xfId="15" applyFont="true" applyBorder="true" applyAlignment="true" applyProtection="true">
      <alignment horizontal="general" vertical="bottom" textRotation="0" wrapText="false" indent="0" shrinkToFit="false"/>
      <protection locked="true" hidden="false"/>
    </xf>
    <xf numFmtId="168" fontId="49" fillId="6" borderId="23" xfId="0" applyFont="true" applyBorder="true" applyAlignment="false" applyProtection="false">
      <alignment horizontal="general" vertical="bottom" textRotation="0" wrapText="false" indent="0" shrinkToFit="false"/>
      <protection locked="true" hidden="false"/>
    </xf>
    <xf numFmtId="168" fontId="49" fillId="0" borderId="23" xfId="0" applyFont="true" applyBorder="true" applyAlignment="false" applyProtection="false">
      <alignment horizontal="general" vertical="bottom" textRotation="0" wrapText="false" indent="0" shrinkToFit="false"/>
      <protection locked="true" hidden="false"/>
    </xf>
    <xf numFmtId="164" fontId="49" fillId="0" borderId="0" xfId="0" applyFont="true" applyBorder="false" applyAlignment="false" applyProtection="false">
      <alignment horizontal="general" vertical="bottom" textRotation="0" wrapText="false" indent="0" shrinkToFit="false"/>
      <protection locked="true" hidden="false"/>
    </xf>
    <xf numFmtId="164" fontId="52" fillId="2" borderId="0" xfId="0" applyFont="true" applyBorder="false" applyAlignment="false" applyProtection="false">
      <alignment horizontal="general" vertical="bottom" textRotation="0" wrapText="false" indent="0" shrinkToFit="false"/>
      <protection locked="true" hidden="false"/>
    </xf>
    <xf numFmtId="164" fontId="53" fillId="0" borderId="0" xfId="51" applyFont="true" applyBorder="false" applyAlignment="false" applyProtection="false">
      <alignment horizontal="general" vertical="bottom" textRotation="0" wrapText="false" indent="0" shrinkToFit="false"/>
      <protection locked="true" hidden="false"/>
    </xf>
    <xf numFmtId="164" fontId="54" fillId="0" borderId="0" xfId="51" applyFont="true" applyBorder="false" applyAlignment="false" applyProtection="false">
      <alignment horizontal="general" vertical="bottom" textRotation="0" wrapText="false" indent="0" shrinkToFit="false"/>
      <protection locked="true" hidden="false"/>
    </xf>
    <xf numFmtId="164" fontId="54" fillId="0" borderId="0" xfId="51" applyFont="true" applyBorder="false" applyAlignment="true" applyProtection="false">
      <alignment horizontal="center" vertical="bottom" textRotation="0" wrapText="false" indent="0" shrinkToFit="false"/>
      <protection locked="true" hidden="false"/>
    </xf>
    <xf numFmtId="164" fontId="4" fillId="0" borderId="0" xfId="51" applyFont="true" applyBorder="false" applyAlignment="true" applyProtection="false">
      <alignment horizontal="center" vertical="bottom" textRotation="0" wrapText="false" indent="0" shrinkToFit="false"/>
      <protection locked="true" hidden="false"/>
    </xf>
    <xf numFmtId="164" fontId="55" fillId="0" borderId="0" xfId="51" applyFont="true" applyBorder="false" applyAlignment="true" applyProtection="false">
      <alignment horizontal="center" vertical="bottom" textRotation="0" wrapText="true" indent="0" shrinkToFit="false"/>
      <protection locked="true" hidden="false"/>
    </xf>
    <xf numFmtId="171" fontId="4" fillId="6" borderId="0" xfId="24" applyFont="true" applyBorder="true" applyAlignment="true" applyProtection="true">
      <alignment horizontal="general" vertical="bottom" textRotation="0" wrapText="false" indent="0" shrinkToFit="false"/>
      <protection locked="true" hidden="false"/>
    </xf>
    <xf numFmtId="171" fontId="4" fillId="0" borderId="0" xfId="24" applyFont="true" applyBorder="true" applyAlignment="true" applyProtection="true">
      <alignment horizontal="general" vertical="bottom" textRotation="0" wrapText="false" indent="0" shrinkToFit="false"/>
      <protection locked="true" hidden="false"/>
    </xf>
    <xf numFmtId="171" fontId="4" fillId="9" borderId="0" xfId="24" applyFont="true" applyBorder="true" applyAlignment="true" applyProtection="true">
      <alignment horizontal="general" vertical="bottom" textRotation="0" wrapText="false" indent="0" shrinkToFit="false"/>
      <protection locked="true" hidden="false"/>
    </xf>
    <xf numFmtId="171" fontId="44" fillId="0" borderId="0" xfId="24" applyFont="true" applyBorder="true" applyAlignment="true" applyProtection="true">
      <alignment horizontal="general" vertical="bottom" textRotation="0" wrapText="false" indent="0" shrinkToFit="false"/>
      <protection locked="true" hidden="false"/>
    </xf>
    <xf numFmtId="168" fontId="4" fillId="0" borderId="0" xfId="15" applyFont="true" applyBorder="true" applyAlignment="true" applyProtection="true">
      <alignment horizontal="center" vertical="bottom" textRotation="0" wrapText="false" indent="0" shrinkToFit="false"/>
      <protection locked="true" hidden="false"/>
    </xf>
    <xf numFmtId="178" fontId="4" fillId="0" borderId="0" xfId="19" applyFont="true" applyBorder="true" applyAlignment="true" applyProtection="true">
      <alignment horizontal="general" vertical="bottom" textRotation="0" wrapText="false" indent="0" shrinkToFit="false"/>
      <protection locked="true" hidden="false"/>
    </xf>
    <xf numFmtId="170" fontId="56" fillId="0" borderId="0" xfId="19" applyFont="true" applyBorder="true" applyAlignment="true" applyProtection="true">
      <alignment horizontal="general" vertical="bottom" textRotation="0" wrapText="false" indent="0" shrinkToFit="false"/>
      <protection locked="true" hidden="false"/>
    </xf>
    <xf numFmtId="164" fontId="4" fillId="0" borderId="24" xfId="51" applyFont="true" applyBorder="true" applyAlignment="true" applyProtection="false">
      <alignment horizontal="center" vertical="bottom" textRotation="0" wrapText="false" indent="0" shrinkToFit="false"/>
      <protection locked="true" hidden="false"/>
    </xf>
    <xf numFmtId="181" fontId="44" fillId="9" borderId="0" xfId="24" applyFont="true" applyBorder="true" applyAlignment="true" applyProtection="true">
      <alignment horizontal="general" vertical="bottom" textRotation="0" wrapText="false" indent="0" shrinkToFit="false"/>
      <protection locked="true" hidden="false"/>
    </xf>
    <xf numFmtId="165" fontId="44" fillId="0" borderId="0" xfId="24" applyFont="true" applyBorder="true" applyAlignment="true" applyProtection="true">
      <alignment horizontal="general" vertical="bottom" textRotation="0" wrapText="false" indent="0" shrinkToFit="false"/>
      <protection locked="true" hidden="false"/>
    </xf>
    <xf numFmtId="171" fontId="4" fillId="0" borderId="0" xfId="51" applyFont="true" applyBorder="false" applyAlignment="false" applyProtection="false">
      <alignment horizontal="general" vertical="bottom" textRotation="0" wrapText="false" indent="0" shrinkToFit="false"/>
      <protection locked="true" hidden="false"/>
    </xf>
    <xf numFmtId="165" fontId="4" fillId="0" borderId="24" xfId="24" applyFont="true" applyBorder="true" applyAlignment="true" applyProtection="true">
      <alignment horizontal="center" vertical="bottom" textRotation="0" wrapText="false" indent="0" shrinkToFit="false"/>
      <protection locked="true" hidden="false"/>
    </xf>
    <xf numFmtId="171" fontId="4" fillId="0" borderId="24" xfId="51" applyFont="true" applyBorder="true" applyAlignment="true" applyProtection="false">
      <alignment horizontal="center" vertical="bottom" textRotation="0" wrapText="false" indent="0" shrinkToFit="false"/>
      <protection locked="true" hidden="false"/>
    </xf>
    <xf numFmtId="165" fontId="44" fillId="9" borderId="0" xfId="24" applyFont="true" applyBorder="true" applyAlignment="true" applyProtection="true">
      <alignment horizontal="general" vertical="bottom" textRotation="0" wrapText="false" indent="0" shrinkToFit="false"/>
      <protection locked="true" hidden="false"/>
    </xf>
    <xf numFmtId="170" fontId="44" fillId="0" borderId="0" xfId="19" applyFont="true" applyBorder="true" applyAlignment="true" applyProtection="true">
      <alignment horizontal="general" vertical="bottom" textRotation="0" wrapText="false" indent="0" shrinkToFit="false"/>
      <protection locked="true" hidden="false"/>
    </xf>
    <xf numFmtId="178" fontId="44" fillId="0" borderId="0" xfId="19" applyFont="true" applyBorder="true" applyAlignment="true" applyProtection="true">
      <alignment horizontal="right" vertical="bottom" textRotation="0" wrapText="false" indent="0" shrinkToFit="false"/>
      <protection locked="true" hidden="false"/>
    </xf>
    <xf numFmtId="178" fontId="44" fillId="9" borderId="0" xfId="19" applyFont="true" applyBorder="true" applyAlignment="true" applyProtection="true">
      <alignment horizontal="right" vertical="bottom" textRotation="0" wrapText="false" indent="0" shrinkToFit="false"/>
      <protection locked="true" hidden="false"/>
    </xf>
    <xf numFmtId="164" fontId="4" fillId="9" borderId="0" xfId="51" applyFont="true" applyBorder="false" applyAlignment="false" applyProtection="false">
      <alignment horizontal="general" vertical="bottom" textRotation="0" wrapText="false" indent="0" shrinkToFit="false"/>
      <protection locked="true" hidden="false"/>
    </xf>
    <xf numFmtId="178" fontId="46" fillId="0" borderId="0" xfId="19" applyFont="true" applyBorder="true" applyAlignment="true" applyProtection="true">
      <alignment horizontal="general" vertical="bottom" textRotation="0" wrapText="false" indent="0" shrinkToFit="false"/>
      <protection locked="true" hidden="false"/>
    </xf>
    <xf numFmtId="178" fontId="44" fillId="0" borderId="0" xfId="51" applyFont="true" applyBorder="false" applyAlignment="false" applyProtection="false">
      <alignment horizontal="general" vertical="bottom" textRotation="0" wrapText="false" indent="0" shrinkToFit="false"/>
      <protection locked="true" hidden="false"/>
    </xf>
    <xf numFmtId="178" fontId="44" fillId="9" borderId="0" xfId="51" applyFont="true" applyBorder="false" applyAlignment="false" applyProtection="false">
      <alignment horizontal="general" vertical="bottom" textRotation="0" wrapText="false" indent="0" shrinkToFit="false"/>
      <protection locked="true" hidden="false"/>
    </xf>
    <xf numFmtId="182" fontId="4" fillId="0" borderId="0" xfId="15" applyFont="true" applyBorder="true" applyAlignment="true" applyProtection="true">
      <alignment horizontal="general" vertical="bottom" textRotation="0" wrapText="false" indent="0" shrinkToFit="false"/>
      <protection locked="true" hidden="false"/>
    </xf>
    <xf numFmtId="178" fontId="44" fillId="9" borderId="0" xfId="19" applyFont="true" applyBorder="true" applyAlignment="true" applyProtection="true">
      <alignment horizontal="general" vertical="bottom" textRotation="0" wrapText="false" indent="0" shrinkToFit="false"/>
      <protection locked="true" hidden="false"/>
    </xf>
    <xf numFmtId="165" fontId="4" fillId="9" borderId="0" xfId="24" applyFont="true" applyBorder="true" applyAlignment="true" applyProtection="true">
      <alignment horizontal="general" vertical="bottom" textRotation="0" wrapText="false" indent="0" shrinkToFit="false"/>
      <protection locked="true" hidden="false"/>
    </xf>
    <xf numFmtId="165" fontId="4" fillId="0" borderId="0" xfId="24" applyFont="true" applyBorder="true" applyAlignment="true" applyProtection="true">
      <alignment horizontal="general" vertical="bottom" textRotation="0" wrapText="false" indent="0" shrinkToFit="false"/>
      <protection locked="true" hidden="false"/>
    </xf>
    <xf numFmtId="178" fontId="44" fillId="0" borderId="0" xfId="19" applyFont="true" applyBorder="true" applyAlignment="true" applyProtection="true">
      <alignment horizontal="general" vertical="bottom" textRotation="0" wrapText="false" indent="0" shrinkToFit="false"/>
      <protection locked="true" hidden="false"/>
    </xf>
    <xf numFmtId="178" fontId="4" fillId="0" borderId="0" xfId="24" applyFont="true" applyBorder="true" applyAlignment="true" applyProtection="true">
      <alignment horizontal="general" vertical="bottom" textRotation="0" wrapText="false" indent="0" shrinkToFit="false"/>
      <protection locked="true" hidden="false"/>
    </xf>
    <xf numFmtId="178" fontId="4" fillId="9" borderId="0" xfId="24" applyFont="true" applyBorder="true" applyAlignment="true" applyProtection="true">
      <alignment horizontal="general" vertical="bottom" textRotation="0" wrapText="false" indent="0" shrinkToFit="false"/>
      <protection locked="true" hidden="false"/>
    </xf>
    <xf numFmtId="164" fontId="4" fillId="0" borderId="0" xfId="51" applyFont="true" applyBorder="false" applyAlignment="true" applyProtection="false">
      <alignment horizontal="right" vertical="bottom" textRotation="0" wrapText="false" indent="0" shrinkToFit="false"/>
      <protection locked="true" hidden="false"/>
    </xf>
    <xf numFmtId="178" fontId="4" fillId="9" borderId="0" xfId="19" applyFont="true" applyBorder="true" applyAlignment="true" applyProtection="true">
      <alignment horizontal="general" vertical="bottom" textRotation="0" wrapText="false" indent="0" shrinkToFit="false"/>
      <protection locked="true" hidden="false"/>
    </xf>
    <xf numFmtId="164" fontId="57" fillId="0" borderId="0" xfId="51" applyFont="true" applyBorder="false" applyAlignment="false" applyProtection="false">
      <alignment horizontal="general" vertical="bottom" textRotation="0" wrapText="false" indent="0" shrinkToFit="false"/>
      <protection locked="true" hidden="false"/>
    </xf>
    <xf numFmtId="171" fontId="4" fillId="0" borderId="24" xfId="24" applyFont="false" applyBorder="true" applyAlignment="true" applyProtection="true">
      <alignment horizontal="general" vertical="bottom" textRotation="0" wrapText="false" indent="0" shrinkToFit="false"/>
      <protection locked="true" hidden="false"/>
    </xf>
    <xf numFmtId="171" fontId="4" fillId="0" borderId="0" xfId="51" applyFont="false" applyBorder="false" applyAlignment="false" applyProtection="false">
      <alignment horizontal="general" vertical="bottom" textRotation="0" wrapText="false" indent="0" shrinkToFit="false"/>
      <protection locked="true" hidden="false"/>
    </xf>
    <xf numFmtId="164" fontId="58" fillId="0" borderId="0" xfId="0" applyFont="true" applyBorder="false" applyAlignment="false" applyProtection="false">
      <alignment horizontal="general" vertical="bottom" textRotation="0" wrapText="false" indent="0" shrinkToFit="false"/>
      <protection locked="true" hidden="false"/>
    </xf>
    <xf numFmtId="164" fontId="19" fillId="0" borderId="0" xfId="0" applyFont="true" applyBorder="false" applyAlignment="false" applyProtection="false">
      <alignment horizontal="general" vertical="bottom" textRotation="0" wrapText="false" indent="0" shrinkToFit="false"/>
      <protection locked="true" hidden="false"/>
    </xf>
    <xf numFmtId="164" fontId="59" fillId="0" borderId="0" xfId="0" applyFont="true" applyBorder="false" applyAlignment="true" applyProtection="false">
      <alignment horizontal="left" vertical="bottom" textRotation="0" wrapText="false" indent="0" shrinkToFit="false"/>
      <protection locked="true" hidden="false"/>
    </xf>
    <xf numFmtId="180"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59" fillId="0" borderId="0" xfId="0" applyFont="true" applyBorder="false" applyAlignment="false" applyProtection="false">
      <alignment horizontal="general" vertical="bottom" textRotation="0" wrapText="false" indent="0" shrinkToFit="false"/>
      <protection locked="true" hidden="false"/>
    </xf>
    <xf numFmtId="168" fontId="0" fillId="9" borderId="0" xfId="15" applyFont="true" applyBorder="true" applyAlignment="true" applyProtection="true">
      <alignment horizontal="general" vertical="bottom" textRotation="0" wrapText="false" indent="0" shrinkToFit="false"/>
      <protection locked="true" hidden="false"/>
    </xf>
    <xf numFmtId="168" fontId="0" fillId="0" borderId="0" xfId="15" applyFont="true" applyBorder="true" applyAlignment="true" applyProtection="true">
      <alignment horizontal="general" vertical="bottom" textRotation="0" wrapText="false" indent="0" shrinkToFit="false"/>
      <protection locked="true" hidden="false"/>
    </xf>
    <xf numFmtId="168" fontId="0" fillId="0" borderId="24" xfId="15" applyFont="true" applyBorder="true" applyAlignment="true" applyProtection="true">
      <alignment horizontal="general" vertical="bottom" textRotation="0" wrapText="false" indent="0" shrinkToFit="false"/>
      <protection locked="tru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64" fontId="19" fillId="0" borderId="0" xfId="0" applyFont="true" applyBorder="false" applyAlignment="true" applyProtection="false">
      <alignment horizontal="center" vertical="bottom" textRotation="0" wrapText="false" indent="0" shrinkToFit="false"/>
      <protection locked="true" hidden="false"/>
    </xf>
    <xf numFmtId="180" fontId="0" fillId="0" borderId="0" xfId="19" applyFont="true" applyBorder="true" applyAlignment="true" applyProtection="true">
      <alignment horizontal="general" vertical="bottom" textRotation="0" wrapText="false" indent="0" shrinkToFit="false"/>
      <protection locked="true" hidden="false"/>
    </xf>
    <xf numFmtId="170" fontId="0" fillId="0" borderId="0" xfId="19" applyFont="true" applyBorder="true" applyAlignment="true" applyProtection="true">
      <alignment horizontal="general" vertical="bottom" textRotation="0" wrapText="false" indent="0" shrinkToFit="false"/>
      <protection locked="true" hidden="false"/>
    </xf>
    <xf numFmtId="164" fontId="39" fillId="0" borderId="0" xfId="0" applyFont="true" applyBorder="false" applyAlignment="false" applyProtection="false">
      <alignment horizontal="general" vertical="bottom" textRotation="0" wrapText="false" indent="0" shrinkToFit="false"/>
      <protection locked="true" hidden="false"/>
    </xf>
    <xf numFmtId="183" fontId="0" fillId="0" borderId="0" xfId="0" applyFont="false" applyBorder="false" applyAlignment="false" applyProtection="false">
      <alignment horizontal="general" vertical="bottom" textRotation="0" wrapText="false" indent="0" shrinkToFit="false"/>
      <protection locked="true" hidden="false"/>
    </xf>
    <xf numFmtId="180" fontId="0" fillId="9" borderId="0" xfId="19" applyFont="true" applyBorder="true" applyAlignment="true" applyProtection="true">
      <alignment horizontal="left" vertical="bottom" textRotation="0" wrapText="false" indent="0" shrinkToFit="false"/>
      <protection locked="true" hidden="false"/>
    </xf>
    <xf numFmtId="164" fontId="0" fillId="0" borderId="6" xfId="0" applyFont="false" applyBorder="true" applyAlignment="false" applyProtection="false">
      <alignment horizontal="general" vertical="bottom" textRotation="0" wrapText="false" indent="0" shrinkToFit="false"/>
      <protection locked="true" hidden="false"/>
    </xf>
    <xf numFmtId="164" fontId="0" fillId="0" borderId="33" xfId="0" applyFont="true" applyBorder="true" applyAlignment="false" applyProtection="false">
      <alignment horizontal="general" vertical="bottom" textRotation="0" wrapText="false" indent="0" shrinkToFit="false"/>
      <protection locked="true" hidden="false"/>
    </xf>
    <xf numFmtId="164" fontId="0" fillId="0" borderId="34" xfId="0" applyFont="true" applyBorder="true" applyAlignment="false" applyProtection="false">
      <alignment horizontal="general" vertical="bottom" textRotation="0" wrapText="false" indent="0" shrinkToFit="false"/>
      <protection locked="true" hidden="false"/>
    </xf>
    <xf numFmtId="180" fontId="0" fillId="0" borderId="0" xfId="19" applyFont="true" applyBorder="true" applyAlignment="true" applyProtection="true">
      <alignment horizontal="left" vertical="bottom" textRotation="0" wrapText="false" indent="0" shrinkToFit="false"/>
      <protection locked="true" hidden="false"/>
    </xf>
    <xf numFmtId="164" fontId="0" fillId="0" borderId="11" xfId="0" applyFont="true" applyBorder="true" applyAlignment="false" applyProtection="false">
      <alignment horizontal="general" vertical="bottom" textRotation="0" wrapText="false" indent="0" shrinkToFit="false"/>
      <protection locked="true" hidden="false"/>
    </xf>
    <xf numFmtId="177" fontId="0" fillId="0" borderId="0" xfId="0" applyFont="false" applyBorder="true" applyAlignment="false" applyProtection="false">
      <alignment horizontal="general" vertical="bottom" textRotation="0" wrapText="false" indent="0" shrinkToFit="false"/>
      <protection locked="true" hidden="false"/>
    </xf>
    <xf numFmtId="177" fontId="0" fillId="9" borderId="0" xfId="0" applyFont="false" applyBorder="true" applyAlignment="false" applyProtection="false">
      <alignment horizontal="general" vertical="bottom" textRotation="0" wrapText="false" indent="0" shrinkToFit="false"/>
      <protection locked="true" hidden="false"/>
    </xf>
    <xf numFmtId="177" fontId="0" fillId="0" borderId="12" xfId="0" applyFont="false" applyBorder="true" applyAlignment="false" applyProtection="false">
      <alignment horizontal="general" vertical="bottom" textRotation="0" wrapText="false" indent="0" shrinkToFit="false"/>
      <protection locked="true" hidden="false"/>
    </xf>
    <xf numFmtId="177" fontId="0" fillId="0" borderId="24" xfId="0" applyFont="false" applyBorder="true" applyAlignment="false" applyProtection="false">
      <alignment horizontal="general" vertical="bottom" textRotation="0" wrapText="false" indent="0" shrinkToFit="false"/>
      <protection locked="true" hidden="false"/>
    </xf>
    <xf numFmtId="177" fontId="0" fillId="0" borderId="35" xfId="0" applyFont="false" applyBorder="true" applyAlignment="false" applyProtection="false">
      <alignment horizontal="general" vertical="bottom" textRotation="0" wrapText="false" indent="0" shrinkToFit="false"/>
      <protection locked="true" hidden="false"/>
    </xf>
    <xf numFmtId="164" fontId="0" fillId="0" borderId="8" xfId="0" applyFont="true" applyBorder="true" applyAlignment="false" applyProtection="false">
      <alignment horizontal="general" vertical="bottom" textRotation="0" wrapText="false" indent="0" shrinkToFit="false"/>
      <protection locked="true" hidden="false"/>
    </xf>
    <xf numFmtId="177" fontId="0" fillId="0" borderId="9" xfId="0" applyFont="false" applyBorder="true" applyAlignment="false" applyProtection="false">
      <alignment horizontal="general" vertical="bottom" textRotation="0" wrapText="false" indent="0" shrinkToFit="false"/>
      <protection locked="true" hidden="false"/>
    </xf>
    <xf numFmtId="177" fontId="0" fillId="0" borderId="13" xfId="0" applyFont="false" applyBorder="true" applyAlignment="false" applyProtection="false">
      <alignment horizontal="general" vertical="bottom" textRotation="0" wrapText="false" indent="0" shrinkToFit="false"/>
      <protection locked="true" hidden="false"/>
    </xf>
    <xf numFmtId="164" fontId="18" fillId="0" borderId="0" xfId="0" applyFont="true" applyBorder="false" applyAlignment="false" applyProtection="false">
      <alignment horizontal="general" vertical="bottom" textRotation="0" wrapText="false" indent="0" shrinkToFit="false"/>
      <protection locked="true" hidden="false"/>
    </xf>
    <xf numFmtId="180" fontId="0" fillId="9" borderId="0" xfId="0" applyFont="false" applyBorder="false" applyAlignment="false" applyProtection="false">
      <alignment horizontal="general" vertical="bottom" textRotation="0" wrapText="false" indent="0" shrinkToFit="false"/>
      <protection locked="true" hidden="false"/>
    </xf>
    <xf numFmtId="179"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51" applyFont="false" applyBorder="false" applyAlignment="false" applyProtection="false">
      <alignment horizontal="general" vertical="bottom" textRotation="0" wrapText="false" indent="0" shrinkToFit="false"/>
      <protection locked="true" hidden="false"/>
    </xf>
    <xf numFmtId="164" fontId="42" fillId="0" borderId="0" xfId="51" applyFont="true" applyBorder="false" applyAlignment="false" applyProtection="false">
      <alignment horizontal="general" vertical="bottom" textRotation="0" wrapText="false" indent="0" shrinkToFit="false"/>
      <protection locked="true" hidden="false"/>
    </xf>
    <xf numFmtId="164" fontId="4" fillId="0" borderId="0" xfId="51" applyFont="true" applyBorder="false" applyAlignment="false" applyProtection="false">
      <alignment horizontal="general" vertical="bottom" textRotation="0" wrapText="false" indent="0" shrinkToFit="false"/>
      <protection locked="true" hidden="false"/>
    </xf>
    <xf numFmtId="164" fontId="53" fillId="0" borderId="0" xfId="51" applyFont="true" applyBorder="false" applyAlignment="false" applyProtection="false">
      <alignment horizontal="general" vertical="bottom" textRotation="0" wrapText="false" indent="0" shrinkToFit="false"/>
      <protection locked="true" hidden="false"/>
    </xf>
    <xf numFmtId="164" fontId="44" fillId="0" borderId="0" xfId="51" applyFont="true" applyBorder="false" applyAlignment="true" applyProtection="false">
      <alignment horizontal="right" vertical="bottom" textRotation="0" wrapText="false" indent="0" shrinkToFit="false"/>
      <protection locked="true" hidden="false"/>
    </xf>
    <xf numFmtId="178" fontId="44" fillId="6" borderId="0" xfId="19" applyFont="true" applyBorder="true" applyAlignment="true" applyProtection="true">
      <alignment horizontal="general" vertical="bottom" textRotation="0" wrapText="false" indent="0" shrinkToFit="false"/>
      <protection locked="true" hidden="false"/>
    </xf>
    <xf numFmtId="180" fontId="44" fillId="9" borderId="0" xfId="19" applyFont="true" applyBorder="true" applyAlignment="true" applyProtection="true">
      <alignment horizontal="right" vertical="bottom" textRotation="0" wrapText="false" indent="0" shrinkToFit="false"/>
      <protection locked="true" hidden="false"/>
    </xf>
    <xf numFmtId="180" fontId="4" fillId="0" borderId="0" xfId="19" applyFont="true" applyBorder="true" applyAlignment="true" applyProtection="true">
      <alignment horizontal="right" vertical="bottom" textRotation="0" wrapText="false" indent="0" shrinkToFit="false"/>
      <protection locked="true" hidden="false"/>
    </xf>
    <xf numFmtId="164" fontId="4" fillId="0" borderId="24" xfId="51" applyFont="true" applyBorder="true" applyAlignment="true" applyProtection="false">
      <alignment horizontal="center" vertical="bottom" textRotation="0" wrapText="false" indent="0" shrinkToFit="false"/>
      <protection locked="true" hidden="false"/>
    </xf>
    <xf numFmtId="164" fontId="4" fillId="0" borderId="0" xfId="51" applyFont="true" applyBorder="true" applyAlignment="true" applyProtection="false">
      <alignment horizontal="center" vertical="bottom" textRotation="0" wrapText="false" indent="0" shrinkToFit="false"/>
      <protection locked="true" hidden="false"/>
    </xf>
    <xf numFmtId="171" fontId="4" fillId="6" borderId="0" xfId="24" applyFont="false" applyBorder="true" applyAlignment="true" applyProtection="true">
      <alignment horizontal="general" vertical="bottom" textRotation="0" wrapText="false" indent="0" shrinkToFit="false"/>
      <protection locked="true" hidden="false"/>
    </xf>
    <xf numFmtId="171" fontId="4" fillId="0" borderId="0" xfId="51" applyFont="true" applyBorder="false" applyAlignment="false" applyProtection="false">
      <alignment horizontal="general" vertical="bottom" textRotation="0" wrapText="false" indent="0" shrinkToFit="false"/>
      <protection locked="true" hidden="false"/>
    </xf>
    <xf numFmtId="181" fontId="4" fillId="9" borderId="0" xfId="24" applyFont="false" applyBorder="true" applyAlignment="true" applyProtection="true">
      <alignment horizontal="general" vertical="bottom" textRotation="0" wrapText="false" indent="0" shrinkToFit="false"/>
      <protection locked="true" hidden="false"/>
    </xf>
    <xf numFmtId="168" fontId="4" fillId="9" borderId="0" xfId="15" applyFont="true" applyBorder="true" applyAlignment="true" applyProtection="true">
      <alignment horizontal="general" vertical="bottom" textRotation="0" wrapText="false" indent="0" shrinkToFit="false"/>
      <protection locked="true" hidden="false"/>
    </xf>
    <xf numFmtId="164" fontId="4" fillId="0" borderId="0" xfId="51" applyFont="false" applyBorder="true" applyAlignment="false" applyProtection="false">
      <alignment horizontal="general" vertical="bottom" textRotation="0" wrapText="false" indent="0" shrinkToFit="false"/>
      <protection locked="true" hidden="false"/>
    </xf>
    <xf numFmtId="165" fontId="4" fillId="9" borderId="0" xfId="51" applyFont="true" applyBorder="false" applyAlignment="false" applyProtection="false">
      <alignment horizontal="general" vertical="bottom" textRotation="0" wrapText="false" indent="0" shrinkToFit="false"/>
      <protection locked="true" hidden="false"/>
    </xf>
    <xf numFmtId="165" fontId="4" fillId="9" borderId="0" xfId="51" applyFont="true" applyBorder="true" applyAlignment="false" applyProtection="false">
      <alignment horizontal="general" vertical="bottom" textRotation="0" wrapText="false" indent="0" shrinkToFit="false"/>
      <protection locked="true" hidden="false"/>
    </xf>
    <xf numFmtId="168" fontId="4" fillId="6" borderId="0" xfId="15" applyFont="true" applyBorder="true" applyAlignment="true" applyProtection="true">
      <alignment horizontal="general" vertical="bottom" textRotation="0" wrapText="false" indent="0" shrinkToFit="false"/>
      <protection locked="true" hidden="false"/>
    </xf>
    <xf numFmtId="180" fontId="44" fillId="9" borderId="0" xfId="19" applyFont="true" applyBorder="true" applyAlignment="true" applyProtection="true">
      <alignment horizontal="general" vertical="bottom" textRotation="0" wrapText="false" indent="0" shrinkToFit="false"/>
      <protection locked="true" hidden="false"/>
    </xf>
    <xf numFmtId="171" fontId="44" fillId="0" borderId="0" xfId="17" applyFont="true" applyBorder="true" applyAlignment="true" applyProtection="true">
      <alignment horizontal="general" vertical="bottom" textRotation="0" wrapText="false" indent="0" shrinkToFit="false"/>
      <protection locked="true" hidden="false"/>
    </xf>
    <xf numFmtId="164" fontId="4" fillId="0" borderId="0" xfId="51" applyFont="true" applyBorder="false" applyAlignment="true" applyProtection="false">
      <alignment horizontal="center" vertical="bottom" textRotation="0" wrapText="false" indent="0" shrinkToFit="false"/>
      <protection locked="true" hidden="false"/>
    </xf>
    <xf numFmtId="164" fontId="45" fillId="0" borderId="0" xfId="51" applyFont="true" applyBorder="false" applyAlignment="false" applyProtection="false">
      <alignment horizontal="general" vertical="bottom" textRotation="0" wrapText="false" indent="0" shrinkToFit="false"/>
      <protection locked="true" hidden="false"/>
    </xf>
    <xf numFmtId="178" fontId="4" fillId="0" borderId="24" xfId="19" applyFont="true" applyBorder="true" applyAlignment="true" applyProtection="true">
      <alignment horizontal="center" vertical="bottom" textRotation="0" wrapText="false" indent="0" shrinkToFit="false"/>
      <protection locked="true" hidden="false"/>
    </xf>
    <xf numFmtId="164" fontId="4" fillId="0" borderId="0" xfId="51" applyFont="true" applyBorder="true" applyAlignment="false" applyProtection="false">
      <alignment horizontal="general" vertical="bottom" textRotation="0" wrapText="false" indent="0" shrinkToFit="false"/>
      <protection locked="true" hidden="false"/>
    </xf>
    <xf numFmtId="171" fontId="44" fillId="0" borderId="24" xfId="24" applyFont="true" applyBorder="true" applyAlignment="true" applyProtection="true">
      <alignment horizontal="left" vertical="bottom" textRotation="0" wrapText="false" indent="0" shrinkToFit="false"/>
      <protection locked="true" hidden="false"/>
    </xf>
    <xf numFmtId="178" fontId="44" fillId="0" borderId="24" xfId="19" applyFont="true" applyBorder="true" applyAlignment="true" applyProtection="true">
      <alignment horizontal="general" vertical="bottom" textRotation="0" wrapText="false" indent="0" shrinkToFit="false"/>
      <protection locked="true" hidden="false"/>
    </xf>
    <xf numFmtId="164" fontId="54" fillId="0" borderId="0" xfId="51" applyFont="true" applyBorder="false" applyAlignment="false" applyProtection="false">
      <alignment horizontal="general" vertical="bottom" textRotation="0" wrapText="false" indent="0" shrinkToFit="false"/>
      <protection locked="true" hidden="false"/>
    </xf>
    <xf numFmtId="164" fontId="43" fillId="0" borderId="0" xfId="51" applyFont="true" applyBorder="false" applyAlignment="false" applyProtection="false">
      <alignment horizontal="general" vertical="bottom" textRotation="0" wrapText="false" indent="0" shrinkToFit="false"/>
      <protection locked="true" hidden="false"/>
    </xf>
    <xf numFmtId="170" fontId="54" fillId="0" borderId="24" xfId="19" applyFont="true" applyBorder="true" applyAlignment="true" applyProtection="true">
      <alignment horizontal="center" vertical="bottom" textRotation="0" wrapText="false" indent="0" shrinkToFit="false"/>
      <protection locked="true" hidden="false"/>
    </xf>
    <xf numFmtId="164" fontId="54" fillId="0" borderId="24" xfId="51" applyFont="true" applyBorder="true" applyAlignment="true" applyProtection="false">
      <alignment horizontal="center" vertical="bottom" textRotation="0" wrapText="false" indent="0" shrinkToFit="false"/>
      <protection locked="true" hidden="false"/>
    </xf>
    <xf numFmtId="164" fontId="54" fillId="0" borderId="0" xfId="51" applyFont="true" applyBorder="false" applyAlignment="true" applyProtection="false">
      <alignment horizontal="center" vertical="bottom" textRotation="0" wrapText="false" indent="0" shrinkToFit="false"/>
      <protection locked="true" hidden="false"/>
    </xf>
    <xf numFmtId="164" fontId="54" fillId="0" borderId="0" xfId="51" applyFont="true" applyBorder="false" applyAlignment="true" applyProtection="false">
      <alignment horizontal="general" vertical="bottom" textRotation="0" wrapText="true" indent="0" shrinkToFit="false"/>
      <protection locked="true" hidden="false"/>
    </xf>
    <xf numFmtId="171" fontId="4" fillId="6" borderId="0" xfId="51" applyFont="true" applyBorder="false" applyAlignment="false" applyProtection="false">
      <alignment horizontal="general" vertical="bottom" textRotation="0" wrapText="false" indent="0" shrinkToFit="false"/>
      <protection locked="true" hidden="false"/>
    </xf>
    <xf numFmtId="180" fontId="4" fillId="0" borderId="0" xfId="19" applyFont="true" applyBorder="true" applyAlignment="true" applyProtection="true">
      <alignment horizontal="general" vertical="bottom" textRotation="0" wrapText="false" indent="0" shrinkToFit="false"/>
      <protection locked="true" hidden="false"/>
    </xf>
    <xf numFmtId="171" fontId="4" fillId="0" borderId="0" xfId="17" applyFont="true" applyBorder="true" applyAlignment="true" applyProtection="true">
      <alignment horizontal="general" vertical="bottom" textRotation="0" wrapText="false" indent="0" shrinkToFit="false"/>
      <protection locked="true" hidden="false"/>
    </xf>
    <xf numFmtId="171" fontId="4" fillId="0" borderId="0" xfId="24" applyFont="true" applyBorder="true" applyAlignment="true" applyProtection="true">
      <alignment horizontal="center" vertical="bottom" textRotation="0" wrapText="false" indent="0" shrinkToFit="false"/>
      <protection locked="true" hidden="false"/>
    </xf>
    <xf numFmtId="168" fontId="4" fillId="6" borderId="0" xfId="51" applyFont="false" applyBorder="false" applyAlignment="false" applyProtection="false">
      <alignment horizontal="general" vertical="bottom" textRotation="0" wrapText="false" indent="0" shrinkToFit="false"/>
      <protection locked="true" hidden="false"/>
    </xf>
    <xf numFmtId="171" fontId="4" fillId="6" borderId="0" xfId="51" applyFont="true" applyBorder="true" applyAlignment="false" applyProtection="false">
      <alignment horizontal="general" vertical="bottom" textRotation="0" wrapText="false" indent="0" shrinkToFit="false"/>
      <protection locked="true" hidden="false"/>
    </xf>
    <xf numFmtId="171" fontId="4" fillId="0" borderId="0" xfId="0" applyFont="true" applyBorder="false" applyAlignment="false" applyProtection="false">
      <alignment horizontal="general" vertical="bottom" textRotation="0" wrapText="false" indent="0" shrinkToFit="false"/>
      <protection locked="true" hidden="false"/>
    </xf>
    <xf numFmtId="171" fontId="4" fillId="6" borderId="24" xfId="51" applyFont="true" applyBorder="true" applyAlignment="false" applyProtection="false">
      <alignment horizontal="general" vertical="bottom" textRotation="0" wrapText="false" indent="0" shrinkToFit="false"/>
      <protection locked="true" hidden="false"/>
    </xf>
    <xf numFmtId="171" fontId="54" fillId="0" borderId="0" xfId="51" applyFont="true" applyBorder="true" applyAlignment="false" applyProtection="false">
      <alignment horizontal="general" vertical="bottom" textRotation="0" wrapText="false" indent="0" shrinkToFit="false"/>
      <protection locked="true" hidden="false"/>
    </xf>
    <xf numFmtId="168" fontId="54" fillId="6" borderId="0" xfId="51" applyFont="true" applyBorder="false" applyAlignment="false" applyProtection="false">
      <alignment horizontal="general" vertical="bottom" textRotation="0" wrapText="false" indent="0" shrinkToFit="false"/>
      <protection locked="true" hidden="false"/>
    </xf>
    <xf numFmtId="180" fontId="54" fillId="0" borderId="0" xfId="51" applyFont="true" applyBorder="false" applyAlignment="false" applyProtection="false">
      <alignment horizontal="general" vertical="bottom" textRotation="0" wrapText="false" indent="0" shrinkToFit="false"/>
      <protection locked="true" hidden="false"/>
    </xf>
    <xf numFmtId="164" fontId="44" fillId="0" borderId="0" xfId="51" applyFont="true" applyBorder="false" applyAlignment="false" applyProtection="false">
      <alignment horizontal="general" vertical="bottom" textRotation="0" wrapText="false" indent="0" shrinkToFit="false"/>
      <protection locked="true" hidden="false"/>
    </xf>
    <xf numFmtId="171" fontId="54" fillId="6" borderId="0" xfId="51" applyFont="true" applyBorder="false" applyAlignment="false" applyProtection="false">
      <alignment horizontal="general" vertical="bottom" textRotation="0" wrapText="false" indent="0" shrinkToFit="false"/>
      <protection locked="true" hidden="false"/>
    </xf>
    <xf numFmtId="178" fontId="4" fillId="6" borderId="0" xfId="19" applyFont="true" applyBorder="true" applyAlignment="true" applyProtection="true">
      <alignment horizontal="general" vertical="bottom" textRotation="0" wrapText="false" indent="0" shrinkToFit="false"/>
      <protection locked="true" hidden="false"/>
    </xf>
    <xf numFmtId="171" fontId="4" fillId="0" borderId="0" xfId="51" applyFont="false" applyBorder="false" applyAlignment="false" applyProtection="false">
      <alignment horizontal="general" vertical="bottom" textRotation="0" wrapText="false" indent="0" shrinkToFit="false"/>
      <protection locked="true" hidden="false"/>
    </xf>
    <xf numFmtId="164" fontId="45" fillId="0" borderId="0" xfId="51" applyFont="true" applyBorder="true" applyAlignment="false" applyProtection="false">
      <alignment horizontal="general" vertical="bottom" textRotation="0" wrapText="false" indent="0" shrinkToFit="false"/>
      <protection locked="true" hidden="false"/>
    </xf>
    <xf numFmtId="170" fontId="44" fillId="0" borderId="0" xfId="19" applyFont="true" applyBorder="true" applyAlignment="true" applyProtection="true">
      <alignment horizontal="center" vertical="bottom" textRotation="0" wrapText="false" indent="0" shrinkToFit="false"/>
      <protection locked="true" hidden="false"/>
    </xf>
    <xf numFmtId="164" fontId="43" fillId="0" borderId="0" xfId="51" applyFont="true" applyBorder="true" applyAlignment="false" applyProtection="false">
      <alignment horizontal="general" vertical="bottom" textRotation="0" wrapText="false" indent="0" shrinkToFit="false"/>
      <protection locked="true" hidden="false"/>
    </xf>
    <xf numFmtId="172" fontId="44" fillId="9" borderId="0" xfId="15" applyFont="true" applyBorder="true" applyAlignment="true" applyProtection="true">
      <alignment horizontal="general" vertical="bottom" textRotation="0" wrapText="false" indent="0" shrinkToFit="false"/>
      <protection locked="true" hidden="false"/>
    </xf>
    <xf numFmtId="184" fontId="44" fillId="9" borderId="0" xfId="51" applyFont="true" applyBorder="false" applyAlignment="false" applyProtection="false">
      <alignment horizontal="general" vertical="bottom" textRotation="0" wrapText="false" indent="0" shrinkToFit="false"/>
      <protection locked="true" hidden="false"/>
    </xf>
    <xf numFmtId="185" fontId="0" fillId="0" borderId="0" xfId="0" applyFont="false" applyBorder="false" applyAlignment="false" applyProtection="false">
      <alignment horizontal="general" vertical="bottom" textRotation="0" wrapText="false" indent="0" shrinkToFit="false"/>
      <protection locked="true" hidden="false"/>
    </xf>
    <xf numFmtId="170" fontId="44" fillId="9" borderId="0" xfId="19" applyFont="true" applyBorder="true" applyAlignment="true" applyProtection="true">
      <alignment horizontal="general" vertical="bottom" textRotation="0" wrapText="false" indent="0" shrinkToFit="false"/>
      <protection locked="tru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80" fontId="0" fillId="0" borderId="0" xfId="0" applyFont="false" applyBorder="false" applyAlignment="false" applyProtection="false">
      <alignment horizontal="general" vertical="bottom" textRotation="0" wrapText="false" indent="0" shrinkToFit="false"/>
      <protection locked="true" hidden="false"/>
    </xf>
    <xf numFmtId="174" fontId="4" fillId="0" borderId="0" xfId="24" applyFont="true" applyBorder="true" applyAlignment="true" applyProtection="true">
      <alignment horizontal="general" vertical="bottom" textRotation="0" wrapText="false" indent="0" shrinkToFit="false"/>
      <protection locked="true" hidden="false"/>
    </xf>
    <xf numFmtId="179" fontId="4" fillId="0" borderId="0" xfId="51" applyFont="true" applyBorder="false" applyAlignment="false" applyProtection="false">
      <alignment horizontal="general" vertical="bottom" textRotation="0" wrapText="false" indent="0" shrinkToFit="false"/>
      <protection locked="true" hidden="false"/>
    </xf>
    <xf numFmtId="178" fontId="4" fillId="0" borderId="0" xfId="51" applyFont="false" applyBorder="false" applyAlignment="false" applyProtection="false">
      <alignment horizontal="general" vertical="bottom" textRotation="0" wrapText="false" indent="0" shrinkToFit="false"/>
      <protection locked="true" hidden="false"/>
    </xf>
    <xf numFmtId="177" fontId="4" fillId="0" borderId="0" xfId="51" applyFont="false" applyBorder="false" applyAlignment="false" applyProtection="false">
      <alignment horizontal="general" vertical="bottom" textRotation="0" wrapText="false" indent="0" shrinkToFit="false"/>
      <protection locked="true" hidden="false"/>
    </xf>
    <xf numFmtId="168" fontId="4" fillId="0" borderId="0" xfId="51" applyFont="false" applyBorder="false" applyAlignment="false" applyProtection="false">
      <alignment horizontal="general" vertical="bottom" textRotation="0" wrapText="false" indent="0" shrinkToFit="false"/>
      <protection locked="true" hidden="false"/>
    </xf>
    <xf numFmtId="167" fontId="4" fillId="0" borderId="0" xfId="51" applyFont="false" applyBorder="false" applyAlignment="false" applyProtection="false">
      <alignment horizontal="general" vertical="bottom" textRotation="0" wrapText="false" indent="0" shrinkToFit="false"/>
      <protection locked="true" hidden="false"/>
    </xf>
    <xf numFmtId="174" fontId="54" fillId="0" borderId="0" xfId="24" applyFont="true" applyBorder="true" applyAlignment="true" applyProtection="true">
      <alignment horizontal="general" vertical="bottom" textRotation="0" wrapText="false" indent="0" shrinkToFit="false"/>
      <protection locked="true" hidden="false"/>
    </xf>
    <xf numFmtId="177" fontId="4" fillId="6" borderId="0" xfId="51" applyFont="true" applyBorder="false" applyAlignment="true" applyProtection="false">
      <alignment horizontal="center" vertical="bottom" textRotation="0" wrapText="false" indent="0" shrinkToFit="false"/>
      <protection locked="true" hidden="false"/>
    </xf>
    <xf numFmtId="177" fontId="4" fillId="9" borderId="0" xfId="51" applyFont="true" applyBorder="false" applyAlignment="true" applyProtection="false">
      <alignment horizontal="center" vertical="bottom" textRotation="0" wrapText="false" indent="0" shrinkToFit="false"/>
      <protection locked="true" hidden="false"/>
    </xf>
    <xf numFmtId="177" fontId="4" fillId="0" borderId="0" xfId="51" applyFont="true" applyBorder="false" applyAlignment="true" applyProtection="false">
      <alignment horizontal="center" vertical="bottom" textRotation="0" wrapText="false" indent="0" shrinkToFit="false"/>
      <protection locked="true" hidden="false"/>
    </xf>
    <xf numFmtId="180" fontId="4" fillId="0" borderId="0" xfId="51" applyFont="true" applyBorder="false" applyAlignment="false" applyProtection="false">
      <alignment horizontal="general" vertical="bottom" textRotation="0" wrapText="false" indent="0" shrinkToFit="false"/>
      <protection locked="true" hidden="false"/>
    </xf>
    <xf numFmtId="180" fontId="4" fillId="0" borderId="0" xfId="51" applyFont="false" applyBorder="false" applyAlignment="false" applyProtection="false">
      <alignment horizontal="general" vertical="bottom" textRotation="0" wrapText="false" indent="0" shrinkToFit="false"/>
      <protection locked="true" hidden="false"/>
    </xf>
    <xf numFmtId="180" fontId="4" fillId="9" borderId="0" xfId="19" applyFont="true" applyBorder="true" applyAlignment="true" applyProtection="true">
      <alignment horizontal="center" vertical="bottom" textRotation="0" wrapText="false" indent="0" shrinkToFit="false"/>
      <protection locked="true" hidden="false"/>
    </xf>
    <xf numFmtId="180" fontId="4" fillId="0" borderId="0" xfId="19" applyFont="true" applyBorder="true" applyAlignment="true" applyProtection="true">
      <alignment horizontal="center" vertical="bottom" textRotation="0" wrapText="false" indent="0" shrinkToFit="false"/>
      <protection locked="true" hidden="false"/>
    </xf>
    <xf numFmtId="171" fontId="4" fillId="9" borderId="0" xfId="17" applyFont="true" applyBorder="true" applyAlignment="true" applyProtection="true">
      <alignment horizontal="general" vertical="bottom" textRotation="0" wrapText="false" indent="0" shrinkToFit="false"/>
      <protection locked="true" hidden="false"/>
    </xf>
    <xf numFmtId="186" fontId="4" fillId="0" borderId="0" xfId="51" applyFont="false" applyBorder="false" applyAlignment="false" applyProtection="false">
      <alignment horizontal="general" vertical="bottom" textRotation="0" wrapText="false" indent="0" shrinkToFit="false"/>
      <protection locked="true" hidden="false"/>
    </xf>
    <xf numFmtId="165" fontId="4" fillId="0" borderId="0" xfId="24" applyFont="false" applyBorder="true" applyAlignment="true" applyProtection="true">
      <alignment horizontal="general" vertical="bottom" textRotation="0" wrapText="false" indent="0" shrinkToFit="false"/>
      <protection locked="true" hidden="false"/>
    </xf>
    <xf numFmtId="171" fontId="4" fillId="0" borderId="0" xfId="24" applyFont="false" applyBorder="true" applyAlignment="true" applyProtection="true">
      <alignment horizontal="center" vertical="bottom" textRotation="0" wrapText="false" indent="0" shrinkToFit="false"/>
      <protection locked="true" hidden="false"/>
    </xf>
    <xf numFmtId="171" fontId="4" fillId="9" borderId="0" xfId="24" applyFont="false" applyBorder="true" applyAlignment="true" applyProtection="true">
      <alignment horizontal="center" vertical="bottom" textRotation="0" wrapText="false" indent="0" shrinkToFit="false"/>
      <protection locked="true" hidden="false"/>
    </xf>
    <xf numFmtId="179" fontId="4" fillId="0" borderId="0" xfId="51" applyFont="false" applyBorder="false" applyAlignment="false" applyProtection="false">
      <alignment horizontal="general" vertical="bottom" textRotation="0" wrapText="false" indent="0" shrinkToFit="false"/>
      <protection locked="true" hidden="false"/>
    </xf>
    <xf numFmtId="164" fontId="4" fillId="9" borderId="0" xfId="51" applyFont="true" applyBorder="false" applyAlignment="false" applyProtection="false">
      <alignment horizontal="general" vertical="bottom" textRotation="0" wrapText="false" indent="0" shrinkToFit="false"/>
      <protection locked="true" hidden="false"/>
    </xf>
    <xf numFmtId="171" fontId="4" fillId="9" borderId="0" xfId="51" applyFont="false" applyBorder="false" applyAlignment="false" applyProtection="false">
      <alignment horizontal="general" vertical="bottom" textRotation="0" wrapText="false" indent="0" shrinkToFit="false"/>
      <protection locked="true" hidden="false"/>
    </xf>
    <xf numFmtId="168" fontId="4" fillId="9" borderId="0" xfId="51" applyFont="false" applyBorder="false" applyAlignment="false" applyProtection="false">
      <alignment horizontal="general" vertical="bottom" textRotation="0" wrapText="false" indent="0" shrinkToFit="false"/>
      <protection locked="true" hidden="false"/>
    </xf>
    <xf numFmtId="184" fontId="4" fillId="0" borderId="0" xfId="51" applyFont="true" applyBorder="false" applyAlignment="false" applyProtection="false">
      <alignment horizontal="general" vertical="bottom" textRotation="0" wrapText="false" indent="0" shrinkToFit="false"/>
      <protection locked="true" hidden="false"/>
    </xf>
    <xf numFmtId="171" fontId="4" fillId="0" borderId="0" xfId="51" applyFont="true" applyBorder="true" applyAlignment="false" applyProtection="false">
      <alignment horizontal="general" vertical="bottom" textRotation="0" wrapText="false" indent="0" shrinkToFit="false"/>
      <protection locked="true" hidden="false"/>
    </xf>
    <xf numFmtId="171" fontId="4" fillId="9" borderId="0" xfId="51" applyFont="true" applyBorder="true" applyAlignment="false" applyProtection="false">
      <alignment horizontal="general" vertical="bottom" textRotation="0" wrapText="false" indent="0" shrinkToFit="false"/>
      <protection locked="true" hidden="false"/>
    </xf>
    <xf numFmtId="171" fontId="4" fillId="0" borderId="0" xfId="51" applyFont="false" applyBorder="true" applyAlignment="false" applyProtection="false">
      <alignment horizontal="general" vertical="bottom" textRotation="0" wrapText="false" indent="0" shrinkToFit="false"/>
      <protection locked="true" hidden="false"/>
    </xf>
    <xf numFmtId="171" fontId="4" fillId="0" borderId="0" xfId="51" applyFont="true" applyBorder="true" applyAlignment="true" applyProtection="false">
      <alignment horizontal="right" vertical="bottom" textRotation="0" wrapText="false" indent="0" shrinkToFit="false"/>
      <protection locked="true" hidden="false"/>
    </xf>
    <xf numFmtId="171" fontId="4" fillId="0" borderId="25" xfId="24" applyFont="true" applyBorder="true" applyAlignment="true" applyProtection="true">
      <alignment horizontal="general" vertical="bottom" textRotation="0" wrapText="false" indent="0" shrinkToFit="false"/>
      <protection locked="true" hidden="false"/>
    </xf>
    <xf numFmtId="171" fontId="4" fillId="0" borderId="14" xfId="24" applyFont="true" applyBorder="true" applyAlignment="true" applyProtection="true">
      <alignment horizontal="general" vertical="bottom" textRotation="0" wrapText="false" indent="0" shrinkToFit="false"/>
      <protection locked="true" hidden="false"/>
    </xf>
    <xf numFmtId="171" fontId="4" fillId="0" borderId="32" xfId="24" applyFont="true" applyBorder="true" applyAlignment="true" applyProtection="true">
      <alignment horizontal="general" vertical="bottom" textRotation="0" wrapText="false" indent="0" shrinkToFit="false"/>
      <protection locked="true" hidden="false"/>
    </xf>
    <xf numFmtId="171" fontId="4" fillId="0" borderId="24" xfId="24" applyFont="true" applyBorder="true" applyAlignment="true" applyProtection="true">
      <alignment horizontal="general" vertical="bottom" textRotation="0" wrapText="false" indent="0" shrinkToFit="false"/>
      <protection locked="true" hidden="false"/>
    </xf>
    <xf numFmtId="168" fontId="4" fillId="9" borderId="24" xfId="24" applyFont="true" applyBorder="true" applyAlignment="true" applyProtection="true">
      <alignment horizontal="general" vertical="bottom" textRotation="0" wrapText="false" indent="0" shrinkToFit="false"/>
      <protection locked="true" hidden="false"/>
    </xf>
    <xf numFmtId="168" fontId="4" fillId="0" borderId="24" xfId="24" applyFont="true" applyBorder="true" applyAlignment="true" applyProtection="true">
      <alignment horizontal="general" vertical="bottom" textRotation="0" wrapText="false" indent="0" shrinkToFit="false"/>
      <protection locked="true" hidden="false"/>
    </xf>
    <xf numFmtId="164" fontId="54" fillId="0" borderId="26" xfId="51" applyFont="true" applyBorder="true" applyAlignment="false" applyProtection="false">
      <alignment horizontal="general" vertical="bottom" textRotation="0" wrapText="false" indent="0" shrinkToFit="false"/>
      <protection locked="true" hidden="false"/>
    </xf>
    <xf numFmtId="186" fontId="54" fillId="0" borderId="16" xfId="51" applyFont="true" applyBorder="true" applyAlignment="false" applyProtection="false">
      <alignment horizontal="general" vertical="bottom" textRotation="0" wrapText="false" indent="0" shrinkToFit="false"/>
      <protection locked="true" hidden="false"/>
    </xf>
    <xf numFmtId="164" fontId="54" fillId="0" borderId="30" xfId="51" applyFont="true" applyBorder="true" applyAlignment="false" applyProtection="false">
      <alignment horizontal="general" vertical="bottom" textRotation="0" wrapText="false" indent="0" shrinkToFit="false"/>
      <protection locked="true" hidden="false"/>
    </xf>
    <xf numFmtId="186" fontId="54" fillId="0" borderId="36" xfId="51" applyFont="true" applyBorder="true" applyAlignment="false" applyProtection="false">
      <alignment horizontal="general" vertical="bottom" textRotation="0" wrapText="false" indent="0" shrinkToFit="false"/>
      <protection locked="true" hidden="false"/>
    </xf>
    <xf numFmtId="170" fontId="4" fillId="0" borderId="0" xfId="51" applyFont="false" applyBorder="false" applyAlignment="false" applyProtection="false">
      <alignment horizontal="general" vertical="bottom" textRotation="0" wrapText="false" indent="0" shrinkToFit="false"/>
      <protection locked="true" hidden="false"/>
    </xf>
    <xf numFmtId="186" fontId="54" fillId="0" borderId="0" xfId="51" applyFont="true" applyBorder="false" applyAlignment="false" applyProtection="false">
      <alignment horizontal="general" vertical="bottom" textRotation="0" wrapText="false" indent="0" shrinkToFit="false"/>
      <protection locked="true" hidden="false"/>
    </xf>
    <xf numFmtId="186" fontId="54" fillId="0" borderId="37" xfId="51" applyFont="true" applyBorder="true" applyAlignment="false" applyProtection="false">
      <alignment horizontal="general" vertical="bottom" textRotation="0" wrapText="false" indent="0" shrinkToFit="false"/>
      <protection locked="true" hidden="false"/>
    </xf>
    <xf numFmtId="171" fontId="54" fillId="0" borderId="0" xfId="51" applyFont="true" applyBorder="false" applyAlignment="false" applyProtection="false">
      <alignment horizontal="general" vertical="bottom" textRotation="0" wrapText="false" indent="0" shrinkToFit="false"/>
      <protection locked="true" hidden="false"/>
    </xf>
    <xf numFmtId="164" fontId="54" fillId="0" borderId="1" xfId="51" applyFont="true" applyBorder="true" applyAlignment="false" applyProtection="false">
      <alignment horizontal="general" vertical="bottom" textRotation="0" wrapText="false" indent="0" shrinkToFit="false"/>
      <protection locked="true" hidden="false"/>
    </xf>
    <xf numFmtId="171" fontId="54" fillId="0" borderId="29" xfId="51" applyFont="true" applyBorder="true" applyAlignment="false" applyProtection="false">
      <alignment horizontal="general" vertical="bottom" textRotation="0" wrapText="false" indent="0" shrinkToFit="false"/>
      <protection locked="true" hidden="false"/>
    </xf>
    <xf numFmtId="186" fontId="54" fillId="0" borderId="1" xfId="51" applyFont="true" applyBorder="true" applyAlignment="false" applyProtection="false">
      <alignment horizontal="general" vertical="bottom" textRotation="0" wrapText="false" indent="0" shrinkToFit="false"/>
      <protection locked="true" hidden="false"/>
    </xf>
    <xf numFmtId="180" fontId="54" fillId="0" borderId="29" xfId="19" applyFont="true" applyBorder="true" applyAlignment="true" applyProtection="true">
      <alignment horizontal="general" vertical="bottom" textRotation="0" wrapText="false" indent="0" shrinkToFit="false"/>
      <protection locked="true" hidden="false"/>
    </xf>
    <xf numFmtId="186" fontId="54" fillId="0" borderId="29" xfId="51" applyFont="true" applyBorder="true" applyAlignment="false" applyProtection="false">
      <alignment horizontal="general" vertical="bottom" textRotation="0" wrapText="false" indent="0" shrinkToFit="false"/>
      <protection locked="true" hidden="false"/>
    </xf>
    <xf numFmtId="170" fontId="54" fillId="0" borderId="36" xfId="51" applyFont="true" applyBorder="true" applyAlignment="false" applyProtection="false">
      <alignment horizontal="general" vertical="bottom" textRotation="0" wrapText="false" indent="0" shrinkToFit="false"/>
      <protection locked="true" hidden="false"/>
    </xf>
    <xf numFmtId="186" fontId="54" fillId="0" borderId="0" xfId="51" applyFont="true" applyBorder="true" applyAlignment="false" applyProtection="false">
      <alignment horizontal="general" vertical="bottom" textRotation="0" wrapText="false" indent="0" shrinkToFit="false"/>
      <protection locked="true" hidden="false"/>
    </xf>
    <xf numFmtId="179" fontId="4" fillId="0" borderId="0" xfId="51" applyFont="false" applyBorder="true" applyAlignment="false" applyProtection="false">
      <alignment horizontal="general" vertical="bottom" textRotation="0" wrapText="false" indent="0" shrinkToFit="false"/>
      <protection locked="true" hidden="false"/>
    </xf>
    <xf numFmtId="170" fontId="39" fillId="0" borderId="0" xfId="0" applyFont="true" applyBorder="false" applyAlignment="false" applyProtection="false">
      <alignment horizontal="general" vertical="bottom" textRotation="0" wrapText="false" indent="0" shrinkToFit="false"/>
      <protection locked="true" hidden="false"/>
    </xf>
    <xf numFmtId="164" fontId="60" fillId="0" borderId="0" xfId="0" applyFont="true" applyBorder="false" applyAlignment="false" applyProtection="false">
      <alignment horizontal="general" vertical="bottom" textRotation="0" wrapText="false" indent="0" shrinkToFit="false"/>
      <protection locked="true" hidden="false"/>
    </xf>
    <xf numFmtId="180" fontId="18" fillId="0" borderId="0" xfId="19" applyFont="true" applyBorder="true" applyAlignment="true" applyProtection="true">
      <alignment horizontal="general" vertical="bottom" textRotation="0" wrapText="false" indent="0" shrinkToFit="false"/>
      <protection locked="true" hidden="false"/>
    </xf>
    <xf numFmtId="175" fontId="0" fillId="0" borderId="0" xfId="0" applyFont="false" applyBorder="false" applyAlignment="false" applyProtection="false">
      <alignment horizontal="general" vertical="bottom" textRotation="0" wrapText="false" indent="0" shrinkToFit="false"/>
      <protection locked="true" hidden="false"/>
    </xf>
    <xf numFmtId="164" fontId="61" fillId="0" borderId="0" xfId="0" applyFont="true" applyBorder="false" applyAlignment="false" applyProtection="false">
      <alignment horizontal="general" vertical="bottom" textRotation="0" wrapText="false" indent="0" shrinkToFit="false"/>
      <protection locked="true" hidden="false"/>
    </xf>
    <xf numFmtId="164" fontId="60" fillId="0" borderId="6" xfId="0" applyFont="true" applyBorder="true" applyAlignment="false" applyProtection="false">
      <alignment horizontal="general" vertical="bottom" textRotation="0" wrapText="false" indent="0" shrinkToFit="false"/>
      <protection locked="true" hidden="false"/>
    </xf>
    <xf numFmtId="164" fontId="0" fillId="0" borderId="7" xfId="0" applyFont="false" applyBorder="true" applyAlignment="false" applyProtection="false">
      <alignment horizontal="general" vertical="bottom" textRotation="0" wrapText="false" indent="0" shrinkToFit="false"/>
      <protection locked="true" hidden="false"/>
    </xf>
    <xf numFmtId="164" fontId="0" fillId="0" borderId="10"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12" xfId="0" applyFont="false" applyBorder="true" applyAlignment="false" applyProtection="false">
      <alignment horizontal="general" vertical="bottom" textRotation="0" wrapText="false" indent="0" shrinkToFit="false"/>
      <protection locked="true" hidden="false"/>
    </xf>
    <xf numFmtId="164" fontId="0" fillId="0" borderId="38" xfId="0" applyFont="true" applyBorder="true" applyAlignment="false" applyProtection="false">
      <alignment horizontal="general" vertical="bottom" textRotation="0" wrapText="false" indent="0" shrinkToFit="false"/>
      <protection locked="true" hidden="false"/>
    </xf>
    <xf numFmtId="184" fontId="0" fillId="0" borderId="39" xfId="0" applyFont="false" applyBorder="true" applyAlignment="false" applyProtection="false">
      <alignment horizontal="general" vertical="bottom" textRotation="0" wrapText="false" indent="0" shrinkToFit="false"/>
      <protection locked="true" hidden="false"/>
    </xf>
    <xf numFmtId="164" fontId="0" fillId="0" borderId="40" xfId="0" applyFont="false" applyBorder="true" applyAlignment="false" applyProtection="false">
      <alignment horizontal="general" vertical="bottom" textRotation="0" wrapText="false" indent="0" shrinkToFit="false"/>
      <protection locked="true" hidden="false"/>
    </xf>
    <xf numFmtId="164" fontId="0" fillId="0" borderId="41" xfId="0" applyFont="false" applyBorder="true" applyAlignment="false" applyProtection="false">
      <alignment horizontal="general" vertical="bottom" textRotation="0" wrapText="false" indent="0" shrinkToFit="false"/>
      <protection locked="true" hidden="false"/>
    </xf>
    <xf numFmtId="180" fontId="28" fillId="0" borderId="0" xfId="19" applyFont="true" applyBorder="true" applyAlignment="true" applyProtection="true">
      <alignment horizontal="general" vertical="bottom" textRotation="0" wrapText="false" indent="0" shrinkToFit="false"/>
      <protection locked="true" hidden="false"/>
    </xf>
    <xf numFmtId="187" fontId="0" fillId="0" borderId="0" xfId="0" applyFont="false" applyBorder="true" applyAlignment="false" applyProtection="false">
      <alignment horizontal="general" vertical="bottom" textRotation="0" wrapText="false" indent="0" shrinkToFit="false"/>
      <protection locked="true" hidden="false"/>
    </xf>
    <xf numFmtId="187" fontId="0" fillId="0" borderId="12" xfId="0" applyFont="false" applyBorder="true" applyAlignment="false" applyProtection="false">
      <alignment horizontal="general" vertical="bottom" textRotation="0" wrapText="false" indent="0" shrinkToFit="false"/>
      <protection locked="true" hidden="false"/>
    </xf>
    <xf numFmtId="168" fontId="0" fillId="0" borderId="41" xfId="15" applyFont="true" applyBorder="true" applyAlignment="true" applyProtection="true">
      <alignment horizontal="general" vertical="bottom" textRotation="0" wrapText="false" indent="0" shrinkToFit="false"/>
      <protection locked="true" hidden="false"/>
    </xf>
    <xf numFmtId="167" fontId="8" fillId="0" borderId="0" xfId="15" applyFont="true" applyBorder="true" applyAlignment="true" applyProtection="true">
      <alignment horizontal="general" vertical="bottom" textRotation="0" wrapText="false" indent="0" shrinkToFit="false"/>
      <protection locked="true" hidden="false"/>
    </xf>
    <xf numFmtId="167" fontId="0" fillId="0" borderId="41" xfId="0" applyFont="false" applyBorder="true" applyAlignment="false" applyProtection="false">
      <alignment horizontal="general" vertical="bottom" textRotation="0" wrapText="false" indent="0" shrinkToFit="false"/>
      <protection locked="true" hidden="false"/>
    </xf>
    <xf numFmtId="187" fontId="0" fillId="0" borderId="9" xfId="0" applyFont="false" applyBorder="true" applyAlignment="false" applyProtection="false">
      <alignment horizontal="general" vertical="bottom" textRotation="0" wrapText="false" indent="0" shrinkToFit="false"/>
      <protection locked="true" hidden="false"/>
    </xf>
    <xf numFmtId="187" fontId="0" fillId="0" borderId="13" xfId="0" applyFont="false" applyBorder="true" applyAlignment="false" applyProtection="false">
      <alignment horizontal="general" vertical="bottom" textRotation="0" wrapText="false" indent="0" shrinkToFit="false"/>
      <protection locked="true" hidden="false"/>
    </xf>
    <xf numFmtId="168" fontId="0" fillId="0" borderId="41" xfId="0" applyFont="false" applyBorder="true" applyAlignment="false" applyProtection="false">
      <alignment horizontal="general" vertical="bottom" textRotation="0" wrapText="false" indent="0" shrinkToFit="false"/>
      <protection locked="true" hidden="false"/>
    </xf>
    <xf numFmtId="164" fontId="32" fillId="7" borderId="0" xfId="0" applyFont="true" applyBorder="true" applyAlignment="true" applyProtection="false">
      <alignment horizontal="right" vertical="bottom" textRotation="0" wrapText="false" indent="0" shrinkToFit="false"/>
      <protection locked="true" hidden="false"/>
    </xf>
    <xf numFmtId="164" fontId="0" fillId="0" borderId="42" xfId="0" applyFont="true" applyBorder="true" applyAlignment="false" applyProtection="false">
      <alignment horizontal="general" vertical="bottom" textRotation="0" wrapText="false" indent="0" shrinkToFit="false"/>
      <protection locked="true" hidden="false"/>
    </xf>
    <xf numFmtId="186" fontId="0" fillId="0" borderId="43" xfId="0" applyFont="false" applyBorder="true" applyAlignment="false" applyProtection="false">
      <alignment horizontal="general" vertical="bottom" textRotation="0" wrapText="false" indent="0" shrinkToFit="false"/>
      <protection locked="true" hidden="false"/>
    </xf>
    <xf numFmtId="164" fontId="32" fillId="0" borderId="0" xfId="0" applyFont="true" applyBorder="true" applyAlignment="true" applyProtection="false">
      <alignment horizontal="right" vertical="bottom" textRotation="0" wrapText="false" indent="0" shrinkToFit="false"/>
      <protection locked="true" hidden="false"/>
    </xf>
    <xf numFmtId="186" fontId="0" fillId="0" borderId="0" xfId="0" applyFont="false" applyBorder="true" applyAlignment="false" applyProtection="false">
      <alignment horizontal="general" vertical="bottom" textRotation="0" wrapText="false" indent="0" shrinkToFit="false"/>
      <protection locked="true" hidden="false"/>
    </xf>
    <xf numFmtId="171" fontId="0" fillId="0" borderId="0" xfId="17" applyFont="true" applyBorder="true" applyAlignment="true" applyProtection="true">
      <alignment horizontal="general" vertical="bottom" textRotation="0" wrapText="false" indent="0" shrinkToFit="false"/>
      <protection locked="true" hidden="false"/>
    </xf>
    <xf numFmtId="164" fontId="14" fillId="6" borderId="0" xfId="0" applyFont="true" applyBorder="false" applyAlignment="false" applyProtection="false">
      <alignment horizontal="general" vertical="bottom" textRotation="0" wrapText="false" indent="0" shrinkToFit="false"/>
      <protection locked="true" hidden="false"/>
    </xf>
    <xf numFmtId="171" fontId="10" fillId="6" borderId="0" xfId="0" applyFont="true" applyBorder="false" applyAlignment="false" applyProtection="false">
      <alignment horizontal="general" vertical="bottom" textRotation="0" wrapText="false" indent="0" shrinkToFit="false"/>
      <protection locked="true" hidden="false"/>
    </xf>
    <xf numFmtId="171" fontId="10" fillId="0" borderId="0" xfId="0" applyFont="true" applyBorder="false" applyAlignment="false" applyProtection="false">
      <alignment horizontal="general" vertical="bottom" textRotation="0" wrapText="false" indent="0" shrinkToFit="false"/>
      <protection locked="true" hidden="false"/>
    </xf>
    <xf numFmtId="164" fontId="10" fillId="0" borderId="0" xfId="0" applyFont="true" applyBorder="false" applyAlignment="false" applyProtection="false">
      <alignment horizontal="general" vertical="bottom" textRotation="0" wrapText="false" indent="0" shrinkToFit="false"/>
      <protection locked="true" hidden="false"/>
    </xf>
    <xf numFmtId="180" fontId="32" fillId="0" borderId="0" xfId="19" applyFont="true" applyBorder="true" applyAlignment="true" applyProtection="true">
      <alignment horizontal="general" vertical="bottom" textRotation="0" wrapText="false" indent="0" shrinkToFit="false"/>
      <protection locked="true" hidden="false"/>
    </xf>
    <xf numFmtId="180" fontId="32" fillId="0" borderId="0" xfId="0" applyFont="true" applyBorder="false" applyAlignment="false" applyProtection="false">
      <alignment horizontal="general" vertical="bottom" textRotation="0" wrapText="false" indent="0" shrinkToFit="false"/>
      <protection locked="true" hidden="false"/>
    </xf>
    <xf numFmtId="164" fontId="39" fillId="0" borderId="11" xfId="0" applyFont="true" applyBorder="true" applyAlignment="false" applyProtection="false">
      <alignment horizontal="general" vertical="bottom" textRotation="0" wrapText="false" indent="0" shrinkToFit="false"/>
      <protection locked="true" hidden="false"/>
    </xf>
    <xf numFmtId="168" fontId="0" fillId="0" borderId="0" xfId="0" applyFont="false" applyBorder="true" applyAlignment="false" applyProtection="false">
      <alignment horizontal="general" vertical="bottom" textRotation="0" wrapText="false" indent="0" shrinkToFit="false"/>
      <protection locked="true" hidden="false"/>
    </xf>
    <xf numFmtId="164" fontId="0" fillId="0" borderId="9" xfId="0" applyFont="false" applyBorder="true" applyAlignment="false" applyProtection="false">
      <alignment horizontal="general" vertical="bottom" textRotation="0" wrapText="false" indent="0" shrinkToFit="false"/>
      <protection locked="true" hidden="false"/>
    </xf>
    <xf numFmtId="164" fontId="0" fillId="0" borderId="13" xfId="0" applyFont="false" applyBorder="true" applyAlignment="false" applyProtection="false">
      <alignment horizontal="general" vertical="bottom" textRotation="0" wrapText="false" indent="0" shrinkToFit="false"/>
      <protection locked="true" hidden="false"/>
    </xf>
    <xf numFmtId="164" fontId="32" fillId="0" borderId="0" xfId="0" applyFont="true" applyBorder="true" applyAlignment="false" applyProtection="false">
      <alignment horizontal="general" vertical="bottom" textRotation="0" wrapText="false" indent="0" shrinkToFit="false"/>
      <protection locked="true" hidden="false"/>
    </xf>
    <xf numFmtId="168" fontId="32" fillId="0" borderId="0" xfId="17" applyFont="true" applyBorder="true" applyAlignment="true" applyProtection="true">
      <alignment horizontal="general" vertical="bottom" textRotation="0" wrapText="false" indent="0" shrinkToFit="false"/>
      <protection locked="true" hidden="false"/>
    </xf>
    <xf numFmtId="164" fontId="0" fillId="0" borderId="11" xfId="0" applyFont="true" applyBorder="true" applyAlignment="true" applyProtection="false">
      <alignment horizontal="general" vertical="bottom" textRotation="0" wrapText="true" indent="0" shrinkToFit="false"/>
      <protection locked="true" hidden="false"/>
    </xf>
    <xf numFmtId="164" fontId="34" fillId="0" borderId="11" xfId="0" applyFont="true" applyBorder="true" applyAlignment="true" applyProtection="false">
      <alignment horizontal="general" vertical="bottom" textRotation="0" wrapText="true" indent="0" shrinkToFit="false"/>
      <protection locked="true" hidden="false"/>
    </xf>
    <xf numFmtId="164" fontId="49" fillId="0" borderId="11" xfId="0" applyFont="true" applyBorder="true" applyAlignment="true" applyProtection="false">
      <alignment horizontal="general" vertical="bottom" textRotation="0" wrapText="true" indent="0" shrinkToFit="false"/>
      <protection locked="true" hidden="false"/>
    </xf>
    <xf numFmtId="171" fontId="0" fillId="0" borderId="0" xfId="0" applyFont="false" applyBorder="false" applyAlignment="false" applyProtection="false">
      <alignment horizontal="general" vertical="bottom" textRotation="0" wrapText="false" indent="0" shrinkToFit="false"/>
      <protection locked="true" hidden="false"/>
    </xf>
    <xf numFmtId="164" fontId="49" fillId="0" borderId="11" xfId="0" applyFont="true" applyBorder="true" applyAlignment="true" applyProtection="false">
      <alignment horizontal="left" vertical="bottom" textRotation="0" wrapText="true" indent="0" shrinkToFit="false"/>
      <protection locked="true" hidden="false"/>
    </xf>
    <xf numFmtId="164" fontId="62" fillId="0" borderId="0" xfId="51" applyFont="true" applyBorder="false" applyAlignment="false" applyProtection="false">
      <alignment horizontal="general" vertical="bottom" textRotation="0" wrapText="false" indent="0" shrinkToFit="false"/>
      <protection locked="true" hidden="false"/>
    </xf>
    <xf numFmtId="188" fontId="4" fillId="0" borderId="0" xfId="51" applyFont="false" applyBorder="false" applyAlignment="false" applyProtection="false">
      <alignment horizontal="general" vertical="bottom" textRotation="0" wrapText="false" indent="0" shrinkToFit="false"/>
      <protection locked="true" hidden="false"/>
    </xf>
    <xf numFmtId="164" fontId="43" fillId="0" borderId="0" xfId="51" applyFont="true" applyBorder="false" applyAlignment="false" applyProtection="false">
      <alignment horizontal="general" vertical="bottom" textRotation="0" wrapText="false" indent="0" shrinkToFit="false"/>
      <protection locked="true" hidden="false"/>
    </xf>
    <xf numFmtId="171" fontId="44" fillId="0" borderId="24" xfId="24" applyFont="true" applyBorder="true" applyAlignment="true" applyProtection="true">
      <alignment horizontal="general" vertical="bottom" textRotation="0" wrapText="false" indent="0" shrinkToFit="false"/>
      <protection locked="true" hidden="false"/>
    </xf>
    <xf numFmtId="171" fontId="4" fillId="6" borderId="0" xfId="51" applyFont="false" applyBorder="false" applyAlignment="false" applyProtection="false">
      <alignment horizontal="general" vertical="bottom" textRotation="0" wrapText="false" indent="0" shrinkToFit="false"/>
      <protection locked="true" hidden="false"/>
    </xf>
    <xf numFmtId="186" fontId="4" fillId="0" borderId="0" xfId="51" applyFont="false" applyBorder="false" applyAlignment="false" applyProtection="false">
      <alignment horizontal="general" vertical="bottom" textRotation="0" wrapText="false" indent="0" shrinkToFit="false"/>
      <protection locked="true" hidden="false"/>
    </xf>
    <xf numFmtId="170" fontId="4" fillId="0" borderId="0" xfId="51" applyFont="false" applyBorder="false" applyAlignment="false" applyProtection="false">
      <alignment horizontal="general" vertical="bottom" textRotation="0" wrapText="false" indent="0" shrinkToFit="false"/>
      <protection locked="true" hidden="false"/>
    </xf>
    <xf numFmtId="164" fontId="68" fillId="0" borderId="0" xfId="51" applyFont="true" applyBorder="false" applyAlignment="false" applyProtection="false">
      <alignment horizontal="general" vertical="bottom" textRotation="0" wrapText="false" indent="0" shrinkToFit="false"/>
      <protection locked="true" hidden="false"/>
    </xf>
    <xf numFmtId="164" fontId="69" fillId="0" borderId="0" xfId="51" applyFont="true" applyBorder="false" applyAlignment="false" applyProtection="false">
      <alignment horizontal="general" vertical="bottom" textRotation="0" wrapText="false" indent="0" shrinkToFit="false"/>
      <protection locked="true" hidden="false"/>
    </xf>
    <xf numFmtId="171" fontId="46" fillId="0" borderId="0" xfId="17" applyFont="true" applyBorder="true" applyAlignment="true" applyProtection="true">
      <alignment horizontal="general" vertical="bottom" textRotation="0" wrapText="false" indent="0" shrinkToFit="false"/>
      <protection locked="true" hidden="false"/>
    </xf>
    <xf numFmtId="164" fontId="70" fillId="0" borderId="0" xfId="51" applyFont="true" applyBorder="false" applyAlignment="false" applyProtection="false">
      <alignment horizontal="general" vertical="bottom" textRotation="0" wrapText="false" indent="0" shrinkToFit="false"/>
      <protection locked="true" hidden="false"/>
    </xf>
    <xf numFmtId="164" fontId="68" fillId="0" borderId="0" xfId="51" applyFont="true" applyBorder="true" applyAlignment="false" applyProtection="false">
      <alignment horizontal="general" vertical="bottom" textRotation="0" wrapText="false" indent="0" shrinkToFit="false"/>
      <protection locked="true" hidden="false"/>
    </xf>
    <xf numFmtId="168" fontId="4" fillId="0" borderId="0" xfId="51" applyFont="true" applyBorder="false" applyAlignment="false" applyProtection="false">
      <alignment horizontal="general" vertical="bottom" textRotation="0" wrapText="false" indent="0" shrinkToFit="false"/>
      <protection locked="true" hidden="false"/>
    </xf>
    <xf numFmtId="171" fontId="4" fillId="9" borderId="0" xfId="24" applyFont="false" applyBorder="true" applyAlignment="true" applyProtection="true">
      <alignment horizontal="general" vertical="bottom" textRotation="0" wrapText="false" indent="0" shrinkToFit="false"/>
      <protection locked="true" hidden="false"/>
    </xf>
    <xf numFmtId="168" fontId="54" fillId="0" borderId="0" xfId="15" applyFont="true" applyBorder="true" applyAlignment="true" applyProtection="true">
      <alignment horizontal="general" vertical="bottom" textRotation="0" wrapText="false" indent="0" shrinkToFit="false"/>
      <protection locked="true" hidden="false"/>
    </xf>
    <xf numFmtId="178" fontId="4" fillId="0" borderId="0" xfId="19" applyFont="true" applyBorder="true" applyAlignment="true" applyProtection="true">
      <alignment horizontal="right" vertical="bottom" textRotation="0" wrapText="false" indent="0" shrinkToFit="false"/>
      <protection locked="true" hidden="false"/>
    </xf>
    <xf numFmtId="178" fontId="4" fillId="9" borderId="0" xfId="19" applyFont="true" applyBorder="true" applyAlignment="true" applyProtection="true">
      <alignment horizontal="right" vertical="bottom" textRotation="0" wrapText="false" indent="0" shrinkToFit="false"/>
      <protection locked="true" hidden="false"/>
    </xf>
    <xf numFmtId="168" fontId="4" fillId="5" borderId="0" xfId="24" applyFont="false" applyBorder="true" applyAlignment="true" applyProtection="true">
      <alignment horizontal="general" vertical="bottom" textRotation="0" wrapText="false" indent="0" shrinkToFit="false"/>
      <protection locked="true" hidden="false"/>
    </xf>
    <xf numFmtId="168" fontId="4" fillId="9" borderId="0" xfId="24" applyFont="false" applyBorder="true" applyAlignment="true" applyProtection="true">
      <alignment horizontal="general" vertical="bottom" textRotation="0" wrapText="false" indent="0" shrinkToFit="false"/>
      <protection locked="true" hidden="false"/>
    </xf>
    <xf numFmtId="171" fontId="44" fillId="0" borderId="32" xfId="24" applyFont="true" applyBorder="true" applyAlignment="true" applyProtection="true">
      <alignment horizontal="general" vertical="bottom" textRotation="0" wrapText="false" indent="0" shrinkToFit="false"/>
      <protection locked="true" hidden="false"/>
    </xf>
    <xf numFmtId="181" fontId="4" fillId="0" borderId="0" xfId="24" applyFont="false" applyBorder="true" applyAlignment="true" applyProtection="true">
      <alignment horizontal="general" vertical="bottom" textRotation="0" wrapText="false" indent="0" shrinkToFit="false"/>
      <protection locked="true" hidden="false"/>
    </xf>
    <xf numFmtId="165" fontId="4" fillId="0" borderId="0" xfId="51" applyFont="false" applyBorder="false" applyAlignment="false" applyProtection="false">
      <alignment horizontal="general" vertical="bottom" textRotation="0" wrapText="false" indent="0" shrinkToFit="false"/>
      <protection locked="true" hidden="false"/>
    </xf>
    <xf numFmtId="171" fontId="4" fillId="9" borderId="24" xfId="51" applyFont="false" applyBorder="true" applyAlignment="false" applyProtection="false">
      <alignment horizontal="general" vertical="bottom" textRotation="0" wrapText="false" indent="0" shrinkToFit="false"/>
      <protection locked="true" hidden="false"/>
    </xf>
    <xf numFmtId="171" fontId="44" fillId="9" borderId="0" xfId="24" applyFont="true" applyBorder="true" applyAlignment="true" applyProtection="true">
      <alignment horizontal="general" vertical="bottom" textRotation="0" wrapText="false" indent="0" shrinkToFit="false"/>
      <protection locked="true" hidden="false"/>
    </xf>
    <xf numFmtId="164" fontId="44" fillId="0" borderId="0" xfId="51" applyFont="true" applyBorder="false" applyAlignment="false" applyProtection="false">
      <alignment horizontal="general" vertical="bottom" textRotation="0" wrapText="false" indent="0" shrinkToFit="false"/>
      <protection locked="true" hidden="false"/>
    </xf>
    <xf numFmtId="168" fontId="4" fillId="0" borderId="0" xfId="24" applyFont="false" applyBorder="true" applyAlignment="true" applyProtection="true">
      <alignment horizontal="general" vertical="bottom" textRotation="0" wrapText="false" indent="0" shrinkToFit="false"/>
      <protection locked="true" hidden="false"/>
    </xf>
    <xf numFmtId="168" fontId="4" fillId="9" borderId="0" xfId="24" applyFont="true" applyBorder="true" applyAlignment="true" applyProtection="true">
      <alignment horizontal="general" vertical="bottom" textRotation="0" wrapText="false" indent="0" shrinkToFit="false"/>
      <protection locked="true" hidden="false"/>
    </xf>
    <xf numFmtId="167" fontId="0" fillId="0" borderId="0" xfId="0" applyFont="false" applyBorder="false" applyAlignment="false" applyProtection="false">
      <alignment horizontal="general" vertical="bottom" textRotation="0" wrapText="false" indent="0" shrinkToFit="false"/>
      <protection locked="true" hidden="false"/>
    </xf>
    <xf numFmtId="171" fontId="4" fillId="5" borderId="0" xfId="24" applyFont="false" applyBorder="true" applyAlignment="true" applyProtection="true">
      <alignment horizontal="general" vertical="bottom" textRotation="0" wrapText="false" indent="0" shrinkToFit="false"/>
      <protection locked="true" hidden="false"/>
    </xf>
    <xf numFmtId="171" fontId="4" fillId="9" borderId="0" xfId="51" applyFont="true" applyBorder="false" applyAlignment="false" applyProtection="false">
      <alignment horizontal="general" vertical="bottom" textRotation="0" wrapText="false" indent="0" shrinkToFit="false"/>
      <protection locked="true" hidden="false"/>
    </xf>
    <xf numFmtId="171" fontId="4" fillId="0" borderId="24" xfId="51" applyFont="false" applyBorder="true" applyAlignment="false" applyProtection="false">
      <alignment horizontal="general" vertical="bottom" textRotation="0" wrapText="false" indent="0" shrinkToFit="false"/>
      <protection locked="true" hidden="false"/>
    </xf>
    <xf numFmtId="171" fontId="4" fillId="0" borderId="24" xfId="51" applyFont="true" applyBorder="true" applyAlignment="false" applyProtection="false">
      <alignment horizontal="general" vertical="bottom" textRotation="0" wrapText="false" indent="0" shrinkToFit="false"/>
      <protection locked="true" hidden="false"/>
    </xf>
    <xf numFmtId="168" fontId="4" fillId="0" borderId="0" xfId="51" applyFont="false" applyBorder="false" applyAlignment="false" applyProtection="false">
      <alignment horizontal="general" vertical="bottom" textRotation="0" wrapText="false" indent="0" shrinkToFit="false"/>
      <protection locked="true" hidden="false"/>
    </xf>
    <xf numFmtId="186" fontId="4" fillId="0" borderId="0" xfId="51" applyFont="true" applyBorder="false" applyAlignment="false" applyProtection="false">
      <alignment horizontal="general" vertical="bottom" textRotation="0" wrapText="false" indent="0" shrinkToFit="false"/>
      <protection locked="true" hidden="false"/>
    </xf>
    <xf numFmtId="171" fontId="4" fillId="11" borderId="0" xfId="24" applyFont="false" applyBorder="true" applyAlignment="true" applyProtection="true">
      <alignment horizontal="general" vertical="bottom" textRotation="0" wrapText="false" indent="0" shrinkToFit="false"/>
      <protection locked="true" hidden="false"/>
    </xf>
    <xf numFmtId="164" fontId="4" fillId="7" borderId="0" xfId="51" applyFont="false" applyBorder="false" applyAlignment="false" applyProtection="false">
      <alignment horizontal="general" vertical="bottom" textRotation="0" wrapText="false" indent="0" shrinkToFit="false"/>
      <protection locked="true" hidden="false"/>
    </xf>
    <xf numFmtId="171" fontId="4" fillId="7" borderId="0" xfId="24" applyFont="false" applyBorder="true" applyAlignment="true" applyProtection="true">
      <alignment horizontal="general" vertical="bottom" textRotation="0" wrapText="false" indent="0" shrinkToFit="false"/>
      <protection locked="true" hidden="false"/>
    </xf>
    <xf numFmtId="186" fontId="54" fillId="0" borderId="16" xfId="51" applyFont="true" applyBorder="true" applyAlignment="false" applyProtection="false">
      <alignment horizontal="general" vertical="bottom" textRotation="0" wrapText="false" indent="0" shrinkToFit="false"/>
      <protection locked="true" hidden="false"/>
    </xf>
    <xf numFmtId="186" fontId="4" fillId="0" borderId="0" xfId="51" applyFont="false" applyBorder="true" applyAlignment="false" applyProtection="false">
      <alignment horizontal="general" vertical="bottom" textRotation="0" wrapText="false" indent="0" shrinkToFit="false"/>
      <protection locked="true" hidden="false"/>
    </xf>
    <xf numFmtId="164" fontId="4" fillId="0" borderId="0" xfId="51" applyFont="true" applyBorder="true" applyAlignment="false" applyProtection="false">
      <alignment horizontal="general" vertical="bottom" textRotation="0" wrapText="false" indent="0" shrinkToFit="false"/>
      <protection locked="true" hidden="false"/>
    </xf>
    <xf numFmtId="186" fontId="4" fillId="0" borderId="9" xfId="51" applyFont="false" applyBorder="true" applyAlignment="false" applyProtection="false">
      <alignment horizontal="general" vertical="bottom" textRotation="0" wrapText="false" indent="0" shrinkToFit="false"/>
      <protection locked="true" hidden="false"/>
    </xf>
    <xf numFmtId="164" fontId="71" fillId="0" borderId="9" xfId="51" applyFont="true" applyBorder="true" applyAlignment="false" applyProtection="false">
      <alignment horizontal="general" vertical="bottom" textRotation="0" wrapText="false" indent="0" shrinkToFit="false"/>
      <protection locked="true" hidden="false"/>
    </xf>
    <xf numFmtId="164" fontId="4" fillId="0" borderId="9" xfId="51" applyFont="true" applyBorder="true" applyAlignment="false" applyProtection="false">
      <alignment horizontal="general" vertical="bottom" textRotation="0" wrapText="false" indent="0" shrinkToFit="false"/>
      <protection locked="true" hidden="false"/>
    </xf>
    <xf numFmtId="171" fontId="18" fillId="0" borderId="0" xfId="17" applyFont="true" applyBorder="true" applyAlignment="true" applyProtection="true">
      <alignment horizontal="left" vertical="bottom" textRotation="0" wrapText="true" indent="0" shrinkToFit="false"/>
      <protection locked="true" hidden="false"/>
    </xf>
    <xf numFmtId="171" fontId="0" fillId="9" borderId="0" xfId="17" applyFont="true" applyBorder="true" applyAlignment="true" applyProtection="true">
      <alignment horizontal="general" vertical="bottom" textRotation="0" wrapText="false" indent="0" shrinkToFit="false"/>
      <protection locked="true" hidden="false"/>
    </xf>
    <xf numFmtId="164" fontId="18" fillId="0" borderId="0" xfId="0" applyFont="true" applyBorder="false" applyAlignment="true" applyProtection="false">
      <alignment horizontal="general" vertical="bottom" textRotation="0" wrapText="true" indent="0" shrinkToFit="false"/>
      <protection locked="true" hidden="false"/>
    </xf>
    <xf numFmtId="175" fontId="0" fillId="9" borderId="0" xfId="0" applyFont="false" applyBorder="false" applyAlignment="false" applyProtection="false">
      <alignment horizontal="general" vertical="bottom" textRotation="0" wrapText="false" indent="0" shrinkToFit="false"/>
      <protection locked="true" hidden="false"/>
    </xf>
    <xf numFmtId="175" fontId="0" fillId="0" borderId="0" xfId="19" applyFont="true" applyBorder="true" applyAlignment="true" applyProtection="true">
      <alignment horizontal="general" vertical="bottom" textRotation="0" wrapText="false" indent="0" shrinkToFit="false"/>
      <protection locked="true" hidden="false"/>
    </xf>
    <xf numFmtId="170" fontId="0" fillId="0" borderId="0" xfId="19" applyFont="true" applyBorder="true" applyAlignment="true" applyProtection="true">
      <alignment horizontal="general" vertical="bottom" textRotation="0" wrapText="false" indent="0" shrinkToFit="false"/>
      <protection locked="true" hidden="false"/>
    </xf>
    <xf numFmtId="175" fontId="28" fillId="0" borderId="0" xfId="19" applyFont="true" applyBorder="true" applyAlignment="true" applyProtection="true">
      <alignment horizontal="general" vertical="bottom" textRotation="0" wrapText="false" indent="0" shrinkToFit="false"/>
      <protection locked="true" hidden="false"/>
    </xf>
    <xf numFmtId="171" fontId="0" fillId="0" borderId="0" xfId="19" applyFont="true" applyBorder="true" applyAlignment="true" applyProtection="true">
      <alignment horizontal="general" vertical="bottom" textRotation="0" wrapText="false" indent="0" shrinkToFit="false"/>
      <protection locked="true" hidden="false"/>
    </xf>
    <xf numFmtId="171" fontId="8"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false" applyBorder="false" applyAlignment="false" applyProtection="false">
      <alignment horizontal="general" vertical="bottom" textRotation="0" wrapText="false" indent="0" shrinkToFit="false"/>
      <protection locked="true" hidden="false"/>
    </xf>
    <xf numFmtId="164" fontId="72" fillId="0" borderId="0" xfId="51" applyFont="true" applyBorder="false" applyAlignment="false" applyProtection="false">
      <alignment horizontal="general" vertical="bottom" textRotation="0" wrapText="false" indent="0" shrinkToFit="false"/>
      <protection locked="true" hidden="false"/>
    </xf>
    <xf numFmtId="184" fontId="4" fillId="0" borderId="0" xfId="51" applyFont="false" applyBorder="false" applyAlignment="false" applyProtection="false">
      <alignment horizontal="general" vertical="bottom" textRotation="0" wrapText="false" indent="0" shrinkToFit="false"/>
      <protection locked="true" hidden="false"/>
    </xf>
    <xf numFmtId="180" fontId="4" fillId="0" borderId="0" xfId="51"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84" fontId="42" fillId="0" borderId="0" xfId="51" applyFont="true" applyBorder="false" applyAlignment="false" applyProtection="false">
      <alignment horizontal="general" vertical="bottom" textRotation="0" wrapText="false" indent="0" shrinkToFit="false"/>
      <protection locked="true" hidden="false"/>
    </xf>
    <xf numFmtId="184" fontId="53" fillId="0" borderId="0" xfId="51" applyFont="true" applyBorder="false" applyAlignment="false" applyProtection="false">
      <alignment horizontal="general" vertical="bottom" textRotation="0" wrapText="false" indent="0" shrinkToFit="false"/>
      <protection locked="true" hidden="false"/>
    </xf>
    <xf numFmtId="184" fontId="73" fillId="0" borderId="0" xfId="51" applyFont="true" applyBorder="false" applyAlignment="false" applyProtection="false">
      <alignment horizontal="general" vertical="bottom" textRotation="0" wrapText="false" indent="0" shrinkToFit="false"/>
      <protection locked="true" hidden="false"/>
    </xf>
    <xf numFmtId="184" fontId="4" fillId="0" borderId="0" xfId="51" applyFont="true" applyBorder="false" applyAlignment="false" applyProtection="false">
      <alignment horizontal="general" vertical="bottom" textRotation="0" wrapText="false" indent="0" shrinkToFit="false"/>
      <protection locked="true" hidden="false"/>
    </xf>
    <xf numFmtId="170" fontId="44" fillId="0" borderId="0" xfId="19" applyFont="true" applyBorder="true" applyAlignment="true" applyProtection="true">
      <alignment horizontal="right" vertical="bottom" textRotation="0" wrapText="false" indent="0" shrinkToFit="false"/>
      <protection locked="true" hidden="false"/>
    </xf>
    <xf numFmtId="184" fontId="44" fillId="0" borderId="0" xfId="15" applyFont="true" applyBorder="true" applyAlignment="true" applyProtection="true">
      <alignment horizontal="right" vertical="bottom" textRotation="0" wrapText="false" indent="0" shrinkToFit="false"/>
      <protection locked="true" hidden="false"/>
    </xf>
    <xf numFmtId="174" fontId="4" fillId="0" borderId="0" xfId="15" applyFont="true" applyBorder="true" applyAlignment="true" applyProtection="true">
      <alignment horizontal="right" vertical="bottom" textRotation="0" wrapText="false" indent="0" shrinkToFit="false"/>
      <protection locked="true" hidden="false"/>
    </xf>
    <xf numFmtId="174" fontId="4" fillId="0" borderId="0" xfId="51" applyFont="false" applyBorder="false" applyAlignment="false" applyProtection="false">
      <alignment horizontal="general" vertical="bottom" textRotation="0" wrapText="false" indent="0" shrinkToFit="false"/>
      <protection locked="true" hidden="false"/>
    </xf>
    <xf numFmtId="180" fontId="44" fillId="0" borderId="0" xfId="19" applyFont="true" applyBorder="true" applyAlignment="true" applyProtection="true">
      <alignment horizontal="right" vertical="bottom" textRotation="0" wrapText="false" indent="0" shrinkToFit="false"/>
      <protection locked="true" hidden="false"/>
    </xf>
    <xf numFmtId="164" fontId="53" fillId="0" borderId="0" xfId="0" applyFont="true" applyBorder="false" applyAlignment="false" applyProtection="false">
      <alignment horizontal="general" vertical="bottom" textRotation="0" wrapText="false" indent="0" shrinkToFit="false"/>
      <protection locked="true" hidden="false"/>
    </xf>
    <xf numFmtId="164" fontId="73" fillId="0" borderId="0" xfId="0" applyFont="true" applyBorder="false" applyAlignment="false" applyProtection="false">
      <alignment horizontal="general" vertical="bottom" textRotation="0" wrapText="false" indent="0" shrinkToFit="false"/>
      <protection locked="true" hidden="false"/>
    </xf>
    <xf numFmtId="180" fontId="4" fillId="0" borderId="0" xfId="0" applyFont="true" applyBorder="false" applyAlignment="false" applyProtection="false">
      <alignment horizontal="general" vertical="bottom" textRotation="0" wrapText="false" indent="0" shrinkToFit="false"/>
      <protection locked="true" hidden="false"/>
    </xf>
    <xf numFmtId="164" fontId="4" fillId="3" borderId="0" xfId="0" applyFont="true" applyBorder="false" applyAlignment="false" applyProtection="false">
      <alignment horizontal="general" vertical="bottom" textRotation="0" wrapText="false" indent="0" shrinkToFit="false"/>
      <protection locked="true" hidden="false"/>
    </xf>
    <xf numFmtId="171" fontId="4" fillId="3" borderId="0" xfId="17" applyFont="true" applyBorder="true" applyAlignment="true" applyProtection="true">
      <alignment horizontal="general" vertical="bottom" textRotation="0" wrapText="false" indent="0" shrinkToFit="false"/>
      <protection locked="true" hidden="false"/>
    </xf>
    <xf numFmtId="164" fontId="42" fillId="0" borderId="0" xfId="0" applyFont="true" applyBorder="false" applyAlignment="false" applyProtection="false">
      <alignment horizontal="general" vertical="bottom" textRotation="0" wrapText="false" indent="0" shrinkToFit="false"/>
      <protection locked="true" hidden="false"/>
    </xf>
    <xf numFmtId="171" fontId="4" fillId="0" borderId="0" xfId="19" applyFont="true" applyBorder="true" applyAlignment="true" applyProtection="true">
      <alignment horizontal="general" vertical="bottom" textRotation="0" wrapText="false" indent="0" shrinkToFit="false"/>
      <protection locked="true" hidden="false"/>
    </xf>
    <xf numFmtId="171" fontId="4" fillId="0" borderId="0" xfId="17" applyFont="true" applyBorder="true" applyAlignment="true" applyProtection="true">
      <alignment horizontal="left" vertical="bottom" textRotation="0" wrapText="false" indent="0" shrinkToFit="false"/>
      <protection locked="true" hidden="false"/>
    </xf>
    <xf numFmtId="170" fontId="4" fillId="0" borderId="0" xfId="19" applyFont="true" applyBorder="true" applyAlignment="true" applyProtection="true">
      <alignment horizontal="left" vertical="bottom" textRotation="0" wrapText="false" indent="0" shrinkToFit="false"/>
      <protection locked="true" hidden="false"/>
    </xf>
    <xf numFmtId="164" fontId="4" fillId="0" borderId="0" xfId="0" applyFont="true" applyBorder="false" applyAlignment="true" applyProtection="false">
      <alignment horizontal="left" vertical="bottom" textRotation="0" wrapText="false" indent="0" shrinkToFit="false"/>
      <protection locked="true" hidden="false"/>
    </xf>
    <xf numFmtId="164" fontId="44" fillId="0" borderId="0" xfId="0" applyFont="true" applyBorder="false" applyAlignment="false" applyProtection="false">
      <alignment horizontal="general" vertical="bottom" textRotation="0" wrapText="false" indent="0" shrinkToFit="false"/>
      <protection locked="true" hidden="false"/>
    </xf>
    <xf numFmtId="164" fontId="54" fillId="0" borderId="25" xfId="0" applyFont="true" applyBorder="true" applyAlignment="false" applyProtection="false">
      <alignment horizontal="general" vertical="bottom" textRotation="0" wrapText="false" indent="0" shrinkToFit="false"/>
      <protection locked="true" hidden="false"/>
    </xf>
    <xf numFmtId="171" fontId="54" fillId="0" borderId="32" xfId="17" applyFont="true" applyBorder="true" applyAlignment="true" applyProtection="true">
      <alignment horizontal="general" vertical="bottom" textRotation="0" wrapText="false" indent="0" shrinkToFit="false"/>
      <protection locked="true" hidden="false"/>
    </xf>
    <xf numFmtId="164" fontId="54" fillId="0" borderId="0" xfId="0" applyFont="true" applyBorder="true" applyAlignment="false" applyProtection="false">
      <alignment horizontal="general" vertical="bottom" textRotation="0" wrapText="false" indent="0" shrinkToFit="false"/>
      <protection locked="true" hidden="false"/>
    </xf>
    <xf numFmtId="171" fontId="54" fillId="0" borderId="0" xfId="17" applyFont="true" applyBorder="true" applyAlignment="true" applyProtection="true">
      <alignment horizontal="general" vertical="bottom" textRotation="0" wrapText="false" indent="0" shrinkToFit="false"/>
      <protection locked="true" hidden="false"/>
    </xf>
    <xf numFmtId="164" fontId="54" fillId="0" borderId="0" xfId="0" applyFont="true" applyBorder="false" applyAlignment="false" applyProtection="false">
      <alignment horizontal="general" vertical="bottom" textRotation="0" wrapText="false" indent="0" shrinkToFit="false"/>
      <protection locked="true" hidden="false"/>
    </xf>
    <xf numFmtId="164" fontId="61" fillId="0" borderId="0" xfId="51" applyFont="true" applyBorder="false" applyAlignment="true" applyProtection="false">
      <alignment horizontal="center" vertical="bottom" textRotation="0" wrapText="false" indent="0" shrinkToFit="false"/>
      <protection locked="true" hidden="false"/>
    </xf>
    <xf numFmtId="168" fontId="54" fillId="0" borderId="27" xfId="15" applyFont="true" applyBorder="true" applyAlignment="true" applyProtection="true">
      <alignment horizontal="general" vertical="bottom" textRotation="0" wrapText="false" indent="0" shrinkToFit="false"/>
      <protection locked="true" hidden="false"/>
    </xf>
    <xf numFmtId="174" fontId="4" fillId="0" borderId="22" xfId="15" applyFont="true" applyBorder="true" applyAlignment="true" applyProtection="true">
      <alignment horizontal="general" vertical="bottom" textRotation="0" wrapText="false" indent="0" shrinkToFit="false"/>
      <protection locked="true" hidden="false"/>
    </xf>
    <xf numFmtId="168" fontId="4" fillId="0" borderId="22" xfId="15" applyFont="true" applyBorder="true" applyAlignment="true" applyProtection="true">
      <alignment horizontal="general" vertical="bottom" textRotation="0" wrapText="false" indent="0" shrinkToFit="false"/>
      <protection locked="true" hidden="false"/>
    </xf>
    <xf numFmtId="168" fontId="4" fillId="0" borderId="27" xfId="15" applyFont="true" applyBorder="true" applyAlignment="true" applyProtection="true">
      <alignment horizontal="center" vertical="bottom" textRotation="0" wrapText="false" indent="0" shrinkToFit="false"/>
      <protection locked="true" hidden="false"/>
    </xf>
    <xf numFmtId="164" fontId="39" fillId="0" borderId="0" xfId="51" applyFont="true" applyBorder="false" applyAlignment="true" applyProtection="false">
      <alignment horizontal="center" vertical="bottom" textRotation="0" wrapText="false" indent="0" shrinkToFit="false"/>
      <protection locked="true" hidden="false"/>
    </xf>
    <xf numFmtId="168" fontId="4" fillId="0" borderId="28" xfId="15" applyFont="true" applyBorder="true" applyAlignment="true" applyProtection="true">
      <alignment horizontal="right" vertical="bottom" textRotation="0" wrapText="false" indent="0" shrinkToFit="false"/>
      <protection locked="true" hidden="false"/>
    </xf>
    <xf numFmtId="164" fontId="54" fillId="0" borderId="0" xfId="51" applyFont="true" applyBorder="false" applyAlignment="true" applyProtection="false">
      <alignment horizontal="right" vertical="bottom" textRotation="0" wrapText="false" indent="0" shrinkToFit="false"/>
      <protection locked="true" hidden="false"/>
    </xf>
    <xf numFmtId="168" fontId="4" fillId="0" borderId="16" xfId="15" applyFont="true" applyBorder="true" applyAlignment="true" applyProtection="true">
      <alignment horizontal="right" vertical="bottom" textRotation="0" wrapText="false" indent="0" shrinkToFit="false"/>
      <protection locked="true" hidden="false"/>
    </xf>
    <xf numFmtId="168" fontId="4" fillId="0" borderId="14" xfId="15" applyFont="true" applyBorder="true" applyAlignment="true" applyProtection="true">
      <alignment horizontal="general" vertical="bottom" textRotation="0" wrapText="false" indent="0" shrinkToFit="false"/>
      <protection locked="true" hidden="false"/>
    </xf>
    <xf numFmtId="168" fontId="4" fillId="9" borderId="14" xfId="15" applyFont="true" applyBorder="true" applyAlignment="true" applyProtection="true">
      <alignment horizontal="general" vertical="bottom" textRotation="0" wrapText="false" indent="0" shrinkToFit="false"/>
      <protection locked="true" hidden="false"/>
    </xf>
    <xf numFmtId="164" fontId="4" fillId="0" borderId="0" xfId="51" applyFont="true" applyBorder="false" applyAlignment="true" applyProtection="false">
      <alignment horizontal="left" vertical="bottom" textRotation="0" wrapText="false" indent="0" shrinkToFit="false"/>
      <protection locked="true" hidden="false"/>
    </xf>
    <xf numFmtId="168" fontId="4" fillId="9" borderId="0" xfId="51" applyFont="false" applyBorder="true" applyAlignment="false" applyProtection="false">
      <alignment horizontal="general" vertical="bottom" textRotation="0" wrapText="false" indent="0" shrinkToFit="false"/>
      <protection locked="true" hidden="false"/>
    </xf>
    <xf numFmtId="168" fontId="4" fillId="0" borderId="29" xfId="51" applyFont="false" applyBorder="true" applyAlignment="false" applyProtection="false">
      <alignment horizontal="general" vertical="bottom" textRotation="0" wrapText="false" indent="0" shrinkToFit="false"/>
      <protection locked="true" hidden="false"/>
    </xf>
    <xf numFmtId="168" fontId="4" fillId="0" borderId="24" xfId="15" applyFont="true" applyBorder="true" applyAlignment="true" applyProtection="true">
      <alignment horizontal="general" vertical="bottom" textRotation="0" wrapText="false" indent="0" shrinkToFit="false"/>
      <protection locked="true" hidden="false"/>
    </xf>
    <xf numFmtId="168" fontId="4" fillId="9" borderId="24" xfId="15" applyFont="true" applyBorder="true" applyAlignment="true" applyProtection="true">
      <alignment horizontal="general" vertical="bottom" textRotation="0" wrapText="false" indent="0" shrinkToFit="false"/>
      <protection locked="true" hidden="false"/>
    </xf>
    <xf numFmtId="168" fontId="54" fillId="0" borderId="0" xfId="51" applyFont="true" applyBorder="false" applyAlignment="true" applyProtection="false">
      <alignment horizontal="right" vertical="bottom" textRotation="0" wrapText="false" indent="0" shrinkToFit="false"/>
      <protection locked="true" hidden="false"/>
    </xf>
    <xf numFmtId="168" fontId="54" fillId="0" borderId="16" xfId="15" applyFont="true" applyBorder="true" applyAlignment="true" applyProtection="true">
      <alignment horizontal="right" vertical="bottom" textRotation="0" wrapText="false" indent="0" shrinkToFit="false"/>
      <protection locked="true" hidden="false"/>
    </xf>
    <xf numFmtId="168" fontId="54" fillId="0" borderId="14" xfId="15" applyFont="true" applyBorder="true" applyAlignment="true" applyProtection="true">
      <alignment horizontal="general" vertical="bottom" textRotation="0" wrapText="false" indent="0" shrinkToFit="false"/>
      <protection locked="true" hidden="false"/>
    </xf>
    <xf numFmtId="168" fontId="54" fillId="9" borderId="14" xfId="15" applyFont="true" applyBorder="true" applyAlignment="true" applyProtection="true">
      <alignment horizontal="general" vertical="bottom" textRotation="0" wrapText="false" indent="0" shrinkToFit="false"/>
      <protection locked="true" hidden="false"/>
    </xf>
    <xf numFmtId="168" fontId="54" fillId="0" borderId="16" xfId="15" applyFont="true" applyBorder="true" applyAlignment="true" applyProtection="true">
      <alignment horizontal="general" vertical="bottom" textRotation="0" wrapText="false" indent="0" shrinkToFit="false"/>
      <protection locked="true" hidden="false"/>
    </xf>
    <xf numFmtId="168" fontId="8" fillId="0" borderId="28" xfId="15" applyFont="true" applyBorder="true" applyAlignment="true" applyProtection="true">
      <alignment horizontal="general" vertical="bottom" textRotation="0" wrapText="false" indent="0" shrinkToFit="false"/>
      <protection locked="true" hidden="false"/>
    </xf>
    <xf numFmtId="164" fontId="43" fillId="0" borderId="0" xfId="51" applyFont="true" applyBorder="false" applyAlignment="true" applyProtection="false">
      <alignment horizontal="center" vertical="bottom" textRotation="0" wrapText="false" indent="0" shrinkToFit="false"/>
      <protection locked="true" hidden="false"/>
    </xf>
    <xf numFmtId="164" fontId="54" fillId="0" borderId="0" xfId="51" applyFont="true" applyBorder="false" applyAlignment="true" applyProtection="false">
      <alignment horizontal="left" vertical="bottom" textRotation="0" wrapText="false" indent="0" shrinkToFit="false"/>
      <protection locked="true" hidden="false"/>
    </xf>
    <xf numFmtId="168" fontId="54" fillId="0" borderId="28" xfId="15" applyFont="true" applyBorder="true" applyAlignment="true" applyProtection="true">
      <alignment horizontal="right" vertical="bottom" textRotation="0" wrapText="false" indent="0" shrinkToFit="false"/>
      <protection locked="true" hidden="false"/>
    </xf>
    <xf numFmtId="168" fontId="54" fillId="9" borderId="0" xfId="15" applyFont="true" applyBorder="true" applyAlignment="true" applyProtection="true">
      <alignment horizontal="general" vertical="bottom" textRotation="0" wrapText="false" indent="0" shrinkToFit="false"/>
      <protection locked="true" hidden="false"/>
    </xf>
    <xf numFmtId="168" fontId="54" fillId="0" borderId="28" xfId="15" applyFont="true" applyBorder="true" applyAlignment="true" applyProtection="true">
      <alignment horizontal="general" vertical="bottom" textRotation="0" wrapText="false" indent="0" shrinkToFit="false"/>
      <protection locked="true" hidden="false"/>
    </xf>
    <xf numFmtId="168" fontId="4" fillId="6" borderId="24" xfId="15" applyFont="true" applyBorder="true" applyAlignment="true" applyProtection="true">
      <alignment horizontal="general" vertical="bottom" textRotation="0" wrapText="false" indent="0" shrinkToFit="false"/>
      <protection locked="true" hidden="false"/>
    </xf>
    <xf numFmtId="164" fontId="54" fillId="0" borderId="24" xfId="51" applyFont="true" applyBorder="true" applyAlignment="false" applyProtection="false">
      <alignment horizontal="general" vertical="bottom" textRotation="0" wrapText="false" indent="0" shrinkToFit="false"/>
      <protection locked="true" hidden="false"/>
    </xf>
    <xf numFmtId="168" fontId="54" fillId="0" borderId="24" xfId="15" applyFont="true" applyBorder="true" applyAlignment="true" applyProtection="true">
      <alignment horizontal="right" vertical="bottom" textRotation="0" wrapText="false" indent="0" shrinkToFit="false"/>
      <protection locked="true" hidden="false"/>
    </xf>
    <xf numFmtId="168" fontId="54" fillId="0" borderId="24" xfId="15" applyFont="true" applyBorder="true" applyAlignment="true" applyProtection="true">
      <alignment horizontal="general" vertical="bottom" textRotation="0" wrapText="false" indent="0" shrinkToFit="false"/>
      <protection locked="true" hidden="false"/>
    </xf>
    <xf numFmtId="168" fontId="54" fillId="9" borderId="24" xfId="15" applyFont="true" applyBorder="true" applyAlignment="true" applyProtection="true">
      <alignment horizontal="general" vertical="bottom" textRotation="0" wrapText="false" indent="0" shrinkToFit="false"/>
      <protection locked="true" hidden="false"/>
    </xf>
    <xf numFmtId="168" fontId="54" fillId="0" borderId="31" xfId="15" applyFont="true" applyBorder="true" applyAlignment="true" applyProtection="true">
      <alignment horizontal="general" vertical="bottom" textRotation="0" wrapText="false" indent="0" shrinkToFit="false"/>
      <protection locked="true" hidden="false"/>
    </xf>
    <xf numFmtId="164" fontId="8" fillId="0" borderId="0" xfId="51" applyFont="true" applyBorder="true" applyAlignment="false" applyProtection="false">
      <alignment horizontal="general" vertical="bottom" textRotation="0" wrapText="false" indent="0" shrinkToFit="false"/>
      <protection locked="true" hidden="false"/>
    </xf>
    <xf numFmtId="164" fontId="4" fillId="0" borderId="6" xfId="51" applyFont="true" applyBorder="true" applyAlignment="false" applyProtection="false">
      <alignment horizontal="general" vertical="bottom" textRotation="0" wrapText="false" indent="0" shrinkToFit="false"/>
      <protection locked="true" hidden="false"/>
    </xf>
    <xf numFmtId="164" fontId="4" fillId="0" borderId="7" xfId="51" applyFont="true" applyBorder="true" applyAlignment="false" applyProtection="false">
      <alignment horizontal="general" vertical="bottom" textRotation="0" wrapText="false" indent="0" shrinkToFit="false"/>
      <protection locked="true" hidden="false"/>
    </xf>
    <xf numFmtId="168" fontId="4" fillId="0" borderId="10" xfId="15" applyFont="true" applyBorder="true" applyAlignment="true" applyProtection="true">
      <alignment horizontal="general" vertical="bottom" textRotation="0" wrapText="false" indent="0" shrinkToFit="false"/>
      <protection locked="true" hidden="false"/>
    </xf>
    <xf numFmtId="180" fontId="4" fillId="0" borderId="0" xfId="51" applyFont="true" applyBorder="true" applyAlignment="false" applyProtection="false">
      <alignment horizontal="general" vertical="bottom" textRotation="0" wrapText="false" indent="0" shrinkToFit="false"/>
      <protection locked="true" hidden="false"/>
    </xf>
    <xf numFmtId="168" fontId="4" fillId="0" borderId="12" xfId="15" applyFont="true" applyBorder="true" applyAlignment="true" applyProtection="true">
      <alignment horizontal="general" vertical="bottom" textRotation="0" wrapText="false" indent="0" shrinkToFit="false"/>
      <protection locked="true" hidden="false"/>
    </xf>
    <xf numFmtId="186" fontId="4" fillId="0" borderId="0" xfId="51" applyFont="true" applyBorder="true" applyAlignment="false" applyProtection="false">
      <alignment horizontal="general" vertical="bottom" textRotation="0" wrapText="false" indent="0" shrinkToFit="false"/>
      <protection locked="true" hidden="false"/>
    </xf>
    <xf numFmtId="164" fontId="4" fillId="0" borderId="8" xfId="51" applyFont="true" applyBorder="true" applyAlignment="false" applyProtection="false">
      <alignment horizontal="general" vertical="bottom" textRotation="0" wrapText="false" indent="0" shrinkToFit="false"/>
      <protection locked="true" hidden="false"/>
    </xf>
    <xf numFmtId="170" fontId="4" fillId="0" borderId="9" xfId="51" applyFont="true" applyBorder="true" applyAlignment="false" applyProtection="false">
      <alignment horizontal="general" vertical="bottom" textRotation="0" wrapText="false" indent="0" shrinkToFit="false"/>
      <protection locked="true" hidden="false"/>
    </xf>
    <xf numFmtId="168" fontId="4" fillId="0" borderId="13" xfId="15" applyFont="true" applyBorder="true" applyAlignment="true" applyProtection="true">
      <alignment horizontal="general" vertical="bottom" textRotation="0" wrapText="false" indent="0" shrinkToFit="false"/>
      <protection locked="true" hidden="false"/>
    </xf>
    <xf numFmtId="164" fontId="4" fillId="12" borderId="0" xfId="51" applyFont="true" applyBorder="true" applyAlignment="false" applyProtection="false">
      <alignment horizontal="general" vertical="bottom" textRotation="0" wrapText="false" indent="0" shrinkToFit="false"/>
      <protection locked="true" hidden="false"/>
    </xf>
    <xf numFmtId="168" fontId="4" fillId="12" borderId="0" xfId="15" applyFont="true" applyBorder="true" applyAlignment="true" applyProtection="true">
      <alignment horizontal="general" vertical="bottom" textRotation="0" wrapText="false" indent="0" shrinkToFit="false"/>
      <protection locked="true" hidden="false"/>
    </xf>
    <xf numFmtId="164" fontId="4" fillId="12" borderId="0" xfId="51" applyFont="false" applyBorder="false" applyAlignment="false" applyProtection="false">
      <alignment horizontal="general" vertical="bottom" textRotation="0" wrapText="false" indent="0" shrinkToFit="false"/>
      <protection locked="true" hidden="false"/>
    </xf>
    <xf numFmtId="164" fontId="8" fillId="12" borderId="0" xfId="51" applyFont="true" applyBorder="true" applyAlignment="false" applyProtection="false">
      <alignment horizontal="general" vertical="bottom" textRotation="0" wrapText="false" indent="0" shrinkToFit="false"/>
      <protection locked="true" hidden="false"/>
    </xf>
    <xf numFmtId="164" fontId="8" fillId="12" borderId="0" xfId="51" applyFont="true" applyBorder="false" applyAlignment="false" applyProtection="false">
      <alignment horizontal="general" vertical="bottom" textRotation="0" wrapText="false" indent="0" shrinkToFit="false"/>
      <protection locked="true" hidden="false"/>
    </xf>
    <xf numFmtId="164" fontId="74" fillId="12" borderId="0" xfId="51" applyFont="true" applyBorder="false" applyAlignment="false" applyProtection="false">
      <alignment horizontal="general" vertical="bottom" textRotation="0" wrapText="false" indent="0" shrinkToFit="false"/>
      <protection locked="true" hidden="false"/>
    </xf>
    <xf numFmtId="168" fontId="74" fillId="12" borderId="0" xfId="15" applyFont="true" applyBorder="true" applyAlignment="true" applyProtection="true">
      <alignment horizontal="general" vertical="bottom" textRotation="0" wrapText="false" indent="0" shrinkToFit="false"/>
      <protection locked="true" hidden="false"/>
    </xf>
    <xf numFmtId="164" fontId="74" fillId="12" borderId="24" xfId="51" applyFont="true" applyBorder="true" applyAlignment="false" applyProtection="false">
      <alignment horizontal="general" vertical="bottom" textRotation="0" wrapText="false" indent="0" shrinkToFit="false"/>
      <protection locked="true" hidden="false"/>
    </xf>
    <xf numFmtId="164" fontId="4" fillId="12" borderId="0" xfId="51" applyFont="true" applyBorder="false" applyAlignment="false" applyProtection="false">
      <alignment horizontal="general" vertical="bottom" textRotation="0" wrapText="false" indent="0" shrinkToFit="false"/>
      <protection locked="true" hidden="false"/>
    </xf>
    <xf numFmtId="171" fontId="74" fillId="12" borderId="0" xfId="17" applyFont="true" applyBorder="true" applyAlignment="true" applyProtection="true">
      <alignment horizontal="general" vertical="bottom" textRotation="0" wrapText="false" indent="0" shrinkToFit="false"/>
      <protection locked="true" hidden="false"/>
    </xf>
    <xf numFmtId="164" fontId="4" fillId="0" borderId="6" xfId="51" applyFont="false" applyBorder="true" applyAlignment="false" applyProtection="false">
      <alignment horizontal="general" vertical="bottom" textRotation="0" wrapText="false" indent="0" shrinkToFit="false"/>
      <protection locked="true" hidden="false"/>
    </xf>
    <xf numFmtId="164" fontId="4" fillId="0" borderId="10" xfId="51" applyFont="false" applyBorder="true" applyAlignment="false" applyProtection="false">
      <alignment horizontal="general" vertical="bottom" textRotation="0" wrapText="false" indent="0" shrinkToFit="false"/>
      <protection locked="true" hidden="false"/>
    </xf>
    <xf numFmtId="164" fontId="4" fillId="0" borderId="35" xfId="51" applyFont="false" applyBorder="true" applyAlignment="false" applyProtection="false">
      <alignment horizontal="general" vertical="bottom" textRotation="0" wrapText="false" indent="0" shrinkToFit="false"/>
      <protection locked="true" hidden="false"/>
    </xf>
    <xf numFmtId="164" fontId="43" fillId="0" borderId="11" xfId="51" applyFont="true" applyBorder="true" applyAlignment="false" applyProtection="false">
      <alignment horizontal="general" vertical="bottom" textRotation="0" wrapText="false" indent="0" shrinkToFit="false"/>
      <protection locked="true" hidden="false"/>
    </xf>
    <xf numFmtId="164" fontId="54" fillId="0" borderId="11" xfId="51" applyFont="true" applyBorder="true" applyAlignment="true" applyProtection="false">
      <alignment horizontal="right" vertical="bottom" textRotation="0" wrapText="false" indent="0" shrinkToFit="false"/>
      <protection locked="true" hidden="false"/>
    </xf>
    <xf numFmtId="168" fontId="4" fillId="0" borderId="35" xfId="15" applyFont="true" applyBorder="true" applyAlignment="true" applyProtection="true">
      <alignment horizontal="general" vertical="bottom" textRotation="0" wrapText="false" indent="0" shrinkToFit="false"/>
      <protection locked="true" hidden="false"/>
    </xf>
    <xf numFmtId="164" fontId="43" fillId="0" borderId="11" xfId="51" applyFont="true" applyBorder="true" applyAlignment="true" applyProtection="false">
      <alignment horizontal="left" vertical="bottom" textRotation="0" wrapText="false" indent="0" shrinkToFit="false"/>
      <protection locked="true" hidden="false"/>
    </xf>
    <xf numFmtId="164" fontId="4" fillId="0" borderId="11" xfId="51" applyFont="true" applyBorder="true" applyAlignment="true" applyProtection="false">
      <alignment horizontal="left" vertical="bottom" textRotation="0" wrapText="false" indent="0" shrinkToFit="false"/>
      <protection locked="true" hidden="false"/>
    </xf>
    <xf numFmtId="164" fontId="4" fillId="0" borderId="0" xfId="51" applyFont="false" applyBorder="true" applyAlignment="true" applyProtection="false">
      <alignment horizontal="right" vertical="bottom" textRotation="0" wrapText="false" indent="0" shrinkToFit="false"/>
      <protection locked="true" hidden="false"/>
    </xf>
    <xf numFmtId="189" fontId="44" fillId="0" borderId="0" xfId="19" applyFont="true" applyBorder="true" applyAlignment="true" applyProtection="true">
      <alignment horizontal="general" vertical="bottom" textRotation="0" wrapText="false" indent="0" shrinkToFit="false"/>
      <protection locked="true" hidden="false"/>
    </xf>
    <xf numFmtId="189" fontId="44" fillId="0" borderId="12" xfId="19" applyFont="true" applyBorder="true" applyAlignment="true" applyProtection="true">
      <alignment horizontal="general" vertical="bottom" textRotation="0" wrapText="false" indent="0" shrinkToFit="false"/>
      <protection locked="true" hidden="false"/>
    </xf>
    <xf numFmtId="164" fontId="54" fillId="13" borderId="2" xfId="51" applyFont="true" applyBorder="true" applyAlignment="true" applyProtection="false">
      <alignment horizontal="left" vertical="bottom" textRotation="0" wrapText="false" indent="0" shrinkToFit="false"/>
      <protection locked="true" hidden="false"/>
    </xf>
    <xf numFmtId="164" fontId="54" fillId="13" borderId="4" xfId="51" applyFont="true" applyBorder="true" applyAlignment="true" applyProtection="false">
      <alignment horizontal="right" vertical="bottom" textRotation="0" wrapText="false" indent="0" shrinkToFit="false"/>
      <protection locked="true" hidden="false"/>
    </xf>
    <xf numFmtId="168" fontId="54" fillId="13" borderId="4" xfId="15" applyFont="true" applyBorder="true" applyAlignment="true" applyProtection="true">
      <alignment horizontal="general" vertical="bottom" textRotation="0" wrapText="false" indent="0" shrinkToFit="false"/>
      <protection locked="true" hidden="false"/>
    </xf>
    <xf numFmtId="168" fontId="54" fillId="13" borderId="3" xfId="15" applyFont="true" applyBorder="true" applyAlignment="true" applyProtection="true">
      <alignment horizontal="general" vertical="bottom" textRotation="0" wrapText="false" indent="0" shrinkToFit="false"/>
      <protection locked="true" hidden="false"/>
    </xf>
    <xf numFmtId="164" fontId="54" fillId="0" borderId="11" xfId="51" applyFont="true" applyBorder="true" applyAlignment="true" applyProtection="false">
      <alignment horizontal="left" vertical="bottom" textRotation="0" wrapText="false" indent="0" shrinkToFit="false"/>
      <protection locked="true" hidden="false"/>
    </xf>
    <xf numFmtId="164" fontId="54" fillId="0" borderId="0" xfId="51" applyFont="true" applyBorder="true" applyAlignment="true" applyProtection="false">
      <alignment horizontal="right" vertical="bottom" textRotation="0" wrapText="false" indent="0" shrinkToFit="false"/>
      <protection locked="true" hidden="false"/>
    </xf>
    <xf numFmtId="168" fontId="54" fillId="0" borderId="12" xfId="15" applyFont="true" applyBorder="true" applyAlignment="true" applyProtection="true">
      <alignment horizontal="general" vertical="bottom" textRotation="0" wrapText="false" indent="0" shrinkToFit="false"/>
      <protection locked="true" hidden="false"/>
    </xf>
    <xf numFmtId="168" fontId="75" fillId="0" borderId="0" xfId="15" applyFont="true" applyBorder="true" applyAlignment="true" applyProtection="true">
      <alignment horizontal="general" vertical="bottom" textRotation="0" wrapText="false" indent="0" shrinkToFit="false"/>
      <protection locked="true" hidden="false"/>
    </xf>
    <xf numFmtId="168" fontId="75" fillId="0" borderId="12" xfId="15" applyFont="true" applyBorder="true" applyAlignment="true" applyProtection="true">
      <alignment horizontal="general" vertical="bottom" textRotation="0" wrapText="false" indent="0" shrinkToFit="false"/>
      <protection locked="true" hidden="false"/>
    </xf>
    <xf numFmtId="164" fontId="54" fillId="13" borderId="2" xfId="51" applyFont="true" applyBorder="true" applyAlignment="false" applyProtection="false">
      <alignment horizontal="general" vertical="bottom" textRotation="0" wrapText="false" indent="0" shrinkToFit="false"/>
      <protection locked="true" hidden="false"/>
    </xf>
    <xf numFmtId="164" fontId="54" fillId="13" borderId="4" xfId="51" applyFont="true" applyBorder="true" applyAlignment="true" applyProtection="false">
      <alignment horizontal="center" vertical="bottom" textRotation="0" wrapText="false" indent="0" shrinkToFit="false"/>
      <protection locked="true" hidden="false"/>
    </xf>
    <xf numFmtId="168" fontId="4" fillId="13" borderId="4" xfId="51" applyFont="false" applyBorder="true" applyAlignment="false" applyProtection="false">
      <alignment horizontal="general" vertical="bottom" textRotation="0" wrapText="false" indent="0" shrinkToFit="false"/>
      <protection locked="true" hidden="false"/>
    </xf>
    <xf numFmtId="164" fontId="4" fillId="4" borderId="0" xfId="51" applyFont="false" applyBorder="true" applyAlignment="false" applyProtection="false">
      <alignment horizontal="general" vertical="bottom" textRotation="0" wrapText="false" indent="0" shrinkToFit="false"/>
      <protection locked="true" hidden="false"/>
    </xf>
    <xf numFmtId="164" fontId="4" fillId="13" borderId="4" xfId="51" applyFont="false" applyBorder="true" applyAlignment="false" applyProtection="false">
      <alignment horizontal="general" vertical="bottom" textRotation="0" wrapText="false" indent="0" shrinkToFit="false"/>
      <protection locked="true" hidden="false"/>
    </xf>
    <xf numFmtId="164" fontId="54" fillId="0" borderId="11" xfId="51" applyFont="true" applyBorder="true" applyAlignment="false" applyProtection="false">
      <alignment horizontal="general" vertical="bottom" textRotation="0" wrapText="false" indent="0" shrinkToFit="false"/>
      <protection locked="true" hidden="false"/>
    </xf>
    <xf numFmtId="164" fontId="54" fillId="0" borderId="0" xfId="51" applyFont="true" applyBorder="true" applyAlignment="true" applyProtection="false">
      <alignment horizontal="center" vertical="bottom" textRotation="0" wrapText="false" indent="0" shrinkToFit="false"/>
      <protection locked="true" hidden="false"/>
    </xf>
    <xf numFmtId="164" fontId="72" fillId="0" borderId="2" xfId="51" applyFont="true" applyBorder="true" applyAlignment="false" applyProtection="false">
      <alignment horizontal="general" vertical="bottom" textRotation="0" wrapText="false" indent="0" shrinkToFit="false"/>
      <protection locked="true" hidden="false"/>
    </xf>
    <xf numFmtId="186" fontId="72" fillId="0" borderId="4" xfId="51" applyFont="true" applyBorder="true" applyAlignment="true" applyProtection="false">
      <alignment horizontal="center" vertical="bottom" textRotation="0" wrapText="false" indent="0" shrinkToFit="false"/>
      <protection locked="true" hidden="false"/>
    </xf>
    <xf numFmtId="168" fontId="4" fillId="0" borderId="4" xfId="15" applyFont="true" applyBorder="true" applyAlignment="true" applyProtection="true">
      <alignment horizontal="right" vertical="bottom" textRotation="0" wrapText="false" indent="0" shrinkToFit="false"/>
      <protection locked="true" hidden="false"/>
    </xf>
    <xf numFmtId="180" fontId="4" fillId="0" borderId="3" xfId="19" applyFont="true" applyBorder="true" applyAlignment="true" applyProtection="true">
      <alignment horizontal="left" vertical="bottom" textRotation="0" wrapText="false" indent="0" shrinkToFit="false"/>
      <protection locked="true" hidden="false"/>
    </xf>
    <xf numFmtId="168" fontId="54" fillId="0" borderId="9" xfId="15" applyFont="true" applyBorder="true" applyAlignment="true" applyProtection="true">
      <alignment horizontal="general" vertical="bottom" textRotation="0" wrapText="false" indent="0" shrinkToFit="false"/>
      <protection locked="true" hidden="false"/>
    </xf>
    <xf numFmtId="168" fontId="54" fillId="0" borderId="13" xfId="15" applyFont="true" applyBorder="true" applyAlignment="true" applyProtection="true">
      <alignment horizontal="general" vertical="bottom" textRotation="0" wrapText="false" indent="0" shrinkToFit="false"/>
      <protection locked="true" hidden="false"/>
    </xf>
    <xf numFmtId="164" fontId="43" fillId="0" borderId="6" xfId="51" applyFont="true" applyBorder="true" applyAlignment="false" applyProtection="false">
      <alignment horizontal="general" vertical="bottom" textRotation="0" wrapText="false" indent="0" shrinkToFit="false"/>
      <protection locked="true" hidden="false"/>
    </xf>
    <xf numFmtId="164" fontId="44" fillId="0" borderId="0" xfId="51" applyFont="true" applyBorder="true" applyAlignment="true" applyProtection="false">
      <alignment horizontal="right" vertical="bottom" textRotation="0" wrapText="false" indent="0" shrinkToFit="false"/>
      <protection locked="true" hidden="false"/>
    </xf>
    <xf numFmtId="182" fontId="4" fillId="0" borderId="12" xfId="15" applyFont="true" applyBorder="true" applyAlignment="true" applyProtection="true">
      <alignment horizontal="general" vertical="bottom" textRotation="0" wrapText="false" indent="0" shrinkToFit="false"/>
      <protection locked="true" hidden="false"/>
    </xf>
    <xf numFmtId="186" fontId="4" fillId="0" borderId="24" xfId="51" applyFont="false" applyBorder="true" applyAlignment="false" applyProtection="false">
      <alignment horizontal="general" vertical="bottom" textRotation="0" wrapText="false" indent="0" shrinkToFit="false"/>
      <protection locked="true" hidden="false"/>
    </xf>
    <xf numFmtId="186" fontId="4" fillId="0" borderId="3" xfId="51" applyFont="false" applyBorder="tru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left" vertical="bottom" textRotation="0" wrapText="false" indent="0" shrinkToFit="false"/>
      <protection locked="true" hidden="false"/>
    </xf>
    <xf numFmtId="190" fontId="0" fillId="0" borderId="0" xfId="0" applyFont="false" applyBorder="false" applyAlignment="false" applyProtection="false">
      <alignment horizontal="general" vertical="bottom" textRotation="0" wrapText="false" indent="0" shrinkToFit="false"/>
      <protection locked="true" hidden="false"/>
    </xf>
    <xf numFmtId="177" fontId="76" fillId="0" borderId="0" xfId="0" applyFont="true" applyBorder="false" applyAlignment="false" applyProtection="false">
      <alignment horizontal="general" vertical="bottom" textRotation="0" wrapText="false" indent="0" shrinkToFit="false"/>
      <protection locked="true" hidden="false"/>
    </xf>
    <xf numFmtId="177" fontId="28" fillId="0" borderId="0" xfId="0" applyFont="true" applyBorder="false" applyAlignment="false" applyProtection="false">
      <alignment horizontal="general" vertical="bottom" textRotation="0" wrapText="false" indent="0" shrinkToFit="false"/>
      <protection locked="true" hidden="false"/>
    </xf>
    <xf numFmtId="177" fontId="12" fillId="0" borderId="0" xfId="0" applyFont="true" applyBorder="false" applyAlignment="false" applyProtection="false">
      <alignment horizontal="general" vertical="bottom" textRotation="0" wrapText="false" indent="0" shrinkToFit="false"/>
      <protection locked="true" hidden="false"/>
    </xf>
    <xf numFmtId="177" fontId="0" fillId="0" borderId="0" xfId="0" applyFont="false" applyBorder="false" applyAlignment="false" applyProtection="false">
      <alignment horizontal="general" vertical="bottom" textRotation="0" wrapText="false" indent="0" shrinkToFit="false"/>
      <protection locked="true" hidden="false"/>
    </xf>
    <xf numFmtId="177" fontId="17" fillId="0" borderId="0" xfId="0" applyFont="true" applyBorder="false" applyAlignment="false" applyProtection="false">
      <alignment horizontal="general" vertical="bottom" textRotation="0" wrapText="false" indent="0" shrinkToFit="false"/>
      <protection locked="true" hidden="false"/>
    </xf>
    <xf numFmtId="177" fontId="77" fillId="0" borderId="0" xfId="0" applyFont="true" applyBorder="false" applyAlignment="false" applyProtection="false">
      <alignment horizontal="general" vertical="bottom" textRotation="0" wrapText="false" indent="0" shrinkToFit="false"/>
      <protection locked="true" hidden="false"/>
    </xf>
    <xf numFmtId="177" fontId="32" fillId="0" borderId="0" xfId="0" applyFont="true" applyBorder="false" applyAlignment="false" applyProtection="false">
      <alignment horizontal="general" vertical="bottom" textRotation="0" wrapText="false" indent="0" shrinkToFit="false"/>
      <protection locked="true" hidden="false"/>
    </xf>
    <xf numFmtId="177" fontId="11"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18" fillId="0" borderId="0" xfId="0" applyFont="true" applyBorder="false" applyAlignment="true" applyProtection="false">
      <alignment horizontal="left" vertical="bottom" textRotation="0" wrapText="false" indent="0" shrinkToFit="false"/>
      <protection locked="true" hidden="false"/>
    </xf>
    <xf numFmtId="190" fontId="18" fillId="0" borderId="0" xfId="0" applyFont="true" applyBorder="false" applyAlignment="false" applyProtection="false">
      <alignment horizontal="general" vertical="bottom" textRotation="0" wrapText="false" indent="0" shrinkToFit="false"/>
      <protection locked="true" hidden="false"/>
    </xf>
    <xf numFmtId="171" fontId="55" fillId="0" borderId="0" xfId="24" applyFont="true" applyBorder="true" applyAlignment="true" applyProtection="true">
      <alignment horizontal="general" vertical="bottom" textRotation="0" wrapText="false" indent="0" shrinkToFit="false"/>
      <protection locked="true" hidden="false"/>
    </xf>
    <xf numFmtId="164" fontId="0" fillId="0" borderId="0" xfId="0" applyFont="true" applyBorder="false" applyAlignment="true" applyProtection="false">
      <alignment horizontal="right" vertical="bottom" textRotation="0" wrapText="false" indent="0" shrinkToFit="false"/>
      <protection locked="true" hidden="false"/>
    </xf>
    <xf numFmtId="180" fontId="0" fillId="9" borderId="0" xfId="19" applyFont="true" applyBorder="true" applyAlignment="true" applyProtection="true">
      <alignment horizontal="general" vertical="bottom" textRotation="0" wrapText="false" indent="0" shrinkToFit="false"/>
      <protection locked="true" hidden="false"/>
    </xf>
    <xf numFmtId="164" fontId="0" fillId="14" borderId="0" xfId="0" applyFont="true" applyBorder="false" applyAlignment="false" applyProtection="false">
      <alignment horizontal="general" vertical="bottom" textRotation="0" wrapText="false" indent="0" shrinkToFit="false"/>
      <protection locked="true" hidden="false"/>
    </xf>
    <xf numFmtId="168" fontId="0" fillId="9" borderId="0" xfId="0" applyFont="false" applyBorder="false" applyAlignment="false" applyProtection="false">
      <alignment horizontal="general" vertical="bottom" textRotation="0" wrapText="false" indent="0" shrinkToFit="false"/>
      <protection locked="true" hidden="false"/>
    </xf>
    <xf numFmtId="177" fontId="78" fillId="0" borderId="0" xfId="0" applyFont="true" applyBorder="false" applyAlignment="false" applyProtection="false">
      <alignment horizontal="general" vertical="bottom" textRotation="0" wrapText="false" indent="0" shrinkToFit="false"/>
      <protection locked="true" hidden="false"/>
    </xf>
    <xf numFmtId="168" fontId="0" fillId="0" borderId="0" xfId="0" applyFont="false" applyBorder="true" applyAlignment="false" applyProtection="false">
      <alignment horizontal="general" vertical="bottom" textRotation="0" wrapText="false" indent="0" shrinkToFit="false"/>
      <protection locked="true" hidden="false"/>
    </xf>
    <xf numFmtId="177" fontId="76" fillId="11" borderId="44" xfId="0" applyFont="true" applyBorder="true" applyAlignment="false" applyProtection="false">
      <alignment horizontal="general" vertical="bottom" textRotation="0" wrapText="false" indent="0" shrinkToFit="false"/>
      <protection locked="true" hidden="false"/>
    </xf>
    <xf numFmtId="177" fontId="28" fillId="11" borderId="45" xfId="0" applyFont="true" applyBorder="true" applyAlignment="false" applyProtection="false">
      <alignment horizontal="general" vertical="bottom" textRotation="0" wrapText="false" indent="0" shrinkToFit="false"/>
      <protection locked="true" hidden="false"/>
    </xf>
    <xf numFmtId="177" fontId="28" fillId="11" borderId="46" xfId="0" applyFont="true" applyBorder="true" applyAlignment="false" applyProtection="false">
      <alignment horizontal="general" vertical="bottom" textRotation="0" wrapText="false" indent="0" shrinkToFit="false"/>
      <protection locked="true" hidden="false"/>
    </xf>
    <xf numFmtId="177" fontId="28" fillId="0" borderId="0" xfId="0" applyFont="true" applyBorder="true" applyAlignment="false" applyProtection="false">
      <alignment horizontal="general" vertical="bottom" textRotation="0" wrapText="false" indent="0" shrinkToFit="false"/>
      <protection locked="true" hidden="false"/>
    </xf>
    <xf numFmtId="177" fontId="77" fillId="2" borderId="0" xfId="0" applyFont="true" applyBorder="false" applyAlignment="true" applyProtection="false">
      <alignment horizontal="center" vertical="bottom" textRotation="0" wrapText="false" indent="0" shrinkToFit="false"/>
      <protection locked="true" hidden="false"/>
    </xf>
    <xf numFmtId="177" fontId="32" fillId="2" borderId="0" xfId="0" applyFont="true" applyBorder="false" applyAlignment="true" applyProtection="false">
      <alignment horizontal="center" vertical="bottom" textRotation="0" wrapText="false" indent="0" shrinkToFit="false"/>
      <protection locked="true" hidden="false"/>
    </xf>
    <xf numFmtId="177" fontId="76" fillId="11" borderId="47" xfId="0" applyFont="true" applyBorder="true" applyAlignment="false" applyProtection="false">
      <alignment horizontal="general" vertical="bottom" textRotation="0" wrapText="false" indent="0" shrinkToFit="false"/>
      <protection locked="true" hidden="false"/>
    </xf>
    <xf numFmtId="191" fontId="79" fillId="9" borderId="0" xfId="19" applyFont="true" applyBorder="true" applyAlignment="true" applyProtection="true">
      <alignment horizontal="general" vertical="bottom" textRotation="0" wrapText="false" indent="0" shrinkToFit="false"/>
      <protection locked="true" hidden="false"/>
    </xf>
    <xf numFmtId="191" fontId="79" fillId="5" borderId="48" xfId="0" applyFont="true" applyBorder="true" applyAlignment="false" applyProtection="false">
      <alignment horizontal="general" vertical="bottom" textRotation="0" wrapText="false" indent="0" shrinkToFit="false"/>
      <protection locked="true" hidden="false"/>
    </xf>
    <xf numFmtId="192" fontId="79" fillId="0" borderId="0" xfId="0" applyFont="true" applyBorder="true" applyAlignment="false" applyProtection="false">
      <alignment horizontal="general" vertical="bottom" textRotation="0" wrapText="false" indent="0" shrinkToFit="false"/>
      <protection locked="true" hidden="false"/>
    </xf>
    <xf numFmtId="177" fontId="0" fillId="0" borderId="0" xfId="0" applyFont="false" applyBorder="false" applyAlignment="true" applyProtection="false">
      <alignment horizontal="right" vertical="bottom" textRotation="0" wrapText="false" indent="0" shrinkToFit="false"/>
      <protection locked="true" hidden="false"/>
    </xf>
    <xf numFmtId="177" fontId="0" fillId="0" borderId="49" xfId="0" applyFont="true" applyBorder="true" applyAlignment="false" applyProtection="false">
      <alignment horizontal="general" vertical="bottom" textRotation="0" wrapText="false" indent="0" shrinkToFit="false"/>
      <protection locked="true" hidden="false"/>
    </xf>
    <xf numFmtId="177" fontId="32" fillId="0" borderId="50" xfId="0" applyFont="true" applyBorder="true" applyAlignment="true" applyProtection="false">
      <alignment horizontal="right" vertical="bottom" textRotation="0" wrapText="false" indent="0" shrinkToFit="false"/>
      <protection locked="true" hidden="false"/>
    </xf>
    <xf numFmtId="177" fontId="8" fillId="0" borderId="0" xfId="0" applyFont="true" applyBorder="true" applyAlignment="true" applyProtection="false">
      <alignment horizontal="right" vertical="bottom" textRotation="0" wrapText="false" indent="0" shrinkToFit="false"/>
      <protection locked="true" hidden="false"/>
    </xf>
    <xf numFmtId="168" fontId="0" fillId="15" borderId="51" xfId="0" applyFont="true" applyBorder="true" applyAlignment="false" applyProtection="false">
      <alignment horizontal="general" vertical="bottom" textRotation="0" wrapText="false" indent="0" shrinkToFit="false"/>
      <protection locked="true" hidden="false"/>
    </xf>
    <xf numFmtId="164" fontId="0" fillId="15" borderId="52" xfId="0" applyFont="true" applyBorder="true" applyAlignment="true" applyProtection="false">
      <alignment horizontal="right" vertical="bottom" textRotation="0" wrapText="false" indent="0" shrinkToFit="false"/>
      <protection locked="true" hidden="false"/>
    </xf>
    <xf numFmtId="164" fontId="0" fillId="15" borderId="53" xfId="0" applyFont="true" applyBorder="true" applyAlignment="true" applyProtection="false">
      <alignment horizontal="right" vertical="bottom" textRotation="0" wrapText="false" indent="0" shrinkToFit="false"/>
      <protection locked="true" hidden="false"/>
    </xf>
    <xf numFmtId="177" fontId="80" fillId="11" borderId="47" xfId="0" applyFont="true" applyBorder="true" applyAlignment="false" applyProtection="false">
      <alignment horizontal="general" vertical="bottom" textRotation="0" wrapText="false" indent="0" shrinkToFit="false"/>
      <protection locked="true" hidden="false"/>
    </xf>
    <xf numFmtId="177" fontId="80" fillId="12" borderId="0" xfId="19" applyFont="true" applyBorder="true" applyAlignment="true" applyProtection="true">
      <alignment horizontal="general" vertical="bottom" textRotation="0" wrapText="false" indent="0" shrinkToFit="false"/>
      <protection locked="true" hidden="false"/>
    </xf>
    <xf numFmtId="177" fontId="80" fillId="11" borderId="48" xfId="19" applyFont="true" applyBorder="true" applyAlignment="true" applyProtection="true">
      <alignment horizontal="general" vertical="bottom" textRotation="0" wrapText="false" indent="0" shrinkToFit="false"/>
      <protection locked="true" hidden="false"/>
    </xf>
    <xf numFmtId="177" fontId="80" fillId="0" borderId="0" xfId="19" applyFont="true" applyBorder="true" applyAlignment="true" applyProtection="true">
      <alignment horizontal="general" vertical="bottom" textRotation="0" wrapText="false" indent="0" shrinkToFit="false"/>
      <protection locked="true" hidden="false"/>
    </xf>
    <xf numFmtId="177" fontId="81" fillId="2" borderId="0" xfId="0" applyFont="true" applyBorder="false" applyAlignment="false" applyProtection="false">
      <alignment horizontal="general" vertical="bottom" textRotation="0" wrapText="false" indent="0" shrinkToFit="false"/>
      <protection locked="true" hidden="false"/>
    </xf>
    <xf numFmtId="177" fontId="82" fillId="2" borderId="0" xfId="0" applyFont="true" applyBorder="false" applyAlignment="false" applyProtection="false">
      <alignment horizontal="general" vertical="bottom" textRotation="0" wrapText="false" indent="0" shrinkToFit="false"/>
      <protection locked="true" hidden="false"/>
    </xf>
    <xf numFmtId="177" fontId="18"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77" fontId="8" fillId="0" borderId="0" xfId="0" applyFont="true" applyBorder="true" applyAlignment="false" applyProtection="false">
      <alignment horizontal="general" vertical="bottom" textRotation="0" wrapText="false" indent="0" shrinkToFit="false"/>
      <protection locked="true" hidden="false"/>
    </xf>
    <xf numFmtId="164" fontId="0" fillId="15" borderId="54" xfId="0" applyFont="false" applyBorder="true" applyAlignment="false" applyProtection="false">
      <alignment horizontal="general" vertical="bottom" textRotation="0" wrapText="false" indent="0" shrinkToFit="false"/>
      <protection locked="true" hidden="false"/>
    </xf>
    <xf numFmtId="168" fontId="79" fillId="15" borderId="55" xfId="15" applyFont="true" applyBorder="true" applyAlignment="true" applyProtection="true">
      <alignment horizontal="general" vertical="bottom" textRotation="0" wrapText="false" indent="0" shrinkToFit="false"/>
      <protection locked="true" hidden="false"/>
    </xf>
    <xf numFmtId="168" fontId="79" fillId="15" borderId="56" xfId="15" applyFont="true" applyBorder="true" applyAlignment="true" applyProtection="true">
      <alignment horizontal="general" vertical="bottom" textRotation="0" wrapText="false" indent="0" shrinkToFit="false"/>
      <protection locked="true" hidden="false"/>
    </xf>
    <xf numFmtId="177" fontId="83" fillId="11" borderId="47" xfId="0" applyFont="true" applyBorder="true" applyAlignment="false" applyProtection="false">
      <alignment horizontal="general" vertical="bottom" textRotation="0" wrapText="false" indent="0" shrinkToFit="false"/>
      <protection locked="true" hidden="false"/>
    </xf>
    <xf numFmtId="177" fontId="83" fillId="11" borderId="0" xfId="0" applyFont="true" applyBorder="true" applyAlignment="false" applyProtection="false">
      <alignment horizontal="general" vertical="bottom" textRotation="0" wrapText="false" indent="0" shrinkToFit="false"/>
      <protection locked="true" hidden="false"/>
    </xf>
    <xf numFmtId="177" fontId="83" fillId="11" borderId="48" xfId="0" applyFont="true" applyBorder="true" applyAlignment="false" applyProtection="false">
      <alignment horizontal="general" vertical="bottom" textRotation="0" wrapText="false" indent="0" shrinkToFit="false"/>
      <protection locked="true" hidden="false"/>
    </xf>
    <xf numFmtId="177" fontId="83" fillId="0" borderId="0" xfId="0" applyFont="true" applyBorder="true" applyAlignment="false" applyProtection="false">
      <alignment horizontal="general" vertical="bottom" textRotation="0" wrapText="false" indent="0" shrinkToFit="false"/>
      <protection locked="true" hidden="false"/>
    </xf>
    <xf numFmtId="177" fontId="28" fillId="0" borderId="0" xfId="0" applyFont="true" applyBorder="false" applyAlignment="true" applyProtection="false">
      <alignment horizontal="right" vertical="bottom" textRotation="0" wrapText="false" indent="0" shrinkToFit="false"/>
      <protection locked="true" hidden="false"/>
    </xf>
    <xf numFmtId="177" fontId="79" fillId="0" borderId="0" xfId="0" applyFont="true" applyBorder="false" applyAlignment="false" applyProtection="false">
      <alignment horizontal="general" vertical="bottom" textRotation="0" wrapText="false" indent="0" shrinkToFit="false"/>
      <protection locked="true" hidden="false"/>
    </xf>
    <xf numFmtId="168" fontId="79" fillId="0" borderId="0" xfId="15" applyFont="true" applyBorder="true" applyAlignment="true" applyProtection="true">
      <alignment horizontal="general" vertical="bottom" textRotation="0" wrapText="false" indent="0" shrinkToFit="false"/>
      <protection locked="true" hidden="false"/>
    </xf>
    <xf numFmtId="177" fontId="84" fillId="11" borderId="57" xfId="0" applyFont="true" applyBorder="true" applyAlignment="false" applyProtection="false">
      <alignment horizontal="general" vertical="bottom" textRotation="0" wrapText="false" indent="0" shrinkToFit="false"/>
      <protection locked="true" hidden="false"/>
    </xf>
    <xf numFmtId="193" fontId="79" fillId="11" borderId="58" xfId="0" applyFont="true" applyBorder="true" applyAlignment="false" applyProtection="false">
      <alignment horizontal="general" vertical="bottom" textRotation="0" wrapText="false" indent="0" shrinkToFit="false"/>
      <protection locked="true" hidden="false"/>
    </xf>
    <xf numFmtId="193" fontId="79" fillId="11" borderId="59" xfId="0" applyFont="true" applyBorder="true" applyAlignment="false" applyProtection="false">
      <alignment horizontal="general" vertical="bottom" textRotation="0" wrapText="false" indent="0" shrinkToFit="false"/>
      <protection locked="true" hidden="false"/>
    </xf>
    <xf numFmtId="193" fontId="79" fillId="0" borderId="0" xfId="0" applyFont="true" applyBorder="true" applyAlignment="false" applyProtection="false">
      <alignment horizontal="general" vertical="bottom" textRotation="0" wrapText="false" indent="0" shrinkToFit="false"/>
      <protection locked="true" hidden="false"/>
    </xf>
    <xf numFmtId="177" fontId="85" fillId="0" borderId="0" xfId="0" applyFont="true" applyBorder="false" applyAlignment="false" applyProtection="false">
      <alignment horizontal="general" vertical="bottom" textRotation="0" wrapText="false" indent="0" shrinkToFit="false"/>
      <protection locked="true" hidden="false"/>
    </xf>
    <xf numFmtId="174" fontId="79" fillId="0" borderId="0" xfId="0" applyFont="true" applyBorder="false" applyAlignment="false" applyProtection="false">
      <alignment horizontal="general" vertical="bottom" textRotation="0" wrapText="false" indent="0" shrinkToFit="false"/>
      <protection locked="true" hidden="false"/>
    </xf>
    <xf numFmtId="170" fontId="28" fillId="0" borderId="0" xfId="19" applyFont="true" applyBorder="true" applyAlignment="true" applyProtection="true">
      <alignment horizontal="general" vertical="bottom" textRotation="0" wrapText="false" indent="0" shrinkToFit="false"/>
      <protection locked="true" hidden="false"/>
    </xf>
    <xf numFmtId="177" fontId="18" fillId="0" borderId="0" xfId="0" applyFont="true" applyBorder="false" applyAlignment="true" applyProtection="false">
      <alignment horizontal="right" vertical="bottom" textRotation="0" wrapText="false" indent="0" shrinkToFit="false"/>
      <protection locked="true" hidden="false"/>
    </xf>
    <xf numFmtId="193" fontId="8" fillId="0" borderId="0" xfId="0" applyFont="true" applyBorder="false" applyAlignment="true" applyProtection="false">
      <alignment horizontal="right" vertical="bottom" textRotation="0" wrapText="false" indent="0" shrinkToFit="false"/>
      <protection locked="true" hidden="false"/>
    </xf>
    <xf numFmtId="177" fontId="86" fillId="0" borderId="0" xfId="0" applyFont="true" applyBorder="false" applyAlignment="true" applyProtection="false">
      <alignment horizontal="right" vertical="bottom" textRotation="0" wrapText="false" indent="0" shrinkToFit="false"/>
      <protection locked="true" hidden="false"/>
    </xf>
    <xf numFmtId="177" fontId="18" fillId="0" borderId="0" xfId="0" applyFont="true" applyBorder="false" applyAlignment="true" applyProtection="false">
      <alignment horizontal="left" vertical="bottom" textRotation="0" wrapText="false" indent="0" shrinkToFit="false"/>
      <protection locked="true" hidden="false"/>
    </xf>
    <xf numFmtId="164" fontId="18" fillId="0" borderId="0" xfId="0" applyFont="true" applyBorder="false" applyAlignment="true" applyProtection="false">
      <alignment horizontal="right" vertical="bottom" textRotation="0" wrapText="false" indent="0" shrinkToFit="false"/>
      <protection locked="true" hidden="false"/>
    </xf>
    <xf numFmtId="190" fontId="18" fillId="0" borderId="0" xfId="0" applyFont="true" applyBorder="false" applyAlignment="true" applyProtection="false">
      <alignment horizontal="right" vertical="bottom" textRotation="0" wrapText="false" indent="0" shrinkToFit="false"/>
      <protection locked="true" hidden="false"/>
    </xf>
    <xf numFmtId="164" fontId="18" fillId="5" borderId="0" xfId="0" applyFont="true" applyBorder="false" applyAlignment="true" applyProtection="false">
      <alignment horizontal="right" vertical="bottom" textRotation="0" wrapText="false" indent="0" shrinkToFit="false"/>
      <protection locked="true" hidden="false"/>
    </xf>
    <xf numFmtId="177" fontId="79" fillId="0" borderId="0" xfId="0" applyFont="true" applyBorder="false" applyAlignment="true" applyProtection="false">
      <alignment horizontal="right" vertical="bottom" textRotation="0" wrapText="false" indent="0" shrinkToFit="false"/>
      <protection locked="true" hidden="false"/>
    </xf>
    <xf numFmtId="177" fontId="81" fillId="0" borderId="0" xfId="0" applyFont="true" applyBorder="false" applyAlignment="true" applyProtection="false">
      <alignment horizontal="right" vertical="bottom" textRotation="0" wrapText="false" indent="0" shrinkToFit="false"/>
      <protection locked="true" hidden="false"/>
    </xf>
    <xf numFmtId="177" fontId="87" fillId="0" borderId="0" xfId="0" applyFont="true" applyBorder="false" applyAlignment="true" applyProtection="false">
      <alignment horizontal="right" vertical="bottom" textRotation="0" wrapText="false" indent="0" shrinkToFit="false"/>
      <protection locked="true" hidden="false"/>
    </xf>
    <xf numFmtId="177" fontId="83" fillId="0" borderId="0" xfId="0" applyFont="true" applyBorder="false" applyAlignment="true" applyProtection="false">
      <alignment horizontal="right" vertical="bottom" textRotation="0" wrapText="false" indent="0" shrinkToFit="false"/>
      <protection locked="true" hidden="false"/>
    </xf>
    <xf numFmtId="177" fontId="85" fillId="0" borderId="0" xfId="0" applyFont="true" applyBorder="false" applyAlignment="true" applyProtection="false">
      <alignment horizontal="right" vertical="bottom" textRotation="0" wrapText="false" indent="0" shrinkToFit="false"/>
      <protection locked="true" hidden="false"/>
    </xf>
    <xf numFmtId="164" fontId="86" fillId="2" borderId="0" xfId="0" applyFont="true" applyBorder="false" applyAlignment="true" applyProtection="false">
      <alignment horizontal="right" vertical="bottom" textRotation="0" wrapText="false" indent="0" shrinkToFit="false"/>
      <protection locked="true" hidden="false"/>
    </xf>
    <xf numFmtId="177" fontId="18" fillId="2" borderId="0" xfId="0" applyFont="true" applyBorder="false" applyAlignment="true" applyProtection="false">
      <alignment horizontal="right" vertical="bottom" textRotation="0" wrapText="false" indent="0" shrinkToFit="false"/>
      <protection locked="true" hidden="false"/>
    </xf>
    <xf numFmtId="177" fontId="88" fillId="2" borderId="0" xfId="0" applyFont="true" applyBorder="false" applyAlignment="true" applyProtection="false">
      <alignment horizontal="right" vertical="bottom" textRotation="0" wrapText="false" indent="0" shrinkToFit="false"/>
      <protection locked="true" hidden="false"/>
    </xf>
    <xf numFmtId="170" fontId="18" fillId="0" borderId="0" xfId="19" applyFont="true" applyBorder="true" applyAlignment="true" applyProtection="true">
      <alignment horizontal="right" vertical="bottom" textRotation="0" wrapText="false" indent="0" shrinkToFit="false"/>
      <protection locked="true" hidden="false"/>
    </xf>
    <xf numFmtId="164" fontId="18" fillId="0" borderId="0" xfId="0" applyFont="true" applyBorder="true" applyAlignment="true" applyProtection="false">
      <alignment horizontal="right" vertical="bottom" textRotation="0" wrapText="false" indent="0" shrinkToFit="false"/>
      <protection locked="true" hidden="false"/>
    </xf>
    <xf numFmtId="164" fontId="18" fillId="0" borderId="0" xfId="0" applyFont="true" applyBorder="true" applyAlignment="true" applyProtection="false">
      <alignment horizontal="center" vertical="bottom" textRotation="0" wrapText="false" indent="0" shrinkToFit="false"/>
      <protection locked="true" hidden="false"/>
    </xf>
    <xf numFmtId="168" fontId="18" fillId="0" borderId="0" xfId="15" applyFont="true" applyBorder="true" applyAlignment="true" applyProtection="true">
      <alignment horizontal="right" vertical="bottom" textRotation="0" wrapText="false" indent="0" shrinkToFit="false"/>
      <protection locked="true" hidden="false"/>
    </xf>
    <xf numFmtId="168" fontId="18" fillId="0" borderId="0" xfId="0" applyFont="true" applyBorder="false" applyAlignment="true" applyProtection="false">
      <alignment horizontal="right" vertical="bottom" textRotation="0" wrapText="false" indent="0" shrinkToFit="false"/>
      <protection locked="true" hidden="false"/>
    </xf>
    <xf numFmtId="168" fontId="0" fillId="12" borderId="0" xfId="15" applyFont="true" applyBorder="true" applyAlignment="true" applyProtection="true">
      <alignment horizontal="general" vertical="bottom" textRotation="0" wrapText="false" indent="0" shrinkToFit="false"/>
      <protection locked="true" hidden="false"/>
    </xf>
    <xf numFmtId="168" fontId="0" fillId="5" borderId="0" xfId="15" applyFont="true" applyBorder="true" applyAlignment="true" applyProtection="true">
      <alignment horizontal="general" vertical="bottom" textRotation="0" wrapText="false" indent="0" shrinkToFit="false"/>
      <protection locked="true" hidden="false"/>
    </xf>
    <xf numFmtId="177" fontId="8" fillId="0" borderId="0" xfId="0" applyFont="true" applyBorder="false" applyAlignment="true" applyProtection="false">
      <alignment horizontal="right" vertical="bottom" textRotation="0" wrapText="false" indent="0" shrinkToFit="false"/>
      <protection locked="true" hidden="false"/>
    </xf>
    <xf numFmtId="164" fontId="0" fillId="9" borderId="0" xfId="0" applyFont="false" applyBorder="false" applyAlignment="true" applyProtection="false">
      <alignment horizontal="left" vertical="bottom" textRotation="0" wrapText="false" indent="0" shrinkToFit="false"/>
      <protection locked="true" hidden="false"/>
    </xf>
    <xf numFmtId="169" fontId="0" fillId="0" borderId="0" xfId="0" applyFont="false" applyBorder="false" applyAlignment="false" applyProtection="false">
      <alignment horizontal="general" vertical="bottom" textRotation="0" wrapText="false" indent="0" shrinkToFit="false"/>
      <protection locked="true" hidden="false"/>
    </xf>
    <xf numFmtId="164" fontId="0" fillId="0" borderId="60" xfId="0" applyFont="false" applyBorder="true" applyAlignment="true" applyProtection="false">
      <alignment horizontal="left" vertical="bottom" textRotation="0" wrapText="false" indent="0" shrinkToFit="false"/>
      <protection locked="true" hidden="false"/>
    </xf>
    <xf numFmtId="169" fontId="0" fillId="0" borderId="60" xfId="0" applyFont="false" applyBorder="true" applyAlignment="false" applyProtection="false">
      <alignment horizontal="general" vertical="bottom" textRotation="0" wrapText="false" indent="0" shrinkToFit="false"/>
      <protection locked="true" hidden="false"/>
    </xf>
    <xf numFmtId="168" fontId="0" fillId="0" borderId="60" xfId="15" applyFont="true" applyBorder="true" applyAlignment="true" applyProtection="true">
      <alignment horizontal="general" vertical="bottom" textRotation="0" wrapText="false" indent="0" shrinkToFit="false"/>
      <protection locked="true" hidden="false"/>
    </xf>
    <xf numFmtId="168" fontId="0" fillId="9" borderId="60" xfId="15" applyFont="true" applyBorder="true" applyAlignment="true" applyProtection="true">
      <alignment horizontal="general" vertical="bottom" textRotation="0" wrapText="false" indent="0" shrinkToFit="false"/>
      <protection locked="true" hidden="false"/>
    </xf>
    <xf numFmtId="177" fontId="76" fillId="0" borderId="60" xfId="0" applyFont="true" applyBorder="true" applyAlignment="false" applyProtection="false">
      <alignment horizontal="general" vertical="bottom" textRotation="0" wrapText="false" indent="0" shrinkToFit="false"/>
      <protection locked="true" hidden="false"/>
    </xf>
    <xf numFmtId="177" fontId="28" fillId="0" borderId="60" xfId="0" applyFont="true" applyBorder="true" applyAlignment="false" applyProtection="false">
      <alignment horizontal="general" vertical="bottom" textRotation="0" wrapText="false" indent="0" shrinkToFit="false"/>
      <protection locked="true" hidden="false"/>
    </xf>
    <xf numFmtId="177" fontId="0" fillId="0" borderId="60" xfId="0" applyFont="false" applyBorder="true" applyAlignment="false" applyProtection="false">
      <alignment horizontal="general" vertical="bottom" textRotation="0" wrapText="false" indent="0" shrinkToFit="false"/>
      <protection locked="true" hidden="false"/>
    </xf>
    <xf numFmtId="177" fontId="17" fillId="0" borderId="60" xfId="0" applyFont="true" applyBorder="true" applyAlignment="false" applyProtection="false">
      <alignment horizontal="general" vertical="bottom" textRotation="0" wrapText="false" indent="0" shrinkToFit="false"/>
      <protection locked="true" hidden="false"/>
    </xf>
    <xf numFmtId="177" fontId="77" fillId="0" borderId="60" xfId="0" applyFont="true" applyBorder="true" applyAlignment="false" applyProtection="false">
      <alignment horizontal="general" vertical="bottom" textRotation="0" wrapText="false" indent="0" shrinkToFit="false"/>
      <protection locked="true" hidden="false"/>
    </xf>
    <xf numFmtId="177" fontId="8" fillId="0" borderId="60" xfId="0" applyFont="true" applyBorder="true" applyAlignment="true" applyProtection="false">
      <alignment horizontal="right" vertical="bottom" textRotation="0" wrapText="false" indent="0" shrinkToFit="false"/>
      <protection locked="true" hidden="false"/>
    </xf>
    <xf numFmtId="168" fontId="0" fillId="6" borderId="0" xfId="15" applyFont="true" applyBorder="true" applyAlignment="true" applyProtection="true">
      <alignment horizontal="general" vertical="bottom" textRotation="0" wrapText="false" indent="0" shrinkToFit="false"/>
      <protection locked="true" hidden="false"/>
    </xf>
    <xf numFmtId="164" fontId="0" fillId="0" borderId="61" xfId="0" applyFont="false" applyBorder="true" applyAlignment="true" applyProtection="false">
      <alignment horizontal="left" vertical="bottom" textRotation="0" wrapText="false" indent="0" shrinkToFit="false"/>
      <protection locked="true" hidden="false"/>
    </xf>
    <xf numFmtId="169" fontId="0" fillId="0" borderId="61" xfId="0" applyFont="false" applyBorder="true" applyAlignment="false" applyProtection="false">
      <alignment horizontal="general" vertical="bottom" textRotation="0" wrapText="false" indent="0" shrinkToFit="false"/>
      <protection locked="true" hidden="false"/>
    </xf>
    <xf numFmtId="177" fontId="76" fillId="0" borderId="61" xfId="0" applyFont="true" applyBorder="true" applyAlignment="false" applyProtection="false">
      <alignment horizontal="general" vertical="bottom" textRotation="0" wrapText="false" indent="0" shrinkToFit="false"/>
      <protection locked="true" hidden="false"/>
    </xf>
    <xf numFmtId="177" fontId="0" fillId="0" borderId="61" xfId="0" applyFont="false" applyBorder="true" applyAlignment="false" applyProtection="false">
      <alignment horizontal="general" vertical="bottom" textRotation="0" wrapText="false" indent="0" shrinkToFit="false"/>
      <protection locked="true" hidden="false"/>
    </xf>
    <xf numFmtId="177" fontId="28" fillId="0" borderId="61" xfId="0" applyFont="true" applyBorder="true" applyAlignment="false" applyProtection="false">
      <alignment horizontal="general" vertical="bottom" textRotation="0" wrapText="false" indent="0" shrinkToFit="false"/>
      <protection locked="true" hidden="false"/>
    </xf>
    <xf numFmtId="177" fontId="17" fillId="0" borderId="61" xfId="0" applyFont="true" applyBorder="true" applyAlignment="false" applyProtection="false">
      <alignment horizontal="general" vertical="bottom" textRotation="0" wrapText="false" indent="0" shrinkToFit="false"/>
      <protection locked="true" hidden="false"/>
    </xf>
    <xf numFmtId="177" fontId="76" fillId="0" borderId="0" xfId="0" applyFont="true" applyBorder="true" applyAlignment="false" applyProtection="false">
      <alignment horizontal="general" vertical="bottom" textRotation="0" wrapText="false" indent="0" shrinkToFit="false"/>
      <protection locked="true" hidden="false"/>
    </xf>
    <xf numFmtId="177" fontId="28" fillId="0" borderId="0" xfId="0" applyFont="true" applyBorder="true" applyAlignment="false" applyProtection="false">
      <alignment horizontal="general" vertical="bottom" textRotation="0" wrapText="false" indent="0" shrinkToFit="false"/>
      <protection locked="true" hidden="false"/>
    </xf>
    <xf numFmtId="177" fontId="17" fillId="0" borderId="0" xfId="0" applyFont="true" applyBorder="true" applyAlignment="false" applyProtection="false">
      <alignment horizontal="general" vertical="bottom" textRotation="0" wrapText="false" indent="0" shrinkToFit="false"/>
      <protection locked="true" hidden="false"/>
    </xf>
    <xf numFmtId="169" fontId="0" fillId="0" borderId="62" xfId="0" applyFont="false" applyBorder="true" applyAlignment="false" applyProtection="false">
      <alignment horizontal="general" vertical="bottom" textRotation="0" wrapText="false" indent="0" shrinkToFit="false"/>
      <protection locked="true" hidden="false"/>
    </xf>
    <xf numFmtId="168" fontId="0" fillId="0" borderId="61" xfId="15" applyFont="true" applyBorder="true" applyAlignment="true" applyProtection="true">
      <alignment horizontal="general" vertical="bottom" textRotation="0" wrapText="false" indent="0" shrinkToFit="false"/>
      <protection locked="true" hidden="false"/>
    </xf>
    <xf numFmtId="177" fontId="12" fillId="0" borderId="61" xfId="0" applyFont="true" applyBorder="true" applyAlignment="false" applyProtection="false">
      <alignment horizontal="general" vertical="bottom" textRotation="0" wrapText="false" indent="0" shrinkToFit="false"/>
      <protection locked="true" hidden="false"/>
    </xf>
    <xf numFmtId="177" fontId="77" fillId="0" borderId="61" xfId="0" applyFont="true" applyBorder="true" applyAlignment="false" applyProtection="false">
      <alignment horizontal="general" vertical="bottom" textRotation="0" wrapText="false" indent="0" shrinkToFit="false"/>
      <protection locked="true" hidden="false"/>
    </xf>
    <xf numFmtId="177" fontId="32" fillId="0" borderId="61" xfId="0" applyFont="true" applyBorder="true" applyAlignment="false" applyProtection="false">
      <alignment horizontal="general" vertical="bottom" textRotation="0" wrapText="false" indent="0" shrinkToFit="false"/>
      <protection locked="true" hidden="false"/>
    </xf>
    <xf numFmtId="177" fontId="11" fillId="0" borderId="61" xfId="0" applyFont="true" applyBorder="true" applyAlignment="false" applyProtection="false">
      <alignment horizontal="general" vertical="bottom" textRotation="0" wrapText="false" indent="0" shrinkToFit="false"/>
      <protection locked="true" hidden="false"/>
    </xf>
    <xf numFmtId="164" fontId="0" fillId="0" borderId="62" xfId="0" applyFont="false" applyBorder="true" applyAlignment="true" applyProtection="false">
      <alignment horizontal="left" vertical="bottom" textRotation="0" wrapText="false" indent="0" shrinkToFit="false"/>
      <protection locked="true" hidden="false"/>
    </xf>
    <xf numFmtId="168" fontId="0" fillId="0" borderId="62" xfId="15" applyFont="true" applyBorder="true" applyAlignment="true" applyProtection="true">
      <alignment horizontal="general" vertical="bottom" textRotation="0" wrapText="false" indent="0" shrinkToFit="false"/>
      <protection locked="true" hidden="false"/>
    </xf>
    <xf numFmtId="177" fontId="28" fillId="0" borderId="62" xfId="0" applyFont="true" applyBorder="true" applyAlignment="false" applyProtection="false">
      <alignment horizontal="general" vertical="bottom" textRotation="0" wrapText="false" indent="0" shrinkToFit="false"/>
      <protection locked="true" hidden="false"/>
    </xf>
    <xf numFmtId="177" fontId="12" fillId="0" borderId="62" xfId="0" applyFont="true" applyBorder="true" applyAlignment="false" applyProtection="false">
      <alignment horizontal="general" vertical="bottom" textRotation="0" wrapText="false" indent="0" shrinkToFit="false"/>
      <protection locked="true" hidden="false"/>
    </xf>
    <xf numFmtId="177" fontId="0" fillId="0" borderId="62" xfId="0" applyFont="false" applyBorder="true" applyAlignment="false" applyProtection="false">
      <alignment horizontal="general" vertical="bottom" textRotation="0" wrapText="false" indent="0" shrinkToFit="false"/>
      <protection locked="true" hidden="false"/>
    </xf>
    <xf numFmtId="177" fontId="76" fillId="0" borderId="62" xfId="0" applyFont="true" applyBorder="true" applyAlignment="false" applyProtection="false">
      <alignment horizontal="general" vertical="bottom" textRotation="0" wrapText="false" indent="0" shrinkToFit="false"/>
      <protection locked="true" hidden="false"/>
    </xf>
    <xf numFmtId="177" fontId="17" fillId="0" borderId="62" xfId="0" applyFont="true" applyBorder="true" applyAlignment="false" applyProtection="false">
      <alignment horizontal="general" vertical="bottom" textRotation="0" wrapText="false" indent="0" shrinkToFit="false"/>
      <protection locked="true" hidden="false"/>
    </xf>
    <xf numFmtId="177" fontId="77" fillId="0" borderId="62" xfId="0" applyFont="true" applyBorder="true" applyAlignment="false" applyProtection="false">
      <alignment horizontal="general" vertical="bottom" textRotation="0" wrapText="false" indent="0" shrinkToFit="false"/>
      <protection locked="true" hidden="false"/>
    </xf>
    <xf numFmtId="177" fontId="32" fillId="0" borderId="62" xfId="0" applyFont="true" applyBorder="true" applyAlignment="false" applyProtection="false">
      <alignment horizontal="general" vertical="bottom" textRotation="0" wrapText="false" indent="0" shrinkToFit="false"/>
      <protection locked="true" hidden="false"/>
    </xf>
    <xf numFmtId="177" fontId="11" fillId="0" borderId="62" xfId="0" applyFont="true" applyBorder="true" applyAlignment="false" applyProtection="false">
      <alignment horizontal="general" vertical="bottom" textRotation="0" wrapText="false" indent="0" shrinkToFit="false"/>
      <protection locked="true" hidden="false"/>
    </xf>
    <xf numFmtId="177" fontId="28" fillId="0" borderId="0" xfId="19" applyFont="true" applyBorder="true" applyAlignment="true" applyProtection="true">
      <alignment horizontal="general" vertical="bottom" textRotation="0" wrapText="false" indent="0" shrinkToFit="false"/>
      <protection locked="true" hidden="false"/>
    </xf>
    <xf numFmtId="177" fontId="39" fillId="0" borderId="0" xfId="0" applyFont="true" applyBorder="false" applyAlignment="true" applyProtection="false">
      <alignment horizontal="center" vertical="bottom" textRotation="0" wrapText="false" indent="0" shrinkToFit="false"/>
      <protection locked="true" hidden="false"/>
    </xf>
    <xf numFmtId="177" fontId="86" fillId="2" borderId="0" xfId="0" applyFont="true" applyBorder="false" applyAlignment="true" applyProtection="false">
      <alignment horizontal="right" vertical="bottom" textRotation="0" wrapText="false" indent="0" shrinkToFit="false"/>
      <protection locked="true" hidden="false"/>
    </xf>
    <xf numFmtId="190" fontId="0" fillId="0" borderId="62"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left" vertical="bottom" textRotation="0" wrapText="false" indent="0" shrinkToFit="false"/>
      <protection locked="true" hidden="false"/>
    </xf>
    <xf numFmtId="190" fontId="0" fillId="0" borderId="0" xfId="0" applyFont="false" applyBorder="true" applyAlignment="false" applyProtection="false">
      <alignment horizontal="general" vertical="bottom" textRotation="0" wrapText="false" indent="0" shrinkToFit="false"/>
      <protection locked="true" hidden="false"/>
    </xf>
    <xf numFmtId="190" fontId="0" fillId="0" borderId="61" xfId="0" applyFont="false" applyBorder="true" applyAlignment="false" applyProtection="false">
      <alignment horizontal="general" vertical="bottom" textRotation="0" wrapText="false" indent="0" shrinkToFit="false"/>
      <protection locked="true" hidden="false"/>
    </xf>
    <xf numFmtId="180" fontId="0" fillId="0" borderId="0" xfId="19" applyFont="true" applyBorder="true" applyAlignment="true" applyProtection="true">
      <alignment horizontal="right" vertical="bottom" textRotation="0" wrapText="false" indent="0" shrinkToFit="false"/>
      <protection locked="true" hidden="false"/>
    </xf>
    <xf numFmtId="164" fontId="89" fillId="0" borderId="0" xfId="0" applyFont="true" applyBorder="false" applyAlignment="false" applyProtection="false">
      <alignment horizontal="general" vertical="bottom" textRotation="0" wrapText="false" indent="0" shrinkToFit="false"/>
      <protection locked="true" hidden="false"/>
    </xf>
    <xf numFmtId="164" fontId="18" fillId="15" borderId="63" xfId="0" applyFont="true" applyBorder="true" applyAlignment="false" applyProtection="false">
      <alignment horizontal="general" vertical="bottom" textRotation="0" wrapText="false" indent="0" shrinkToFit="false"/>
      <protection locked="true" hidden="false"/>
    </xf>
    <xf numFmtId="168" fontId="18" fillId="15" borderId="63" xfId="15" applyFont="true" applyBorder="true" applyAlignment="true" applyProtection="true">
      <alignment horizontal="general" vertical="bottom" textRotation="0" wrapText="false" indent="0" shrinkToFit="false"/>
      <protection locked="true" hidden="false"/>
    </xf>
    <xf numFmtId="164" fontId="14" fillId="15" borderId="64" xfId="0" applyFont="true" applyBorder="true" applyAlignment="false" applyProtection="false">
      <alignment horizontal="general" vertical="bottom" textRotation="0" wrapText="false" indent="0" shrinkToFit="false"/>
      <protection locked="true" hidden="false"/>
    </xf>
    <xf numFmtId="168" fontId="14" fillId="15" borderId="64" xfId="15" applyFont="true" applyBorder="true" applyAlignment="true" applyProtection="true">
      <alignment horizontal="general" vertical="bottom" textRotation="0" wrapText="false" indent="0" shrinkToFit="false"/>
      <protection locked="true" hidden="false"/>
    </xf>
    <xf numFmtId="164" fontId="90" fillId="14" borderId="0" xfId="0" applyFont="true" applyBorder="false" applyAlignment="false" applyProtection="false">
      <alignment horizontal="general" vertical="bottom" textRotation="0" wrapText="false" indent="0" shrinkToFit="false"/>
      <protection locked="true" hidden="false"/>
    </xf>
    <xf numFmtId="168" fontId="90" fillId="14" borderId="0" xfId="15" applyFont="true" applyBorder="true" applyAlignment="true" applyProtection="true">
      <alignment horizontal="general" vertical="bottom" textRotation="0" wrapText="false" indent="0" shrinkToFit="false"/>
      <protection locked="true" hidden="false"/>
    </xf>
    <xf numFmtId="180" fontId="91" fillId="0" borderId="0" xfId="19" applyFont="true" applyBorder="true" applyAlignment="true" applyProtection="true">
      <alignment horizontal="general" vertical="bottom" textRotation="0" wrapText="false" indent="0" shrinkToFit="false"/>
      <protection locked="true" hidden="false"/>
    </xf>
    <xf numFmtId="168" fontId="41" fillId="0" borderId="0" xfId="15" applyFont="true" applyBorder="true" applyAlignment="true" applyProtection="true">
      <alignment horizontal="general" vertical="bottom" textRotation="0" wrapText="false" indent="0" shrinkToFit="false"/>
      <protection locked="true" hidden="false"/>
    </xf>
    <xf numFmtId="168" fontId="14" fillId="0" borderId="0" xfId="15" applyFont="true" applyBorder="true" applyAlignment="true" applyProtection="true">
      <alignment horizontal="general" vertical="bottom" textRotation="0" wrapText="false" indent="0" shrinkToFit="false"/>
      <protection locked="true" hidden="false"/>
    </xf>
    <xf numFmtId="179" fontId="18" fillId="15" borderId="63" xfId="0" applyFont="true" applyBorder="true" applyAlignment="false" applyProtection="false">
      <alignment horizontal="general" vertical="bottom" textRotation="0" wrapText="false" indent="0" shrinkToFit="false"/>
      <protection locked="true" hidden="false"/>
    </xf>
    <xf numFmtId="180" fontId="8" fillId="0" borderId="0" xfId="0" applyFont="true" applyBorder="false" applyAlignment="false" applyProtection="false">
      <alignment horizontal="general" vertical="bottom" textRotation="0" wrapText="false" indent="0" shrinkToFit="false"/>
      <protection locked="true" hidden="false"/>
    </xf>
    <xf numFmtId="164" fontId="14" fillId="15" borderId="0" xfId="0" applyFont="true" applyBorder="false" applyAlignment="false" applyProtection="false">
      <alignment horizontal="general" vertical="bottom" textRotation="0" wrapText="false" indent="0" shrinkToFit="false"/>
      <protection locked="true" hidden="false"/>
    </xf>
    <xf numFmtId="180" fontId="14" fillId="15" borderId="0" xfId="0" applyFont="true" applyBorder="false" applyAlignment="false" applyProtection="false">
      <alignment horizontal="general" vertical="bottom" textRotation="0" wrapText="false" indent="0" shrinkToFit="false"/>
      <protection locked="true" hidden="false"/>
    </xf>
    <xf numFmtId="168" fontId="14" fillId="15" borderId="0" xfId="15" applyFont="true" applyBorder="true" applyAlignment="true" applyProtection="true">
      <alignment horizontal="general" vertical="bottom" textRotation="0" wrapText="false" indent="0" shrinkToFit="false"/>
      <protection locked="true" hidden="false"/>
    </xf>
    <xf numFmtId="164" fontId="90" fillId="0" borderId="0" xfId="0" applyFont="true" applyBorder="false" applyAlignment="false" applyProtection="false">
      <alignment horizontal="general" vertical="bottom" textRotation="0" wrapText="false" indent="0" shrinkToFit="false"/>
      <protection locked="true" hidden="false"/>
    </xf>
    <xf numFmtId="168" fontId="90" fillId="0" borderId="0" xfId="15" applyFont="true" applyBorder="true" applyAlignment="true" applyProtection="true">
      <alignment horizontal="general" vertical="bottom" textRotation="0" wrapText="false" indent="0" shrinkToFit="false"/>
      <protection locked="true" hidden="false"/>
    </xf>
    <xf numFmtId="164" fontId="92" fillId="0" borderId="0" xfId="0" applyFont="true" applyBorder="false" applyAlignment="false" applyProtection="false">
      <alignment horizontal="general" vertical="bottom" textRotation="0" wrapText="false" indent="0" shrinkToFit="false"/>
      <protection locked="true" hidden="false"/>
    </xf>
    <xf numFmtId="164" fontId="0" fillId="12" borderId="0" xfId="0" applyFont="true" applyBorder="false" applyAlignment="false" applyProtection="false">
      <alignment horizontal="general" vertical="bottom" textRotation="0" wrapText="false" indent="0" shrinkToFit="false"/>
      <protection locked="true" hidden="false"/>
    </xf>
    <xf numFmtId="168" fontId="28" fillId="12" borderId="0" xfId="0" applyFont="true" applyBorder="false" applyAlignment="false" applyProtection="false">
      <alignment horizontal="general" vertical="bottom" textRotation="0" wrapText="false" indent="0" shrinkToFit="false"/>
      <protection locked="true" hidden="false"/>
    </xf>
    <xf numFmtId="168" fontId="28" fillId="0" borderId="0" xfId="15" applyFont="true" applyBorder="true" applyAlignment="true" applyProtection="true">
      <alignment horizontal="general" vertical="bottom" textRotation="0" wrapText="false" indent="0" shrinkToFit="false"/>
      <protection locked="true" hidden="false"/>
    </xf>
    <xf numFmtId="164" fontId="28" fillId="0" borderId="0" xfId="0" applyFont="true" applyBorder="false" applyAlignment="false" applyProtection="false">
      <alignment horizontal="general" vertical="bottom" textRotation="0" wrapText="false" indent="0" shrinkToFit="false"/>
      <protection locked="true" hidden="false"/>
    </xf>
    <xf numFmtId="168" fontId="28" fillId="0" borderId="0" xfId="0" applyFont="true" applyBorder="false" applyAlignment="false" applyProtection="false">
      <alignment horizontal="general" vertical="bottom" textRotation="0" wrapText="false" indent="0" shrinkToFit="false"/>
      <protection locked="true" hidden="false"/>
    </xf>
    <xf numFmtId="186" fontId="28" fillId="0" borderId="0" xfId="0" applyFont="true" applyBorder="false" applyAlignment="false" applyProtection="false">
      <alignment horizontal="general" vertical="bottom" textRotation="0" wrapText="false" indent="0" shrinkToFit="false"/>
      <protection locked="true" hidden="false"/>
    </xf>
    <xf numFmtId="164" fontId="86" fillId="5" borderId="44" xfId="0" applyFont="true" applyBorder="true" applyAlignment="false" applyProtection="false">
      <alignment horizontal="general" vertical="bottom" textRotation="0" wrapText="false" indent="0" shrinkToFit="false"/>
      <protection locked="true" hidden="false"/>
    </xf>
    <xf numFmtId="168" fontId="86" fillId="5" borderId="46" xfId="0" applyFont="true" applyBorder="true" applyAlignment="false" applyProtection="false">
      <alignment horizontal="general" vertical="bottom" textRotation="0" wrapText="false" indent="0" shrinkToFit="false"/>
      <protection locked="true" hidden="false"/>
    </xf>
    <xf numFmtId="164" fontId="86" fillId="5" borderId="47" xfId="0" applyFont="true" applyBorder="true" applyAlignment="false" applyProtection="false">
      <alignment horizontal="general" vertical="bottom" textRotation="0" wrapText="false" indent="0" shrinkToFit="false"/>
      <protection locked="true" hidden="false"/>
    </xf>
    <xf numFmtId="168" fontId="86" fillId="5" borderId="48" xfId="0" applyFont="true" applyBorder="true" applyAlignment="false" applyProtection="false">
      <alignment horizontal="general" vertical="bottom" textRotation="0" wrapText="false" indent="0" shrinkToFit="false"/>
      <protection locked="true" hidden="false"/>
    </xf>
    <xf numFmtId="164" fontId="86" fillId="5" borderId="57" xfId="0" applyFont="true" applyBorder="true" applyAlignment="false" applyProtection="false">
      <alignment horizontal="general" vertical="bottom" textRotation="0" wrapText="false" indent="0" shrinkToFit="false"/>
      <protection locked="true" hidden="false"/>
    </xf>
    <xf numFmtId="168" fontId="86" fillId="5" borderId="59" xfId="0" applyFont="true" applyBorder="true" applyAlignment="false" applyProtection="false">
      <alignment horizontal="general" vertical="bottom" textRotation="0" wrapText="false" indent="0" shrinkToFit="false"/>
      <protection locked="true" hidden="false"/>
    </xf>
    <xf numFmtId="164" fontId="86" fillId="5" borderId="65" xfId="0" applyFont="true" applyBorder="true" applyAlignment="false" applyProtection="false">
      <alignment horizontal="general" vertical="bottom" textRotation="0" wrapText="false" indent="0" shrinkToFit="false"/>
      <protection locked="true" hidden="false"/>
    </xf>
    <xf numFmtId="168" fontId="86" fillId="5" borderId="66"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true" applyAlignment="true" applyProtection="false">
      <alignment horizontal="right" vertical="bottom" textRotation="0" wrapText="false" indent="0" shrinkToFit="false"/>
      <protection locked="true" hidden="false"/>
    </xf>
    <xf numFmtId="164" fontId="93" fillId="16" borderId="0" xfId="0" applyFont="true" applyBorder="true" applyAlignment="true" applyProtection="false">
      <alignment horizontal="center" vertical="bottom" textRotation="0" wrapText="false" indent="0" shrinkToFit="false"/>
      <protection locked="true" hidden="false"/>
    </xf>
    <xf numFmtId="164" fontId="61" fillId="0" borderId="16" xfId="0" applyFont="true" applyBorder="true" applyAlignment="false" applyProtection="false">
      <alignment horizontal="general" vertical="bottom" textRotation="0" wrapText="false" indent="0" shrinkToFit="false"/>
      <protection locked="true" hidden="false"/>
    </xf>
    <xf numFmtId="164" fontId="61" fillId="0" borderId="16" xfId="0" applyFont="true" applyBorder="true" applyAlignment="true" applyProtection="false">
      <alignment horizontal="center" vertical="bottom" textRotation="0" wrapText="false" indent="0" shrinkToFit="false"/>
      <protection locked="true" hidden="false"/>
    </xf>
    <xf numFmtId="164" fontId="18" fillId="0" borderId="16" xfId="0" applyFont="true" applyBorder="true" applyAlignment="false" applyProtection="false">
      <alignment horizontal="general" vertical="bottom" textRotation="0" wrapText="false" indent="0" shrinkToFit="false"/>
      <protection locked="true" hidden="false"/>
    </xf>
    <xf numFmtId="169" fontId="0" fillId="0" borderId="16" xfId="0" applyFont="false" applyBorder="true" applyAlignment="true" applyProtection="false">
      <alignment horizontal="center" vertical="bottom" textRotation="0" wrapText="false" indent="0" shrinkToFit="false"/>
      <protection locked="true" hidden="false"/>
    </xf>
    <xf numFmtId="164" fontId="0" fillId="0" borderId="16" xfId="0" applyFont="true" applyBorder="true" applyAlignment="true" applyProtection="false">
      <alignment horizontal="center" vertical="bottom" textRotation="0" wrapText="false" indent="0" shrinkToFit="false"/>
      <protection locked="true" hidden="false"/>
    </xf>
    <xf numFmtId="164" fontId="18" fillId="0" borderId="16" xfId="0" applyFont="true" applyBorder="true" applyAlignment="true" applyProtection="false">
      <alignment horizontal="general" vertical="bottom" textRotation="0" wrapText="true" indent="0" shrinkToFit="false"/>
      <protection locked="true" hidden="false"/>
    </xf>
    <xf numFmtId="164" fontId="61" fillId="0" borderId="0" xfId="0" applyFont="true" applyBorder="true" applyAlignment="true" applyProtection="false">
      <alignment horizontal="center" vertical="bottom" textRotation="0" wrapText="false" indent="0" shrinkToFit="false"/>
      <protection locked="true" hidden="false"/>
    </xf>
    <xf numFmtId="164" fontId="18" fillId="0" borderId="24" xfId="0" applyFont="true" applyBorder="true" applyAlignment="true" applyProtection="false">
      <alignment horizontal="center" vertical="bottom" textRotation="0" wrapText="false" indent="0" shrinkToFit="false"/>
      <protection locked="true" hidden="false"/>
    </xf>
    <xf numFmtId="164" fontId="18" fillId="0" borderId="0" xfId="0" applyFont="true" applyBorder="true" applyAlignment="true" applyProtection="false">
      <alignment horizontal="center" vertical="bottom" textRotation="0" wrapText="true" indent="0" shrinkToFit="false"/>
      <protection locked="true" hidden="false"/>
    </xf>
    <xf numFmtId="165" fontId="0" fillId="0" borderId="16" xfId="17" applyFont="true" applyBorder="true" applyAlignment="true" applyProtection="true">
      <alignment horizontal="general" vertical="bottom" textRotation="0" wrapText="false" indent="0" shrinkToFit="false"/>
      <protection locked="true" hidden="false"/>
    </xf>
    <xf numFmtId="170" fontId="0" fillId="0" borderId="16" xfId="19" applyFont="true" applyBorder="true" applyAlignment="true" applyProtection="true">
      <alignment horizontal="center" vertical="bottom" textRotation="0" wrapText="false" indent="0" shrinkToFit="false"/>
      <protection locked="true" hidden="false"/>
    </xf>
    <xf numFmtId="164" fontId="0" fillId="0" borderId="16" xfId="0" applyFont="true" applyBorder="true" applyAlignment="false" applyProtection="false">
      <alignment horizontal="general" vertical="bottom" textRotation="0" wrapText="false" indent="0" shrinkToFit="false"/>
      <protection locked="true" hidden="false"/>
    </xf>
    <xf numFmtId="171" fontId="0" fillId="0" borderId="16" xfId="17" applyFont="true" applyBorder="true" applyAlignment="true" applyProtection="true">
      <alignment horizontal="general" vertical="bottom" textRotation="0" wrapText="false" indent="0" shrinkToFit="false"/>
      <protection locked="true" hidden="false"/>
    </xf>
    <xf numFmtId="180" fontId="0" fillId="0" borderId="16" xfId="19" applyFont="true" applyBorder="true" applyAlignment="true" applyProtection="true">
      <alignment horizontal="right" vertical="bottom" textRotation="0" wrapText="false" indent="0" shrinkToFit="false"/>
      <protection locked="true" hidden="false"/>
    </xf>
    <xf numFmtId="180" fontId="0" fillId="0" borderId="16" xfId="0" applyFont="false" applyBorder="true" applyAlignment="true" applyProtection="false">
      <alignment horizontal="center" vertical="bottom" textRotation="0" wrapText="false" indent="0" shrinkToFit="false"/>
      <protection locked="true" hidden="false"/>
    </xf>
    <xf numFmtId="164" fontId="18" fillId="2" borderId="16" xfId="0" applyFont="true" applyBorder="true" applyAlignment="true" applyProtection="false">
      <alignment horizontal="center" vertical="bottom" textRotation="0" wrapText="false" indent="0" shrinkToFit="false"/>
      <protection locked="true" hidden="false"/>
    </xf>
    <xf numFmtId="164" fontId="18" fillId="0" borderId="27" xfId="0" applyFont="true" applyBorder="true" applyAlignment="false" applyProtection="false">
      <alignment horizontal="general" vertical="bottom" textRotation="0" wrapText="false" indent="0" shrinkToFit="false"/>
      <protection locked="true" hidden="false"/>
    </xf>
    <xf numFmtId="180" fontId="0" fillId="0" borderId="0" xfId="0" applyFont="false" applyBorder="true" applyAlignment="true" applyProtection="false">
      <alignment horizontal="center" vertical="bottom" textRotation="0" wrapText="false" indent="0" shrinkToFit="false"/>
      <protection locked="true" hidden="false"/>
    </xf>
    <xf numFmtId="171" fontId="0" fillId="0" borderId="26" xfId="17" applyFont="true" applyBorder="true" applyAlignment="true" applyProtection="true">
      <alignment horizontal="general" vertical="bottom" textRotation="0" wrapText="false" indent="0" shrinkToFit="false"/>
      <protection locked="true" hidden="false"/>
    </xf>
    <xf numFmtId="180" fontId="0" fillId="0" borderId="27" xfId="19" applyFont="true" applyBorder="true" applyAlignment="true" applyProtection="true">
      <alignment horizontal="right" vertical="bottom" textRotation="0" wrapText="false" indent="0" shrinkToFit="false"/>
      <protection locked="true" hidden="false"/>
    </xf>
    <xf numFmtId="164" fontId="18" fillId="0" borderId="67" xfId="0" applyFont="true" applyBorder="true" applyAlignment="false" applyProtection="false">
      <alignment horizontal="general" vertical="bottom" textRotation="0" wrapText="false" indent="0" shrinkToFit="false"/>
      <protection locked="true" hidden="false"/>
    </xf>
    <xf numFmtId="171" fontId="0" fillId="0" borderId="68" xfId="17" applyFont="true" applyBorder="true" applyAlignment="true" applyProtection="true">
      <alignment horizontal="general" vertical="bottom" textRotation="0" wrapText="false" indent="0" shrinkToFit="false"/>
      <protection locked="true" hidden="false"/>
    </xf>
    <xf numFmtId="180" fontId="0" fillId="0" borderId="67" xfId="0" applyFont="true" applyBorder="true" applyAlignment="true" applyProtection="false">
      <alignment horizontal="left" vertical="bottom" textRotation="0" wrapText="false" indent="0" shrinkToFit="false"/>
      <protection locked="true" hidden="false"/>
    </xf>
    <xf numFmtId="164" fontId="94" fillId="16" borderId="0" xfId="0" applyFont="true" applyBorder="true" applyAlignment="false" applyProtection="false">
      <alignment horizontal="general" vertical="bottom" textRotation="0" wrapText="false" indent="0" shrinkToFit="false"/>
      <protection locked="true" hidden="false"/>
    </xf>
    <xf numFmtId="164" fontId="27" fillId="16"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true" applyAlignment="true" applyProtection="false">
      <alignment horizontal="center" vertical="bottom" textRotation="0" wrapText="false" indent="0" shrinkToFit="false"/>
      <protection locked="true" hidden="false"/>
    </xf>
    <xf numFmtId="180" fontId="8" fillId="0" borderId="16" xfId="0" applyFont="true" applyBorder="true" applyAlignment="true" applyProtection="false">
      <alignment horizontal="right" vertical="bottom" textRotation="0" wrapText="false" indent="0" shrinkToFit="false"/>
      <protection locked="true" hidden="false"/>
    </xf>
    <xf numFmtId="180" fontId="0" fillId="0" borderId="16" xfId="0" applyFont="false" applyBorder="true" applyAlignment="false" applyProtection="false">
      <alignment horizontal="general" vertical="bottom" textRotation="0" wrapText="false" indent="0" shrinkToFit="false"/>
      <protection locked="true" hidden="false"/>
    </xf>
    <xf numFmtId="180" fontId="0" fillId="0" borderId="16" xfId="19" applyFont="true" applyBorder="true" applyAlignment="true" applyProtection="true">
      <alignment horizontal="general" vertical="bottom" textRotation="0" wrapText="false" indent="0" shrinkToFit="false"/>
      <protection locked="true" hidden="false"/>
    </xf>
    <xf numFmtId="180" fontId="0" fillId="0" borderId="32" xfId="19" applyFont="true" applyBorder="true" applyAlignment="true" applyProtection="true">
      <alignment horizontal="general" vertical="bottom" textRotation="0" wrapText="false" indent="0" shrinkToFit="false"/>
      <protection locked="true" hidden="false"/>
    </xf>
    <xf numFmtId="164" fontId="18" fillId="0" borderId="67" xfId="0" applyFont="true" applyBorder="true" applyAlignment="true" applyProtection="false">
      <alignment horizontal="center" vertical="bottom" textRotation="0" wrapText="false" indent="0" shrinkToFit="false"/>
      <protection locked="true" hidden="false"/>
    </xf>
    <xf numFmtId="164" fontId="18" fillId="0" borderId="67" xfId="0" applyFont="true" applyBorder="true" applyAlignment="true" applyProtection="false">
      <alignment horizontal="center" vertical="bottom" textRotation="0" wrapText="true" indent="0" shrinkToFit="false"/>
      <protection locked="true" hidden="false"/>
    </xf>
    <xf numFmtId="171" fontId="0" fillId="0" borderId="67" xfId="17" applyFont="true" applyBorder="true" applyAlignment="true" applyProtection="true">
      <alignment horizontal="general" vertical="bottom" textRotation="0" wrapText="false" indent="0" shrinkToFit="false"/>
      <protection locked="true" hidden="false"/>
    </xf>
    <xf numFmtId="164" fontId="18" fillId="2" borderId="31" xfId="0" applyFont="true" applyBorder="true" applyAlignment="false" applyProtection="false">
      <alignment horizontal="general" vertical="bottom" textRotation="0" wrapText="false" indent="0" shrinkToFit="false"/>
      <protection locked="true" hidden="false"/>
    </xf>
    <xf numFmtId="171" fontId="18" fillId="2" borderId="31" xfId="17" applyFont="true" applyBorder="true" applyAlignment="true" applyProtection="true">
      <alignment horizontal="general" vertical="bottom" textRotation="0" wrapText="false" indent="0" shrinkToFit="false"/>
      <protection locked="true" hidden="false"/>
    </xf>
    <xf numFmtId="180" fontId="18" fillId="2" borderId="31" xfId="19" applyFont="true" applyBorder="true" applyAlignment="true" applyProtection="true">
      <alignment horizontal="general" vertical="bottom" textRotation="0" wrapText="false" indent="0" shrinkToFit="false"/>
      <protection locked="true" hidden="false"/>
    </xf>
    <xf numFmtId="171" fontId="0" fillId="0" borderId="27" xfId="17" applyFont="true" applyBorder="true" applyAlignment="true" applyProtection="true">
      <alignment horizontal="general" vertical="bottom" textRotation="0" wrapText="false" indent="0" shrinkToFit="false"/>
      <protection locked="true" hidden="false"/>
    </xf>
    <xf numFmtId="180" fontId="0" fillId="0" borderId="27" xfId="19" applyFont="true" applyBorder="true" applyAlignment="true" applyProtection="true">
      <alignment horizontal="general" vertical="bottom" textRotation="0" wrapText="false" indent="0" shrinkToFit="false"/>
      <protection locked="true" hidden="false"/>
    </xf>
    <xf numFmtId="164" fontId="18" fillId="0" borderId="69" xfId="0" applyFont="true" applyBorder="true" applyAlignment="true" applyProtection="false">
      <alignment horizontal="left" vertical="bottom" textRotation="0" wrapText="false" indent="0" shrinkToFit="false"/>
      <protection locked="true" hidden="false"/>
    </xf>
    <xf numFmtId="171" fontId="0" fillId="0" borderId="69" xfId="17" applyFont="true" applyBorder="true" applyAlignment="true" applyProtection="true">
      <alignment horizontal="general" vertical="bottom" textRotation="0" wrapText="false" indent="0" shrinkToFit="false"/>
      <protection locked="true" hidden="false"/>
    </xf>
    <xf numFmtId="180" fontId="0" fillId="0" borderId="69" xfId="19" applyFont="true" applyBorder="true" applyAlignment="true" applyProtection="true">
      <alignment horizontal="general" vertical="bottom" textRotation="0" wrapText="false" indent="0" shrinkToFit="false"/>
      <protection locked="true" hidden="false"/>
    </xf>
    <xf numFmtId="164" fontId="18" fillId="0" borderId="31" xfId="0" applyFont="true" applyBorder="true" applyAlignment="true" applyProtection="false">
      <alignment horizontal="left" vertical="bottom" textRotation="0" wrapText="false" indent="0" shrinkToFit="false"/>
      <protection locked="true" hidden="false"/>
    </xf>
    <xf numFmtId="171" fontId="0" fillId="0" borderId="31" xfId="17" applyFont="true" applyBorder="true" applyAlignment="true" applyProtection="true">
      <alignment horizontal="general" vertical="bottom" textRotation="0" wrapText="false" indent="0" shrinkToFit="false"/>
      <protection locked="true" hidden="false"/>
    </xf>
    <xf numFmtId="180" fontId="0" fillId="0" borderId="31" xfId="19" applyFont="true" applyBorder="true" applyAlignment="true" applyProtection="true">
      <alignment horizontal="general" vertical="bottom" textRotation="0" wrapText="false" indent="0" shrinkToFit="false"/>
      <protection locked="true" hidden="false"/>
    </xf>
    <xf numFmtId="164" fontId="18" fillId="0" borderId="31" xfId="0" applyFont="true" applyBorder="true" applyAlignment="false" applyProtection="false">
      <alignment horizontal="general" vertical="bottom" textRotation="0" wrapText="false" indent="0" shrinkToFit="false"/>
      <protection locked="true" hidden="false"/>
    </xf>
    <xf numFmtId="164" fontId="18" fillId="2" borderId="69" xfId="0" applyFont="true" applyBorder="true" applyAlignment="false" applyProtection="false">
      <alignment horizontal="general" vertical="bottom" textRotation="0" wrapText="false" indent="0" shrinkToFit="false"/>
      <protection locked="true" hidden="false"/>
    </xf>
    <xf numFmtId="171" fontId="18" fillId="2" borderId="69" xfId="17" applyFont="true" applyBorder="true" applyAlignment="true" applyProtection="true">
      <alignment horizontal="general" vertical="bottom" textRotation="0" wrapText="false" indent="0" shrinkToFit="false"/>
      <protection locked="true" hidden="false"/>
    </xf>
    <xf numFmtId="180" fontId="18" fillId="2" borderId="69" xfId="19" applyFont="true" applyBorder="true" applyAlignment="true" applyProtection="true">
      <alignment horizontal="general" vertical="bottom" textRotation="0" wrapText="false" indent="0" shrinkToFit="false"/>
      <protection locked="true" hidden="false"/>
    </xf>
    <xf numFmtId="171" fontId="0" fillId="0" borderId="24" xfId="17" applyFont="true" applyBorder="true" applyAlignment="true" applyProtection="true">
      <alignment horizontal="general" vertical="bottom" textRotation="0" wrapText="false" indent="0" shrinkToFit="false"/>
      <protection locked="true" hidden="false"/>
    </xf>
    <xf numFmtId="180" fontId="0" fillId="0" borderId="24" xfId="19" applyFont="true" applyBorder="true" applyAlignment="true" applyProtection="true">
      <alignment horizontal="general" vertical="bottom" textRotation="0" wrapText="false" indent="0" shrinkToFit="false"/>
      <protection locked="true" hidden="false"/>
    </xf>
    <xf numFmtId="179" fontId="0" fillId="0" borderId="0" xfId="0" applyFont="false" applyBorder="true" applyAlignment="false" applyProtection="false">
      <alignment horizontal="general" vertical="bottom" textRotation="0" wrapText="false" indent="0" shrinkToFit="false"/>
      <protection locked="true" hidden="false"/>
    </xf>
    <xf numFmtId="164" fontId="18" fillId="0" borderId="0" xfId="0" applyFont="true" applyBorder="true" applyAlignment="tru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4" fontId="0" fillId="6" borderId="0" xfId="0" applyFont="true" applyBorder="true" applyAlignment="true" applyProtection="false">
      <alignment horizontal="right" vertical="bottom" textRotation="0" wrapText="false" indent="0" shrinkToFit="false"/>
      <protection locked="true" hidden="false"/>
    </xf>
    <xf numFmtId="164" fontId="0" fillId="6" borderId="0" xfId="0" applyFont="true" applyBorder="false" applyAlignment="true" applyProtection="false">
      <alignment horizontal="right" vertical="bottom" textRotation="0" wrapText="false" indent="0" shrinkToFit="false"/>
      <protection locked="true" hidden="false"/>
    </xf>
    <xf numFmtId="177" fontId="0" fillId="6"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80" fontId="0" fillId="0" borderId="67" xfId="0" applyFont="false" applyBorder="true" applyAlignment="true" applyProtection="false">
      <alignment horizontal="right" vertical="bottom" textRotation="0" wrapText="false" indent="0" shrinkToFit="false"/>
      <protection locked="true" hidden="false"/>
    </xf>
    <xf numFmtId="165" fontId="0" fillId="0" borderId="67" xfId="17" applyFont="true" applyBorder="true" applyAlignment="true" applyProtection="true">
      <alignment horizontal="general" vertical="bottom" textRotation="0" wrapText="false" indent="0" shrinkToFit="false"/>
      <protection locked="true" hidden="false"/>
    </xf>
    <xf numFmtId="180" fontId="0" fillId="0" borderId="67" xfId="19" applyFont="true" applyBorder="true" applyAlignment="true" applyProtection="true">
      <alignment horizontal="general" vertical="bottom" textRotation="0" wrapText="false" indent="0" shrinkToFit="false"/>
      <protection locked="true" hidden="false"/>
    </xf>
    <xf numFmtId="180" fontId="0" fillId="0" borderId="14" xfId="19" applyFont="true" applyBorder="true" applyAlignment="true" applyProtection="true">
      <alignment horizontal="general" vertical="bottom" textRotation="0" wrapText="false" indent="0" shrinkToFit="false"/>
      <protection locked="true" hidden="false"/>
    </xf>
    <xf numFmtId="180" fontId="0" fillId="0" borderId="28" xfId="19" applyFont="true" applyBorder="true" applyAlignment="true" applyProtection="true">
      <alignment horizontal="general" vertical="bottom" textRotation="0" wrapText="false" indent="0" shrinkToFit="false"/>
      <protection locked="true" hidden="false"/>
    </xf>
    <xf numFmtId="164" fontId="95" fillId="0" borderId="0" xfId="0" applyFont="true" applyBorder="false" applyAlignment="false" applyProtection="false">
      <alignment horizontal="general" vertical="bottom" textRotation="0" wrapText="false" indent="0" shrinkToFit="false"/>
      <protection locked="true" hidden="false"/>
    </xf>
    <xf numFmtId="164" fontId="98" fillId="0" borderId="0" xfId="0" applyFont="true" applyBorder="false" applyAlignment="false" applyProtection="false">
      <alignment horizontal="general" vertical="bottom" textRotation="0" wrapText="false" indent="0" shrinkToFit="false"/>
      <protection locked="true" hidden="false"/>
    </xf>
    <xf numFmtId="168" fontId="95" fillId="0" borderId="0" xfId="15" applyFont="true" applyBorder="true" applyAlignment="true" applyProtection="true">
      <alignment horizontal="right" vertical="bottom" textRotation="0" wrapText="false" indent="0" shrinkToFit="false"/>
      <protection locked="true" hidden="false"/>
    </xf>
    <xf numFmtId="164" fontId="99" fillId="0" borderId="0" xfId="0" applyFont="true" applyBorder="false" applyAlignment="false" applyProtection="false">
      <alignment horizontal="general" vertical="bottom" textRotation="0" wrapText="false" indent="0" shrinkToFit="false"/>
      <protection locked="true" hidden="false"/>
    </xf>
    <xf numFmtId="180" fontId="95" fillId="0" borderId="0" xfId="19" applyFont="true" applyBorder="true" applyAlignment="true" applyProtection="true">
      <alignment horizontal="right" vertical="bottom" textRotation="0" wrapText="false" indent="0" shrinkToFit="false"/>
      <protection locked="true" hidden="false"/>
    </xf>
    <xf numFmtId="168" fontId="98" fillId="0" borderId="0" xfId="15" applyFont="true" applyBorder="true" applyAlignment="true" applyProtection="true">
      <alignment horizontal="right" vertical="bottom" textRotation="0" wrapText="false" indent="0" shrinkToFit="false"/>
      <protection locked="true" hidden="false"/>
    </xf>
    <xf numFmtId="171" fontId="95" fillId="0" borderId="0" xfId="17" applyFont="true" applyBorder="true" applyAlignment="true" applyProtection="true">
      <alignment horizontal="right" vertical="bottom" textRotation="0" wrapText="false" indent="0" shrinkToFit="false"/>
      <protection locked="true" hidden="false"/>
    </xf>
    <xf numFmtId="171" fontId="95" fillId="0" borderId="0" xfId="0" applyFont="true" applyBorder="false" applyAlignment="false" applyProtection="false">
      <alignment horizontal="general" vertical="bottom" textRotation="0" wrapText="false" indent="0" shrinkToFit="false"/>
      <protection locked="true" hidden="false"/>
    </xf>
    <xf numFmtId="168" fontId="95" fillId="0" borderId="0" xfId="15" applyFont="true" applyBorder="true" applyAlignment="true" applyProtection="true">
      <alignment horizontal="general" vertical="bottom" textRotation="0" wrapText="false" indent="0" shrinkToFit="false"/>
      <protection locked="true" hidden="false"/>
    </xf>
    <xf numFmtId="164" fontId="100" fillId="0" borderId="0" xfId="0" applyFont="true" applyBorder="false" applyAlignment="false" applyProtection="false">
      <alignment horizontal="general" vertical="bottom" textRotation="0" wrapText="false" indent="0" shrinkToFit="false"/>
      <protection locked="true" hidden="false"/>
    </xf>
    <xf numFmtId="171" fontId="95" fillId="0" borderId="24" xfId="17" applyFont="true" applyBorder="true" applyAlignment="true" applyProtection="true">
      <alignment horizontal="right" vertical="bottom" textRotation="0" wrapText="false" indent="0" shrinkToFit="false"/>
      <protection locked="true" hidden="false"/>
    </xf>
    <xf numFmtId="171" fontId="95" fillId="0" borderId="0" xfId="15" applyFont="true" applyBorder="true" applyAlignment="true" applyProtection="true">
      <alignment horizontal="right" vertical="bottom" textRotation="0" wrapText="false" indent="0" shrinkToFit="false"/>
      <protection locked="true" hidden="false"/>
    </xf>
    <xf numFmtId="164" fontId="50" fillId="0" borderId="0" xfId="0" applyFont="true" applyBorder="false" applyAlignment="false" applyProtection="false">
      <alignment horizontal="general" vertical="bottom" textRotation="0" wrapText="false" indent="0" shrinkToFit="false"/>
      <protection locked="true" hidden="false"/>
    </xf>
    <xf numFmtId="164" fontId="50" fillId="0" borderId="0" xfId="0" applyFont="true" applyBorder="false" applyAlignment="true" applyProtection="false">
      <alignment horizontal="center" vertical="bottom" textRotation="0" wrapText="false" indent="0" shrinkToFit="false"/>
      <protection locked="true" hidden="false"/>
    </xf>
    <xf numFmtId="164" fontId="102" fillId="0" borderId="0" xfId="0" applyFont="true" applyBorder="false" applyAlignment="true" applyProtection="false">
      <alignment horizontal="center" vertical="bottom" textRotation="0" wrapText="false" indent="0" shrinkToFit="false"/>
      <protection locked="true" hidden="false"/>
    </xf>
    <xf numFmtId="164" fontId="12" fillId="14" borderId="70" xfId="0" applyFont="true" applyBorder="true" applyAlignment="false" applyProtection="false">
      <alignment horizontal="general" vertical="bottom" textRotation="0" wrapText="false" indent="0" shrinkToFit="false"/>
      <protection locked="true" hidden="false"/>
    </xf>
    <xf numFmtId="164" fontId="0" fillId="15" borderId="70" xfId="0" applyFont="false" applyBorder="true" applyAlignment="false" applyProtection="false">
      <alignment horizontal="general" vertical="bottom" textRotation="0" wrapText="false" indent="0" shrinkToFit="false"/>
      <protection locked="true" hidden="false"/>
    </xf>
    <xf numFmtId="164" fontId="0" fillId="6" borderId="70" xfId="0" applyFont="false" applyBorder="true" applyAlignment="false" applyProtection="false">
      <alignment horizontal="general" vertical="bottom" textRotation="0" wrapText="false" indent="0" shrinkToFit="false"/>
      <protection locked="true" hidden="false"/>
    </xf>
    <xf numFmtId="164" fontId="87" fillId="14" borderId="71" xfId="0" applyFont="true" applyBorder="true" applyAlignment="true" applyProtection="false">
      <alignment horizontal="center" vertical="bottom" textRotation="0" wrapText="false" indent="0" shrinkToFit="false"/>
      <protection locked="true" hidden="false"/>
    </xf>
    <xf numFmtId="164" fontId="18" fillId="15" borderId="71" xfId="0" applyFont="true" applyBorder="true" applyAlignment="true" applyProtection="false">
      <alignment horizontal="center" vertical="bottom" textRotation="0" wrapText="false" indent="0" shrinkToFit="false"/>
      <protection locked="true" hidden="false"/>
    </xf>
    <xf numFmtId="164" fontId="83" fillId="6" borderId="71" xfId="0" applyFont="true" applyBorder="true" applyAlignment="true" applyProtection="false">
      <alignment horizontal="center" vertical="bottom" textRotation="0" wrapText="false" indent="0" shrinkToFit="false"/>
      <protection locked="true" hidden="false"/>
    </xf>
    <xf numFmtId="170" fontId="0" fillId="0" borderId="0" xfId="0" applyFont="false" applyBorder="false" applyAlignment="false" applyProtection="false">
      <alignment horizontal="general" vertical="bottom" textRotation="0" wrapText="false" indent="0" shrinkToFit="false"/>
      <protection locked="true" hidden="false"/>
    </xf>
    <xf numFmtId="164" fontId="18" fillId="6" borderId="72" xfId="0" applyFont="true" applyBorder="true" applyAlignment="true" applyProtection="false">
      <alignment horizontal="center" vertical="bottom" textRotation="0" wrapText="false" indent="0" shrinkToFit="false"/>
      <protection locked="true" hidden="false"/>
    </xf>
    <xf numFmtId="164" fontId="12" fillId="14" borderId="71" xfId="0" applyFont="true" applyBorder="true" applyAlignment="false" applyProtection="false">
      <alignment horizontal="general" vertical="bottom" textRotation="0" wrapText="false" indent="0" shrinkToFit="false"/>
      <protection locked="true" hidden="false"/>
    </xf>
    <xf numFmtId="164" fontId="0" fillId="15" borderId="71" xfId="0" applyFont="false" applyBorder="true" applyAlignment="false" applyProtection="false">
      <alignment horizontal="general" vertical="bottom" textRotation="0" wrapText="false" indent="0" shrinkToFit="false"/>
      <protection locked="true" hidden="false"/>
    </xf>
    <xf numFmtId="164" fontId="0" fillId="17" borderId="70" xfId="0" applyFont="false" applyBorder="true" applyAlignment="false" applyProtection="false">
      <alignment horizontal="general" vertical="bottom" textRotation="0" wrapText="false" indent="0" shrinkToFit="false"/>
      <protection locked="true" hidden="false"/>
    </xf>
    <xf numFmtId="164" fontId="86" fillId="17" borderId="71" xfId="0" applyFont="true" applyBorder="true" applyAlignment="true" applyProtection="false">
      <alignment horizontal="center" vertical="bottom" textRotation="0" wrapText="false" indent="0" shrinkToFit="false"/>
      <protection locked="true" hidden="false"/>
    </xf>
    <xf numFmtId="164" fontId="18" fillId="17" borderId="72" xfId="0" applyFont="true" applyBorder="true" applyAlignment="true" applyProtection="false">
      <alignment horizontal="center" vertical="bottom" textRotation="0" wrapText="false" indent="0" shrinkToFit="false"/>
      <protection locked="true" hidden="false"/>
    </xf>
    <xf numFmtId="164" fontId="81" fillId="15" borderId="71" xfId="0" applyFont="true" applyBorder="true" applyAlignment="true" applyProtection="false">
      <alignment horizontal="center" vertical="bottom" textRotation="0" wrapText="false" indent="0" shrinkToFit="false"/>
      <protection locked="true" hidden="false"/>
    </xf>
    <xf numFmtId="164" fontId="18" fillId="15" borderId="72" xfId="0" applyFont="true" applyBorder="true" applyAlignment="true" applyProtection="false">
      <alignment horizontal="center" vertical="bottom" textRotation="0" wrapText="false" indent="0" shrinkToFit="false"/>
      <protection locked="true" hidden="false"/>
    </xf>
    <xf numFmtId="164" fontId="14" fillId="15" borderId="71" xfId="0" applyFont="true" applyBorder="true" applyAlignment="true" applyProtection="false">
      <alignment horizontal="center" vertical="bottom" textRotation="0" wrapText="false" indent="0" shrinkToFit="false"/>
      <protection locked="true" hidden="false"/>
    </xf>
    <xf numFmtId="164" fontId="0" fillId="11" borderId="70" xfId="0" applyFont="false" applyBorder="true" applyAlignment="false" applyProtection="false">
      <alignment horizontal="general" vertical="bottom" textRotation="0" wrapText="false" indent="0" shrinkToFit="false"/>
      <protection locked="true" hidden="false"/>
    </xf>
    <xf numFmtId="164" fontId="103" fillId="11" borderId="71" xfId="0" applyFont="true" applyBorder="true" applyAlignment="true" applyProtection="false">
      <alignment horizontal="center" vertical="bottom" textRotation="0" wrapText="false" indent="0" shrinkToFit="false"/>
      <protection locked="true" hidden="false"/>
    </xf>
    <xf numFmtId="164" fontId="0" fillId="14" borderId="71" xfId="0" applyFont="false" applyBorder="true" applyAlignment="false" applyProtection="false">
      <alignment horizontal="general" vertical="bottom" textRotation="0" wrapText="false" indent="0" shrinkToFit="false"/>
      <protection locked="true" hidden="false"/>
    </xf>
    <xf numFmtId="164" fontId="103" fillId="11" borderId="72" xfId="0" applyFont="true" applyBorder="true" applyAlignment="true" applyProtection="false">
      <alignment horizontal="center" vertical="bottom" textRotation="0" wrapText="false" indent="0" shrinkToFit="false"/>
      <protection locked="true" hidden="false"/>
    </xf>
    <xf numFmtId="164" fontId="14" fillId="18" borderId="70" xfId="0" applyFont="true" applyBorder="true" applyAlignment="true" applyProtection="false">
      <alignment horizontal="center" vertical="bottom" textRotation="0" wrapText="false" indent="0" shrinkToFit="false"/>
      <protection locked="true" hidden="false"/>
    </xf>
    <xf numFmtId="164" fontId="14" fillId="18" borderId="71" xfId="0" applyFont="true" applyBorder="true" applyAlignment="true" applyProtection="false">
      <alignment horizontal="center" vertical="bottom" textRotation="0" wrapText="false" indent="0" shrinkToFit="false"/>
      <protection locked="true" hidden="false"/>
    </xf>
    <xf numFmtId="164" fontId="14" fillId="18" borderId="72" xfId="0" applyFont="true" applyBorder="true" applyAlignment="true" applyProtection="false">
      <alignment horizontal="center" vertical="bottom" textRotation="0" wrapText="false" indent="0" shrinkToFit="false"/>
      <protection locked="true" hidden="false"/>
    </xf>
    <xf numFmtId="164" fontId="0" fillId="8" borderId="70" xfId="0" applyFont="false" applyBorder="true" applyAlignment="false" applyProtection="false">
      <alignment horizontal="general" vertical="bottom" textRotation="0" wrapText="false" indent="0" shrinkToFit="false"/>
      <protection locked="true" hidden="false"/>
    </xf>
    <xf numFmtId="164" fontId="104" fillId="8" borderId="71" xfId="0" applyFont="true" applyBorder="true" applyAlignment="true" applyProtection="false">
      <alignment horizontal="center" vertical="bottom" textRotation="0" wrapText="false" indent="0" shrinkToFit="false"/>
      <protection locked="true" hidden="false"/>
    </xf>
    <xf numFmtId="164" fontId="18" fillId="8" borderId="72" xfId="0" applyFont="true" applyBorder="true" applyAlignment="true" applyProtection="false">
      <alignment horizontal="center" vertical="bottom" textRotation="0" wrapText="false" indent="0" shrinkToFit="false"/>
      <protection locked="true" hidden="false"/>
    </xf>
    <xf numFmtId="164" fontId="0" fillId="0" borderId="62" xfId="0" applyFont="false" applyBorder="true" applyAlignment="false" applyProtection="false">
      <alignment horizontal="general" vertical="bottom" textRotation="0" wrapText="false" indent="0" shrinkToFit="false"/>
      <protection locked="true" hidden="false"/>
    </xf>
    <xf numFmtId="164" fontId="50" fillId="0" borderId="62" xfId="0" applyFont="true" applyBorder="true" applyAlignment="false" applyProtection="false">
      <alignment horizontal="general" vertical="bottom" textRotation="0" wrapText="false" indent="0" shrinkToFit="false"/>
      <protection locked="true" hidden="false"/>
    </xf>
    <xf numFmtId="164" fontId="12" fillId="14" borderId="73" xfId="0" applyFont="true" applyBorder="true" applyAlignment="false" applyProtection="false">
      <alignment horizontal="general" vertical="bottom" textRotation="0" wrapText="false" indent="0" shrinkToFit="false"/>
      <protection locked="true" hidden="false"/>
    </xf>
    <xf numFmtId="164" fontId="50" fillId="0" borderId="62" xfId="0" applyFont="true" applyBorder="true" applyAlignment="true" applyProtection="false">
      <alignment horizontal="center" vertical="bottom" textRotation="0" wrapText="false" indent="0" shrinkToFit="false"/>
      <protection locked="true" hidden="false"/>
    </xf>
    <xf numFmtId="164" fontId="18" fillId="15" borderId="70" xfId="0" applyFont="true" applyBorder="true" applyAlignment="true" applyProtection="false">
      <alignment horizontal="center" vertical="bottom" textRotation="0" wrapText="false" indent="0" shrinkToFit="false"/>
      <protection locked="true" hidden="false"/>
    </xf>
    <xf numFmtId="164" fontId="0" fillId="14" borderId="73" xfId="0" applyFont="false" applyBorder="true" applyAlignment="false" applyProtection="false">
      <alignment horizontal="general" vertical="bottom" textRotation="0" wrapText="false" indent="0" shrinkToFit="false"/>
      <protection locked="true" hidden="false"/>
    </xf>
    <xf numFmtId="164" fontId="0" fillId="15" borderId="72" xfId="0" applyFont="false" applyBorder="true" applyAlignment="false" applyProtection="false">
      <alignment horizontal="general" vertical="bottom" textRotation="0" wrapText="false" indent="0" shrinkToFit="false"/>
      <protection locked="true" hidden="false"/>
    </xf>
    <xf numFmtId="164" fontId="14" fillId="19" borderId="70" xfId="0" applyFont="true" applyBorder="true" applyAlignment="true" applyProtection="false">
      <alignment horizontal="center" vertical="bottom" textRotation="0" wrapText="false" indent="0" shrinkToFit="false"/>
      <protection locked="true" hidden="false"/>
    </xf>
    <xf numFmtId="164" fontId="14" fillId="19" borderId="71" xfId="0" applyFont="true" applyBorder="true" applyAlignment="true" applyProtection="false">
      <alignment horizontal="center" vertical="bottom" textRotation="0" wrapText="false" indent="0" shrinkToFit="false"/>
      <protection locked="true" hidden="false"/>
    </xf>
    <xf numFmtId="164" fontId="14" fillId="19" borderId="72" xfId="0" applyFont="true" applyBorder="true" applyAlignment="true" applyProtection="false">
      <alignment horizontal="center" vertical="bottom" textRotation="0" wrapText="false" indent="0" shrinkToFit="false"/>
      <protection locked="true" hidden="false"/>
    </xf>
    <xf numFmtId="164" fontId="77" fillId="20" borderId="70" xfId="0" applyFont="true" applyBorder="true" applyAlignment="false" applyProtection="false">
      <alignment horizontal="general" vertical="bottom" textRotation="0" wrapText="false" indent="0" shrinkToFit="false"/>
      <protection locked="true" hidden="false"/>
    </xf>
    <xf numFmtId="164" fontId="85" fillId="20" borderId="71" xfId="0" applyFont="true" applyBorder="true" applyAlignment="true" applyProtection="false">
      <alignment horizontal="center" vertical="bottom" textRotation="0" wrapText="false" indent="0" shrinkToFit="false"/>
      <protection locked="true" hidden="false"/>
    </xf>
    <xf numFmtId="164" fontId="85" fillId="20" borderId="72" xfId="0" applyFont="true" applyBorder="true" applyAlignment="true" applyProtection="false">
      <alignment horizontal="center" vertical="bottom" textRotation="0" wrapText="false" indent="0" shrinkToFit="false"/>
      <protection locked="true" hidden="false"/>
    </xf>
    <xf numFmtId="164" fontId="0" fillId="14" borderId="72" xfId="0" applyFont="false" applyBorder="true" applyAlignment="false" applyProtection="false">
      <alignment horizontal="general" vertical="bottom" textRotation="0" wrapText="false" indent="0" shrinkToFit="false"/>
      <protection locked="true" hidden="false"/>
    </xf>
  </cellXfs>
  <cellStyles count="43">
    <cellStyle name="Normal" xfId="0" builtinId="0"/>
    <cellStyle name="Comma" xfId="15" builtinId="3"/>
    <cellStyle name="Comma [0]" xfId="16" builtinId="6"/>
    <cellStyle name="Currency" xfId="17" builtinId="4"/>
    <cellStyle name="Currency [0]" xfId="18" builtinId="7"/>
    <cellStyle name="Percent" xfId="19" builtinId="5"/>
    <cellStyle name="Currency_Book4 Chart 1" xfId="20"/>
    <cellStyle name="Currency_Book4 Chart 2" xfId="21"/>
    <cellStyle name="Currency_Book4 Chart 3" xfId="22"/>
    <cellStyle name="Currency_Simon Revised  Baseline - kg revised" xfId="23"/>
    <cellStyle name="Currency_simon8_06" xfId="24"/>
    <cellStyle name="Normal_1998 Baseline - Totals Only" xfId="25"/>
    <cellStyle name="Normal_Added sites - EB" xfId="26"/>
    <cellStyle name="Normal_Baseline - 1998 check totals" xfId="27"/>
    <cellStyle name="Normal_Baseline - 1998 Electricity" xfId="28"/>
    <cellStyle name="Normal_Baseline - 1998 R_M" xfId="29"/>
    <cellStyle name="Normal_Baseline - 1998 S_B" xfId="30"/>
    <cellStyle name="Normal_Baseline - Capital" xfId="31"/>
    <cellStyle name="Normal_Baseline -1998 Water _ Sewer" xfId="32"/>
    <cellStyle name="Normal_Baseline 1998 Gas" xfId="33"/>
    <cellStyle name="Normal_Baseline Detail - Non-CAM Expenses" xfId="34"/>
    <cellStyle name="Normal_Book2" xfId="35"/>
    <cellStyle name="Normal_Book4 Chart 1" xfId="36"/>
    <cellStyle name="Normal_Book4 Chart 2" xfId="37"/>
    <cellStyle name="Normal_Book4 Chart 3" xfId="38"/>
    <cellStyle name="Normal_CAM Baseline - 1998 Actuals" xfId="39"/>
    <cellStyle name="Normal_CAM Expenses and Sq ft analysis" xfId="40"/>
    <cellStyle name="Normal_Capital - 3 year total" xfId="41"/>
    <cellStyle name="Normal_Capital Baseline - 97 _ 98 Actuals" xfId="42"/>
    <cellStyle name="Normal_Central Plant Analysis" xfId="43"/>
    <cellStyle name="Normal_Central Plant Baseline - 1998 Actuals" xfId="44"/>
    <cellStyle name="Normal_Expense Data" xfId="45"/>
    <cellStyle name="Normal_Non-CAM Baseline - 1998 Actuals" xfId="46"/>
    <cellStyle name="Normal_Redistribution Data 1999" xfId="47"/>
    <cellStyle name="Normal_Resistribution Baseline - 1998 Actuals" xfId="48"/>
    <cellStyle name="Normal_Sheet1" xfId="49"/>
    <cellStyle name="Normal_Simon Revised  Baseline - kg revised" xfId="50"/>
    <cellStyle name="Normal_simon8_06" xfId="51"/>
    <cellStyle name="Normal_Site Data" xfId="52"/>
    <cellStyle name="Normal_SWP_MOD.XLS" xfId="53"/>
    <cellStyle name="Normal_TFSP Analysis" xfId="54"/>
    <cellStyle name="Normal_The big 1998 query" xfId="55"/>
    <cellStyle name="Normal_Water and Sewer Analysis 1998" xfId="56"/>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EFEFE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worksheet" Target="worksheets/sheet17.xml"/><Relationship Id="rId20" Type="http://schemas.openxmlformats.org/officeDocument/2006/relationships/worksheet" Target="worksheets/sheet18.xml"/><Relationship Id="rId21" Type="http://schemas.openxmlformats.org/officeDocument/2006/relationships/worksheet" Target="worksheets/sheet19.xml"/><Relationship Id="rId22" Type="http://schemas.openxmlformats.org/officeDocument/2006/relationships/worksheet" Target="worksheets/sheet20.xml"/><Relationship Id="rId23" Type="http://schemas.openxmlformats.org/officeDocument/2006/relationships/worksheet" Target="worksheets/sheet21.xml"/><Relationship Id="rId24" Type="http://schemas.openxmlformats.org/officeDocument/2006/relationships/worksheet" Target="worksheets/sheet22.xml"/><Relationship Id="rId25" Type="http://schemas.openxmlformats.org/officeDocument/2006/relationships/worksheet" Target="worksheets/sheet23.xml"/><Relationship Id="rId26" Type="http://schemas.openxmlformats.org/officeDocument/2006/relationships/worksheet" Target="worksheets/sheet24.xml"/><Relationship Id="rId27" Type="http://schemas.openxmlformats.org/officeDocument/2006/relationships/worksheet" Target="worksheets/sheet25.xml"/><Relationship Id="rId28" Type="http://schemas.openxmlformats.org/officeDocument/2006/relationships/worksheet" Target="worksheets/sheet26.xml"/><Relationship Id="rId29" Type="http://schemas.openxmlformats.org/officeDocument/2006/relationships/worksheet" Target="worksheets/sheet27.xml"/><Relationship Id="rId30" Type="http://schemas.openxmlformats.org/officeDocument/2006/relationships/worksheet" Target="worksheets/sheet28.xml"/><Relationship Id="rId31" Type="http://schemas.openxmlformats.org/officeDocument/2006/relationships/worksheet" Target="worksheets/sheet29.xml"/><Relationship Id="rId32" Type="http://schemas.openxmlformats.org/officeDocument/2006/relationships/worksheet" Target="worksheets/sheet30.xml"/><Relationship Id="rId33" Type="http://schemas.openxmlformats.org/officeDocument/2006/relationships/worksheet" Target="worksheets/sheet31.xml"/><Relationship Id="rId34" Type="http://schemas.openxmlformats.org/officeDocument/2006/relationships/worksheet" Target="worksheets/sheet32.xml"/><Relationship Id="rId35" Type="http://schemas.openxmlformats.org/officeDocument/2006/relationships/worksheet" Target="worksheets/sheet33.xml"/><Relationship Id="rId36" Type="http://schemas.openxmlformats.org/officeDocument/2006/relationships/worksheet" Target="worksheets/sheet34.xml"/><Relationship Id="rId37" Type="http://schemas.openxmlformats.org/officeDocument/2006/relationships/externalLink" Target="externalLinks/externalLink1.xml"/><Relationship Id="rId38" Type="http://schemas.openxmlformats.org/officeDocument/2006/relationships/externalLink" Target="externalLinks/externalLink2.xml"/><Relationship Id="rId39" Type="http://schemas.openxmlformats.org/officeDocument/2006/relationships/externalLink" Target="externalLinks/externalLink3.xml"/><Relationship Id="rId40" Type="http://schemas.openxmlformats.org/officeDocument/2006/relationships/externalLink" Target="externalLinks/externalLink4.xml"/><Relationship Id="rId41" Type="http://schemas.openxmlformats.org/officeDocument/2006/relationships/sharedStrings" Target="sharedStrings.xml"/>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col"/>
        <c:grouping val="clustered"/>
        <c:varyColors val="0"/>
        <c:ser>
          <c:idx val="0"/>
          <c:order val="0"/>
          <c:tx>
            <c:strRef>
              <c:f>"Kevin's Cash Flows"</c:f>
              <c:strCache>
                <c:ptCount val="1"/>
                <c:pt idx="0">
                  <c:v>Kevin's Cash Flows</c:v>
                </c:pt>
              </c:strCache>
            </c:strRef>
          </c:tx>
          <c:spPr>
            <a:solidFill>
              <a:srgbClr val="9999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multiLvlStrRef>
              <c:f>'wholesale services'!$D$108:$M$108</c:f>
              <c:multiLvlStrCache>
                <c:ptCount val="1"/>
                <c:lvl>
                  <c:pt idx="0">
                    <c:v>10</c:v>
                  </c:pt>
                </c:lvl>
                <c:lvl>
                  <c:pt idx="0">
                    <c:v>9</c:v>
                  </c:pt>
                </c:lvl>
                <c:lvl>
                  <c:pt idx="0">
                    <c:v>8</c:v>
                  </c:pt>
                </c:lvl>
                <c:lvl>
                  <c:pt idx="0">
                    <c:v>7</c:v>
                  </c:pt>
                </c:lvl>
                <c:lvl>
                  <c:pt idx="0">
                    <c:v>6</c:v>
                  </c:pt>
                </c:lvl>
                <c:lvl>
                  <c:pt idx="0">
                    <c:v>5</c:v>
                  </c:pt>
                </c:lvl>
                <c:lvl>
                  <c:pt idx="0">
                    <c:v>4</c:v>
                  </c:pt>
                </c:lvl>
                <c:lvl>
                  <c:pt idx="0">
                    <c:v>3</c:v>
                  </c:pt>
                </c:lvl>
                <c:lvl>
                  <c:pt idx="0">
                    <c:v>2</c:v>
                  </c:pt>
                </c:lvl>
                <c:lvl>
                  <c:pt idx="0">
                    <c:v>1</c:v>
                  </c:pt>
                </c:lvl>
              </c:multiLvlStrCache>
            </c:multiLvlStrRef>
          </c:cat>
          <c:val>
            <c:numRef>
              <c:f>'wholesale services'!$D$129:$M$129</c:f>
              <c:numCache>
                <c:formatCode>_(\$* #,##0_);_(\$* \(#,##0\);_(\$* \-??_);_(@_)</c:formatCode>
                <c:ptCount val="10"/>
                <c:pt idx="0">
                  <c:v>-30159911.9790662</c:v>
                </c:pt>
                <c:pt idx="1">
                  <c:v>604425.307329811</c:v>
                </c:pt>
                <c:pt idx="2">
                  <c:v>7014652.3875531</c:v>
                </c:pt>
                <c:pt idx="3">
                  <c:v>7340312.62834786</c:v>
                </c:pt>
                <c:pt idx="4">
                  <c:v>7670185.87826215</c:v>
                </c:pt>
                <c:pt idx="5">
                  <c:v>8004686.64929877</c:v>
                </c:pt>
                <c:pt idx="6">
                  <c:v>8344227.62672944</c:v>
                </c:pt>
                <c:pt idx="7">
                  <c:v>8687133.87034115</c:v>
                </c:pt>
                <c:pt idx="8">
                  <c:v>9035825.12576135</c:v>
                </c:pt>
                <c:pt idx="9">
                  <c:v>9387469.92497934</c:v>
                </c:pt>
              </c:numCache>
            </c:numRef>
          </c:val>
        </c:ser>
        <c:ser>
          <c:idx val="1"/>
          <c:order val="1"/>
          <c:tx>
            <c:strRef>
              <c:f>"Adjusted Cash Flows"</c:f>
              <c:strCache>
                <c:ptCount val="1"/>
                <c:pt idx="0">
                  <c:v>Adjusted Cash Flows</c:v>
                </c:pt>
              </c:strCache>
            </c:strRef>
          </c:tx>
          <c:spPr>
            <a:solidFill>
              <a:srgbClr val="993366"/>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multiLvlStrRef>
              <c:f>'wholesale services'!$D$108:$M$108</c:f>
              <c:multiLvlStrCache>
                <c:ptCount val="1"/>
                <c:lvl>
                  <c:pt idx="0">
                    <c:v>10</c:v>
                  </c:pt>
                </c:lvl>
                <c:lvl>
                  <c:pt idx="0">
                    <c:v>9</c:v>
                  </c:pt>
                </c:lvl>
                <c:lvl>
                  <c:pt idx="0">
                    <c:v>8</c:v>
                  </c:pt>
                </c:lvl>
                <c:lvl>
                  <c:pt idx="0">
                    <c:v>7</c:v>
                  </c:pt>
                </c:lvl>
                <c:lvl>
                  <c:pt idx="0">
                    <c:v>6</c:v>
                  </c:pt>
                </c:lvl>
                <c:lvl>
                  <c:pt idx="0">
                    <c:v>5</c:v>
                  </c:pt>
                </c:lvl>
                <c:lvl>
                  <c:pt idx="0">
                    <c:v>4</c:v>
                  </c:pt>
                </c:lvl>
                <c:lvl>
                  <c:pt idx="0">
                    <c:v>3</c:v>
                  </c:pt>
                </c:lvl>
                <c:lvl>
                  <c:pt idx="0">
                    <c:v>2</c:v>
                  </c:pt>
                </c:lvl>
                <c:lvl>
                  <c:pt idx="0">
                    <c:v>1</c:v>
                  </c:pt>
                </c:lvl>
              </c:multiLvlStrCache>
            </c:multiLvlStrRef>
          </c:cat>
          <c:val>
            <c:numRef>
              <c:f>'wholesale services'!$D$140:$M$140</c:f>
              <c:numCache>
                <c:formatCode>_(\$* #,##0_);_(\$* \(#,##0\);_(\$* \-??_);_(@_)</c:formatCode>
                <c:ptCount val="10"/>
                <c:pt idx="0">
                  <c:v>-1720871.97906625</c:v>
                </c:pt>
                <c:pt idx="1">
                  <c:v>595936.037237311</c:v>
                </c:pt>
                <c:pt idx="2">
                  <c:v>1316657.2634421</c:v>
                </c:pt>
                <c:pt idx="3">
                  <c:v>1642317.50423686</c:v>
                </c:pt>
                <c:pt idx="4">
                  <c:v>1972190.75415115</c:v>
                </c:pt>
                <c:pt idx="5">
                  <c:v>2306691.52518777</c:v>
                </c:pt>
                <c:pt idx="6">
                  <c:v>2646232.50261844</c:v>
                </c:pt>
                <c:pt idx="7">
                  <c:v>2989138.74623014</c:v>
                </c:pt>
                <c:pt idx="8">
                  <c:v>3337830.00165035</c:v>
                </c:pt>
                <c:pt idx="9">
                  <c:v>3689474.80086834</c:v>
                </c:pt>
              </c:numCache>
            </c:numRef>
          </c:val>
        </c:ser>
        <c:gapWidth val="150"/>
        <c:overlap val="0"/>
        <c:axId val="91924978"/>
        <c:axId val="14483770"/>
      </c:barChart>
      <c:catAx>
        <c:axId val="91924978"/>
        <c:scaling>
          <c:orientation val="minMax"/>
        </c:scaling>
        <c:delete val="0"/>
        <c:axPos val="b"/>
        <c:numFmt formatCode="0" sourceLinked="1"/>
        <c:majorTickMark val="out"/>
        <c:minorTickMark val="none"/>
        <c:tickLblPos val="nextTo"/>
        <c:spPr>
          <a:ln w="0">
            <a:solidFill>
              <a:srgbClr val="000000"/>
            </a:solidFill>
          </a:ln>
        </c:spPr>
        <c:txPr>
          <a:bodyPr/>
          <a:lstStyle/>
          <a:p>
            <a:pPr>
              <a:defRPr b="0" sz="1000" strike="noStrike" u="none">
                <a:solidFill>
                  <a:srgbClr val="000000"/>
                </a:solidFill>
                <a:uFillTx/>
                <a:latin typeface="Arial"/>
              </a:defRPr>
            </a:pPr>
          </a:p>
        </c:txPr>
        <c:crossAx val="14483770"/>
        <c:crossesAt val="0"/>
        <c:auto val="1"/>
        <c:lblAlgn val="ctr"/>
        <c:lblOffset val="100"/>
        <c:noMultiLvlLbl val="0"/>
      </c:catAx>
      <c:valAx>
        <c:axId val="14483770"/>
        <c:scaling>
          <c:orientation val="minMax"/>
        </c:scaling>
        <c:delete val="0"/>
        <c:axPos val="l"/>
        <c:majorGridlines>
          <c:spPr>
            <a:ln w="0">
              <a:solidFill>
                <a:srgbClr val="000000"/>
              </a:solidFill>
            </a:ln>
          </c:spPr>
        </c:majorGridlines>
        <c:numFmt formatCode="_(\$* #,##0_);_(\$* \(#,##0\);_(\$* \-??_);_(@_)" sourceLinked="1"/>
        <c:majorTickMark val="out"/>
        <c:minorTickMark val="none"/>
        <c:tickLblPos val="nextTo"/>
        <c:spPr>
          <a:ln w="0">
            <a:solidFill>
              <a:srgbClr val="000000"/>
            </a:solidFill>
          </a:ln>
        </c:spPr>
        <c:txPr>
          <a:bodyPr/>
          <a:lstStyle/>
          <a:p>
            <a:pPr>
              <a:defRPr b="0" sz="1000" strike="noStrike" u="none">
                <a:solidFill>
                  <a:srgbClr val="000000"/>
                </a:solidFill>
                <a:uFillTx/>
                <a:latin typeface="Arial"/>
              </a:defRPr>
            </a:pPr>
          </a:p>
        </c:txPr>
        <c:crossAx val="91924978"/>
        <c:crossesAt val="1"/>
        <c:crossBetween val="midCat"/>
      </c:valAx>
      <c:spPr>
        <a:solidFill>
          <a:srgbClr val="c0c0c0"/>
        </a:solidFill>
        <a:ln w="12600">
          <a:solidFill>
            <a:srgbClr val="808080"/>
          </a:solidFill>
          <a:round/>
        </a:ln>
      </c:spPr>
    </c:plotArea>
    <c:legend>
      <c:legendPos val="b"/>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solidFill>
      <a:srgbClr val="ffffff"/>
    </a:solidFill>
    <a:ln w="0">
      <a:solidFill>
        <a:srgbClr val="000000"/>
      </a:solidFill>
    </a:ln>
  </c:spPr>
</c:chartSpace>
</file>

<file path=xl/charts/chart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150" strike="noStrike" u="none">
                <a:solidFill>
                  <a:srgbClr val="000000"/>
                </a:solidFill>
                <a:uFillTx/>
                <a:latin typeface="Arial"/>
              </a:rPr>
              <a:t>SPG Value by Segment (NPV)</a:t>
            </a:r>
          </a:p>
        </c:rich>
      </c:tx>
      <c:overlay val="0"/>
      <c:spPr>
        <a:noFill/>
        <a:ln w="0">
          <a:noFill/>
        </a:ln>
      </c:spPr>
    </c:title>
    <c:autoTitleDeleted val="0"/>
    <c:view3D>
      <c:rotX val="15"/>
      <c:rotY val="0"/>
      <c:rAngAx val="0"/>
      <c:perspective val="60"/>
    </c:view3D>
    <c:floor>
      <c:spPr>
        <a:solidFill>
          <a:srgbClr val="d9d9d9"/>
        </a:solidFill>
        <a:ln w="0">
          <a:noFill/>
        </a:ln>
      </c:spPr>
    </c:floor>
    <c:sideWall>
      <c:spPr>
        <a:noFill/>
        <a:ln w="12600">
          <a:noFill/>
        </a:ln>
      </c:spPr>
    </c:sideWall>
    <c:backWall>
      <c:spPr>
        <a:noFill/>
        <a:ln w="12600">
          <a:noFill/>
        </a:ln>
      </c:spPr>
    </c:backWall>
    <c:plotArea>
      <c:pie3DChart>
        <c:varyColors val="1"/>
        <c:ser>
          <c:idx val="0"/>
          <c:order val="0"/>
          <c:spPr>
            <a:solidFill>
              <a:srgbClr val="9999ff"/>
            </a:solidFill>
            <a:ln w="0">
              <a:solidFill>
                <a:srgbClr val="000000"/>
              </a:solidFill>
            </a:ln>
          </c:spPr>
          <c:explosion val="0"/>
          <c:dPt>
            <c:idx val="0"/>
            <c:spPr>
              <a:solidFill>
                <a:srgbClr val="9999ff"/>
              </a:solidFill>
              <a:ln w="0">
                <a:solidFill>
                  <a:srgbClr val="000000"/>
                </a:solidFill>
              </a:ln>
            </c:spPr>
          </c:dPt>
          <c:dPt>
            <c:idx val="1"/>
            <c:spPr>
              <a:solidFill>
                <a:srgbClr val="993366"/>
              </a:solidFill>
              <a:ln w="0">
                <a:solidFill>
                  <a:srgbClr val="000000"/>
                </a:solidFill>
              </a:ln>
            </c:spPr>
          </c:dPt>
          <c:dPt>
            <c:idx val="2"/>
            <c:spPr>
              <a:solidFill>
                <a:srgbClr val="ffffcc"/>
              </a:solidFill>
              <a:ln w="0">
                <a:solidFill>
                  <a:srgbClr val="000000"/>
                </a:solidFill>
              </a:ln>
            </c:spPr>
          </c:dPt>
          <c:dLbls>
            <c:numFmt formatCode="0%" sourceLinked="1"/>
            <c:dLbl>
              <c:idx val="0"/>
              <c:numFmt formatCode="0%" sourceLinked="1"/>
              <c:txPr>
                <a:bodyPr wrap="none"/>
                <a:lstStyle/>
                <a:p>
                  <a:pPr>
                    <a:defRPr b="0" sz="950" strike="noStrike" u="none">
                      <a:solidFill>
                        <a:srgbClr val="000000"/>
                      </a:solidFill>
                      <a:uFillTx/>
                      <a:latin typeface="Arial"/>
                    </a:defRPr>
                  </a:pPr>
                </a:p>
              </c:txPr>
              <c:dLblPos val="bestFit"/>
              <c:showLegendKey val="0"/>
              <c:showVal val="0"/>
              <c:showCatName val="0"/>
              <c:showSerName val="0"/>
              <c:showPercent val="1"/>
              <c:separator>
</c:separator>
            </c:dLbl>
            <c:dLbl>
              <c:idx val="1"/>
              <c:numFmt formatCode="0%" sourceLinked="1"/>
              <c:txPr>
                <a:bodyPr wrap="none"/>
                <a:lstStyle/>
                <a:p>
                  <a:pPr>
                    <a:defRPr b="0" sz="950" strike="noStrike" u="none">
                      <a:solidFill>
                        <a:srgbClr val="000000"/>
                      </a:solidFill>
                      <a:uFillTx/>
                      <a:latin typeface="Arial"/>
                    </a:defRPr>
                  </a:pPr>
                </a:p>
              </c:txPr>
              <c:dLblPos val="bestFit"/>
              <c:showLegendKey val="0"/>
              <c:showVal val="0"/>
              <c:showCatName val="0"/>
              <c:showSerName val="0"/>
              <c:showPercent val="1"/>
              <c:separator>
</c:separator>
            </c:dLbl>
            <c:dLbl>
              <c:idx val="2"/>
              <c:numFmt formatCode="0%" sourceLinked="1"/>
              <c:txPr>
                <a:bodyPr wrap="none"/>
                <a:lstStyle/>
                <a:p>
                  <a:pPr>
                    <a:defRPr b="0" sz="950" strike="noStrike" u="none">
                      <a:solidFill>
                        <a:srgbClr val="000000"/>
                      </a:solidFill>
                      <a:uFillTx/>
                      <a:latin typeface="Arial"/>
                    </a:defRPr>
                  </a:pPr>
                </a:p>
              </c:txPr>
              <c:dLblPos val="bestFit"/>
              <c:showLegendKey val="0"/>
              <c:showVal val="0"/>
              <c:showCatName val="0"/>
              <c:showSerName val="0"/>
              <c:showPercent val="1"/>
              <c:separator>
</c:separator>
            </c:dLbl>
            <c:txPr>
              <a:bodyPr wrap="none"/>
              <a:lstStyle/>
              <a:p>
                <a:pPr>
                  <a:defRPr b="0" sz="950" strike="noStrike" u="none">
                    <a:solidFill>
                      <a:srgbClr val="000000"/>
                    </a:solidFill>
                    <a:uFillTx/>
                    <a:latin typeface="Arial"/>
                  </a:defRPr>
                </a:pPr>
              </a:p>
            </c:txPr>
            <c:dLblPos val="bestFit"/>
            <c:showLegendKey val="0"/>
            <c:showVal val="0"/>
            <c:showCatName val="0"/>
            <c:showSerName val="0"/>
            <c:showPercent val="1"/>
            <c:separator>
</c:separator>
            <c:showLeaderLines val="1"/>
            <c:leaderLines>
              <c:spPr>
                <a:ln w="0">
                  <a:solidFill>
                    <a:srgbClr val="000000"/>
                  </a:solidFill>
                </a:ln>
              </c:spPr>
            </c:leaderLines>
          </c:dLbls>
          <c:cat>
            <c:strRef>
              <c:f>charts!$A$4:$A$6</c:f>
              <c:strCache>
                <c:ptCount val="3"/>
                <c:pt idx="0">
                  <c:v>Wholesale Services</c:v>
                </c:pt>
                <c:pt idx="1">
                  <c:v>Redistribution</c:v>
                </c:pt>
                <c:pt idx="2">
                  <c:v>Upfront Payment</c:v>
                </c:pt>
              </c:strCache>
            </c:strRef>
          </c:cat>
          <c:val>
            <c:numRef>
              <c:f>charts!$B$4:$B$6</c:f>
              <c:numCache>
                <c:formatCode>_(\$* #,##0_);_(\$* \(#,##0\);_(\$* \-??_);_(@_)</c:formatCode>
                <c:ptCount val="3"/>
                <c:pt idx="0">
                  <c:v>43121531.4165856</c:v>
                </c:pt>
                <c:pt idx="1">
                  <c:v>24894539.7549624</c:v>
                </c:pt>
                <c:pt idx="2">
                  <c:v>3773584.90566038</c:v>
                </c:pt>
              </c:numCache>
            </c:numRef>
          </c:val>
        </c:ser>
      </c:pie3DChart>
    </c:plotArea>
    <c:legend>
      <c:legendPos val="r"/>
      <c:overlay val="0"/>
      <c:spPr>
        <a:solidFill>
          <a:srgbClr val="ffffff"/>
        </a:solidFill>
        <a:ln w="0">
          <a:solidFill>
            <a:srgbClr val="000000"/>
          </a:solidFill>
        </a:ln>
      </c:spPr>
      <c:txPr>
        <a:bodyPr/>
        <a:lstStyle/>
        <a:p>
          <a:pPr>
            <a:defRPr b="0" sz="950" strike="noStrike" u="none">
              <a:solidFill>
                <a:srgbClr val="000000"/>
              </a:solidFill>
              <a:uFillTx/>
              <a:latin typeface="Arial"/>
            </a:defRPr>
          </a:pPr>
        </a:p>
      </c:txPr>
    </c:legend>
    <c:plotVisOnly val="1"/>
    <c:dispBlanksAs val="gap"/>
  </c:chart>
  <c:spPr>
    <a:solidFill>
      <a:srgbClr val="ffffff"/>
    </a:solidFill>
    <a:ln w="0">
      <a:solidFill>
        <a:srgbClr val="000000"/>
      </a:solidFill>
    </a:ln>
  </c:spPr>
</c:chartSpace>
</file>

<file path=xl/charts/chart3.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EESO Value by Segment (NPV)</a:t>
            </a:r>
          </a:p>
        </c:rich>
      </c:tx>
      <c:overlay val="0"/>
      <c:spPr>
        <a:noFill/>
        <a:ln w="0">
          <a:noFill/>
        </a:ln>
      </c:spPr>
    </c:title>
    <c:autoTitleDeleted val="0"/>
    <c:view3D>
      <c:rotX val="15"/>
      <c:rotY val="0"/>
      <c:rAngAx val="0"/>
      <c:perspective val="60"/>
    </c:view3D>
    <c:floor>
      <c:spPr>
        <a:solidFill>
          <a:srgbClr val="d9d9d9"/>
        </a:solidFill>
        <a:ln w="0">
          <a:noFill/>
        </a:ln>
      </c:spPr>
    </c:floor>
    <c:sideWall>
      <c:spPr>
        <a:noFill/>
        <a:ln w="12600">
          <a:noFill/>
        </a:ln>
      </c:spPr>
    </c:sideWall>
    <c:backWall>
      <c:spPr>
        <a:noFill/>
        <a:ln w="12600">
          <a:noFill/>
        </a:ln>
      </c:spPr>
    </c:backWall>
    <c:plotArea>
      <c:pie3DChart>
        <c:varyColors val="1"/>
        <c:ser>
          <c:idx val="0"/>
          <c:order val="0"/>
          <c:spPr>
            <a:solidFill>
              <a:srgbClr val="9999ff"/>
            </a:solidFill>
            <a:ln w="0">
              <a:solidFill>
                <a:srgbClr val="000000"/>
              </a:solidFill>
            </a:ln>
          </c:spPr>
          <c:explosion val="0"/>
          <c:dPt>
            <c:idx val="0"/>
            <c:spPr>
              <a:solidFill>
                <a:srgbClr val="9999ff"/>
              </a:solidFill>
              <a:ln w="0">
                <a:solidFill>
                  <a:srgbClr val="000000"/>
                </a:solidFill>
              </a:ln>
            </c:spPr>
          </c:dPt>
          <c:dPt>
            <c:idx val="1"/>
            <c:spPr>
              <a:solidFill>
                <a:srgbClr val="993366"/>
              </a:solidFill>
              <a:ln w="0">
                <a:solidFill>
                  <a:srgbClr val="000000"/>
                </a:solidFill>
              </a:ln>
            </c:spPr>
          </c:dPt>
          <c:dPt>
            <c:idx val="2"/>
            <c:spPr>
              <a:solidFill>
                <a:srgbClr val="ffffcc"/>
              </a:solidFill>
              <a:ln w="0">
                <a:solidFill>
                  <a:srgbClr val="000000"/>
                </a:solidFill>
              </a:ln>
            </c:spPr>
          </c:dPt>
          <c:dLbls>
            <c:dLbl>
              <c:idx val="0"/>
              <c:txPr>
                <a:bodyPr wrap="none"/>
                <a:lstStyle/>
                <a:p>
                  <a:pPr>
                    <a:defRPr b="0" sz="1000" strike="noStrike" u="none">
                      <a:solidFill>
                        <a:srgbClr val="000000"/>
                      </a:solidFill>
                      <a:uFillTx/>
                      <a:latin typeface="Arial"/>
                    </a:defRPr>
                  </a:pPr>
                </a:p>
              </c:txPr>
              <c:dLblPos val="bestFit"/>
              <c:showLegendKey val="0"/>
              <c:showVal val="0"/>
              <c:showCatName val="0"/>
              <c:showSerName val="0"/>
              <c:showPercent val="1"/>
              <c:separator>
</c:separator>
            </c:dLbl>
            <c:dLbl>
              <c:idx val="1"/>
              <c:txPr>
                <a:bodyPr wrap="none"/>
                <a:lstStyle/>
                <a:p>
                  <a:pPr>
                    <a:defRPr b="0" sz="1000" strike="noStrike" u="none">
                      <a:solidFill>
                        <a:srgbClr val="000000"/>
                      </a:solidFill>
                      <a:uFillTx/>
                      <a:latin typeface="Arial"/>
                    </a:defRPr>
                  </a:pPr>
                </a:p>
              </c:txPr>
              <c:dLblPos val="bestFit"/>
              <c:showLegendKey val="0"/>
              <c:showVal val="0"/>
              <c:showCatName val="0"/>
              <c:showSerName val="0"/>
              <c:showPercent val="1"/>
              <c:separator>
</c:separator>
            </c:dLbl>
            <c:dLbl>
              <c:idx val="2"/>
              <c:txPr>
                <a:bodyPr wrap="none"/>
                <a:lstStyle/>
                <a:p>
                  <a:pPr>
                    <a:defRPr b="0" sz="1000" strike="noStrike" u="none">
                      <a:solidFill>
                        <a:srgbClr val="000000"/>
                      </a:solidFill>
                      <a:uFillTx/>
                      <a:latin typeface="Arial"/>
                    </a:defRPr>
                  </a:pPr>
                </a:p>
              </c:txPr>
              <c:dLblPos val="bestFit"/>
              <c:showLegendKey val="0"/>
              <c:showVal val="0"/>
              <c:showCatName val="0"/>
              <c:showSerName val="0"/>
              <c:showPercent val="1"/>
              <c:separator>
</c:separator>
            </c:dLbl>
            <c:txPr>
              <a:bodyPr wrap="none"/>
              <a:lstStyle/>
              <a:p>
                <a:pPr>
                  <a:defRPr b="0" sz="1000" strike="noStrike" u="none">
                    <a:solidFill>
                      <a:srgbClr val="000000"/>
                    </a:solidFill>
                    <a:uFillTx/>
                    <a:latin typeface="Arial"/>
                  </a:defRPr>
                </a:pPr>
              </a:p>
            </c:txPr>
            <c:dLblPos val="bestFit"/>
            <c:showLegendKey val="0"/>
            <c:showVal val="0"/>
            <c:showCatName val="0"/>
            <c:showSerName val="0"/>
            <c:showPercent val="1"/>
            <c:separator>
</c:separator>
            <c:showLeaderLines val="1"/>
            <c:leaderLines>
              <c:spPr>
                <a:ln w="0">
                  <a:solidFill>
                    <a:srgbClr val="000000"/>
                  </a:solidFill>
                </a:ln>
              </c:spPr>
            </c:leaderLines>
          </c:dLbls>
          <c:cat>
            <c:strRef>
              <c:f>charts!$A$20:$A$22</c:f>
              <c:strCache>
                <c:ptCount val="3"/>
                <c:pt idx="0">
                  <c:v>EESO</c:v>
                </c:pt>
                <c:pt idx="1">
                  <c:v>Wholesale Services</c:v>
                </c:pt>
                <c:pt idx="2">
                  <c:v>Redistribution</c:v>
                </c:pt>
              </c:strCache>
            </c:strRef>
          </c:cat>
          <c:val>
            <c:numRef>
              <c:f>charts!$B$20:$B$22</c:f>
              <c:numCache>
                <c:formatCode>_(\$* #,##0_);_(\$* \(#,##0\);_(\$* \-??_);_(@_)</c:formatCode>
                <c:ptCount val="3"/>
                <c:pt idx="1">
                  <c:v>5096302.96193024</c:v>
                </c:pt>
                <c:pt idx="2">
                  <c:v>10256443.0447698</c:v>
                </c:pt>
              </c:numCache>
            </c:numRef>
          </c:val>
        </c:ser>
      </c:pie3DChart>
    </c:plotArea>
    <c:legend>
      <c:legendPos val="r"/>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solidFill>
      <a:srgbClr val="ffffff"/>
    </a:solidFill>
    <a:ln w="0">
      <a:solidFill>
        <a:srgbClr val="000000"/>
      </a:solidFill>
    </a:ln>
  </c:spPr>
</c:chartSpace>
</file>

<file path=xl/charts/chart4.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SPG Value by Segment (NPV)</a:t>
            </a:r>
          </a:p>
        </c:rich>
      </c:tx>
      <c:overlay val="0"/>
      <c:spPr>
        <a:noFill/>
        <a:ln w="0">
          <a:noFill/>
        </a:ln>
      </c:spPr>
    </c:title>
    <c:autoTitleDeleted val="0"/>
    <c:view3D>
      <c:rotX val="15"/>
      <c:rotY val="0"/>
      <c:rAngAx val="0"/>
      <c:perspective val="60"/>
    </c:view3D>
    <c:floor>
      <c:spPr>
        <a:solidFill>
          <a:srgbClr val="d9d9d9"/>
        </a:solidFill>
        <a:ln w="0">
          <a:noFill/>
        </a:ln>
      </c:spPr>
    </c:floor>
    <c:sideWall>
      <c:spPr>
        <a:noFill/>
        <a:ln w="12600">
          <a:noFill/>
        </a:ln>
      </c:spPr>
    </c:sideWall>
    <c:backWall>
      <c:spPr>
        <a:noFill/>
        <a:ln w="12600">
          <a:noFill/>
        </a:ln>
      </c:spPr>
    </c:backWall>
    <c:plotArea>
      <c:pie3DChart>
        <c:varyColors val="1"/>
        <c:ser>
          <c:idx val="0"/>
          <c:order val="0"/>
          <c:spPr>
            <a:solidFill>
              <a:srgbClr val="9999ff"/>
            </a:solidFill>
            <a:ln w="0">
              <a:solidFill>
                <a:srgbClr val="000000"/>
              </a:solidFill>
            </a:ln>
          </c:spPr>
          <c:explosion val="0"/>
          <c:dPt>
            <c:idx val="0"/>
            <c:spPr>
              <a:solidFill>
                <a:srgbClr val="9999ff"/>
              </a:solidFill>
              <a:ln w="0">
                <a:solidFill>
                  <a:srgbClr val="000000"/>
                </a:solidFill>
              </a:ln>
            </c:spPr>
          </c:dPt>
          <c:dPt>
            <c:idx val="1"/>
            <c:spPr>
              <a:solidFill>
                <a:srgbClr val="993366"/>
              </a:solidFill>
              <a:ln w="0">
                <a:solidFill>
                  <a:srgbClr val="000000"/>
                </a:solidFill>
              </a:ln>
            </c:spPr>
          </c:dPt>
          <c:dPt>
            <c:idx val="2"/>
            <c:spPr>
              <a:solidFill>
                <a:srgbClr val="ffffcc"/>
              </a:solidFill>
              <a:ln w="0">
                <a:solidFill>
                  <a:srgbClr val="000000"/>
                </a:solidFill>
              </a:ln>
            </c:spPr>
          </c:dPt>
          <c:dPt>
            <c:idx val="3"/>
            <c:spPr>
              <a:solidFill>
                <a:srgbClr val="ccffff"/>
              </a:solidFill>
              <a:ln w="0">
                <a:solidFill>
                  <a:srgbClr val="000000"/>
                </a:solidFill>
              </a:ln>
            </c:spPr>
          </c:dPt>
          <c:dLbls>
            <c:numFmt formatCode="0%" sourceLinked="1"/>
            <c:dLbl>
              <c:idx val="0"/>
              <c:numFmt formatCode="0%" sourceLinked="1"/>
              <c:txPr>
                <a:bodyPr wrap="none"/>
                <a:lstStyle/>
                <a:p>
                  <a:pPr>
                    <a:defRPr b="0" sz="1025" strike="noStrike" u="none">
                      <a:solidFill>
                        <a:srgbClr val="000000"/>
                      </a:solidFill>
                      <a:uFillTx/>
                      <a:latin typeface="Arial"/>
                    </a:defRPr>
                  </a:pPr>
                </a:p>
              </c:txPr>
              <c:dLblPos val="bestFit"/>
              <c:showLegendKey val="0"/>
              <c:showVal val="0"/>
              <c:showCatName val="0"/>
              <c:showSerName val="0"/>
              <c:showPercent val="1"/>
              <c:separator>
</c:separator>
            </c:dLbl>
            <c:dLbl>
              <c:idx val="1"/>
              <c:numFmt formatCode="0%" sourceLinked="1"/>
              <c:txPr>
                <a:bodyPr wrap="none"/>
                <a:lstStyle/>
                <a:p>
                  <a:pPr>
                    <a:defRPr b="0" sz="1025" strike="noStrike" u="none">
                      <a:solidFill>
                        <a:srgbClr val="000000"/>
                      </a:solidFill>
                      <a:uFillTx/>
                      <a:latin typeface="Arial"/>
                    </a:defRPr>
                  </a:pPr>
                </a:p>
              </c:txPr>
              <c:dLblPos val="bestFit"/>
              <c:showLegendKey val="0"/>
              <c:showVal val="0"/>
              <c:showCatName val="0"/>
              <c:showSerName val="0"/>
              <c:showPercent val="1"/>
              <c:separator>
</c:separator>
            </c:dLbl>
            <c:dLbl>
              <c:idx val="2"/>
              <c:numFmt formatCode="0%" sourceLinked="1"/>
              <c:txPr>
                <a:bodyPr wrap="none"/>
                <a:lstStyle/>
                <a:p>
                  <a:pPr>
                    <a:defRPr b="0" sz="1025" strike="noStrike" u="none">
                      <a:solidFill>
                        <a:srgbClr val="000000"/>
                      </a:solidFill>
                      <a:uFillTx/>
                      <a:latin typeface="Arial"/>
                    </a:defRPr>
                  </a:pPr>
                </a:p>
              </c:txPr>
              <c:dLblPos val="bestFit"/>
              <c:showLegendKey val="0"/>
              <c:showVal val="0"/>
              <c:showCatName val="0"/>
              <c:showSerName val="0"/>
              <c:showPercent val="1"/>
              <c:separator>
</c:separator>
            </c:dLbl>
            <c:dLbl>
              <c:idx val="3"/>
              <c:numFmt formatCode="0%" sourceLinked="1"/>
              <c:txPr>
                <a:bodyPr wrap="none"/>
                <a:lstStyle/>
                <a:p>
                  <a:pPr>
                    <a:defRPr b="0" sz="1025" strike="noStrike" u="none">
                      <a:solidFill>
                        <a:srgbClr val="000000"/>
                      </a:solidFill>
                      <a:uFillTx/>
                      <a:latin typeface="Arial"/>
                    </a:defRPr>
                  </a:pPr>
                </a:p>
              </c:txPr>
              <c:dLblPos val="bestFit"/>
              <c:showLegendKey val="0"/>
              <c:showVal val="0"/>
              <c:showCatName val="0"/>
              <c:showSerName val="0"/>
              <c:showPercent val="1"/>
              <c:separator>
</c:separator>
            </c:dLbl>
            <c:txPr>
              <a:bodyPr wrap="none"/>
              <a:lstStyle/>
              <a:p>
                <a:pPr>
                  <a:defRPr b="0" sz="1025" strike="noStrike" u="none">
                    <a:solidFill>
                      <a:srgbClr val="000000"/>
                    </a:solidFill>
                    <a:uFillTx/>
                    <a:latin typeface="Arial"/>
                  </a:defRPr>
                </a:pPr>
              </a:p>
            </c:txPr>
            <c:dLblPos val="bestFit"/>
            <c:showLegendKey val="0"/>
            <c:showVal val="0"/>
            <c:showCatName val="0"/>
            <c:showSerName val="0"/>
            <c:showPercent val="1"/>
            <c:separator>
</c:separator>
            <c:showLeaderLines val="1"/>
            <c:leaderLines>
              <c:spPr>
                <a:ln w="0">
                  <a:solidFill>
                    <a:srgbClr val="000000"/>
                  </a:solidFill>
                </a:ln>
              </c:spPr>
            </c:leaderLines>
          </c:dLbls>
          <c:cat>
            <c:strRef>
              <c:f>[2]charts!$A$4:$A$7</c:f>
              <c:strCache>
                <c:ptCount val="4"/>
                <c:pt idx="0">
                  <c:v>Wholesale Services</c:v>
                </c:pt>
                <c:pt idx="1">
                  <c:v>Redistribution</c:v>
                </c:pt>
                <c:pt idx="2">
                  <c:v>Upfront Payment</c:v>
                </c:pt>
                <c:pt idx="3">
                  <c:v>FM Alliance</c:v>
                </c:pt>
              </c:strCache>
            </c:strRef>
          </c:cat>
          <c:val>
            <c:numRef>
              <c:f>[2]charts!$B$4:$B$7</c:f>
              <c:numCache>
                <c:formatCode>General</c:formatCode>
                <c:ptCount val="4"/>
                <c:pt idx="0">
                  <c:v>39172451.0857972</c:v>
                </c:pt>
                <c:pt idx="1">
                  <c:v>4375724.99791904</c:v>
                </c:pt>
                <c:pt idx="2">
                  <c:v>3703703.7037037</c:v>
                </c:pt>
                <c:pt idx="3">
                  <c:v>26192705.0060783</c:v>
                </c:pt>
              </c:numCache>
            </c:numRef>
          </c:val>
        </c:ser>
      </c:pie3DChart>
    </c:plotArea>
    <c:legend>
      <c:legendPos val="r"/>
      <c:overlay val="0"/>
      <c:spPr>
        <a:solidFill>
          <a:srgbClr val="ffffff"/>
        </a:solidFill>
        <a:ln w="0">
          <a:solidFill>
            <a:srgbClr val="000000"/>
          </a:solidFill>
        </a:ln>
      </c:spPr>
      <c:txPr>
        <a:bodyPr/>
        <a:lstStyle/>
        <a:p>
          <a:pPr>
            <a:defRPr b="0" sz="1025" strike="noStrike" u="none">
              <a:solidFill>
                <a:srgbClr val="000000"/>
              </a:solidFill>
              <a:uFillTx/>
              <a:latin typeface="Arial"/>
            </a:defRPr>
          </a:pPr>
        </a:p>
      </c:txPr>
    </c:legend>
    <c:plotVisOnly val="1"/>
    <c:dispBlanksAs val="gap"/>
  </c:chart>
  <c:spPr>
    <a:solidFill>
      <a:srgbClr val="ffffff"/>
    </a:solidFill>
    <a:ln w="0">
      <a:solidFill>
        <a:srgbClr val="000000"/>
      </a:solidFill>
    </a:ln>
  </c:spPr>
</c:chartSpace>
</file>

<file path=xl/charts/chart5.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EESO Value by Segment (NPV)</a:t>
            </a:r>
          </a:p>
        </c:rich>
      </c:tx>
      <c:overlay val="0"/>
      <c:spPr>
        <a:noFill/>
        <a:ln w="0">
          <a:noFill/>
        </a:ln>
      </c:spPr>
    </c:title>
    <c:autoTitleDeleted val="0"/>
    <c:view3D>
      <c:rotX val="15"/>
      <c:rotY val="0"/>
      <c:rAngAx val="0"/>
      <c:perspective val="60"/>
    </c:view3D>
    <c:floor>
      <c:spPr>
        <a:solidFill>
          <a:srgbClr val="d9d9d9"/>
        </a:solidFill>
        <a:ln w="0">
          <a:noFill/>
        </a:ln>
      </c:spPr>
    </c:floor>
    <c:sideWall>
      <c:spPr>
        <a:noFill/>
        <a:ln w="12600">
          <a:noFill/>
        </a:ln>
      </c:spPr>
    </c:sideWall>
    <c:backWall>
      <c:spPr>
        <a:noFill/>
        <a:ln w="12600">
          <a:noFill/>
        </a:ln>
      </c:spPr>
    </c:backWall>
    <c:plotArea>
      <c:pie3DChart>
        <c:varyColors val="1"/>
        <c:ser>
          <c:idx val="0"/>
          <c:order val="0"/>
          <c:spPr>
            <a:solidFill>
              <a:srgbClr val="9999ff"/>
            </a:solidFill>
            <a:ln w="0">
              <a:solidFill>
                <a:srgbClr val="000000"/>
              </a:solidFill>
            </a:ln>
          </c:spPr>
          <c:explosion val="0"/>
          <c:dPt>
            <c:idx val="0"/>
            <c:spPr>
              <a:solidFill>
                <a:srgbClr val="9999ff"/>
              </a:solidFill>
              <a:ln w="0">
                <a:solidFill>
                  <a:srgbClr val="000000"/>
                </a:solidFill>
              </a:ln>
            </c:spPr>
          </c:dPt>
          <c:dPt>
            <c:idx val="1"/>
            <c:spPr>
              <a:solidFill>
                <a:srgbClr val="993366"/>
              </a:solidFill>
              <a:ln w="0">
                <a:solidFill>
                  <a:srgbClr val="000000"/>
                </a:solidFill>
              </a:ln>
            </c:spPr>
          </c:dPt>
          <c:dPt>
            <c:idx val="2"/>
            <c:spPr>
              <a:solidFill>
                <a:srgbClr val="ffffcc"/>
              </a:solidFill>
              <a:ln w="0">
                <a:solidFill>
                  <a:srgbClr val="000000"/>
                </a:solidFill>
              </a:ln>
            </c:spPr>
          </c:dPt>
          <c:dLbls>
            <c:dLbl>
              <c:idx val="0"/>
              <c:txPr>
                <a:bodyPr wrap="none"/>
                <a:lstStyle/>
                <a:p>
                  <a:pPr>
                    <a:defRPr b="0" sz="1000" strike="noStrike" u="none">
                      <a:solidFill>
                        <a:srgbClr val="000000"/>
                      </a:solidFill>
                      <a:uFillTx/>
                      <a:latin typeface="Arial"/>
                    </a:defRPr>
                  </a:pPr>
                </a:p>
              </c:txPr>
              <c:dLblPos val="bestFit"/>
              <c:showLegendKey val="0"/>
              <c:showVal val="0"/>
              <c:showCatName val="0"/>
              <c:showSerName val="0"/>
              <c:showPercent val="1"/>
              <c:separator>
</c:separator>
            </c:dLbl>
            <c:dLbl>
              <c:idx val="1"/>
              <c:txPr>
                <a:bodyPr wrap="none"/>
                <a:lstStyle/>
                <a:p>
                  <a:pPr>
                    <a:defRPr b="0" sz="1000" strike="noStrike" u="none">
                      <a:solidFill>
                        <a:srgbClr val="000000"/>
                      </a:solidFill>
                      <a:uFillTx/>
                      <a:latin typeface="Arial"/>
                    </a:defRPr>
                  </a:pPr>
                </a:p>
              </c:txPr>
              <c:dLblPos val="bestFit"/>
              <c:showLegendKey val="0"/>
              <c:showVal val="0"/>
              <c:showCatName val="0"/>
              <c:showSerName val="0"/>
              <c:showPercent val="1"/>
              <c:separator>
</c:separator>
            </c:dLbl>
            <c:dLbl>
              <c:idx val="2"/>
              <c:txPr>
                <a:bodyPr wrap="none"/>
                <a:lstStyle/>
                <a:p>
                  <a:pPr>
                    <a:defRPr b="0" sz="1000" strike="noStrike" u="none">
                      <a:solidFill>
                        <a:srgbClr val="000000"/>
                      </a:solidFill>
                      <a:uFillTx/>
                      <a:latin typeface="Arial"/>
                    </a:defRPr>
                  </a:pPr>
                </a:p>
              </c:txPr>
              <c:dLblPos val="bestFit"/>
              <c:showLegendKey val="0"/>
              <c:showVal val="0"/>
              <c:showCatName val="0"/>
              <c:showSerName val="0"/>
              <c:showPercent val="1"/>
              <c:separator>
</c:separator>
            </c:dLbl>
            <c:txPr>
              <a:bodyPr wrap="none"/>
              <a:lstStyle/>
              <a:p>
                <a:pPr>
                  <a:defRPr b="0" sz="1000" strike="noStrike" u="none">
                    <a:solidFill>
                      <a:srgbClr val="000000"/>
                    </a:solidFill>
                    <a:uFillTx/>
                    <a:latin typeface="Arial"/>
                  </a:defRPr>
                </a:pPr>
              </a:p>
            </c:txPr>
            <c:dLblPos val="bestFit"/>
            <c:showLegendKey val="0"/>
            <c:showVal val="0"/>
            <c:showCatName val="0"/>
            <c:showSerName val="0"/>
            <c:showPercent val="1"/>
            <c:separator>
</c:separator>
            <c:showLeaderLines val="1"/>
            <c:leaderLines>
              <c:spPr>
                <a:ln w="0">
                  <a:solidFill>
                    <a:srgbClr val="000000"/>
                  </a:solidFill>
                </a:ln>
              </c:spPr>
            </c:leaderLines>
          </c:dLbls>
          <c:cat>
            <c:strRef>
              <c:f>[2]charts!$A$21:$A$23</c:f>
              <c:strCache>
                <c:ptCount val="3"/>
                <c:pt idx="0">
                  <c:v>Wholesale Services</c:v>
                </c:pt>
                <c:pt idx="1">
                  <c:v>Redistribution</c:v>
                </c:pt>
                <c:pt idx="2">
                  <c:v>FM Alliance</c:v>
                </c:pt>
              </c:strCache>
            </c:strRef>
          </c:cat>
          <c:val>
            <c:numRef>
              <c:f>[2]charts!$B$21:$B$23</c:f>
              <c:numCache>
                <c:formatCode>General</c:formatCode>
                <c:ptCount val="3"/>
                <c:pt idx="0">
                  <c:v>10209122.2291904</c:v>
                </c:pt>
                <c:pt idx="1">
                  <c:v>14762436.7960693</c:v>
                </c:pt>
                <c:pt idx="2">
                  <c:v>1534837.29751196</c:v>
                </c:pt>
              </c:numCache>
            </c:numRef>
          </c:val>
        </c:ser>
      </c:pie3DChart>
    </c:plotArea>
    <c:legend>
      <c:legendPos val="r"/>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solidFill>
      <a:srgbClr val="ffffff"/>
    </a:solidFill>
    <a:ln w="0">
      <a:solidFill>
        <a:srgbClr val="000000"/>
      </a:solidFill>
    </a:ln>
  </c:spPr>
</c:chartSpace>
</file>

<file path=xl/charts/chart6.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ineChart>
        <c:grouping val="standard"/>
        <c:varyColors val="0"/>
        <c:ser>
          <c:idx val="0"/>
          <c:order val="0"/>
          <c:tx>
            <c:strRef>
              <c:f>[2]charts!$A$45</c:f>
              <c:strCache>
                <c:ptCount val="1"/>
                <c:pt idx="0">
                  <c:v>Forecasts Under Outsource</c:v>
                </c:pt>
              </c:strCache>
            </c:strRef>
          </c:tx>
          <c:spPr>
            <a:solidFill>
              <a:srgbClr val="000080"/>
            </a:solidFill>
            <a:ln w="12600">
              <a:solidFill>
                <a:srgbClr val="000080"/>
              </a:solidFill>
              <a:round/>
            </a:ln>
          </c:spPr>
          <c:marker>
            <c:symbol val="none"/>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strRef>
              <c:f>[2]charts!$B$44:$K$44</c:f>
              <c:strCache>
                <c:ptCount val="10"/>
                <c:pt idx="0">
                  <c:v>1</c:v>
                </c:pt>
                <c:pt idx="1">
                  <c:v>2</c:v>
                </c:pt>
                <c:pt idx="2">
                  <c:v>3</c:v>
                </c:pt>
                <c:pt idx="3">
                  <c:v>4</c:v>
                </c:pt>
                <c:pt idx="4">
                  <c:v>5</c:v>
                </c:pt>
                <c:pt idx="5">
                  <c:v>6</c:v>
                </c:pt>
                <c:pt idx="6">
                  <c:v>7</c:v>
                </c:pt>
                <c:pt idx="7">
                  <c:v>8</c:v>
                </c:pt>
                <c:pt idx="8">
                  <c:v>9</c:v>
                </c:pt>
                <c:pt idx="9">
                  <c:v>10</c:v>
                </c:pt>
              </c:strCache>
            </c:strRef>
          </c:cat>
          <c:val>
            <c:numRef>
              <c:f>[2]charts!$B$45:$K$45</c:f>
              <c:numCache>
                <c:formatCode>General</c:formatCode>
                <c:ptCount val="10"/>
                <c:pt idx="0">
                  <c:v>12251522.5410309</c:v>
                </c:pt>
                <c:pt idx="1">
                  <c:v>13617292.006098</c:v>
                </c:pt>
                <c:pt idx="2">
                  <c:v>15240147.4881188</c:v>
                </c:pt>
                <c:pt idx="3">
                  <c:v>15818591.0262648</c:v>
                </c:pt>
                <c:pt idx="4">
                  <c:v>15818591.0262648</c:v>
                </c:pt>
                <c:pt idx="5">
                  <c:v>15818591.0262648</c:v>
                </c:pt>
                <c:pt idx="6">
                  <c:v>15818591.0262648</c:v>
                </c:pt>
                <c:pt idx="7">
                  <c:v>15818591.0262648</c:v>
                </c:pt>
                <c:pt idx="8">
                  <c:v>15818591.0262648</c:v>
                </c:pt>
                <c:pt idx="9">
                  <c:v>15818591.0262648</c:v>
                </c:pt>
              </c:numCache>
            </c:numRef>
          </c:val>
          <c:smooth val="0"/>
        </c:ser>
        <c:ser>
          <c:idx val="1"/>
          <c:order val="1"/>
          <c:tx>
            <c:strRef>
              <c:f>[2]charts!$A$46</c:f>
              <c:strCache>
                <c:ptCount val="1"/>
                <c:pt idx="0">
                  <c:v>Current Business Forecasts</c:v>
                </c:pt>
              </c:strCache>
            </c:strRef>
          </c:tx>
          <c:spPr>
            <a:solidFill>
              <a:srgbClr val="ff00ff"/>
            </a:solidFill>
            <a:ln w="12600">
              <a:solidFill>
                <a:srgbClr val="ff00ff"/>
              </a:solidFill>
              <a:round/>
            </a:ln>
          </c:spPr>
          <c:marker>
            <c:symbol val="none"/>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strRef>
              <c:f>[2]charts!$B$44:$K$44</c:f>
              <c:strCache>
                <c:ptCount val="10"/>
                <c:pt idx="0">
                  <c:v>1</c:v>
                </c:pt>
                <c:pt idx="1">
                  <c:v>2</c:v>
                </c:pt>
                <c:pt idx="2">
                  <c:v>3</c:v>
                </c:pt>
                <c:pt idx="3">
                  <c:v>4</c:v>
                </c:pt>
                <c:pt idx="4">
                  <c:v>5</c:v>
                </c:pt>
                <c:pt idx="5">
                  <c:v>6</c:v>
                </c:pt>
                <c:pt idx="6">
                  <c:v>7</c:v>
                </c:pt>
                <c:pt idx="7">
                  <c:v>8</c:v>
                </c:pt>
                <c:pt idx="8">
                  <c:v>9</c:v>
                </c:pt>
                <c:pt idx="9">
                  <c:v>10</c:v>
                </c:pt>
              </c:strCache>
            </c:strRef>
          </c:cat>
          <c:val>
            <c:numRef>
              <c:f>[2]charts!$B$46:$K$46</c:f>
              <c:numCache>
                <c:formatCode>General</c:formatCode>
                <c:ptCount val="10"/>
                <c:pt idx="0">
                  <c:v>10912236.7638868</c:v>
                </c:pt>
                <c:pt idx="1">
                  <c:v>11773236.7638868</c:v>
                </c:pt>
                <c:pt idx="2">
                  <c:v>13774236.7638868</c:v>
                </c:pt>
                <c:pt idx="3">
                  <c:v>14913236.7638868</c:v>
                </c:pt>
                <c:pt idx="4">
                  <c:v>15312236.7638868</c:v>
                </c:pt>
                <c:pt idx="5">
                  <c:v>15911236.7638868</c:v>
                </c:pt>
                <c:pt idx="6">
                  <c:v>16087236.7638868</c:v>
                </c:pt>
                <c:pt idx="7">
                  <c:v>16087236.7638868</c:v>
                </c:pt>
                <c:pt idx="8">
                  <c:v>16087236.7638868</c:v>
                </c:pt>
                <c:pt idx="9">
                  <c:v>16087236.7638868</c:v>
                </c:pt>
              </c:numCache>
            </c:numRef>
          </c:val>
          <c:smooth val="0"/>
        </c:ser>
        <c:hiLowLines>
          <c:spPr>
            <a:ln w="0">
              <a:noFill/>
            </a:ln>
          </c:spPr>
        </c:hiLowLines>
        <c:marker val="0"/>
        <c:axId val="66892599"/>
        <c:axId val="93536304"/>
      </c:lineChart>
      <c:catAx>
        <c:axId val="66892599"/>
        <c:scaling>
          <c:orientation val="minMax"/>
        </c:scaling>
        <c:delete val="0"/>
        <c:axPos val="b"/>
        <c:title>
          <c:tx>
            <c:rich>
              <a:bodyPr rot="0"/>
              <a:lstStyle/>
              <a:p>
                <a:pPr>
                  <a:defRPr b="0" sz="1300" strike="noStrike" u="none">
                    <a:uFillTx/>
                    <a:latin typeface="Arial"/>
                  </a:defRPr>
                </a:pPr>
                <a:r>
                  <a:rPr b="1" sz="1000" strike="noStrike" u="none">
                    <a:solidFill>
                      <a:srgbClr val="000000"/>
                    </a:solidFill>
                    <a:uFillTx/>
                    <a:latin typeface="Arial"/>
                  </a:rPr>
                  <a:t>Year</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1000" strike="noStrike" u="none">
                <a:solidFill>
                  <a:srgbClr val="000000"/>
                </a:solidFill>
                <a:uFillTx/>
                <a:latin typeface="Arial"/>
              </a:defRPr>
            </a:pPr>
          </a:p>
        </c:txPr>
        <c:crossAx val="93536304"/>
        <c:crossesAt val="0"/>
        <c:auto val="1"/>
        <c:lblAlgn val="ctr"/>
        <c:lblOffset val="100"/>
        <c:noMultiLvlLbl val="0"/>
      </c:catAx>
      <c:valAx>
        <c:axId val="93536304"/>
        <c:scaling>
          <c:orientation val="minMax"/>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1000" strike="noStrike" u="none">
                    <a:solidFill>
                      <a:srgbClr val="000000"/>
                    </a:solidFill>
                    <a:uFillTx/>
                    <a:latin typeface="Arial"/>
                  </a:rPr>
                  <a:t>Margin for SPG</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1000" strike="noStrike" u="none">
                <a:solidFill>
                  <a:srgbClr val="000000"/>
                </a:solidFill>
                <a:uFillTx/>
                <a:latin typeface="Arial"/>
              </a:defRPr>
            </a:pPr>
          </a:p>
        </c:txPr>
        <c:crossAx val="66892599"/>
        <c:crossesAt val="1"/>
        <c:crossBetween val="midCat"/>
      </c:valAx>
      <c:spPr>
        <a:solidFill>
          <a:srgbClr val="c0c0c0"/>
        </a:solidFill>
        <a:ln w="12600">
          <a:solidFill>
            <a:srgbClr val="808080"/>
          </a:solidFill>
          <a:round/>
        </a:ln>
      </c:spPr>
    </c:plotArea>
    <c:legend>
      <c:legendPos val="r"/>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solidFill>
      <a:srgbClr val="ffffff"/>
    </a:solidFill>
    <a:ln w="0">
      <a:solidFill>
        <a:srgbClr val="000000"/>
      </a:solidFill>
    </a:ln>
  </c:spPr>
</c:chartSpace>
</file>

<file path=xl/charts/chart7.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900" strike="noStrike" u="none">
                <a:solidFill>
                  <a:srgbClr val="000000"/>
                </a:solidFill>
                <a:uFillTx/>
                <a:latin typeface="Arial"/>
              </a:rPr>
              <a:t>Deal Cash Flows</a:t>
            </a:r>
          </a:p>
        </c:rich>
      </c:tx>
      <c:overlay val="0"/>
      <c:spPr>
        <a:noFill/>
        <a:ln w="0">
          <a:noFill/>
        </a:ln>
      </c:spPr>
    </c:title>
    <c:autoTitleDeleted val="0"/>
    <c:view3D>
      <c:rotX val="19"/>
      <c:rotY val="42"/>
      <c:rAngAx val="1"/>
      <c:perspective val="60"/>
    </c:view3D>
    <c:floor>
      <c:spPr>
        <a:solidFill>
          <a:srgbClr val="808080"/>
        </a:solidFill>
        <a:ln w="0">
          <a:solidFill>
            <a:srgbClr val="000000"/>
          </a:solidFill>
        </a:ln>
      </c:spPr>
    </c:floor>
    <c:sideWall>
      <c:spPr>
        <a:noFill/>
        <a:ln w="12600">
          <a:solidFill>
            <a:srgbClr val="808080"/>
          </a:solidFill>
          <a:round/>
        </a:ln>
      </c:spPr>
    </c:sideWall>
    <c:backWall>
      <c:spPr>
        <a:noFill/>
        <a:ln w="12600">
          <a:solidFill>
            <a:srgbClr val="808080"/>
          </a:solidFill>
          <a:round/>
        </a:ln>
      </c:spPr>
    </c:backWall>
    <c:plotArea>
      <c:layout>
        <c:manualLayout>
          <c:xMode val="edge"/>
          <c:yMode val="edge"/>
          <c:x val="0.0606765532616071"/>
          <c:y val="0.0665712842955731"/>
          <c:w val="0.928176795580111"/>
          <c:h val="0.933428715704427"/>
        </c:manualLayout>
      </c:layout>
      <c:bar3DChart>
        <c:barDir val="col"/>
        <c:grouping val="clustered"/>
        <c:varyColors val="0"/>
        <c:ser>
          <c:idx val="0"/>
          <c:order val="0"/>
          <c:tx>
            <c:strRef>
              <c:f>"Mid"</c:f>
              <c:strCache>
                <c:ptCount val="1"/>
                <c:pt idx="0">
                  <c:v>Mid</c:v>
                </c:pt>
              </c:strCache>
            </c:strRef>
          </c:tx>
          <c:spPr>
            <a:solidFill>
              <a:srgbClr val="9999ff"/>
            </a:solidFill>
            <a:ln w="0">
              <a:solidFill>
                <a:srgbClr val="000000"/>
              </a:solidFill>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'Re-Whole'!$C$81:$C$90</c:f>
              <c:strCache>
                <c:ptCount val="10"/>
                <c:pt idx="0">
                  <c:v>1</c:v>
                </c:pt>
                <c:pt idx="1">
                  <c:v>2</c:v>
                </c:pt>
                <c:pt idx="2">
                  <c:v>3</c:v>
                </c:pt>
                <c:pt idx="3">
                  <c:v>4</c:v>
                </c:pt>
                <c:pt idx="4">
                  <c:v>5</c:v>
                </c:pt>
                <c:pt idx="5">
                  <c:v>6</c:v>
                </c:pt>
                <c:pt idx="6">
                  <c:v>7</c:v>
                </c:pt>
                <c:pt idx="7">
                  <c:v>8</c:v>
                </c:pt>
                <c:pt idx="8">
                  <c:v>9</c:v>
                </c:pt>
                <c:pt idx="9">
                  <c:v>10</c:v>
                </c:pt>
              </c:strCache>
            </c:strRef>
          </c:cat>
          <c:val>
            <c:numRef>
              <c:f>'Re-Whole'!$K$81:$K$90</c:f>
              <c:numCache>
                <c:formatCode>#,##0</c:formatCode>
                <c:ptCount val="10"/>
                <c:pt idx="0">
                  <c:v>-1720871.97906625</c:v>
                </c:pt>
                <c:pt idx="1">
                  <c:v>595936.037237311</c:v>
                </c:pt>
                <c:pt idx="2">
                  <c:v>1316657.2634421</c:v>
                </c:pt>
                <c:pt idx="3">
                  <c:v>1642317.50423686</c:v>
                </c:pt>
                <c:pt idx="4">
                  <c:v>1972190.75415115</c:v>
                </c:pt>
                <c:pt idx="5">
                  <c:v>2306691.52518777</c:v>
                </c:pt>
                <c:pt idx="6">
                  <c:v>2646232.50261844</c:v>
                </c:pt>
                <c:pt idx="7">
                  <c:v>2989138.74623014</c:v>
                </c:pt>
                <c:pt idx="8">
                  <c:v>3337830.00165035</c:v>
                </c:pt>
                <c:pt idx="9">
                  <c:v>3689474.80086834</c:v>
                </c:pt>
              </c:numCache>
            </c:numRef>
          </c:val>
        </c:ser>
        <c:ser>
          <c:idx val="1"/>
          <c:order val="1"/>
          <c:tx>
            <c:strRef>
              <c:f>"Offer"</c:f>
              <c:strCache>
                <c:ptCount val="1"/>
                <c:pt idx="0">
                  <c:v>Offer</c:v>
                </c:pt>
              </c:strCache>
            </c:strRef>
          </c:tx>
          <c:spPr>
            <a:solidFill>
              <a:srgbClr val="993366"/>
            </a:solidFill>
            <a:ln w="0">
              <a:solidFill>
                <a:srgbClr val="000000"/>
              </a:solidFill>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'Re-Whole'!$C$81:$C$90</c:f>
              <c:strCache>
                <c:ptCount val="10"/>
                <c:pt idx="0">
                  <c:v>1</c:v>
                </c:pt>
                <c:pt idx="1">
                  <c:v>2</c:v>
                </c:pt>
                <c:pt idx="2">
                  <c:v>3</c:v>
                </c:pt>
                <c:pt idx="3">
                  <c:v>4</c:v>
                </c:pt>
                <c:pt idx="4">
                  <c:v>5</c:v>
                </c:pt>
                <c:pt idx="5">
                  <c:v>6</c:v>
                </c:pt>
                <c:pt idx="6">
                  <c:v>7</c:v>
                </c:pt>
                <c:pt idx="7">
                  <c:v>8</c:v>
                </c:pt>
                <c:pt idx="8">
                  <c:v>9</c:v>
                </c:pt>
                <c:pt idx="9">
                  <c:v>10</c:v>
                </c:pt>
              </c:strCache>
            </c:strRef>
          </c:cat>
          <c:val>
            <c:numRef>
              <c:f>'Re-Whole'!$J$81:$J$90</c:f>
              <c:numCache>
                <c:formatCode>#,##0</c:formatCode>
                <c:ptCount val="10"/>
                <c:pt idx="0">
                  <c:v>-2980602.04568728</c:v>
                </c:pt>
                <c:pt idx="1">
                  <c:v>-791121.056501986</c:v>
                </c:pt>
                <c:pt idx="2">
                  <c:v>-102817.128163808</c:v>
                </c:pt>
                <c:pt idx="3">
                  <c:v>214114.838343046</c:v>
                </c:pt>
                <c:pt idx="4">
                  <c:v>535254.640812597</c:v>
                </c:pt>
                <c:pt idx="5">
                  <c:v>861030.814022153</c:v>
                </c:pt>
                <c:pt idx="6">
                  <c:v>1191869.99924087</c:v>
                </c:pt>
                <c:pt idx="7">
                  <c:v>1526025.94100254</c:v>
                </c:pt>
                <c:pt idx="8">
                  <c:v>1866014.34876218</c:v>
                </c:pt>
                <c:pt idx="9">
                  <c:v>2208885.21415357</c:v>
                </c:pt>
              </c:numCache>
            </c:numRef>
          </c:val>
        </c:ser>
        <c:gapWidth val="150"/>
        <c:shape val="box"/>
        <c:axId val="11220730"/>
        <c:axId val="1991549"/>
        <c:axId val="0"/>
      </c:bar3DChart>
      <c:catAx>
        <c:axId val="11220730"/>
        <c:scaling>
          <c:orientation val="minMax"/>
        </c:scaling>
        <c:delete val="0"/>
        <c:axPos val="b"/>
        <c:title>
          <c:tx>
            <c:rich>
              <a:bodyPr rot="0"/>
              <a:lstStyle/>
              <a:p>
                <a:pPr>
                  <a:defRPr b="0" sz="1300" strike="noStrike" u="none">
                    <a:uFillTx/>
                    <a:latin typeface="Arial"/>
                  </a:defRPr>
                </a:pPr>
                <a:r>
                  <a:rPr b="1" sz="800" strike="noStrike" u="none">
                    <a:solidFill>
                      <a:srgbClr val="000000"/>
                    </a:solidFill>
                    <a:uFillTx/>
                    <a:latin typeface="Arial"/>
                  </a:rPr>
                  <a:t>Year</a:t>
                </a:r>
              </a:p>
            </c:rich>
          </c:tx>
          <c:overlay val="0"/>
          <c:spPr>
            <a:noFill/>
            <a:ln w="0">
              <a:noFill/>
            </a:ln>
          </c:spPr>
        </c:title>
        <c:numFmt formatCode="General" sourceLinked="1"/>
        <c:majorTickMark val="out"/>
        <c:minorTickMark val="none"/>
        <c:tickLblPos val="low"/>
        <c:spPr>
          <a:ln w="0">
            <a:solidFill>
              <a:srgbClr val="000000"/>
            </a:solidFill>
          </a:ln>
        </c:spPr>
        <c:txPr>
          <a:bodyPr/>
          <a:lstStyle/>
          <a:p>
            <a:pPr>
              <a:defRPr b="0" sz="800" strike="noStrike" u="none">
                <a:solidFill>
                  <a:srgbClr val="000000"/>
                </a:solidFill>
                <a:uFillTx/>
                <a:latin typeface="Arial"/>
              </a:defRPr>
            </a:pPr>
          </a:p>
        </c:txPr>
        <c:crossAx val="1991549"/>
        <c:crossesAt val="0"/>
        <c:auto val="1"/>
        <c:lblAlgn val="ctr"/>
        <c:lblOffset val="100"/>
        <c:noMultiLvlLbl val="0"/>
      </c:catAx>
      <c:valAx>
        <c:axId val="1991549"/>
        <c:scaling>
          <c:orientation val="minMax"/>
        </c:scaling>
        <c:delete val="0"/>
        <c:axPos val="l"/>
        <c:majorGridlines>
          <c:spPr>
            <a:ln w="0">
              <a:solidFill>
                <a:srgbClr val="000000"/>
              </a:solidFill>
            </a:ln>
          </c:spPr>
        </c:majorGridlines>
        <c:numFmt formatCode="\$#,##0" sourceLinked="0"/>
        <c:majorTickMark val="out"/>
        <c:minorTickMark val="none"/>
        <c:tickLblPos val="nextTo"/>
        <c:spPr>
          <a:ln w="0">
            <a:solidFill>
              <a:srgbClr val="000000"/>
            </a:solidFill>
          </a:ln>
        </c:spPr>
        <c:txPr>
          <a:bodyPr/>
          <a:lstStyle/>
          <a:p>
            <a:pPr>
              <a:defRPr b="0" sz="800" strike="noStrike" u="none">
                <a:solidFill>
                  <a:srgbClr val="000000"/>
                </a:solidFill>
                <a:uFillTx/>
                <a:latin typeface="Arial"/>
              </a:defRPr>
            </a:pPr>
          </a:p>
        </c:txPr>
        <c:crossAx val="11220730"/>
        <c:crossesAt val="1"/>
        <c:crossBetween val="midCat"/>
      </c:valAx>
    </c:plotArea>
    <c:legend>
      <c:legendPos val="r"/>
      <c:layout>
        <c:manualLayout>
          <c:xMode val="edge"/>
          <c:yMode val="edge"/>
          <c:x val="0.067752253562082"/>
          <c:y val="0.927705773438815"/>
          <c:w val="0.222254531356014"/>
          <c:h val="0.0504965494024575"/>
        </c:manualLayout>
      </c:layout>
      <c:overlay val="0"/>
      <c:spPr>
        <a:solidFill>
          <a:srgbClr val="ffffff"/>
        </a:solidFill>
        <a:ln w="0">
          <a:solidFill>
            <a:srgbClr val="000000"/>
          </a:solidFill>
        </a:ln>
      </c:spPr>
      <c:txPr>
        <a:bodyPr/>
        <a:lstStyle/>
        <a:p>
          <a:pPr>
            <a:defRPr b="0" sz="800" strike="noStrike" u="none">
              <a:solidFill>
                <a:srgbClr val="000000"/>
              </a:solidFill>
              <a:uFillTx/>
              <a:latin typeface="Arial"/>
            </a:defRPr>
          </a:pPr>
        </a:p>
      </c:txPr>
    </c:legend>
    <c:plotVisOnly val="1"/>
    <c:dispBlanksAs val="gap"/>
  </c:chart>
  <c:spPr>
    <a:solidFill>
      <a:srgbClr val="ffffff"/>
    </a:solidFill>
    <a:ln w="0">
      <a:solidFill>
        <a:srgbClr val="000000"/>
      </a:solidFill>
    </a:ln>
  </c:spPr>
</c:chartSpace>
</file>

<file path=xl/charts/chart8.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900" strike="noStrike" u="none">
                <a:solidFill>
                  <a:srgbClr val="000000"/>
                </a:solidFill>
                <a:uFillTx/>
                <a:latin typeface="Arial"/>
              </a:rPr>
              <a:t>Deal Cash Flows</a:t>
            </a:r>
          </a:p>
        </c:rich>
      </c:tx>
      <c:overlay val="0"/>
      <c:spPr>
        <a:noFill/>
        <a:ln w="0">
          <a:noFill/>
        </a:ln>
      </c:spPr>
    </c:title>
    <c:autoTitleDeleted val="0"/>
    <c:view3D>
      <c:rotX val="19"/>
      <c:rotY val="42"/>
      <c:rAngAx val="1"/>
      <c:perspective val="60"/>
    </c:view3D>
    <c:floor>
      <c:spPr>
        <a:solidFill>
          <a:srgbClr val="808080"/>
        </a:solidFill>
        <a:ln w="0">
          <a:solidFill>
            <a:srgbClr val="000000"/>
          </a:solidFill>
        </a:ln>
      </c:spPr>
    </c:floor>
    <c:sideWall>
      <c:spPr>
        <a:solidFill>
          <a:srgbClr val="ffffff"/>
        </a:solidFill>
        <a:ln w="0">
          <a:solidFill>
            <a:srgbClr val="000000"/>
          </a:solidFill>
        </a:ln>
      </c:spPr>
    </c:sideWall>
    <c:backWall>
      <c:spPr>
        <a:solidFill>
          <a:srgbClr val="ffffff"/>
        </a:solidFill>
        <a:ln w="0">
          <a:solidFill>
            <a:srgbClr val="000000"/>
          </a:solidFill>
        </a:ln>
      </c:spPr>
    </c:backWall>
    <c:plotArea>
      <c:layout>
        <c:manualLayout>
          <c:xMode val="edge"/>
          <c:yMode val="edge"/>
          <c:x val="0.0606765532616071"/>
          <c:y val="0.065819375473445"/>
          <c:w val="0.928176795580111"/>
          <c:h val="0.934180624526555"/>
        </c:manualLayout>
      </c:layout>
      <c:bar3DChart>
        <c:barDir val="col"/>
        <c:grouping val="clustered"/>
        <c:varyColors val="0"/>
        <c:ser>
          <c:idx val="0"/>
          <c:order val="0"/>
          <c:tx>
            <c:strRef>
              <c:f>"Mid"</c:f>
              <c:strCache>
                <c:ptCount val="1"/>
                <c:pt idx="0">
                  <c:v>Mid</c:v>
                </c:pt>
              </c:strCache>
            </c:strRef>
          </c:tx>
          <c:spPr>
            <a:solidFill>
              <a:srgbClr val="9999ff"/>
            </a:solidFill>
            <a:ln w="0">
              <a:solidFill>
                <a:srgbClr val="000000"/>
              </a:solidFill>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multiLvlStrRef>
              <c:f>Breakout!$C$11:$L$11</c:f>
              <c:multiLvlStrCache>
                <c:ptCount val="1"/>
                <c:lvl>
                  <c:pt idx="0">
                    <c:v> 10 </c:v>
                  </c:pt>
                </c:lvl>
                <c:lvl>
                  <c:pt idx="0">
                    <c:v> 9 </c:v>
                  </c:pt>
                </c:lvl>
                <c:lvl>
                  <c:pt idx="0">
                    <c:v> 8 </c:v>
                  </c:pt>
                </c:lvl>
                <c:lvl>
                  <c:pt idx="0">
                    <c:v> 7 </c:v>
                  </c:pt>
                </c:lvl>
                <c:lvl>
                  <c:pt idx="0">
                    <c:v> 6 </c:v>
                  </c:pt>
                </c:lvl>
                <c:lvl>
                  <c:pt idx="0">
                    <c:v> 5 </c:v>
                  </c:pt>
                </c:lvl>
                <c:lvl>
                  <c:pt idx="0">
                    <c:v> 4 </c:v>
                  </c:pt>
                </c:lvl>
                <c:lvl>
                  <c:pt idx="0">
                    <c:v> 3 </c:v>
                  </c:pt>
                </c:lvl>
                <c:lvl>
                  <c:pt idx="0">
                    <c:v> 2 </c:v>
                  </c:pt>
                </c:lvl>
                <c:lvl>
                  <c:pt idx="0">
                    <c:v> 1 </c:v>
                  </c:pt>
                </c:lvl>
              </c:multiLvlStrCache>
            </c:multiLvlStrRef>
          </c:cat>
          <c:val>
            <c:numRef>
              <c:f>'Re-Redis'!$E$81:$E$90</c:f>
              <c:numCache>
                <c:formatCode>#,##0</c:formatCode>
                <c:ptCount val="10"/>
                <c:pt idx="0">
                  <c:v>-764310.777345441</c:v>
                </c:pt>
                <c:pt idx="1">
                  <c:v>-789416.106843194</c:v>
                </c:pt>
                <c:pt idx="2">
                  <c:v>2101421.69876573</c:v>
                </c:pt>
                <c:pt idx="3">
                  <c:v>2299591.75390861</c:v>
                </c:pt>
                <c:pt idx="4">
                  <c:v>3693244.33589105</c:v>
                </c:pt>
                <c:pt idx="5">
                  <c:v>3699213.49757035</c:v>
                </c:pt>
                <c:pt idx="6">
                  <c:v>3706076.57494343</c:v>
                </c:pt>
                <c:pt idx="7">
                  <c:v>3713827.96154858</c:v>
                </c:pt>
                <c:pt idx="8">
                  <c:v>5691471.60590618</c:v>
                </c:pt>
                <c:pt idx="9">
                  <c:v>5700984.21161845</c:v>
                </c:pt>
              </c:numCache>
            </c:numRef>
          </c:val>
        </c:ser>
        <c:ser>
          <c:idx val="1"/>
          <c:order val="1"/>
          <c:tx>
            <c:strRef>
              <c:f>"Offer"</c:f>
              <c:strCache>
                <c:ptCount val="1"/>
                <c:pt idx="0">
                  <c:v>Offer</c:v>
                </c:pt>
              </c:strCache>
            </c:strRef>
          </c:tx>
          <c:spPr>
            <a:solidFill>
              <a:srgbClr val="993366"/>
            </a:solidFill>
            <a:ln w="0">
              <a:solidFill>
                <a:srgbClr val="000000"/>
              </a:solidFill>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multiLvlStrRef>
              <c:f>Breakout!$C$11:$L$11</c:f>
              <c:multiLvlStrCache>
                <c:ptCount val="1"/>
                <c:lvl>
                  <c:pt idx="0">
                    <c:v> 10 </c:v>
                  </c:pt>
                </c:lvl>
                <c:lvl>
                  <c:pt idx="0">
                    <c:v> 9 </c:v>
                  </c:pt>
                </c:lvl>
                <c:lvl>
                  <c:pt idx="0">
                    <c:v> 8 </c:v>
                  </c:pt>
                </c:lvl>
                <c:lvl>
                  <c:pt idx="0">
                    <c:v> 7 </c:v>
                  </c:pt>
                </c:lvl>
                <c:lvl>
                  <c:pt idx="0">
                    <c:v> 6 </c:v>
                  </c:pt>
                </c:lvl>
                <c:lvl>
                  <c:pt idx="0">
                    <c:v> 5 </c:v>
                  </c:pt>
                </c:lvl>
                <c:lvl>
                  <c:pt idx="0">
                    <c:v> 4 </c:v>
                  </c:pt>
                </c:lvl>
                <c:lvl>
                  <c:pt idx="0">
                    <c:v> 3 </c:v>
                  </c:pt>
                </c:lvl>
                <c:lvl>
                  <c:pt idx="0">
                    <c:v> 2 </c:v>
                  </c:pt>
                </c:lvl>
                <c:lvl>
                  <c:pt idx="0">
                    <c:v> 1 </c:v>
                  </c:pt>
                </c:lvl>
              </c:multiLvlStrCache>
            </c:multiLvlStrRef>
          </c:cat>
          <c:val>
            <c:numRef>
              <c:f>'Re-Redis'!$D$81:$D$90</c:f>
              <c:numCache>
                <c:formatCode>#,##0</c:formatCode>
                <c:ptCount val="10"/>
                <c:pt idx="0">
                  <c:v>-886077.209970765</c:v>
                </c:pt>
                <c:pt idx="1">
                  <c:v>-911576.270523699</c:v>
                </c:pt>
                <c:pt idx="2">
                  <c:v>1977904.26782911</c:v>
                </c:pt>
                <c:pt idx="3">
                  <c:v>2173957.52077677</c:v>
                </c:pt>
                <c:pt idx="4">
                  <c:v>3565032.55096184</c:v>
                </c:pt>
                <c:pt idx="5">
                  <c:v>3567966.60911643</c:v>
                </c:pt>
                <c:pt idx="6">
                  <c:v>3571340.05906031</c:v>
                </c:pt>
                <c:pt idx="7">
                  <c:v>3575150.14501545</c:v>
                </c:pt>
                <c:pt idx="8">
                  <c:v>5548403.48569029</c:v>
                </c:pt>
                <c:pt idx="9">
                  <c:v>5553079.2743288</c:v>
                </c:pt>
              </c:numCache>
            </c:numRef>
          </c:val>
        </c:ser>
        <c:gapWidth val="150"/>
        <c:shape val="box"/>
        <c:axId val="39215590"/>
        <c:axId val="77244247"/>
        <c:axId val="0"/>
      </c:bar3DChart>
      <c:catAx>
        <c:axId val="39215590"/>
        <c:scaling>
          <c:orientation val="minMax"/>
        </c:scaling>
        <c:delete val="0"/>
        <c:axPos val="b"/>
        <c:numFmt formatCode="_(* #,##0_);_(* \(#,##0\);_(* \-??_);_(@_)" sourceLinked="1"/>
        <c:majorTickMark val="out"/>
        <c:minorTickMark val="none"/>
        <c:tickLblPos val="low"/>
        <c:spPr>
          <a:ln w="0">
            <a:solidFill>
              <a:srgbClr val="000000"/>
            </a:solidFill>
          </a:ln>
        </c:spPr>
        <c:txPr>
          <a:bodyPr/>
          <a:lstStyle/>
          <a:p>
            <a:pPr>
              <a:defRPr b="0" sz="800" strike="noStrike" u="none">
                <a:solidFill>
                  <a:srgbClr val="000000"/>
                </a:solidFill>
                <a:uFillTx/>
                <a:latin typeface="Arial"/>
              </a:defRPr>
            </a:pPr>
          </a:p>
        </c:txPr>
        <c:crossAx val="77244247"/>
        <c:crossesAt val="0"/>
        <c:auto val="1"/>
        <c:lblAlgn val="ctr"/>
        <c:lblOffset val="100"/>
        <c:noMultiLvlLbl val="0"/>
      </c:catAx>
      <c:valAx>
        <c:axId val="77244247"/>
        <c:scaling>
          <c:orientation val="minMax"/>
        </c:scaling>
        <c:delete val="0"/>
        <c:axPos val="l"/>
        <c:majorGridlines>
          <c:spPr>
            <a:ln w="0">
              <a:solidFill>
                <a:srgbClr val="000000"/>
              </a:solidFill>
            </a:ln>
          </c:spPr>
        </c:majorGridlines>
        <c:numFmt formatCode="\$#,##0" sourceLinked="0"/>
        <c:majorTickMark val="out"/>
        <c:minorTickMark val="none"/>
        <c:tickLblPos val="nextTo"/>
        <c:spPr>
          <a:ln w="0">
            <a:solidFill>
              <a:srgbClr val="000000"/>
            </a:solidFill>
          </a:ln>
        </c:spPr>
        <c:txPr>
          <a:bodyPr/>
          <a:lstStyle/>
          <a:p>
            <a:pPr>
              <a:defRPr b="0" sz="800" strike="noStrike" u="none">
                <a:solidFill>
                  <a:srgbClr val="000000"/>
                </a:solidFill>
                <a:uFillTx/>
                <a:latin typeface="Arial"/>
              </a:defRPr>
            </a:pPr>
          </a:p>
        </c:txPr>
        <c:crossAx val="39215590"/>
        <c:crossesAt val="1"/>
        <c:crossBetween val="midCat"/>
      </c:valAx>
    </c:plotArea>
    <c:legend>
      <c:legendPos val="r"/>
      <c:layout>
        <c:manualLayout>
          <c:xMode val="edge"/>
          <c:yMode val="edge"/>
          <c:x val="0.067752253562082"/>
          <c:y val="0.927699688578403"/>
          <c:w val="0.222254531356014"/>
          <c:h val="0.0505007995959936"/>
        </c:manualLayout>
      </c:layout>
      <c:overlay val="0"/>
      <c:spPr>
        <a:solidFill>
          <a:srgbClr val="ffffff"/>
        </a:solidFill>
        <a:ln w="0">
          <a:solidFill>
            <a:srgbClr val="000000"/>
          </a:solidFill>
        </a:ln>
      </c:spPr>
      <c:txPr>
        <a:bodyPr/>
        <a:lstStyle/>
        <a:p>
          <a:pPr>
            <a:defRPr b="0" sz="800" strike="noStrike" u="none">
              <a:solidFill>
                <a:srgbClr val="000000"/>
              </a:solidFill>
              <a:uFillTx/>
              <a:latin typeface="Arial"/>
            </a:defRPr>
          </a:pPr>
        </a:p>
      </c:txPr>
    </c:legend>
    <c:plotVisOnly val="1"/>
    <c:dispBlanksAs val="gap"/>
  </c:chart>
  <c:spPr>
    <a:solidFill>
      <a:srgbClr val="ffffff"/>
    </a:solidFill>
    <a:ln w="0">
      <a:solidFill>
        <a:srgbClr val="000000"/>
      </a:solidFill>
    </a:ln>
  </c:spPr>
</c:chartSpace>
</file>

<file path=xl/charts/chart9.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900" strike="noStrike" u="none">
                <a:solidFill>
                  <a:srgbClr val="000000"/>
                </a:solidFill>
                <a:uFillTx/>
                <a:latin typeface="Arial"/>
              </a:rPr>
              <a:t>Deal Cash Flows</a:t>
            </a:r>
          </a:p>
        </c:rich>
      </c:tx>
      <c:overlay val="0"/>
      <c:spPr>
        <a:noFill/>
        <a:ln w="0">
          <a:noFill/>
        </a:ln>
      </c:spPr>
    </c:title>
    <c:autoTitleDeleted val="0"/>
    <c:view3D>
      <c:rotX val="19"/>
      <c:rotY val="42"/>
      <c:rAngAx val="1"/>
      <c:perspective val="60"/>
    </c:view3D>
    <c:floor>
      <c:spPr>
        <a:solidFill>
          <a:srgbClr val="808080"/>
        </a:solidFill>
        <a:ln w="0">
          <a:solidFill>
            <a:srgbClr val="000000"/>
          </a:solidFill>
        </a:ln>
      </c:spPr>
    </c:floor>
    <c:sideWall>
      <c:spPr>
        <a:solidFill>
          <a:srgbClr val="ffffff"/>
        </a:solidFill>
        <a:ln w="0">
          <a:solidFill>
            <a:srgbClr val="000000"/>
          </a:solidFill>
        </a:ln>
      </c:spPr>
    </c:sideWall>
    <c:backWall>
      <c:spPr>
        <a:solidFill>
          <a:srgbClr val="ffffff"/>
        </a:solidFill>
        <a:ln w="0">
          <a:solidFill>
            <a:srgbClr val="000000"/>
          </a:solidFill>
        </a:ln>
      </c:spPr>
    </c:backWall>
    <c:plotArea>
      <c:layout>
        <c:manualLayout>
          <c:xMode val="edge"/>
          <c:yMode val="edge"/>
          <c:x val="0.0605854982551377"/>
          <c:y val="0.0669977274640182"/>
          <c:w val="0.928169833268709"/>
          <c:h val="0.933002272535982"/>
        </c:manualLayout>
      </c:layout>
      <c:bar3DChart>
        <c:barDir val="col"/>
        <c:grouping val="clustered"/>
        <c:varyColors val="0"/>
        <c:ser>
          <c:idx val="0"/>
          <c:order val="0"/>
          <c:tx>
            <c:strRef>
              <c:f>"Mid"</c:f>
              <c:strCache>
                <c:ptCount val="1"/>
                <c:pt idx="0">
                  <c:v>Mid</c:v>
                </c:pt>
              </c:strCache>
            </c:strRef>
          </c:tx>
          <c:spPr>
            <a:solidFill>
              <a:srgbClr val="9999ff"/>
            </a:solidFill>
            <a:ln w="0">
              <a:solidFill>
                <a:srgbClr val="000000"/>
              </a:solidFill>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multiLvlStrRef>
              <c:f>Breakout!$C$11:$L$11</c:f>
              <c:multiLvlStrCache>
                <c:ptCount val="1"/>
                <c:lvl>
                  <c:pt idx="0">
                    <c:v> 10 </c:v>
                  </c:pt>
                </c:lvl>
                <c:lvl>
                  <c:pt idx="0">
                    <c:v> 9 </c:v>
                  </c:pt>
                </c:lvl>
                <c:lvl>
                  <c:pt idx="0">
                    <c:v> 8 </c:v>
                  </c:pt>
                </c:lvl>
                <c:lvl>
                  <c:pt idx="0">
                    <c:v> 7 </c:v>
                  </c:pt>
                </c:lvl>
                <c:lvl>
                  <c:pt idx="0">
                    <c:v> 6 </c:v>
                  </c:pt>
                </c:lvl>
                <c:lvl>
                  <c:pt idx="0">
                    <c:v> 5 </c:v>
                  </c:pt>
                </c:lvl>
                <c:lvl>
                  <c:pt idx="0">
                    <c:v> 4 </c:v>
                  </c:pt>
                </c:lvl>
                <c:lvl>
                  <c:pt idx="0">
                    <c:v> 3 </c:v>
                  </c:pt>
                </c:lvl>
                <c:lvl>
                  <c:pt idx="0">
                    <c:v> 2 </c:v>
                  </c:pt>
                </c:lvl>
                <c:lvl>
                  <c:pt idx="0">
                    <c:v> 1 </c:v>
                  </c:pt>
                </c:lvl>
              </c:multiLvlStrCache>
            </c:multiLvlStrRef>
          </c:cat>
          <c:val>
            <c:numRef>
              <c:f>'Re-FM'!$E$81:$E$90</c:f>
              <c:numCache>
                <c:formatCode>#,##0</c:formatCode>
                <c:ptCount val="10"/>
                <c:pt idx="0">
                  <c:v>-3800000</c:v>
                </c:pt>
                <c:pt idx="1">
                  <c:v>350000</c:v>
                </c:pt>
                <c:pt idx="2">
                  <c:v>500000</c:v>
                </c:pt>
                <c:pt idx="3">
                  <c:v>650000</c:v>
                </c:pt>
                <c:pt idx="4">
                  <c:v>800000</c:v>
                </c:pt>
                <c:pt idx="5">
                  <c:v>950000</c:v>
                </c:pt>
                <c:pt idx="6">
                  <c:v>1100000</c:v>
                </c:pt>
                <c:pt idx="7">
                  <c:v>1250000</c:v>
                </c:pt>
                <c:pt idx="8">
                  <c:v>1400000</c:v>
                </c:pt>
                <c:pt idx="9">
                  <c:v>1550000</c:v>
                </c:pt>
              </c:numCache>
            </c:numRef>
          </c:val>
        </c:ser>
        <c:ser>
          <c:idx val="1"/>
          <c:order val="1"/>
          <c:tx>
            <c:strRef>
              <c:f>"Offer"</c:f>
              <c:strCache>
                <c:ptCount val="1"/>
                <c:pt idx="0">
                  <c:v>Offer</c:v>
                </c:pt>
              </c:strCache>
            </c:strRef>
          </c:tx>
          <c:spPr>
            <a:solidFill>
              <a:srgbClr val="993366"/>
            </a:solidFill>
            <a:ln w="0">
              <a:solidFill>
                <a:srgbClr val="000000"/>
              </a:solidFill>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multiLvlStrRef>
              <c:f>Breakout!$C$11:$L$11</c:f>
              <c:multiLvlStrCache>
                <c:ptCount val="1"/>
                <c:lvl>
                  <c:pt idx="0">
                    <c:v> 10 </c:v>
                  </c:pt>
                </c:lvl>
                <c:lvl>
                  <c:pt idx="0">
                    <c:v> 9 </c:v>
                  </c:pt>
                </c:lvl>
                <c:lvl>
                  <c:pt idx="0">
                    <c:v> 8 </c:v>
                  </c:pt>
                </c:lvl>
                <c:lvl>
                  <c:pt idx="0">
                    <c:v> 7 </c:v>
                  </c:pt>
                </c:lvl>
                <c:lvl>
                  <c:pt idx="0">
                    <c:v> 6 </c:v>
                  </c:pt>
                </c:lvl>
                <c:lvl>
                  <c:pt idx="0">
                    <c:v> 5 </c:v>
                  </c:pt>
                </c:lvl>
                <c:lvl>
                  <c:pt idx="0">
                    <c:v> 4 </c:v>
                  </c:pt>
                </c:lvl>
                <c:lvl>
                  <c:pt idx="0">
                    <c:v> 3 </c:v>
                  </c:pt>
                </c:lvl>
                <c:lvl>
                  <c:pt idx="0">
                    <c:v> 2 </c:v>
                  </c:pt>
                </c:lvl>
                <c:lvl>
                  <c:pt idx="0">
                    <c:v> 1 </c:v>
                  </c:pt>
                </c:lvl>
              </c:multiLvlStrCache>
            </c:multiLvlStrRef>
          </c:cat>
          <c:val>
            <c:numRef>
              <c:f>'Re-FM'!$D$81:$D$90</c:f>
              <c:numCache>
                <c:formatCode>#,##0</c:formatCode>
                <c:ptCount val="10"/>
                <c:pt idx="0">
                  <c:v>-3800000</c:v>
                </c:pt>
                <c:pt idx="1">
                  <c:v>350000</c:v>
                </c:pt>
                <c:pt idx="2">
                  <c:v>500000</c:v>
                </c:pt>
                <c:pt idx="3">
                  <c:v>650000</c:v>
                </c:pt>
                <c:pt idx="4">
                  <c:v>800000</c:v>
                </c:pt>
                <c:pt idx="5">
                  <c:v>950000</c:v>
                </c:pt>
                <c:pt idx="6">
                  <c:v>1100000</c:v>
                </c:pt>
                <c:pt idx="7">
                  <c:v>1250000</c:v>
                </c:pt>
                <c:pt idx="8">
                  <c:v>1400000</c:v>
                </c:pt>
                <c:pt idx="9">
                  <c:v>1550000</c:v>
                </c:pt>
              </c:numCache>
            </c:numRef>
          </c:val>
        </c:ser>
        <c:gapWidth val="150"/>
        <c:shape val="box"/>
        <c:axId val="97023542"/>
        <c:axId val="54691376"/>
        <c:axId val="0"/>
      </c:bar3DChart>
      <c:catAx>
        <c:axId val="97023542"/>
        <c:scaling>
          <c:orientation val="minMax"/>
        </c:scaling>
        <c:delete val="0"/>
        <c:axPos val="b"/>
        <c:numFmt formatCode="_(* #,##0_);_(* \(#,##0\);_(* \-??_);_(@_)" sourceLinked="1"/>
        <c:majorTickMark val="out"/>
        <c:minorTickMark val="none"/>
        <c:tickLblPos val="low"/>
        <c:spPr>
          <a:ln w="0">
            <a:solidFill>
              <a:srgbClr val="000000"/>
            </a:solidFill>
          </a:ln>
        </c:spPr>
        <c:txPr>
          <a:bodyPr/>
          <a:lstStyle/>
          <a:p>
            <a:pPr>
              <a:defRPr b="0" sz="800" strike="noStrike" u="none">
                <a:solidFill>
                  <a:srgbClr val="000000"/>
                </a:solidFill>
                <a:uFillTx/>
                <a:latin typeface="Arial"/>
              </a:defRPr>
            </a:pPr>
          </a:p>
        </c:txPr>
        <c:crossAx val="54691376"/>
        <c:crossesAt val="0"/>
        <c:auto val="1"/>
        <c:lblAlgn val="ctr"/>
        <c:lblOffset val="100"/>
        <c:noMultiLvlLbl val="0"/>
      </c:catAx>
      <c:valAx>
        <c:axId val="54691376"/>
        <c:scaling>
          <c:orientation val="minMax"/>
        </c:scaling>
        <c:delete val="0"/>
        <c:axPos val="l"/>
        <c:majorGridlines>
          <c:spPr>
            <a:ln w="0">
              <a:solidFill>
                <a:srgbClr val="000000"/>
              </a:solidFill>
            </a:ln>
          </c:spPr>
        </c:majorGridlines>
        <c:numFmt formatCode="\$#,##0" sourceLinked="0"/>
        <c:majorTickMark val="out"/>
        <c:minorTickMark val="none"/>
        <c:tickLblPos val="nextTo"/>
        <c:spPr>
          <a:ln w="0">
            <a:solidFill>
              <a:srgbClr val="000000"/>
            </a:solidFill>
          </a:ln>
        </c:spPr>
        <c:txPr>
          <a:bodyPr/>
          <a:lstStyle/>
          <a:p>
            <a:pPr>
              <a:defRPr b="0" sz="800" strike="noStrike" u="none">
                <a:solidFill>
                  <a:srgbClr val="000000"/>
                </a:solidFill>
                <a:uFillTx/>
                <a:latin typeface="Arial"/>
              </a:defRPr>
            </a:pPr>
          </a:p>
        </c:txPr>
        <c:crossAx val="97023542"/>
        <c:crossesAt val="1"/>
        <c:crossBetween val="midCat"/>
      </c:valAx>
    </c:plotArea>
    <c:legend>
      <c:legendPos val="r"/>
      <c:layout>
        <c:manualLayout>
          <c:xMode val="edge"/>
          <c:yMode val="edge"/>
          <c:x val="0.0677588212485459"/>
          <c:y val="0.927699688578403"/>
          <c:w val="0.222276075998449"/>
          <c:h val="0.0505007995959936"/>
        </c:manualLayout>
      </c:layout>
      <c:overlay val="0"/>
      <c:spPr>
        <a:solidFill>
          <a:srgbClr val="ffffff"/>
        </a:solidFill>
        <a:ln w="0">
          <a:solidFill>
            <a:srgbClr val="000000"/>
          </a:solidFill>
        </a:ln>
      </c:spPr>
      <c:txPr>
        <a:bodyPr/>
        <a:lstStyle/>
        <a:p>
          <a:pPr>
            <a:defRPr b="0" sz="800" strike="noStrike" u="none">
              <a:solidFill>
                <a:srgbClr val="000000"/>
              </a:solidFill>
              <a:uFillTx/>
              <a:latin typeface="Arial"/>
            </a:defRPr>
          </a:pPr>
        </a:p>
      </c:txPr>
    </c:legend>
    <c:plotVisOnly val="1"/>
    <c:dispBlanksAs val="gap"/>
  </c:chart>
  <c:spPr>
    <a:solidFill>
      <a:srgbClr val="ffffff"/>
    </a:solidFill>
    <a:ln w="0">
      <a:solidFill>
        <a:srgbClr val="000000"/>
      </a:solidFill>
    </a:ln>
  </c:spPr>
</c:chartSpace>
</file>

<file path=xl/ctrlProps/ctrlProps10.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chart" Target="../charts/chart1.xml"/>
</Relationships>
</file>

<file path=xl/drawings/_rels/drawing2.xml.rels><?xml version="1.0" encoding="UTF-8"?>
<Relationships xmlns="http://schemas.openxmlformats.org/package/2006/relationships"><Relationship Id="rId1" Type="http://schemas.openxmlformats.org/officeDocument/2006/relationships/chart" Target="../charts/chart2.xml"/><Relationship Id="rId2" Type="http://schemas.openxmlformats.org/officeDocument/2006/relationships/chart" Target="../charts/chart3.xml"/><Relationship Id="rId3" Type="http://schemas.openxmlformats.org/officeDocument/2006/relationships/chart" Target="../charts/chart4.xml"/><Relationship Id="rId4" Type="http://schemas.openxmlformats.org/officeDocument/2006/relationships/chart" Target="../charts/chart5.xml"/><Relationship Id="rId5" Type="http://schemas.openxmlformats.org/officeDocument/2006/relationships/chart" Target="../charts/chart6.xml"/>
</Relationships>
</file>

<file path=xl/drawings/_rels/drawing6.xml.rels><?xml version="1.0" encoding="UTF-8"?>
<Relationships xmlns="http://schemas.openxmlformats.org/package/2006/relationships"><Relationship Id="rId1" Type="http://schemas.openxmlformats.org/officeDocument/2006/relationships/chart" Target="../charts/chart7.xml"/><Relationship Id="rId2" Type="http://schemas.openxmlformats.org/officeDocument/2006/relationships/image" Target="../media/image1.png"/>
</Relationships>
</file>

<file path=xl/drawings/_rels/drawing7.xml.rels><?xml version="1.0" encoding="UTF-8"?>
<Relationships xmlns="http://schemas.openxmlformats.org/package/2006/relationships"><Relationship Id="rId1" Type="http://schemas.openxmlformats.org/officeDocument/2006/relationships/chart" Target="../charts/chart8.xml"/><Relationship Id="rId2" Type="http://schemas.openxmlformats.org/officeDocument/2006/relationships/image" Target="../media/image1.png"/>
</Relationships>
</file>

<file path=xl/drawings/_rels/drawing8.xml.rels><?xml version="1.0" encoding="UTF-8"?>
<Relationships xmlns="http://schemas.openxmlformats.org/package/2006/relationships"><Relationship Id="rId1" Type="http://schemas.openxmlformats.org/officeDocument/2006/relationships/chart" Target="../charts/chart9.xml"/><Relationship Id="rId2"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3260520</xdr:colOff>
      <xdr:row>152</xdr:row>
      <xdr:rowOff>0</xdr:rowOff>
    </xdr:from>
    <xdr:to>
      <xdr:col>5</xdr:col>
      <xdr:colOff>856440</xdr:colOff>
      <xdr:row>168</xdr:row>
      <xdr:rowOff>152280</xdr:rowOff>
    </xdr:to>
    <xdr:graphicFrame>
      <xdr:nvGraphicFramePr>
        <xdr:cNvPr id="0" name="Chart 634"/>
        <xdr:cNvGraphicFramePr/>
      </xdr:nvGraphicFramePr>
      <xdr:xfrm>
        <a:off x="3541680" y="25727040"/>
        <a:ext cx="4943520" cy="27432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3</xdr:col>
      <xdr:colOff>804960</xdr:colOff>
      <xdr:row>73</xdr:row>
      <xdr:rowOff>142920</xdr:rowOff>
    </xdr:from>
    <xdr:to>
      <xdr:col>4</xdr:col>
      <xdr:colOff>1047960</xdr:colOff>
      <xdr:row>75</xdr:row>
      <xdr:rowOff>152640</xdr:rowOff>
    </xdr:to>
    <xdr:sp>
      <xdr:nvSpPr>
        <xdr:cNvPr id="1" name="Text 713"/>
        <xdr:cNvSpPr/>
      </xdr:nvSpPr>
      <xdr:spPr>
        <a:xfrm>
          <a:off x="5938200" y="13335120"/>
          <a:ext cx="1541160" cy="333360"/>
        </a:xfrm>
        <a:prstGeom prst="rect">
          <a:avLst/>
        </a:prstGeom>
        <a:solidFill>
          <a:srgbClr val="ccffcc"/>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Changed on 09/17 from 50% to 83.3%.</a:t>
          </a:r>
          <a:endParaRPr b="0" lang="en-US" sz="1000" strike="noStrike" u="none">
            <a:effectLst/>
            <a:uFillTx/>
            <a:latin typeface="Times New Roman"/>
          </a:endParaRPr>
        </a:p>
      </xdr:txBody>
    </xdr:sp>
    <xdr:clientData/>
  </xdr:twoCellAnchor>
  <xdr:twoCellAnchor editAs="oneCell">
    <xdr:from>
      <xdr:col>3</xdr:col>
      <xdr:colOff>9720</xdr:colOff>
      <xdr:row>75</xdr:row>
      <xdr:rowOff>57240</xdr:rowOff>
    </xdr:from>
    <xdr:to>
      <xdr:col>3</xdr:col>
      <xdr:colOff>775440</xdr:colOff>
      <xdr:row>77</xdr:row>
      <xdr:rowOff>142920</xdr:rowOff>
    </xdr:to>
    <xdr:sp>
      <xdr:nvSpPr>
        <xdr:cNvPr id="2" name="Line 714"/>
        <xdr:cNvSpPr/>
      </xdr:nvSpPr>
      <xdr:spPr>
        <a:xfrm flipH="1">
          <a:off x="5142960" y="13573080"/>
          <a:ext cx="765720" cy="409680"/>
        </a:xfrm>
        <a:prstGeom prst="line">
          <a:avLst/>
        </a:prstGeom>
        <a:ln w="9360">
          <a:solidFill>
            <a:srgbClr val="000000"/>
          </a:solidFill>
          <a:miter/>
          <a:tailEnd len="med" type="triangle" w="med"/>
        </a:ln>
      </xdr:spPr>
      <xdr:style>
        <a:lnRef idx="0"/>
        <a:fillRef idx="0"/>
        <a:effectRef idx="0"/>
        <a:fontRef idx="minor"/>
      </xdr:style>
    </xdr:sp>
    <xdr:clientData/>
  </xdr:twoCellAnchor>
  <xdr:twoCellAnchor editAs="oneCell">
    <xdr:from>
      <xdr:col>5</xdr:col>
      <xdr:colOff>100440</xdr:colOff>
      <xdr:row>130</xdr:row>
      <xdr:rowOff>47160</xdr:rowOff>
    </xdr:from>
    <xdr:to>
      <xdr:col>6</xdr:col>
      <xdr:colOff>795600</xdr:colOff>
      <xdr:row>132</xdr:row>
      <xdr:rowOff>114480</xdr:rowOff>
    </xdr:to>
    <xdr:sp>
      <xdr:nvSpPr>
        <xdr:cNvPr id="3" name="Text 715"/>
        <xdr:cNvSpPr/>
      </xdr:nvSpPr>
      <xdr:spPr>
        <a:xfrm>
          <a:off x="7729200" y="22212000"/>
          <a:ext cx="1822320" cy="390960"/>
        </a:xfrm>
        <a:prstGeom prst="rect">
          <a:avLst/>
        </a:prstGeom>
        <a:solidFill>
          <a:srgbClr val="ccffcc"/>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Changed on 09/17 for real drawdown schedule.</a:t>
          </a:r>
          <a:endParaRPr b="0" lang="en-US" sz="1000" strike="noStrike" u="none">
            <a:effectLst/>
            <a:uFillTx/>
            <a:latin typeface="Times New Roman"/>
          </a:endParaRPr>
        </a:p>
      </xdr:txBody>
    </xdr:sp>
    <xdr:clientData/>
  </xdr:twoCellAnchor>
  <xdr:twoCellAnchor editAs="oneCell">
    <xdr:from>
      <xdr:col>4</xdr:col>
      <xdr:colOff>1157400</xdr:colOff>
      <xdr:row>118</xdr:row>
      <xdr:rowOff>151920</xdr:rowOff>
    </xdr:from>
    <xdr:to>
      <xdr:col>5</xdr:col>
      <xdr:colOff>725040</xdr:colOff>
      <xdr:row>130</xdr:row>
      <xdr:rowOff>28080</xdr:rowOff>
    </xdr:to>
    <xdr:sp>
      <xdr:nvSpPr>
        <xdr:cNvPr id="4" name="Line 716"/>
        <xdr:cNvSpPr/>
      </xdr:nvSpPr>
      <xdr:spPr>
        <a:xfrm flipH="1" flipV="1">
          <a:off x="7588800" y="20383200"/>
          <a:ext cx="765000" cy="1809720"/>
        </a:xfrm>
        <a:prstGeom prst="line">
          <a:avLst/>
        </a:prstGeom>
        <a:ln w="9360">
          <a:solidFill>
            <a:srgbClr val="000000"/>
          </a:solidFill>
          <a:miter/>
          <a:tailEnd len="med" type="triangle" w="med"/>
        </a:ln>
      </xdr:spPr>
      <xdr:style>
        <a:lnRef idx="0"/>
        <a:fillRef idx="0"/>
        <a:effectRef idx="0"/>
        <a:fontRef idx="minor"/>
      </xdr:style>
    </xdr:sp>
    <xdr:clientData/>
  </xdr:twoCellAnchor>
  <xdr:twoCellAnchor editAs="oneCell">
    <xdr:from>
      <xdr:col>5</xdr:col>
      <xdr:colOff>141120</xdr:colOff>
      <xdr:row>98</xdr:row>
      <xdr:rowOff>86040</xdr:rowOff>
    </xdr:from>
    <xdr:to>
      <xdr:col>6</xdr:col>
      <xdr:colOff>654840</xdr:colOff>
      <xdr:row>100</xdr:row>
      <xdr:rowOff>66240</xdr:rowOff>
    </xdr:to>
    <xdr:sp>
      <xdr:nvSpPr>
        <xdr:cNvPr id="5" name="Text 717"/>
        <xdr:cNvSpPr/>
      </xdr:nvSpPr>
      <xdr:spPr>
        <a:xfrm>
          <a:off x="7769880" y="17326440"/>
          <a:ext cx="1640880" cy="380160"/>
        </a:xfrm>
        <a:prstGeom prst="rect">
          <a:avLst/>
        </a:prstGeom>
        <a:solidFill>
          <a:srgbClr val="ccffcc"/>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Changed on 09/17 based on capital amortization.</a:t>
          </a:r>
          <a:endParaRPr b="0" lang="en-US" sz="1000" strike="noStrike" u="none">
            <a:effectLst/>
            <a:uFillTx/>
            <a:latin typeface="Times New Roman"/>
          </a:endParaRPr>
        </a:p>
      </xdr:txBody>
    </xdr:sp>
    <xdr:clientData/>
  </xdr:twoCellAnchor>
  <xdr:twoCellAnchor editAs="oneCell">
    <xdr:from>
      <xdr:col>5</xdr:col>
      <xdr:colOff>111240</xdr:colOff>
      <xdr:row>100</xdr:row>
      <xdr:rowOff>66240</xdr:rowOff>
    </xdr:from>
    <xdr:to>
      <xdr:col>5</xdr:col>
      <xdr:colOff>333720</xdr:colOff>
      <xdr:row>103</xdr:row>
      <xdr:rowOff>162000</xdr:rowOff>
    </xdr:to>
    <xdr:sp>
      <xdr:nvSpPr>
        <xdr:cNvPr id="6" name="Line 718"/>
        <xdr:cNvSpPr/>
      </xdr:nvSpPr>
      <xdr:spPr>
        <a:xfrm flipH="1">
          <a:off x="7740000" y="17706600"/>
          <a:ext cx="222480" cy="581400"/>
        </a:xfrm>
        <a:prstGeom prst="line">
          <a:avLst/>
        </a:prstGeom>
        <a:ln w="9360">
          <a:solidFill>
            <a:srgbClr val="000000"/>
          </a:solidFill>
          <a:miter/>
          <a:tailEnd len="med" type="triangle" w="med"/>
        </a:ln>
      </xdr:spPr>
      <xdr:style>
        <a:lnRef idx="0"/>
        <a:fillRef idx="0"/>
        <a:effectRef idx="0"/>
        <a:fontRef idx="minor"/>
      </xdr:style>
    </xdr:sp>
    <xdr:clientData/>
  </xdr:twoCellAnchor>
  <xdr:twoCellAnchor editAs="oneCell">
    <xdr:from>
      <xdr:col>3</xdr:col>
      <xdr:colOff>644040</xdr:colOff>
      <xdr:row>68</xdr:row>
      <xdr:rowOff>114480</xdr:rowOff>
    </xdr:from>
    <xdr:to>
      <xdr:col>4</xdr:col>
      <xdr:colOff>956520</xdr:colOff>
      <xdr:row>70</xdr:row>
      <xdr:rowOff>133560</xdr:rowOff>
    </xdr:to>
    <xdr:sp>
      <xdr:nvSpPr>
        <xdr:cNvPr id="7" name="Text 719"/>
        <xdr:cNvSpPr/>
      </xdr:nvSpPr>
      <xdr:spPr>
        <a:xfrm>
          <a:off x="5777280" y="12487320"/>
          <a:ext cx="1610640" cy="352440"/>
        </a:xfrm>
        <a:prstGeom prst="rect">
          <a:avLst/>
        </a:prstGeom>
        <a:solidFill>
          <a:srgbClr val="ccffcc"/>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Changed on 09/17 on the mid from 3.83 to 3.87.</a:t>
          </a:r>
          <a:endParaRPr b="0" lang="en-US" sz="1000" strike="noStrike" u="none">
            <a:effectLst/>
            <a:uFillTx/>
            <a:latin typeface="Times New Roman"/>
          </a:endParaRPr>
        </a:p>
      </xdr:txBody>
    </xdr:sp>
    <xdr:clientData/>
  </xdr:twoCellAnchor>
  <xdr:twoCellAnchor editAs="oneCell">
    <xdr:from>
      <xdr:col>3</xdr:col>
      <xdr:colOff>10080</xdr:colOff>
      <xdr:row>70</xdr:row>
      <xdr:rowOff>114480</xdr:rowOff>
    </xdr:from>
    <xdr:to>
      <xdr:col>3</xdr:col>
      <xdr:colOff>594720</xdr:colOff>
      <xdr:row>72</xdr:row>
      <xdr:rowOff>66240</xdr:rowOff>
    </xdr:to>
    <xdr:sp>
      <xdr:nvSpPr>
        <xdr:cNvPr id="8" name="Line 720"/>
        <xdr:cNvSpPr/>
      </xdr:nvSpPr>
      <xdr:spPr>
        <a:xfrm flipH="1">
          <a:off x="5143320" y="12820680"/>
          <a:ext cx="584640" cy="275760"/>
        </a:xfrm>
        <a:prstGeom prst="line">
          <a:avLst/>
        </a:prstGeom>
        <a:ln w="9360">
          <a:solidFill>
            <a:srgbClr val="000000"/>
          </a:solidFill>
          <a:miter/>
          <a:tailEnd len="med" type="triangle" w="med"/>
        </a:ln>
      </xdr:spPr>
      <xdr:style>
        <a:lnRef idx="0"/>
        <a:fillRef idx="0"/>
        <a:effectRef idx="0"/>
        <a:fontRef idx="minor"/>
      </xdr:style>
    </xdr:sp>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dr:twoCellAnchor editAs="oneCell">
    <xdr:from>
      <xdr:col>3</xdr:col>
      <xdr:colOff>90720</xdr:colOff>
      <xdr:row>6</xdr:row>
      <xdr:rowOff>19080</xdr:rowOff>
    </xdr:from>
    <xdr:to>
      <xdr:col>3</xdr:col>
      <xdr:colOff>1047240</xdr:colOff>
      <xdr:row>6</xdr:row>
      <xdr:rowOff>19080</xdr:rowOff>
    </xdr:to>
    <xdr:sp>
      <xdr:nvSpPr>
        <xdr:cNvPr id="43" name="Line 1"/>
        <xdr:cNvSpPr/>
      </xdr:nvSpPr>
      <xdr:spPr>
        <a:xfrm>
          <a:off x="2021760" y="1143000"/>
          <a:ext cx="956520" cy="0"/>
        </a:xfrm>
        <a:prstGeom prst="line">
          <a:avLst/>
        </a:prstGeom>
        <a:ln w="9360">
          <a:solidFill>
            <a:srgbClr val="000000"/>
          </a:solidFill>
          <a:miter/>
          <a:tailEnd len="med" type="triangle" w="med"/>
        </a:ln>
      </xdr:spPr>
      <xdr:style>
        <a:lnRef idx="0"/>
        <a:fillRef idx="0"/>
        <a:effectRef idx="0"/>
        <a:fontRef idx="minor"/>
      </xdr:style>
    </xdr:sp>
    <xdr:clientData/>
  </xdr:twoCellAnchor>
  <xdr:twoCellAnchor editAs="oneCell">
    <xdr:from>
      <xdr:col>3</xdr:col>
      <xdr:colOff>79560</xdr:colOff>
      <xdr:row>6</xdr:row>
      <xdr:rowOff>142920</xdr:rowOff>
    </xdr:from>
    <xdr:to>
      <xdr:col>3</xdr:col>
      <xdr:colOff>986400</xdr:colOff>
      <xdr:row>6</xdr:row>
      <xdr:rowOff>142920</xdr:rowOff>
    </xdr:to>
    <xdr:sp>
      <xdr:nvSpPr>
        <xdr:cNvPr id="44" name="Line 2"/>
        <xdr:cNvSpPr/>
      </xdr:nvSpPr>
      <xdr:spPr>
        <a:xfrm flipH="1">
          <a:off x="2010600" y="1266840"/>
          <a:ext cx="906840" cy="0"/>
        </a:xfrm>
        <a:prstGeom prst="line">
          <a:avLst/>
        </a:prstGeom>
        <a:ln w="9360">
          <a:solidFill>
            <a:srgbClr val="000000"/>
          </a:solidFill>
          <a:miter/>
          <a:tailEnd len="med" type="triangle" w="med"/>
        </a:ln>
      </xdr:spPr>
      <xdr:style>
        <a:lnRef idx="0"/>
        <a:fillRef idx="0"/>
        <a:effectRef idx="0"/>
        <a:fontRef idx="minor"/>
      </xdr:style>
    </xdr:sp>
    <xdr:clientData/>
  </xdr:twoCellAnchor>
  <xdr:twoCellAnchor editAs="oneCell">
    <xdr:from>
      <xdr:col>3</xdr:col>
      <xdr:colOff>90720</xdr:colOff>
      <xdr:row>11</xdr:row>
      <xdr:rowOff>19080</xdr:rowOff>
    </xdr:from>
    <xdr:to>
      <xdr:col>3</xdr:col>
      <xdr:colOff>1027800</xdr:colOff>
      <xdr:row>11</xdr:row>
      <xdr:rowOff>19080</xdr:rowOff>
    </xdr:to>
    <xdr:sp>
      <xdr:nvSpPr>
        <xdr:cNvPr id="45" name="Line 3"/>
        <xdr:cNvSpPr/>
      </xdr:nvSpPr>
      <xdr:spPr>
        <a:xfrm>
          <a:off x="2021760" y="1971720"/>
          <a:ext cx="937080" cy="0"/>
        </a:xfrm>
        <a:prstGeom prst="line">
          <a:avLst/>
        </a:prstGeom>
        <a:ln w="9360">
          <a:solidFill>
            <a:srgbClr val="000000"/>
          </a:solidFill>
          <a:miter/>
          <a:tailEnd len="med" type="triangle" w="med"/>
        </a:ln>
      </xdr:spPr>
      <xdr:style>
        <a:lnRef idx="0"/>
        <a:fillRef idx="0"/>
        <a:effectRef idx="0"/>
        <a:fontRef idx="minor"/>
      </xdr:style>
    </xdr:sp>
    <xdr:clientData/>
  </xdr:twoCellAnchor>
  <xdr:twoCellAnchor editAs="oneCell">
    <xdr:from>
      <xdr:col>3</xdr:col>
      <xdr:colOff>39600</xdr:colOff>
      <xdr:row>11</xdr:row>
      <xdr:rowOff>142920</xdr:rowOff>
    </xdr:from>
    <xdr:to>
      <xdr:col>3</xdr:col>
      <xdr:colOff>965880</xdr:colOff>
      <xdr:row>11</xdr:row>
      <xdr:rowOff>142920</xdr:rowOff>
    </xdr:to>
    <xdr:sp>
      <xdr:nvSpPr>
        <xdr:cNvPr id="46" name="Line 4"/>
        <xdr:cNvSpPr/>
      </xdr:nvSpPr>
      <xdr:spPr>
        <a:xfrm flipH="1">
          <a:off x="1970640" y="2095560"/>
          <a:ext cx="926280" cy="0"/>
        </a:xfrm>
        <a:prstGeom prst="line">
          <a:avLst/>
        </a:prstGeom>
        <a:ln w="9360">
          <a:solidFill>
            <a:srgbClr val="000000"/>
          </a:solidFill>
          <a:miter/>
          <a:tailEnd len="med" type="triangle" w="med"/>
        </a:ln>
      </xdr:spPr>
      <xdr:style>
        <a:lnRef idx="0"/>
        <a:fillRef idx="0"/>
        <a:effectRef idx="0"/>
        <a:fontRef idx="minor"/>
      </xdr:style>
    </xdr:sp>
    <xdr:clientData/>
  </xdr:twoCellAnchor>
  <xdr:twoCellAnchor editAs="oneCell">
    <xdr:from>
      <xdr:col>3</xdr:col>
      <xdr:colOff>100440</xdr:colOff>
      <xdr:row>21</xdr:row>
      <xdr:rowOff>28440</xdr:rowOff>
    </xdr:from>
    <xdr:to>
      <xdr:col>3</xdr:col>
      <xdr:colOff>1098000</xdr:colOff>
      <xdr:row>21</xdr:row>
      <xdr:rowOff>28440</xdr:rowOff>
    </xdr:to>
    <xdr:sp>
      <xdr:nvSpPr>
        <xdr:cNvPr id="47" name="Line 5"/>
        <xdr:cNvSpPr/>
      </xdr:nvSpPr>
      <xdr:spPr>
        <a:xfrm>
          <a:off x="2031480" y="3676680"/>
          <a:ext cx="997560" cy="0"/>
        </a:xfrm>
        <a:prstGeom prst="line">
          <a:avLst/>
        </a:prstGeom>
        <a:ln w="9360">
          <a:solidFill>
            <a:srgbClr val="000000"/>
          </a:solidFill>
          <a:miter/>
          <a:tailEnd len="med" type="triangle" w="med"/>
        </a:ln>
      </xdr:spPr>
      <xdr:style>
        <a:lnRef idx="0"/>
        <a:fillRef idx="0"/>
        <a:effectRef idx="0"/>
        <a:fontRef idx="minor"/>
      </xdr:style>
    </xdr:sp>
    <xdr:clientData/>
  </xdr:twoCellAnchor>
  <xdr:twoCellAnchor editAs="oneCell">
    <xdr:from>
      <xdr:col>3</xdr:col>
      <xdr:colOff>79560</xdr:colOff>
      <xdr:row>21</xdr:row>
      <xdr:rowOff>133200</xdr:rowOff>
    </xdr:from>
    <xdr:to>
      <xdr:col>3</xdr:col>
      <xdr:colOff>1077120</xdr:colOff>
      <xdr:row>21</xdr:row>
      <xdr:rowOff>133200</xdr:rowOff>
    </xdr:to>
    <xdr:sp>
      <xdr:nvSpPr>
        <xdr:cNvPr id="48" name="Line 6"/>
        <xdr:cNvSpPr/>
      </xdr:nvSpPr>
      <xdr:spPr>
        <a:xfrm flipH="1">
          <a:off x="2010600" y="3781440"/>
          <a:ext cx="997560" cy="0"/>
        </a:xfrm>
        <a:prstGeom prst="line">
          <a:avLst/>
        </a:prstGeom>
        <a:ln w="9360">
          <a:solidFill>
            <a:srgbClr val="000000"/>
          </a:solidFill>
          <a:miter/>
          <a:tailEnd len="med" type="triangle" w="med"/>
        </a:ln>
      </xdr:spPr>
      <xdr:style>
        <a:lnRef idx="0"/>
        <a:fillRef idx="0"/>
        <a:effectRef idx="0"/>
        <a:fontRef idx="minor"/>
      </xdr:style>
    </xdr:sp>
    <xdr:clientData/>
  </xdr:twoCellAnchor>
  <xdr:twoCellAnchor editAs="oneCell">
    <xdr:from>
      <xdr:col>3</xdr:col>
      <xdr:colOff>110160</xdr:colOff>
      <xdr:row>26</xdr:row>
      <xdr:rowOff>28440</xdr:rowOff>
    </xdr:from>
    <xdr:to>
      <xdr:col>3</xdr:col>
      <xdr:colOff>1077480</xdr:colOff>
      <xdr:row>26</xdr:row>
      <xdr:rowOff>28440</xdr:rowOff>
    </xdr:to>
    <xdr:sp>
      <xdr:nvSpPr>
        <xdr:cNvPr id="49" name="Line 7"/>
        <xdr:cNvSpPr/>
      </xdr:nvSpPr>
      <xdr:spPr>
        <a:xfrm>
          <a:off x="2041200" y="4505040"/>
          <a:ext cx="967320" cy="0"/>
        </a:xfrm>
        <a:prstGeom prst="line">
          <a:avLst/>
        </a:prstGeom>
        <a:ln w="9360">
          <a:solidFill>
            <a:srgbClr val="000000"/>
          </a:solidFill>
          <a:miter/>
          <a:tailEnd len="med" type="triangle" w="med"/>
        </a:ln>
      </xdr:spPr>
      <xdr:style>
        <a:lnRef idx="0"/>
        <a:fillRef idx="0"/>
        <a:effectRef idx="0"/>
        <a:fontRef idx="minor"/>
      </xdr:style>
    </xdr:sp>
    <xdr:clientData/>
  </xdr:twoCellAnchor>
  <xdr:twoCellAnchor editAs="oneCell">
    <xdr:from>
      <xdr:col>3</xdr:col>
      <xdr:colOff>100440</xdr:colOff>
      <xdr:row>26</xdr:row>
      <xdr:rowOff>133560</xdr:rowOff>
    </xdr:from>
    <xdr:to>
      <xdr:col>3</xdr:col>
      <xdr:colOff>986760</xdr:colOff>
      <xdr:row>26</xdr:row>
      <xdr:rowOff>133560</xdr:rowOff>
    </xdr:to>
    <xdr:sp>
      <xdr:nvSpPr>
        <xdr:cNvPr id="50" name="Line 8"/>
        <xdr:cNvSpPr/>
      </xdr:nvSpPr>
      <xdr:spPr>
        <a:xfrm flipH="1">
          <a:off x="2031480" y="4610160"/>
          <a:ext cx="886320" cy="0"/>
        </a:xfrm>
        <a:prstGeom prst="line">
          <a:avLst/>
        </a:prstGeom>
        <a:ln w="9360">
          <a:solidFill>
            <a:srgbClr val="000000"/>
          </a:solidFill>
          <a:miter/>
          <a:tailEnd len="med" type="triangle" w="med"/>
        </a:ln>
      </xdr:spPr>
      <xdr:style>
        <a:lnRef idx="0"/>
        <a:fillRef idx="0"/>
        <a:effectRef idx="0"/>
        <a:fontRef idx="minor"/>
      </xdr:style>
    </xdr:sp>
    <xdr:clientData/>
  </xdr:twoCellAnchor>
  <xdr:twoCellAnchor editAs="oneCell">
    <xdr:from>
      <xdr:col>5</xdr:col>
      <xdr:colOff>69840</xdr:colOff>
      <xdr:row>26</xdr:row>
      <xdr:rowOff>75960</xdr:rowOff>
    </xdr:from>
    <xdr:to>
      <xdr:col>5</xdr:col>
      <xdr:colOff>1137600</xdr:colOff>
      <xdr:row>26</xdr:row>
      <xdr:rowOff>75960</xdr:rowOff>
    </xdr:to>
    <xdr:sp>
      <xdr:nvSpPr>
        <xdr:cNvPr id="51" name="Line 9"/>
        <xdr:cNvSpPr/>
      </xdr:nvSpPr>
      <xdr:spPr>
        <a:xfrm flipH="1">
          <a:off x="4245120" y="4552560"/>
          <a:ext cx="1067760" cy="0"/>
        </a:xfrm>
        <a:prstGeom prst="line">
          <a:avLst/>
        </a:prstGeom>
        <a:ln w="9360">
          <a:solidFill>
            <a:srgbClr val="000000"/>
          </a:solidFill>
          <a:miter/>
          <a:tailEnd len="med" type="triangle" w="med"/>
        </a:ln>
      </xdr:spPr>
      <xdr:style>
        <a:lnRef idx="0"/>
        <a:fillRef idx="0"/>
        <a:effectRef idx="0"/>
        <a:fontRef idx="minor"/>
      </xdr:style>
    </xdr:sp>
    <xdr:clientData/>
  </xdr:twoCellAnchor>
  <xdr:twoCellAnchor editAs="oneCell">
    <xdr:from>
      <xdr:col>5</xdr:col>
      <xdr:colOff>69840</xdr:colOff>
      <xdr:row>24</xdr:row>
      <xdr:rowOff>66960</xdr:rowOff>
    </xdr:from>
    <xdr:to>
      <xdr:col>5</xdr:col>
      <xdr:colOff>1137600</xdr:colOff>
      <xdr:row>24</xdr:row>
      <xdr:rowOff>66960</xdr:rowOff>
    </xdr:to>
    <xdr:sp>
      <xdr:nvSpPr>
        <xdr:cNvPr id="52" name="Line 10"/>
        <xdr:cNvSpPr/>
      </xdr:nvSpPr>
      <xdr:spPr>
        <a:xfrm flipH="1">
          <a:off x="4245120" y="4210200"/>
          <a:ext cx="1067760" cy="0"/>
        </a:xfrm>
        <a:prstGeom prst="line">
          <a:avLst/>
        </a:prstGeom>
        <a:ln w="9360">
          <a:solidFill>
            <a:srgbClr val="000000"/>
          </a:solidFill>
          <a:miter/>
          <a:tailEnd len="med" type="triangle" w="med"/>
        </a:ln>
      </xdr:spPr>
      <xdr:style>
        <a:lnRef idx="0"/>
        <a:fillRef idx="0"/>
        <a:effectRef idx="0"/>
        <a:fontRef idx="minor"/>
      </xdr:style>
    </xdr:sp>
    <xdr:clientData/>
  </xdr:twoCellAnchor>
  <xdr:twoCellAnchor editAs="oneCell">
    <xdr:from>
      <xdr:col>5</xdr:col>
      <xdr:colOff>79920</xdr:colOff>
      <xdr:row>13</xdr:row>
      <xdr:rowOff>95400</xdr:rowOff>
    </xdr:from>
    <xdr:to>
      <xdr:col>5</xdr:col>
      <xdr:colOff>1137600</xdr:colOff>
      <xdr:row>13</xdr:row>
      <xdr:rowOff>95400</xdr:rowOff>
    </xdr:to>
    <xdr:sp>
      <xdr:nvSpPr>
        <xdr:cNvPr id="53" name="Line 11"/>
        <xdr:cNvSpPr/>
      </xdr:nvSpPr>
      <xdr:spPr>
        <a:xfrm>
          <a:off x="4255200" y="2381400"/>
          <a:ext cx="1057680" cy="0"/>
        </a:xfrm>
        <a:prstGeom prst="line">
          <a:avLst/>
        </a:prstGeom>
        <a:ln w="9360">
          <a:solidFill>
            <a:srgbClr val="000000"/>
          </a:solidFill>
          <a:miter/>
          <a:tailEnd len="med" type="triangle" w="med"/>
        </a:ln>
      </xdr:spPr>
      <xdr:style>
        <a:lnRef idx="0"/>
        <a:fillRef idx="0"/>
        <a:effectRef idx="0"/>
        <a:fontRef idx="minor"/>
      </xdr:style>
    </xdr:sp>
    <xdr:clientData/>
  </xdr:twoCellAnchor>
  <xdr:twoCellAnchor editAs="oneCell">
    <xdr:from>
      <xdr:col>5</xdr:col>
      <xdr:colOff>79920</xdr:colOff>
      <xdr:row>15</xdr:row>
      <xdr:rowOff>86040</xdr:rowOff>
    </xdr:from>
    <xdr:to>
      <xdr:col>5</xdr:col>
      <xdr:colOff>1137600</xdr:colOff>
      <xdr:row>15</xdr:row>
      <xdr:rowOff>86040</xdr:rowOff>
    </xdr:to>
    <xdr:sp>
      <xdr:nvSpPr>
        <xdr:cNvPr id="54" name="Line 12"/>
        <xdr:cNvSpPr/>
      </xdr:nvSpPr>
      <xdr:spPr>
        <a:xfrm>
          <a:off x="4255200" y="2705400"/>
          <a:ext cx="1057680" cy="0"/>
        </a:xfrm>
        <a:prstGeom prst="line">
          <a:avLst/>
        </a:prstGeom>
        <a:ln w="9360">
          <a:solidFill>
            <a:srgbClr val="000000"/>
          </a:solidFill>
          <a:miter/>
          <a:tailEnd len="med" type="triangle" w="med"/>
        </a:ln>
      </xdr:spPr>
      <xdr:style>
        <a:lnRef idx="0"/>
        <a:fillRef idx="0"/>
        <a:effectRef idx="0"/>
        <a:fontRef idx="minor"/>
      </xdr:style>
    </xdr:sp>
    <xdr:clientData/>
  </xdr:twoCellAnchor>
  <xdr:twoCellAnchor editAs="oneCell">
    <xdr:from>
      <xdr:col>5</xdr:col>
      <xdr:colOff>69840</xdr:colOff>
      <xdr:row>19</xdr:row>
      <xdr:rowOff>85680</xdr:rowOff>
    </xdr:from>
    <xdr:to>
      <xdr:col>5</xdr:col>
      <xdr:colOff>1127160</xdr:colOff>
      <xdr:row>19</xdr:row>
      <xdr:rowOff>85680</xdr:rowOff>
    </xdr:to>
    <xdr:sp>
      <xdr:nvSpPr>
        <xdr:cNvPr id="55" name="Line 13"/>
        <xdr:cNvSpPr/>
      </xdr:nvSpPr>
      <xdr:spPr>
        <a:xfrm>
          <a:off x="4245120" y="3400560"/>
          <a:ext cx="1057320" cy="0"/>
        </a:xfrm>
        <a:prstGeom prst="line">
          <a:avLst/>
        </a:prstGeom>
        <a:ln w="9360">
          <a:solidFill>
            <a:srgbClr val="000000"/>
          </a:solidFill>
          <a:miter/>
          <a:tailEnd len="med" type="triangle" w="med"/>
        </a:ln>
      </xdr:spPr>
      <xdr:style>
        <a:lnRef idx="0"/>
        <a:fillRef idx="0"/>
        <a:effectRef idx="0"/>
        <a:fontRef idx="minor"/>
      </xdr:style>
    </xdr:sp>
    <xdr:clientData/>
  </xdr:twoCellAnchor>
  <xdr:twoCellAnchor editAs="oneCell">
    <xdr:from>
      <xdr:col>5</xdr:col>
      <xdr:colOff>69840</xdr:colOff>
      <xdr:row>17</xdr:row>
      <xdr:rowOff>85680</xdr:rowOff>
    </xdr:from>
    <xdr:to>
      <xdr:col>5</xdr:col>
      <xdr:colOff>1127160</xdr:colOff>
      <xdr:row>17</xdr:row>
      <xdr:rowOff>85680</xdr:rowOff>
    </xdr:to>
    <xdr:sp>
      <xdr:nvSpPr>
        <xdr:cNvPr id="56" name="Line 14"/>
        <xdr:cNvSpPr/>
      </xdr:nvSpPr>
      <xdr:spPr>
        <a:xfrm>
          <a:off x="4245120" y="3029040"/>
          <a:ext cx="1057320" cy="0"/>
        </a:xfrm>
        <a:prstGeom prst="line">
          <a:avLst/>
        </a:prstGeom>
        <a:ln w="9360">
          <a:solidFill>
            <a:srgbClr val="000000"/>
          </a:solidFill>
          <a:miter/>
          <a:tailEnd len="med" type="triangle" w="med"/>
        </a:ln>
      </xdr:spPr>
      <xdr:style>
        <a:lnRef idx="0"/>
        <a:fillRef idx="0"/>
        <a:effectRef idx="0"/>
        <a:fontRef idx="minor"/>
      </xdr:style>
    </xdr:sp>
    <xdr:clientData/>
  </xdr:twoCellAnchor>
  <xdr:twoCellAnchor editAs="oneCell">
    <xdr:from>
      <xdr:col>3</xdr:col>
      <xdr:colOff>109800</xdr:colOff>
      <xdr:row>16</xdr:row>
      <xdr:rowOff>133560</xdr:rowOff>
    </xdr:from>
    <xdr:to>
      <xdr:col>3</xdr:col>
      <xdr:colOff>1036080</xdr:colOff>
      <xdr:row>16</xdr:row>
      <xdr:rowOff>133560</xdr:rowOff>
    </xdr:to>
    <xdr:sp>
      <xdr:nvSpPr>
        <xdr:cNvPr id="57" name="Line 15"/>
        <xdr:cNvSpPr/>
      </xdr:nvSpPr>
      <xdr:spPr>
        <a:xfrm flipH="1">
          <a:off x="2040840" y="2914920"/>
          <a:ext cx="926280" cy="0"/>
        </a:xfrm>
        <a:prstGeom prst="line">
          <a:avLst/>
        </a:prstGeom>
        <a:ln w="9360">
          <a:solidFill>
            <a:srgbClr val="000000"/>
          </a:solidFill>
          <a:miter/>
          <a:tailEnd len="med" type="triangle" w="med"/>
        </a:ln>
      </xdr:spPr>
      <xdr:style>
        <a:lnRef idx="0"/>
        <a:fillRef idx="0"/>
        <a:effectRef idx="0"/>
        <a:fontRef idx="minor"/>
      </xdr:style>
    </xdr:sp>
    <xdr:clientData/>
  </xdr:twoCellAnchor>
  <xdr:twoCellAnchor editAs="oneCell">
    <xdr:from>
      <xdr:col>3</xdr:col>
      <xdr:colOff>151200</xdr:colOff>
      <xdr:row>16</xdr:row>
      <xdr:rowOff>28440</xdr:rowOff>
    </xdr:from>
    <xdr:to>
      <xdr:col>3</xdr:col>
      <xdr:colOff>1067760</xdr:colOff>
      <xdr:row>16</xdr:row>
      <xdr:rowOff>28440</xdr:rowOff>
    </xdr:to>
    <xdr:sp>
      <xdr:nvSpPr>
        <xdr:cNvPr id="58" name="Line 16"/>
        <xdr:cNvSpPr/>
      </xdr:nvSpPr>
      <xdr:spPr>
        <a:xfrm>
          <a:off x="2082240" y="2809800"/>
          <a:ext cx="916560" cy="0"/>
        </a:xfrm>
        <a:prstGeom prst="line">
          <a:avLst/>
        </a:prstGeom>
        <a:ln w="9360">
          <a:solidFill>
            <a:srgbClr val="000000"/>
          </a:solidFill>
          <a:miter/>
          <a:tailEnd len="med" type="triangle" w="med"/>
        </a:ln>
      </xdr:spPr>
      <xdr:style>
        <a:lnRef idx="0"/>
        <a:fillRef idx="0"/>
        <a:effectRef idx="0"/>
        <a:fontRef idx="minor"/>
      </xdr:style>
    </xdr:sp>
    <xdr:clientData/>
  </xdr:twoCellAnchor>
  <xdr:twoCellAnchor editAs="oneCell">
    <xdr:from>
      <xdr:col>3</xdr:col>
      <xdr:colOff>120960</xdr:colOff>
      <xdr:row>31</xdr:row>
      <xdr:rowOff>28440</xdr:rowOff>
    </xdr:from>
    <xdr:to>
      <xdr:col>3</xdr:col>
      <xdr:colOff>1088280</xdr:colOff>
      <xdr:row>31</xdr:row>
      <xdr:rowOff>28440</xdr:rowOff>
    </xdr:to>
    <xdr:sp>
      <xdr:nvSpPr>
        <xdr:cNvPr id="59" name="Line 17"/>
        <xdr:cNvSpPr/>
      </xdr:nvSpPr>
      <xdr:spPr>
        <a:xfrm>
          <a:off x="2052000" y="5333760"/>
          <a:ext cx="967320" cy="0"/>
        </a:xfrm>
        <a:prstGeom prst="line">
          <a:avLst/>
        </a:prstGeom>
        <a:ln w="9360">
          <a:solidFill>
            <a:srgbClr val="000000"/>
          </a:solidFill>
          <a:miter/>
          <a:tailEnd len="med" type="triangle" w="med"/>
        </a:ln>
      </xdr:spPr>
      <xdr:style>
        <a:lnRef idx="0"/>
        <a:fillRef idx="0"/>
        <a:effectRef idx="0"/>
        <a:fontRef idx="minor"/>
      </xdr:style>
    </xdr:sp>
    <xdr:clientData/>
  </xdr:twoCellAnchor>
  <xdr:twoCellAnchor editAs="oneCell">
    <xdr:from>
      <xdr:col>3</xdr:col>
      <xdr:colOff>120960</xdr:colOff>
      <xdr:row>31</xdr:row>
      <xdr:rowOff>142920</xdr:rowOff>
    </xdr:from>
    <xdr:to>
      <xdr:col>3</xdr:col>
      <xdr:colOff>1007280</xdr:colOff>
      <xdr:row>31</xdr:row>
      <xdr:rowOff>142920</xdr:rowOff>
    </xdr:to>
    <xdr:sp>
      <xdr:nvSpPr>
        <xdr:cNvPr id="60" name="Line 18"/>
        <xdr:cNvSpPr/>
      </xdr:nvSpPr>
      <xdr:spPr>
        <a:xfrm flipH="1">
          <a:off x="2052000" y="5448240"/>
          <a:ext cx="886320" cy="0"/>
        </a:xfrm>
        <a:prstGeom prst="line">
          <a:avLst/>
        </a:prstGeom>
        <a:ln w="9360">
          <a:solidFill>
            <a:srgbClr val="000000"/>
          </a:solidFill>
          <a:miter/>
          <a:tailEnd len="med" type="triangle" w="med"/>
        </a:ln>
      </xdr:spPr>
      <xdr:style>
        <a:lnRef idx="0"/>
        <a:fillRef idx="0"/>
        <a:effectRef idx="0"/>
        <a:fontRef idx="minor"/>
      </xdr:style>
    </xdr:sp>
    <xdr:clientData/>
  </xdr:twoCellAnchor>
  <xdr:twoCellAnchor editAs="oneCell">
    <xdr:from>
      <xdr:col>3</xdr:col>
      <xdr:colOff>130680</xdr:colOff>
      <xdr:row>37</xdr:row>
      <xdr:rowOff>133560</xdr:rowOff>
    </xdr:from>
    <xdr:to>
      <xdr:col>3</xdr:col>
      <xdr:colOff>1017000</xdr:colOff>
      <xdr:row>37</xdr:row>
      <xdr:rowOff>133560</xdr:rowOff>
    </xdr:to>
    <xdr:sp>
      <xdr:nvSpPr>
        <xdr:cNvPr id="61" name="Line 19"/>
        <xdr:cNvSpPr/>
      </xdr:nvSpPr>
      <xdr:spPr>
        <a:xfrm flipH="1">
          <a:off x="2061720" y="6438960"/>
          <a:ext cx="886320" cy="0"/>
        </a:xfrm>
        <a:prstGeom prst="line">
          <a:avLst/>
        </a:prstGeom>
        <a:ln w="9360">
          <a:solidFill>
            <a:srgbClr val="000000"/>
          </a:solidFill>
          <a:miter/>
          <a:tailEnd len="med" type="triangle" w="med"/>
        </a:ln>
      </xdr:spPr>
      <xdr:style>
        <a:lnRef idx="0"/>
        <a:fillRef idx="0"/>
        <a:effectRef idx="0"/>
        <a:fontRef idx="minor"/>
      </xdr:style>
    </xdr:sp>
    <xdr:clientData/>
  </xdr:twoCellAnchor>
  <xdr:twoCellAnchor editAs="oneCell">
    <xdr:from>
      <xdr:col>3</xdr:col>
      <xdr:colOff>170640</xdr:colOff>
      <xdr:row>37</xdr:row>
      <xdr:rowOff>19080</xdr:rowOff>
    </xdr:from>
    <xdr:to>
      <xdr:col>3</xdr:col>
      <xdr:colOff>1106640</xdr:colOff>
      <xdr:row>37</xdr:row>
      <xdr:rowOff>19080</xdr:rowOff>
    </xdr:to>
    <xdr:sp>
      <xdr:nvSpPr>
        <xdr:cNvPr id="62" name="Line 20"/>
        <xdr:cNvSpPr/>
      </xdr:nvSpPr>
      <xdr:spPr>
        <a:xfrm>
          <a:off x="2101680" y="6324480"/>
          <a:ext cx="936000" cy="0"/>
        </a:xfrm>
        <a:prstGeom prst="line">
          <a:avLst/>
        </a:prstGeom>
        <a:ln w="9360">
          <a:solidFill>
            <a:srgbClr val="000000"/>
          </a:solidFill>
          <a:miter/>
          <a:tailEnd len="med" type="triangle" w="med"/>
        </a:ln>
      </xdr:spPr>
      <xdr:style>
        <a:lnRef idx="0"/>
        <a:fillRef idx="0"/>
        <a:effectRef idx="0"/>
        <a:fontRef idx="minor"/>
      </xdr:style>
    </xdr:sp>
    <xdr:clientData/>
  </xdr:twoCellAnchor>
  <xdr:twoCellAnchor editAs="oneCell">
    <xdr:from>
      <xdr:col>1</xdr:col>
      <xdr:colOff>0</xdr:colOff>
      <xdr:row>5</xdr:row>
      <xdr:rowOff>114480</xdr:rowOff>
    </xdr:from>
    <xdr:to>
      <xdr:col>1</xdr:col>
      <xdr:colOff>140400</xdr:colOff>
      <xdr:row>31</xdr:row>
      <xdr:rowOff>114480</xdr:rowOff>
    </xdr:to>
    <xdr:sp>
      <xdr:nvSpPr>
        <xdr:cNvPr id="63" name="AutoShape 21"/>
        <xdr:cNvSpPr/>
      </xdr:nvSpPr>
      <xdr:spPr>
        <a:xfrm>
          <a:off x="341640" y="1076400"/>
          <a:ext cx="140400" cy="4343400"/>
        </a:xfrm>
        <a:custGeom>
          <a:avLst/>
          <a:gdLst>
            <a:gd name="textAreaLeft" fmla="*/ 89640 w 140400"/>
            <a:gd name="textAreaRight" fmla="*/ 140760 w 140400"/>
            <a:gd name="textAreaTop" fmla="*/ 113040 h 4343400"/>
            <a:gd name="textAreaBottom" fmla="*/ 4230360 h 4343400"/>
            <a:gd name="GluePoint1X" fmla="*/ 21600 w 21600"/>
            <a:gd name="GluePoint1Y" fmla="*/ 0 h 21600"/>
            <a:gd name="GluePoint2X" fmla="*/ 0 w 21600"/>
            <a:gd name="GluePoint2Y" fmla="*/ 10800 h 21600"/>
            <a:gd name="GluePoint3X" fmla="*/ 21600 w 21600"/>
            <a:gd name="GluePoint3Y" fmla="*/ 21600 h 21600"/>
          </a:gdLst>
          <a:ahLst/>
          <a:cxnLst>
            <a:cxn ang="0">
              <a:pos x="GluePoint1X" y="GluePoint1Y"/>
            </a:cxn>
            <a:cxn ang="0">
              <a:pos x="GluePoint2X" y="GluePoint2Y"/>
            </a:cxn>
            <a:cxn ang="0">
              <a:pos x="GluePoint3X" y="GluePoint3Y"/>
            </a:cxn>
          </a:cxnLst>
          <a:rect l="textAreaLeft" t="textAreaTop" r="textAreaRight" b="textAreaBottom"/>
          <a:pathLst>
            <a:path w="21600" h="21600">
              <a:moveTo>
                <a:pt x="21600" y="0"/>
              </a:moveTo>
              <a:cubicBezTo>
                <a:pt x="16200" y="0"/>
                <a:pt x="10800" y="900"/>
                <a:pt x="10800" y="1800"/>
              </a:cubicBezTo>
              <a:lnTo>
                <a:pt x="10800" y="9000"/>
              </a:lnTo>
              <a:cubicBezTo>
                <a:pt x="10800" y="9900"/>
                <a:pt x="5400" y="10800"/>
                <a:pt x="0" y="10800"/>
              </a:cubicBezTo>
              <a:cubicBezTo>
                <a:pt x="5400" y="10800"/>
                <a:pt x="10800" y="11700"/>
                <a:pt x="10800" y="12600"/>
              </a:cubicBezTo>
              <a:lnTo>
                <a:pt x="10800" y="19800"/>
              </a:lnTo>
              <a:cubicBezTo>
                <a:pt x="10800" y="20700"/>
                <a:pt x="16200" y="21600"/>
                <a:pt x="21600" y="21600"/>
              </a:cubicBezTo>
            </a:path>
          </a:pathLst>
        </a:custGeom>
        <a:noFill/>
        <a:ln w="15840">
          <a:solidFill>
            <a:srgbClr val="000000"/>
          </a:solidFill>
          <a:miter/>
        </a:ln>
      </xdr:spPr>
      <xdr:style>
        <a:lnRef idx="0"/>
        <a:fillRef idx="0"/>
        <a:effectRef idx="0"/>
        <a:fontRef idx="minor"/>
      </xdr:style>
    </xdr:sp>
    <xdr:clientData/>
  </xdr:twoCellAnchor>
  <xdr:twoCellAnchor editAs="oneCell">
    <xdr:from>
      <xdr:col>5</xdr:col>
      <xdr:colOff>69840</xdr:colOff>
      <xdr:row>21</xdr:row>
      <xdr:rowOff>85680</xdr:rowOff>
    </xdr:from>
    <xdr:to>
      <xdr:col>5</xdr:col>
      <xdr:colOff>1137600</xdr:colOff>
      <xdr:row>21</xdr:row>
      <xdr:rowOff>85680</xdr:rowOff>
    </xdr:to>
    <xdr:sp>
      <xdr:nvSpPr>
        <xdr:cNvPr id="64" name="Line 22"/>
        <xdr:cNvSpPr/>
      </xdr:nvSpPr>
      <xdr:spPr>
        <a:xfrm>
          <a:off x="4245120" y="3733920"/>
          <a:ext cx="1067760" cy="0"/>
        </a:xfrm>
        <a:prstGeom prst="line">
          <a:avLst/>
        </a:prstGeom>
        <a:ln w="9360">
          <a:solidFill>
            <a:srgbClr val="000000"/>
          </a:solidFill>
          <a:miter/>
          <a:tailEnd len="med" type="triangle" w="med"/>
        </a:ln>
      </xdr:spPr>
      <xdr:style>
        <a:lnRef idx="0"/>
        <a:fillRef idx="0"/>
        <a:effectRef idx="0"/>
        <a:fontRef idx="minor"/>
      </xdr:style>
    </xdr:sp>
    <xdr:clientData/>
  </xdr:twoCellAnchor>
  <xdr:twoCellAnchor editAs="oneCell">
    <xdr:from>
      <xdr:col>5</xdr:col>
      <xdr:colOff>141120</xdr:colOff>
      <xdr:row>11</xdr:row>
      <xdr:rowOff>75960</xdr:rowOff>
    </xdr:from>
    <xdr:to>
      <xdr:col>5</xdr:col>
      <xdr:colOff>1139040</xdr:colOff>
      <xdr:row>11</xdr:row>
      <xdr:rowOff>75960</xdr:rowOff>
    </xdr:to>
    <xdr:sp>
      <xdr:nvSpPr>
        <xdr:cNvPr id="65" name="Line 23"/>
        <xdr:cNvSpPr/>
      </xdr:nvSpPr>
      <xdr:spPr>
        <a:xfrm>
          <a:off x="4316400" y="2028600"/>
          <a:ext cx="997920" cy="0"/>
        </a:xfrm>
        <a:prstGeom prst="line">
          <a:avLst/>
        </a:prstGeom>
        <a:ln w="9360">
          <a:solidFill>
            <a:srgbClr val="000000"/>
          </a:solidFill>
          <a:miter/>
          <a:tailEnd len="med" type="triangle" w="med"/>
        </a:ln>
      </xdr:spPr>
      <xdr:style>
        <a:lnRef idx="0"/>
        <a:fillRef idx="0"/>
        <a:effectRef idx="0"/>
        <a:fontRef idx="minor"/>
      </xdr:style>
    </xdr:sp>
    <xdr:clientData/>
  </xdr:twoCellAnchor>
  <xdr:twoCellAnchor editAs="oneCell">
    <xdr:from>
      <xdr:col>5</xdr:col>
      <xdr:colOff>151200</xdr:colOff>
      <xdr:row>9</xdr:row>
      <xdr:rowOff>95040</xdr:rowOff>
    </xdr:from>
    <xdr:to>
      <xdr:col>5</xdr:col>
      <xdr:colOff>1128600</xdr:colOff>
      <xdr:row>9</xdr:row>
      <xdr:rowOff>95040</xdr:rowOff>
    </xdr:to>
    <xdr:sp>
      <xdr:nvSpPr>
        <xdr:cNvPr id="66" name="Line 24"/>
        <xdr:cNvSpPr/>
      </xdr:nvSpPr>
      <xdr:spPr>
        <a:xfrm>
          <a:off x="4326480" y="1714320"/>
          <a:ext cx="977400" cy="0"/>
        </a:xfrm>
        <a:prstGeom prst="line">
          <a:avLst/>
        </a:prstGeom>
        <a:ln w="9360">
          <a:solidFill>
            <a:srgbClr val="000000"/>
          </a:solidFill>
          <a:miter/>
          <a:tailEnd len="med" type="triangle" w="med"/>
        </a:ln>
      </xdr:spPr>
      <xdr:style>
        <a:lnRef idx="0"/>
        <a:fillRef idx="0"/>
        <a:effectRef idx="0"/>
        <a:fontRef idx="minor"/>
      </xdr:style>
    </xdr:sp>
    <xdr:clientData/>
  </xdr:twoCellAnchor>
  <xdr:twoCellAnchor editAs="oneCell">
    <xdr:from>
      <xdr:col>0</xdr:col>
      <xdr:colOff>0</xdr:colOff>
      <xdr:row>15</xdr:row>
      <xdr:rowOff>19080</xdr:rowOff>
    </xdr:from>
    <xdr:to>
      <xdr:col>0</xdr:col>
      <xdr:colOff>291600</xdr:colOff>
      <xdr:row>21</xdr:row>
      <xdr:rowOff>123840</xdr:rowOff>
    </xdr:to>
    <xdr:sp>
      <xdr:nvSpPr>
        <xdr:cNvPr id="67" name="Text 25"/>
        <xdr:cNvSpPr/>
      </xdr:nvSpPr>
      <xdr:spPr>
        <a:xfrm>
          <a:off x="0" y="2638440"/>
          <a:ext cx="291600" cy="1133640"/>
        </a:xfrm>
        <a:prstGeom prst="rect">
          <a:avLst/>
        </a:prstGeom>
        <a:solidFill>
          <a:srgbClr val="ffffff"/>
        </a:solidFill>
        <a:ln w="0">
          <a:noFill/>
        </a:ln>
      </xdr:spPr>
      <xdr:style>
        <a:lnRef idx="0"/>
        <a:fillRef idx="0"/>
        <a:effectRef idx="0"/>
        <a:fontRef idx="minor"/>
      </xdr:style>
      <xdr:txBody>
        <a:bodyPr lIns="20160" rIns="20160" tIns="20160" bIns="20160" anchor="t" anchorCtr="1" vert="eaVert" rot="-10800000">
          <a:noAutofit/>
        </a:bodyPr>
        <a:p>
          <a:pPr algn="r"/>
          <a:r>
            <a:rPr b="1" lang="en-US" sz="1400" strike="noStrike" u="none">
              <a:effectLst/>
              <a:uFillTx/>
              <a:latin typeface="Arial"/>
            </a:rPr>
            <a:t>Wholesale</a:t>
          </a:r>
          <a:endParaRPr b="0" lang="en-US" sz="1400" strike="noStrike" u="none">
            <a:effectLst/>
            <a:uFillTx/>
            <a:latin typeface="Times New Roman"/>
          </a:endParaRPr>
        </a:p>
      </xdr:txBody>
    </xdr:sp>
    <xdr:clientData/>
  </xdr:twoCellAnchor>
  <xdr:twoCellAnchor editAs="oneCell">
    <xdr:from>
      <xdr:col>3</xdr:col>
      <xdr:colOff>90720</xdr:colOff>
      <xdr:row>42</xdr:row>
      <xdr:rowOff>19080</xdr:rowOff>
    </xdr:from>
    <xdr:to>
      <xdr:col>3</xdr:col>
      <xdr:colOff>1047240</xdr:colOff>
      <xdr:row>42</xdr:row>
      <xdr:rowOff>19080</xdr:rowOff>
    </xdr:to>
    <xdr:sp>
      <xdr:nvSpPr>
        <xdr:cNvPr id="68" name="Line 26"/>
        <xdr:cNvSpPr/>
      </xdr:nvSpPr>
      <xdr:spPr>
        <a:xfrm>
          <a:off x="2021760" y="7153200"/>
          <a:ext cx="956520" cy="0"/>
        </a:xfrm>
        <a:prstGeom prst="line">
          <a:avLst/>
        </a:prstGeom>
        <a:ln w="9360">
          <a:solidFill>
            <a:srgbClr val="000000"/>
          </a:solidFill>
          <a:miter/>
          <a:tailEnd len="med" type="triangle" w="med"/>
        </a:ln>
      </xdr:spPr>
      <xdr:style>
        <a:lnRef idx="0"/>
        <a:fillRef idx="0"/>
        <a:effectRef idx="0"/>
        <a:fontRef idx="minor"/>
      </xdr:style>
    </xdr:sp>
    <xdr:clientData/>
  </xdr:twoCellAnchor>
  <xdr:twoCellAnchor editAs="oneCell">
    <xdr:from>
      <xdr:col>3</xdr:col>
      <xdr:colOff>79560</xdr:colOff>
      <xdr:row>42</xdr:row>
      <xdr:rowOff>142920</xdr:rowOff>
    </xdr:from>
    <xdr:to>
      <xdr:col>3</xdr:col>
      <xdr:colOff>986400</xdr:colOff>
      <xdr:row>42</xdr:row>
      <xdr:rowOff>142920</xdr:rowOff>
    </xdr:to>
    <xdr:sp>
      <xdr:nvSpPr>
        <xdr:cNvPr id="69" name="Line 27"/>
        <xdr:cNvSpPr/>
      </xdr:nvSpPr>
      <xdr:spPr>
        <a:xfrm flipH="1">
          <a:off x="2010600" y="7277040"/>
          <a:ext cx="906840" cy="0"/>
        </a:xfrm>
        <a:prstGeom prst="line">
          <a:avLst/>
        </a:prstGeom>
        <a:ln w="9360">
          <a:solidFill>
            <a:srgbClr val="000000"/>
          </a:solidFill>
          <a:miter/>
          <a:tailEnd len="med" type="triangle" w="med"/>
        </a:ln>
      </xdr:spPr>
      <xdr:style>
        <a:lnRef idx="0"/>
        <a:fillRef idx="0"/>
        <a:effectRef idx="0"/>
        <a:fontRef idx="minor"/>
      </xdr:style>
    </xdr:sp>
    <xdr:clientData/>
  </xdr:twoCellAnchor>
  <xdr:twoCellAnchor editAs="oneCell">
    <xdr:from>
      <xdr:col>5</xdr:col>
      <xdr:colOff>100080</xdr:colOff>
      <xdr:row>37</xdr:row>
      <xdr:rowOff>75960</xdr:rowOff>
    </xdr:from>
    <xdr:to>
      <xdr:col>5</xdr:col>
      <xdr:colOff>1149120</xdr:colOff>
      <xdr:row>37</xdr:row>
      <xdr:rowOff>75960</xdr:rowOff>
    </xdr:to>
    <xdr:sp>
      <xdr:nvSpPr>
        <xdr:cNvPr id="70" name="Line 28"/>
        <xdr:cNvSpPr/>
      </xdr:nvSpPr>
      <xdr:spPr>
        <a:xfrm>
          <a:off x="4275360" y="6381360"/>
          <a:ext cx="1049040" cy="0"/>
        </a:xfrm>
        <a:prstGeom prst="line">
          <a:avLst/>
        </a:prstGeom>
        <a:ln w="9360">
          <a:solidFill>
            <a:srgbClr val="000000"/>
          </a:solidFill>
          <a:miter/>
          <a:tailEnd len="med" type="triangle" w="med"/>
        </a:ln>
      </xdr:spPr>
      <xdr:style>
        <a:lnRef idx="0"/>
        <a:fillRef idx="0"/>
        <a:effectRef idx="0"/>
        <a:fontRef idx="minor"/>
      </xdr:style>
    </xdr:sp>
    <xdr:clientData/>
  </xdr:twoCellAnchor>
  <xdr:twoCellAnchor editAs="oneCell">
    <xdr:from>
      <xdr:col>5</xdr:col>
      <xdr:colOff>79920</xdr:colOff>
      <xdr:row>39</xdr:row>
      <xdr:rowOff>86040</xdr:rowOff>
    </xdr:from>
    <xdr:to>
      <xdr:col>5</xdr:col>
      <xdr:colOff>1168200</xdr:colOff>
      <xdr:row>39</xdr:row>
      <xdr:rowOff>86040</xdr:rowOff>
    </xdr:to>
    <xdr:sp>
      <xdr:nvSpPr>
        <xdr:cNvPr id="71" name="Line 29"/>
        <xdr:cNvSpPr/>
      </xdr:nvSpPr>
      <xdr:spPr>
        <a:xfrm>
          <a:off x="4255200" y="6724800"/>
          <a:ext cx="1088280" cy="0"/>
        </a:xfrm>
        <a:prstGeom prst="line">
          <a:avLst/>
        </a:prstGeom>
        <a:ln w="9360">
          <a:solidFill>
            <a:srgbClr val="000000"/>
          </a:solidFill>
          <a:miter/>
          <a:tailEnd len="med" type="triangle" w="med"/>
        </a:ln>
      </xdr:spPr>
      <xdr:style>
        <a:lnRef idx="0"/>
        <a:fillRef idx="0"/>
        <a:effectRef idx="0"/>
        <a:fontRef idx="minor"/>
      </xdr:style>
    </xdr:sp>
    <xdr:clientData/>
  </xdr:twoCellAnchor>
  <xdr:twoCellAnchor editAs="oneCell">
    <xdr:from>
      <xdr:col>5</xdr:col>
      <xdr:colOff>90000</xdr:colOff>
      <xdr:row>43</xdr:row>
      <xdr:rowOff>104400</xdr:rowOff>
    </xdr:from>
    <xdr:to>
      <xdr:col>5</xdr:col>
      <xdr:colOff>1147680</xdr:colOff>
      <xdr:row>43</xdr:row>
      <xdr:rowOff>104400</xdr:rowOff>
    </xdr:to>
    <xdr:sp>
      <xdr:nvSpPr>
        <xdr:cNvPr id="72" name="Line 30"/>
        <xdr:cNvSpPr/>
      </xdr:nvSpPr>
      <xdr:spPr>
        <a:xfrm flipH="1">
          <a:off x="4265280" y="7400520"/>
          <a:ext cx="1057680" cy="0"/>
        </a:xfrm>
        <a:prstGeom prst="line">
          <a:avLst/>
        </a:prstGeom>
        <a:ln w="9360">
          <a:solidFill>
            <a:srgbClr val="000000"/>
          </a:solidFill>
          <a:miter/>
          <a:tailEnd len="med" type="triangle" w="med"/>
        </a:ln>
      </xdr:spPr>
      <xdr:style>
        <a:lnRef idx="0"/>
        <a:fillRef idx="0"/>
        <a:effectRef idx="0"/>
        <a:fontRef idx="minor"/>
      </xdr:style>
    </xdr:sp>
    <xdr:clientData/>
  </xdr:twoCellAnchor>
  <xdr:twoCellAnchor editAs="oneCell">
    <xdr:from>
      <xdr:col>1</xdr:col>
      <xdr:colOff>60120</xdr:colOff>
      <xdr:row>36</xdr:row>
      <xdr:rowOff>66240</xdr:rowOff>
    </xdr:from>
    <xdr:to>
      <xdr:col>1</xdr:col>
      <xdr:colOff>140400</xdr:colOff>
      <xdr:row>43</xdr:row>
      <xdr:rowOff>123840</xdr:rowOff>
    </xdr:to>
    <xdr:sp>
      <xdr:nvSpPr>
        <xdr:cNvPr id="73" name="AutoShape 31"/>
        <xdr:cNvSpPr/>
      </xdr:nvSpPr>
      <xdr:spPr>
        <a:xfrm>
          <a:off x="401760" y="6210000"/>
          <a:ext cx="80280" cy="1209960"/>
        </a:xfrm>
        <a:custGeom>
          <a:avLst/>
          <a:gdLst>
            <a:gd name="textAreaLeft" fmla="*/ 51480 w 80280"/>
            <a:gd name="textAreaRight" fmla="*/ 80640 w 80280"/>
            <a:gd name="textAreaTop" fmla="*/ 31320 h 1209960"/>
            <a:gd name="textAreaBottom" fmla="*/ 1178640 h 1209960"/>
            <a:gd name="GluePoint1X" fmla="*/ 21600 w 21600"/>
            <a:gd name="GluePoint1Y" fmla="*/ 0 h 21600"/>
            <a:gd name="GluePoint2X" fmla="*/ 0 w 21600"/>
            <a:gd name="GluePoint2Y" fmla="*/ 10800 h 21600"/>
            <a:gd name="GluePoint3X" fmla="*/ 21600 w 21600"/>
            <a:gd name="GluePoint3Y" fmla="*/ 21600 h 21600"/>
          </a:gdLst>
          <a:ahLst/>
          <a:cxnLst>
            <a:cxn ang="0">
              <a:pos x="GluePoint1X" y="GluePoint1Y"/>
            </a:cxn>
            <a:cxn ang="0">
              <a:pos x="GluePoint2X" y="GluePoint2Y"/>
            </a:cxn>
            <a:cxn ang="0">
              <a:pos x="GluePoint3X" y="GluePoint3Y"/>
            </a:cxn>
          </a:cxnLst>
          <a:rect l="textAreaLeft" t="textAreaTop" r="textAreaRight" b="textAreaBottom"/>
          <a:pathLst>
            <a:path w="21600" h="21600">
              <a:moveTo>
                <a:pt x="21600" y="0"/>
              </a:moveTo>
              <a:cubicBezTo>
                <a:pt x="16200" y="0"/>
                <a:pt x="10800" y="900"/>
                <a:pt x="10800" y="1800"/>
              </a:cubicBezTo>
              <a:lnTo>
                <a:pt x="10800" y="9000"/>
              </a:lnTo>
              <a:cubicBezTo>
                <a:pt x="10800" y="9900"/>
                <a:pt x="5400" y="10800"/>
                <a:pt x="0" y="10800"/>
              </a:cubicBezTo>
              <a:cubicBezTo>
                <a:pt x="5400" y="10800"/>
                <a:pt x="10800" y="11700"/>
                <a:pt x="10800" y="12600"/>
              </a:cubicBezTo>
              <a:lnTo>
                <a:pt x="10800" y="19800"/>
              </a:lnTo>
              <a:cubicBezTo>
                <a:pt x="10800" y="20700"/>
                <a:pt x="16200" y="21600"/>
                <a:pt x="21600" y="21600"/>
              </a:cubicBezTo>
            </a:path>
          </a:pathLst>
        </a:custGeom>
        <a:noFill/>
        <a:ln w="15840">
          <a:solidFill>
            <a:srgbClr val="000000"/>
          </a:solidFill>
          <a:miter/>
        </a:ln>
      </xdr:spPr>
      <xdr:style>
        <a:lnRef idx="0"/>
        <a:fillRef idx="0"/>
        <a:effectRef idx="0"/>
        <a:fontRef idx="minor"/>
      </xdr:style>
    </xdr:sp>
    <xdr:clientData/>
  </xdr:twoCellAnchor>
  <xdr:twoCellAnchor editAs="oneCell">
    <xdr:from>
      <xdr:col>0</xdr:col>
      <xdr:colOff>39960</xdr:colOff>
      <xdr:row>36</xdr:row>
      <xdr:rowOff>47160</xdr:rowOff>
    </xdr:from>
    <xdr:to>
      <xdr:col>0</xdr:col>
      <xdr:colOff>321840</xdr:colOff>
      <xdr:row>44</xdr:row>
      <xdr:rowOff>75960</xdr:rowOff>
    </xdr:to>
    <xdr:sp>
      <xdr:nvSpPr>
        <xdr:cNvPr id="74" name="Text 32"/>
        <xdr:cNvSpPr/>
      </xdr:nvSpPr>
      <xdr:spPr>
        <a:xfrm>
          <a:off x="39960" y="6190920"/>
          <a:ext cx="281880" cy="1352520"/>
        </a:xfrm>
        <a:prstGeom prst="rect">
          <a:avLst/>
        </a:prstGeom>
        <a:solidFill>
          <a:srgbClr val="ffffff"/>
        </a:solidFill>
        <a:ln w="0">
          <a:noFill/>
        </a:ln>
      </xdr:spPr>
      <xdr:style>
        <a:lnRef idx="0"/>
        <a:fillRef idx="0"/>
        <a:effectRef idx="0"/>
        <a:fontRef idx="minor"/>
      </xdr:style>
      <xdr:txBody>
        <a:bodyPr lIns="20160" rIns="20160" tIns="20160" bIns="20160" anchor="t" anchorCtr="1" vert="eaVert" rot="-10800000">
          <a:noAutofit/>
        </a:bodyPr>
        <a:p>
          <a:pPr algn="r"/>
          <a:r>
            <a:rPr b="1" lang="en-US" sz="1400" strike="noStrike" u="none">
              <a:effectLst/>
              <a:uFillTx/>
              <a:latin typeface="Arial"/>
            </a:rPr>
            <a:t>Redistribution</a:t>
          </a:r>
          <a:endParaRPr b="0" lang="en-US" sz="1400" strike="noStrike" u="none">
            <a:effectLst/>
            <a:uFillTx/>
            <a:latin typeface="Times New Roman"/>
          </a:endParaRPr>
        </a:p>
      </xdr:txBody>
    </xdr:sp>
    <xdr:clientData/>
  </xdr:twoCellAnchor>
  <xdr:twoCellAnchor editAs="oneCell">
    <xdr:from>
      <xdr:col>3</xdr:col>
      <xdr:colOff>90720</xdr:colOff>
      <xdr:row>49</xdr:row>
      <xdr:rowOff>85680</xdr:rowOff>
    </xdr:from>
    <xdr:to>
      <xdr:col>3</xdr:col>
      <xdr:colOff>977040</xdr:colOff>
      <xdr:row>49</xdr:row>
      <xdr:rowOff>85680</xdr:rowOff>
    </xdr:to>
    <xdr:sp>
      <xdr:nvSpPr>
        <xdr:cNvPr id="75" name="Line 33"/>
        <xdr:cNvSpPr/>
      </xdr:nvSpPr>
      <xdr:spPr>
        <a:xfrm flipH="1">
          <a:off x="2021760" y="8381880"/>
          <a:ext cx="886320" cy="0"/>
        </a:xfrm>
        <a:prstGeom prst="line">
          <a:avLst/>
        </a:prstGeom>
        <a:ln w="9360">
          <a:solidFill>
            <a:srgbClr val="000000"/>
          </a:solidFill>
          <a:miter/>
          <a:tailEnd len="med" type="triangle" w="med"/>
        </a:ln>
      </xdr:spPr>
      <xdr:style>
        <a:lnRef idx="0"/>
        <a:fillRef idx="0"/>
        <a:effectRef idx="0"/>
        <a:fontRef idx="minor"/>
      </xdr:style>
    </xdr:sp>
    <xdr:clientData/>
  </xdr:twoCellAnchor>
  <xdr:twoCellAnchor editAs="oneCell">
    <xdr:from>
      <xdr:col>3</xdr:col>
      <xdr:colOff>90720</xdr:colOff>
      <xdr:row>48</xdr:row>
      <xdr:rowOff>86040</xdr:rowOff>
    </xdr:from>
    <xdr:to>
      <xdr:col>3</xdr:col>
      <xdr:colOff>1027800</xdr:colOff>
      <xdr:row>48</xdr:row>
      <xdr:rowOff>86040</xdr:rowOff>
    </xdr:to>
    <xdr:sp>
      <xdr:nvSpPr>
        <xdr:cNvPr id="76" name="Line 34"/>
        <xdr:cNvSpPr/>
      </xdr:nvSpPr>
      <xdr:spPr>
        <a:xfrm>
          <a:off x="2021760" y="8220240"/>
          <a:ext cx="937080" cy="0"/>
        </a:xfrm>
        <a:prstGeom prst="line">
          <a:avLst/>
        </a:prstGeom>
        <a:ln w="9360">
          <a:solidFill>
            <a:srgbClr val="000000"/>
          </a:solidFill>
          <a:miter/>
          <a:tailEnd len="med" type="triangle" w="med"/>
        </a:ln>
      </xdr:spPr>
      <xdr:style>
        <a:lnRef idx="0"/>
        <a:fillRef idx="0"/>
        <a:effectRef idx="0"/>
        <a:fontRef idx="minor"/>
      </xdr:style>
    </xdr:sp>
    <xdr:clientData/>
  </xdr:twoCellAnchor>
  <xdr:twoCellAnchor editAs="oneCell">
    <xdr:from>
      <xdr:col>3</xdr:col>
      <xdr:colOff>90720</xdr:colOff>
      <xdr:row>53</xdr:row>
      <xdr:rowOff>19080</xdr:rowOff>
    </xdr:from>
    <xdr:to>
      <xdr:col>3</xdr:col>
      <xdr:colOff>1047240</xdr:colOff>
      <xdr:row>53</xdr:row>
      <xdr:rowOff>19080</xdr:rowOff>
    </xdr:to>
    <xdr:sp>
      <xdr:nvSpPr>
        <xdr:cNvPr id="77" name="Line 35"/>
        <xdr:cNvSpPr/>
      </xdr:nvSpPr>
      <xdr:spPr>
        <a:xfrm>
          <a:off x="2021760" y="8982000"/>
          <a:ext cx="956520" cy="0"/>
        </a:xfrm>
        <a:prstGeom prst="line">
          <a:avLst/>
        </a:prstGeom>
        <a:ln w="9360">
          <a:solidFill>
            <a:srgbClr val="000000"/>
          </a:solidFill>
          <a:miter/>
          <a:tailEnd len="med" type="triangle" w="med"/>
        </a:ln>
      </xdr:spPr>
      <xdr:style>
        <a:lnRef idx="0"/>
        <a:fillRef idx="0"/>
        <a:effectRef idx="0"/>
        <a:fontRef idx="minor"/>
      </xdr:style>
    </xdr:sp>
    <xdr:clientData/>
  </xdr:twoCellAnchor>
  <xdr:twoCellAnchor editAs="oneCell">
    <xdr:from>
      <xdr:col>3</xdr:col>
      <xdr:colOff>79560</xdr:colOff>
      <xdr:row>53</xdr:row>
      <xdr:rowOff>142920</xdr:rowOff>
    </xdr:from>
    <xdr:to>
      <xdr:col>3</xdr:col>
      <xdr:colOff>986400</xdr:colOff>
      <xdr:row>53</xdr:row>
      <xdr:rowOff>142920</xdr:rowOff>
    </xdr:to>
    <xdr:sp>
      <xdr:nvSpPr>
        <xdr:cNvPr id="78" name="Line 36"/>
        <xdr:cNvSpPr/>
      </xdr:nvSpPr>
      <xdr:spPr>
        <a:xfrm flipH="1">
          <a:off x="2010600" y="9105840"/>
          <a:ext cx="906840" cy="0"/>
        </a:xfrm>
        <a:prstGeom prst="line">
          <a:avLst/>
        </a:prstGeom>
        <a:ln w="9360">
          <a:solidFill>
            <a:srgbClr val="000000"/>
          </a:solidFill>
          <a:miter/>
          <a:tailEnd len="med" type="triangle" w="med"/>
        </a:ln>
      </xdr:spPr>
      <xdr:style>
        <a:lnRef idx="0"/>
        <a:fillRef idx="0"/>
        <a:effectRef idx="0"/>
        <a:fontRef idx="minor"/>
      </xdr:style>
    </xdr:sp>
    <xdr:clientData/>
  </xdr:twoCellAnchor>
  <xdr:twoCellAnchor editAs="oneCell">
    <xdr:from>
      <xdr:col>1</xdr:col>
      <xdr:colOff>60120</xdr:colOff>
      <xdr:row>47</xdr:row>
      <xdr:rowOff>66240</xdr:rowOff>
    </xdr:from>
    <xdr:to>
      <xdr:col>1</xdr:col>
      <xdr:colOff>140400</xdr:colOff>
      <xdr:row>54</xdr:row>
      <xdr:rowOff>123840</xdr:rowOff>
    </xdr:to>
    <xdr:sp>
      <xdr:nvSpPr>
        <xdr:cNvPr id="79" name="AutoShape 37"/>
        <xdr:cNvSpPr/>
      </xdr:nvSpPr>
      <xdr:spPr>
        <a:xfrm>
          <a:off x="401760" y="8038800"/>
          <a:ext cx="80280" cy="1209960"/>
        </a:xfrm>
        <a:custGeom>
          <a:avLst/>
          <a:gdLst>
            <a:gd name="textAreaLeft" fmla="*/ 51480 w 80280"/>
            <a:gd name="textAreaRight" fmla="*/ 80640 w 80280"/>
            <a:gd name="textAreaTop" fmla="*/ 31320 h 1209960"/>
            <a:gd name="textAreaBottom" fmla="*/ 1178640 h 1209960"/>
            <a:gd name="GluePoint1X" fmla="*/ 21600 w 21600"/>
            <a:gd name="GluePoint1Y" fmla="*/ 0 h 21600"/>
            <a:gd name="GluePoint2X" fmla="*/ 0 w 21600"/>
            <a:gd name="GluePoint2Y" fmla="*/ 10800 h 21600"/>
            <a:gd name="GluePoint3X" fmla="*/ 21600 w 21600"/>
            <a:gd name="GluePoint3Y" fmla="*/ 21600 h 21600"/>
          </a:gdLst>
          <a:ahLst/>
          <a:cxnLst>
            <a:cxn ang="0">
              <a:pos x="GluePoint1X" y="GluePoint1Y"/>
            </a:cxn>
            <a:cxn ang="0">
              <a:pos x="GluePoint2X" y="GluePoint2Y"/>
            </a:cxn>
            <a:cxn ang="0">
              <a:pos x="GluePoint3X" y="GluePoint3Y"/>
            </a:cxn>
          </a:cxnLst>
          <a:rect l="textAreaLeft" t="textAreaTop" r="textAreaRight" b="textAreaBottom"/>
          <a:pathLst>
            <a:path w="21600" h="21600">
              <a:moveTo>
                <a:pt x="21600" y="0"/>
              </a:moveTo>
              <a:cubicBezTo>
                <a:pt x="16200" y="0"/>
                <a:pt x="10800" y="900"/>
                <a:pt x="10800" y="1800"/>
              </a:cubicBezTo>
              <a:lnTo>
                <a:pt x="10800" y="9000"/>
              </a:lnTo>
              <a:cubicBezTo>
                <a:pt x="10800" y="9900"/>
                <a:pt x="5400" y="10800"/>
                <a:pt x="0" y="10800"/>
              </a:cubicBezTo>
              <a:cubicBezTo>
                <a:pt x="5400" y="10800"/>
                <a:pt x="10800" y="11700"/>
                <a:pt x="10800" y="12600"/>
              </a:cubicBezTo>
              <a:lnTo>
                <a:pt x="10800" y="19800"/>
              </a:lnTo>
              <a:cubicBezTo>
                <a:pt x="10800" y="20700"/>
                <a:pt x="16200" y="21600"/>
                <a:pt x="21600" y="21600"/>
              </a:cubicBezTo>
            </a:path>
          </a:pathLst>
        </a:custGeom>
        <a:noFill/>
        <a:ln w="15840">
          <a:solidFill>
            <a:srgbClr val="000000"/>
          </a:solidFill>
          <a:miter/>
        </a:ln>
      </xdr:spPr>
      <xdr:style>
        <a:lnRef idx="0"/>
        <a:fillRef idx="0"/>
        <a:effectRef idx="0"/>
        <a:fontRef idx="minor"/>
      </xdr:style>
    </xdr:sp>
    <xdr:clientData/>
  </xdr:twoCellAnchor>
  <xdr:twoCellAnchor editAs="oneCell">
    <xdr:from>
      <xdr:col>0</xdr:col>
      <xdr:colOff>39960</xdr:colOff>
      <xdr:row>47</xdr:row>
      <xdr:rowOff>75600</xdr:rowOff>
    </xdr:from>
    <xdr:to>
      <xdr:col>0</xdr:col>
      <xdr:colOff>321840</xdr:colOff>
      <xdr:row>54</xdr:row>
      <xdr:rowOff>171360</xdr:rowOff>
    </xdr:to>
    <xdr:sp>
      <xdr:nvSpPr>
        <xdr:cNvPr id="80" name="Text 38"/>
        <xdr:cNvSpPr/>
      </xdr:nvSpPr>
      <xdr:spPr>
        <a:xfrm>
          <a:off x="39960" y="8048160"/>
          <a:ext cx="281880" cy="1248120"/>
        </a:xfrm>
        <a:prstGeom prst="rect">
          <a:avLst/>
        </a:prstGeom>
        <a:solidFill>
          <a:srgbClr val="ffffff"/>
        </a:solidFill>
        <a:ln w="0">
          <a:noFill/>
        </a:ln>
      </xdr:spPr>
      <xdr:style>
        <a:lnRef idx="0"/>
        <a:fillRef idx="0"/>
        <a:effectRef idx="0"/>
        <a:fontRef idx="minor"/>
      </xdr:style>
      <xdr:txBody>
        <a:bodyPr lIns="20160" rIns="20160" tIns="20160" bIns="20160" anchor="t" anchorCtr="1" vert="eaVert" rot="-10800000">
          <a:noAutofit/>
        </a:bodyPr>
        <a:p>
          <a:pPr algn="r"/>
          <a:r>
            <a:rPr b="1" lang="en-US" sz="1400" strike="noStrike" u="none">
              <a:effectLst/>
              <a:uFillTx/>
              <a:latin typeface="Arial"/>
            </a:rPr>
            <a:t>FM Alliance</a:t>
          </a:r>
          <a:endParaRPr b="0" lang="en-US" sz="1400" strike="noStrike" u="none">
            <a:effectLst/>
            <a:uFillTx/>
            <a:latin typeface="Times New Roman"/>
          </a:endParaRPr>
        </a:p>
      </xdr:txBody>
    </xdr:sp>
    <xdr:clientData/>
  </xdr:twoCellAnchor>
  <xdr:twoCellAnchor editAs="oneCell">
    <xdr:from>
      <xdr:col>5</xdr:col>
      <xdr:colOff>161280</xdr:colOff>
      <xdr:row>54</xdr:row>
      <xdr:rowOff>104400</xdr:rowOff>
    </xdr:from>
    <xdr:to>
      <xdr:col>5</xdr:col>
      <xdr:colOff>1210320</xdr:colOff>
      <xdr:row>54</xdr:row>
      <xdr:rowOff>104400</xdr:rowOff>
    </xdr:to>
    <xdr:sp>
      <xdr:nvSpPr>
        <xdr:cNvPr id="81" name="Line 39"/>
        <xdr:cNvSpPr/>
      </xdr:nvSpPr>
      <xdr:spPr>
        <a:xfrm>
          <a:off x="4336560" y="9229320"/>
          <a:ext cx="1049040" cy="0"/>
        </a:xfrm>
        <a:prstGeom prst="line">
          <a:avLst/>
        </a:prstGeom>
        <a:ln w="9360">
          <a:solidFill>
            <a:srgbClr val="000000"/>
          </a:solidFill>
          <a:miter/>
          <a:tailEnd len="med" type="triangle" w="med"/>
        </a:ln>
      </xdr:spPr>
      <xdr:style>
        <a:lnRef idx="0"/>
        <a:fillRef idx="0"/>
        <a:effectRef idx="0"/>
        <a:fontRef idx="minor"/>
      </xdr:style>
    </xdr:sp>
    <xdr:clientData/>
  </xdr:twoCellAnchor>
  <xdr:twoCellAnchor editAs="oneCell">
    <xdr:from>
      <xdr:col>5</xdr:col>
      <xdr:colOff>141120</xdr:colOff>
      <xdr:row>48</xdr:row>
      <xdr:rowOff>95760</xdr:rowOff>
    </xdr:from>
    <xdr:to>
      <xdr:col>5</xdr:col>
      <xdr:colOff>1229040</xdr:colOff>
      <xdr:row>48</xdr:row>
      <xdr:rowOff>95760</xdr:rowOff>
    </xdr:to>
    <xdr:sp>
      <xdr:nvSpPr>
        <xdr:cNvPr id="82" name="Line 40"/>
        <xdr:cNvSpPr/>
      </xdr:nvSpPr>
      <xdr:spPr>
        <a:xfrm>
          <a:off x="4316400" y="8229960"/>
          <a:ext cx="1087920" cy="0"/>
        </a:xfrm>
        <a:prstGeom prst="line">
          <a:avLst/>
        </a:prstGeom>
        <a:ln w="9360">
          <a:solidFill>
            <a:srgbClr val="000000"/>
          </a:solidFill>
          <a:miter/>
          <a:tailEnd len="med" type="triangle" w="med"/>
        </a:ln>
      </xdr:spPr>
      <xdr:style>
        <a:lnRef idx="0"/>
        <a:fillRef idx="0"/>
        <a:effectRef idx="0"/>
        <a:fontRef idx="minor"/>
      </xdr:style>
    </xdr:sp>
    <xdr:clientData/>
  </xdr:twoCellAnchor>
  <xdr:twoCellAnchor editAs="oneCell">
    <xdr:from>
      <xdr:col>5</xdr:col>
      <xdr:colOff>161280</xdr:colOff>
      <xdr:row>49</xdr:row>
      <xdr:rowOff>85680</xdr:rowOff>
    </xdr:from>
    <xdr:to>
      <xdr:col>5</xdr:col>
      <xdr:colOff>1218960</xdr:colOff>
      <xdr:row>49</xdr:row>
      <xdr:rowOff>85680</xdr:rowOff>
    </xdr:to>
    <xdr:sp>
      <xdr:nvSpPr>
        <xdr:cNvPr id="83" name="Line 41"/>
        <xdr:cNvSpPr/>
      </xdr:nvSpPr>
      <xdr:spPr>
        <a:xfrm flipH="1">
          <a:off x="4336560" y="8381880"/>
          <a:ext cx="1057680" cy="0"/>
        </a:xfrm>
        <a:prstGeom prst="line">
          <a:avLst/>
        </a:prstGeom>
        <a:ln w="9360">
          <a:solidFill>
            <a:srgbClr val="000000"/>
          </a:solidFill>
          <a:miter/>
          <a:tailEnd len="med" type="triangle" w="med"/>
        </a:ln>
      </xdr:spPr>
      <xdr:style>
        <a:lnRef idx="0"/>
        <a:fillRef idx="0"/>
        <a:effectRef idx="0"/>
        <a:fontRef idx="minor"/>
      </xdr:style>
    </xdr:sp>
    <xdr:clientData/>
  </xdr:twoCellAnchor>
  <xdr:twoCellAnchor editAs="oneCell">
    <xdr:from>
      <xdr:col>5</xdr:col>
      <xdr:colOff>110520</xdr:colOff>
      <xdr:row>41</xdr:row>
      <xdr:rowOff>85680</xdr:rowOff>
    </xdr:from>
    <xdr:to>
      <xdr:col>5</xdr:col>
      <xdr:colOff>1188360</xdr:colOff>
      <xdr:row>41</xdr:row>
      <xdr:rowOff>85680</xdr:rowOff>
    </xdr:to>
    <xdr:sp>
      <xdr:nvSpPr>
        <xdr:cNvPr id="84" name="Line 42"/>
        <xdr:cNvSpPr/>
      </xdr:nvSpPr>
      <xdr:spPr>
        <a:xfrm>
          <a:off x="4285800" y="7058160"/>
          <a:ext cx="1077840" cy="0"/>
        </a:xfrm>
        <a:prstGeom prst="line">
          <a:avLst/>
        </a:prstGeom>
        <a:ln w="9360">
          <a:solidFill>
            <a:srgbClr val="000000"/>
          </a:solidFill>
          <a:miter/>
          <a:tailEnd len="med" type="triangle" w="med"/>
        </a:ln>
      </xdr:spPr>
      <xdr:style>
        <a:lnRef idx="0"/>
        <a:fillRef idx="0"/>
        <a:effectRef idx="0"/>
        <a:fontRef idx="minor"/>
      </xdr:style>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3</xdr:col>
      <xdr:colOff>19800</xdr:colOff>
      <xdr:row>0</xdr:row>
      <xdr:rowOff>105120</xdr:rowOff>
    </xdr:from>
    <xdr:to>
      <xdr:col>11</xdr:col>
      <xdr:colOff>453240</xdr:colOff>
      <xdr:row>15</xdr:row>
      <xdr:rowOff>95400</xdr:rowOff>
    </xdr:to>
    <xdr:graphicFrame>
      <xdr:nvGraphicFramePr>
        <xdr:cNvPr id="9" name="Chart 1"/>
        <xdr:cNvGraphicFramePr/>
      </xdr:nvGraphicFramePr>
      <xdr:xfrm>
        <a:off x="4216680" y="105120"/>
        <a:ext cx="6538680" cy="24192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2</xdr:col>
      <xdr:colOff>523440</xdr:colOff>
      <xdr:row>19</xdr:row>
      <xdr:rowOff>19080</xdr:rowOff>
    </xdr:from>
    <xdr:to>
      <xdr:col>11</xdr:col>
      <xdr:colOff>392760</xdr:colOff>
      <xdr:row>34</xdr:row>
      <xdr:rowOff>114480</xdr:rowOff>
    </xdr:to>
    <xdr:graphicFrame>
      <xdr:nvGraphicFramePr>
        <xdr:cNvPr id="10" name="Chart 2"/>
        <xdr:cNvGraphicFramePr/>
      </xdr:nvGraphicFramePr>
      <xdr:xfrm>
        <a:off x="3955680" y="3095640"/>
        <a:ext cx="6739200" cy="252432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3</xdr:col>
      <xdr:colOff>19800</xdr:colOff>
      <xdr:row>0</xdr:row>
      <xdr:rowOff>105120</xdr:rowOff>
    </xdr:from>
    <xdr:to>
      <xdr:col>11</xdr:col>
      <xdr:colOff>453240</xdr:colOff>
      <xdr:row>16</xdr:row>
      <xdr:rowOff>95400</xdr:rowOff>
    </xdr:to>
    <xdr:graphicFrame>
      <xdr:nvGraphicFramePr>
        <xdr:cNvPr id="11" name="Chart 4"/>
        <xdr:cNvGraphicFramePr/>
      </xdr:nvGraphicFramePr>
      <xdr:xfrm>
        <a:off x="4216680" y="105120"/>
        <a:ext cx="6538680" cy="258120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2</xdr:col>
      <xdr:colOff>523440</xdr:colOff>
      <xdr:row>20</xdr:row>
      <xdr:rowOff>19080</xdr:rowOff>
    </xdr:from>
    <xdr:to>
      <xdr:col>11</xdr:col>
      <xdr:colOff>392760</xdr:colOff>
      <xdr:row>35</xdr:row>
      <xdr:rowOff>114480</xdr:rowOff>
    </xdr:to>
    <xdr:graphicFrame>
      <xdr:nvGraphicFramePr>
        <xdr:cNvPr id="12" name="Chart 5"/>
        <xdr:cNvGraphicFramePr/>
      </xdr:nvGraphicFramePr>
      <xdr:xfrm>
        <a:off x="3955680" y="3257640"/>
        <a:ext cx="6739200" cy="252432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150120</xdr:colOff>
      <xdr:row>47</xdr:row>
      <xdr:rowOff>19080</xdr:rowOff>
    </xdr:from>
    <xdr:to>
      <xdr:col>8</xdr:col>
      <xdr:colOff>584280</xdr:colOff>
      <xdr:row>64</xdr:row>
      <xdr:rowOff>9360</xdr:rowOff>
    </xdr:to>
    <xdr:graphicFrame>
      <xdr:nvGraphicFramePr>
        <xdr:cNvPr id="13" name="Chart 6"/>
        <xdr:cNvGraphicFramePr/>
      </xdr:nvGraphicFramePr>
      <xdr:xfrm>
        <a:off x="150120" y="7629480"/>
        <a:ext cx="8473320" cy="274320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4</xdr:col>
      <xdr:colOff>271440</xdr:colOff>
      <xdr:row>25</xdr:row>
      <xdr:rowOff>142920</xdr:rowOff>
    </xdr:from>
    <xdr:to>
      <xdr:col>5</xdr:col>
      <xdr:colOff>614880</xdr:colOff>
      <xdr:row>26</xdr:row>
      <xdr:rowOff>228960</xdr:rowOff>
    </xdr:to>
    <xdr:sp>
      <xdr:nvSpPr>
        <xdr:cNvPr id="14" name="Text 92"/>
        <xdr:cNvSpPr/>
      </xdr:nvSpPr>
      <xdr:spPr>
        <a:xfrm>
          <a:off x="6551640" y="4971960"/>
          <a:ext cx="1369440" cy="248040"/>
        </a:xfrm>
        <a:prstGeom prst="rect">
          <a:avLst/>
        </a:prstGeom>
        <a:solidFill>
          <a:srgbClr val="ccffcc"/>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Changed on 10/01.</a:t>
          </a:r>
          <a:endParaRPr b="0" lang="en-US" sz="1000" strike="noStrike" u="none">
            <a:effectLst/>
            <a:uFillTx/>
            <a:latin typeface="Times New Roman"/>
          </a:endParaRPr>
        </a:p>
      </xdr:txBody>
    </xdr:sp>
    <xdr:clientData/>
  </xdr:twoCellAnchor>
  <xdr:twoCellAnchor editAs="oneCell">
    <xdr:from>
      <xdr:col>3</xdr:col>
      <xdr:colOff>1136520</xdr:colOff>
      <xdr:row>23</xdr:row>
      <xdr:rowOff>37440</xdr:rowOff>
    </xdr:from>
    <xdr:to>
      <xdr:col>4</xdr:col>
      <xdr:colOff>282600</xdr:colOff>
      <xdr:row>25</xdr:row>
      <xdr:rowOff>85680</xdr:rowOff>
    </xdr:to>
    <xdr:sp>
      <xdr:nvSpPr>
        <xdr:cNvPr id="15" name="Line 93"/>
        <xdr:cNvSpPr/>
      </xdr:nvSpPr>
      <xdr:spPr>
        <a:xfrm flipH="1" flipV="1">
          <a:off x="6259680" y="4542840"/>
          <a:ext cx="303120" cy="371880"/>
        </a:xfrm>
        <a:prstGeom prst="line">
          <a:avLst/>
        </a:prstGeom>
        <a:ln w="9360">
          <a:solidFill>
            <a:srgbClr val="000000"/>
          </a:solidFill>
          <a:miter/>
          <a:tailEnd len="med" type="triangle" w="med"/>
        </a:ln>
      </xdr:spPr>
      <xdr:style>
        <a:lnRef idx="0"/>
        <a:fillRef idx="0"/>
        <a:effectRef idx="0"/>
        <a:fontRef idx="minor"/>
      </xdr:style>
    </xdr: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33</xdr:col>
      <xdr:colOff>271440</xdr:colOff>
      <xdr:row>0</xdr:row>
      <xdr:rowOff>114480</xdr:rowOff>
    </xdr:from>
    <xdr:to>
      <xdr:col>34</xdr:col>
      <xdr:colOff>846720</xdr:colOff>
      <xdr:row>3</xdr:row>
      <xdr:rowOff>114480</xdr:rowOff>
    </xdr:to>
    <xdr:sp>
      <xdr:nvSpPr>
        <xdr:cNvPr id="16" name="Text 388"/>
        <xdr:cNvSpPr/>
      </xdr:nvSpPr>
      <xdr:spPr>
        <a:xfrm>
          <a:off x="30093120" y="114480"/>
          <a:ext cx="1510920" cy="514440"/>
        </a:xfrm>
        <a:prstGeom prst="rect">
          <a:avLst/>
        </a:prstGeom>
        <a:solidFill>
          <a:srgbClr val="ffffcc"/>
        </a:solidFill>
        <a:ln w="38160">
          <a:solidFill>
            <a:srgbClr val="ffcc00"/>
          </a:solidFill>
          <a:miter/>
        </a:ln>
      </xdr:spPr>
      <xdr:style>
        <a:lnRef idx="0"/>
        <a:fillRef idx="0"/>
        <a:effectRef idx="0"/>
        <a:fontRef idx="minor"/>
      </xdr:style>
      <xdr:txBody>
        <a:bodyPr lIns="20160" rIns="20160" tIns="20160" bIns="20160" anchor="t">
          <a:noAutofit/>
        </a:bodyPr>
        <a:p>
          <a:r>
            <a:rPr b="1" lang="en-US" sz="1000" strike="noStrike" u="none">
              <a:solidFill>
                <a:srgbClr val="ff6600"/>
              </a:solidFill>
              <a:effectLst/>
              <a:uFillTx/>
              <a:latin typeface="Arial"/>
            </a:rPr>
            <a:t>Click to rerun mid and offer scenarios.</a:t>
          </a:r>
          <a:endParaRPr b="0" lang="en-US" sz="10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32</xdr:col>
          <xdr:colOff>332280</xdr:colOff>
          <xdr:row>4</xdr:row>
          <xdr:rowOff>124200</xdr:rowOff>
        </xdr:from>
        <xdr:to>
          <xdr:col>33</xdr:col>
          <xdr:colOff>402840</xdr:colOff>
          <xdr:row>6</xdr:row>
          <xdr:rowOff>76320</xdr:rowOff>
        </xdr:to>
        <xdr:sp>
          <xdr:nvSpPr>
            <xdr:cNvPr id="1001" name="Button 566" descr="Rerun Offer" hidden="0"/>
            <xdr:cNvSpPr/>
          </xdr:nvSpPr>
          <xdr:spPr>
            <a:xfrm>
              <a:off x="0" y="0"/>
              <a:ext cx="0" cy="0"/>
            </a:xfrm>
            <a:prstGeom prst="rect">
              <a:avLst/>
            </a:prstGeom>
          </xdr:spPr>
          <xdr:txBody>
            <a:bodyPr anchor="ctr">
              <a:noAutofit/>
            </a:bodyPr>
            <a:p>
              <a:r>
                <a:t>Rerun Offer</a:t>
              </a:r>
            </a:p>
          </xdr:txBody>
        </xdr:sp>
        <xdr:clientData/>
      </xdr:twoCellAnchor>
    </mc:Choice>
  </mc:AlternateContent>
  <xdr:twoCellAnchor editAs="oneCell">
    <xdr:from>
      <xdr:col>33</xdr:col>
      <xdr:colOff>130320</xdr:colOff>
      <xdr:row>2</xdr:row>
      <xdr:rowOff>152640</xdr:rowOff>
    </xdr:from>
    <xdr:to>
      <xdr:col>33</xdr:col>
      <xdr:colOff>241560</xdr:colOff>
      <xdr:row>4</xdr:row>
      <xdr:rowOff>104760</xdr:rowOff>
    </xdr:to>
    <xdr:sp>
      <xdr:nvSpPr>
        <xdr:cNvPr id="17" name="Line 733"/>
        <xdr:cNvSpPr/>
      </xdr:nvSpPr>
      <xdr:spPr>
        <a:xfrm flipH="1">
          <a:off x="29952000" y="486000"/>
          <a:ext cx="111240" cy="313920"/>
        </a:xfrm>
        <a:prstGeom prst="line">
          <a:avLst/>
        </a:prstGeom>
        <a:ln w="9360">
          <a:solidFill>
            <a:srgbClr val="000000"/>
          </a:solidFill>
          <a:miter/>
          <a:tailEnd len="med" type="triangle" w="med"/>
        </a:ln>
      </xdr:spPr>
      <xdr:style>
        <a:lnRef idx="0"/>
        <a:fillRef idx="0"/>
        <a:effectRef idx="0"/>
        <a:fontRef idx="minor"/>
      </xdr:style>
    </xdr:sp>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30240</xdr:colOff>
      <xdr:row>68</xdr:row>
      <xdr:rowOff>142920</xdr:rowOff>
    </xdr:from>
    <xdr:to>
      <xdr:col>7</xdr:col>
      <xdr:colOff>1652760</xdr:colOff>
      <xdr:row>76</xdr:row>
      <xdr:rowOff>95760</xdr:rowOff>
    </xdr:to>
    <xdr:sp>
      <xdr:nvSpPr>
        <xdr:cNvPr id="18" name="Text 1"/>
        <xdr:cNvSpPr/>
      </xdr:nvSpPr>
      <xdr:spPr>
        <a:xfrm>
          <a:off x="281160" y="11553840"/>
          <a:ext cx="8788320" cy="1248120"/>
        </a:xfrm>
        <a:prstGeom prst="rect">
          <a:avLst/>
        </a:prstGeom>
        <a:solidFill>
          <a:srgbClr val="ffffff"/>
        </a:solidFill>
        <a:ln w="38160">
          <a:solidFill>
            <a:srgbClr val="000000"/>
          </a:solidFill>
          <a:miter/>
        </a:ln>
      </xdr:spPr>
      <xdr:style>
        <a:lnRef idx="0"/>
        <a:fillRef idx="0"/>
        <a:effectRef idx="0"/>
        <a:fontRef idx="minor"/>
      </xdr:style>
      <xdr:txBody>
        <a:bodyPr lIns="20160" rIns="20160" tIns="20160" bIns="20160" anchor="t">
          <a:noAutofit/>
        </a:bodyPr>
        <a:p>
          <a:r>
            <a:rPr b="0" lang="en-US" sz="1200" strike="noStrike" u="none">
              <a:effectLst/>
              <a:uFillTx/>
              <a:latin typeface="Arial"/>
            </a:rPr>
            <a:t>This is only for commodity part of the Simmon deal. The scope of the deal includes wholly-owned only. EESO will save 9.5% off its commodity baseline. Commodities include power, gas, water/waste water. For the total discount, 5.5% of the savings will be paid in the form of lease payment to the customer. </a:t>
          </a:r>
          <a:endParaRPr b="0" lang="en-US" sz="1200" strike="noStrike" u="none">
            <a:effectLst/>
            <a:uFillTx/>
            <a:latin typeface="Times New Roman"/>
          </a:endParaRPr>
        </a:p>
        <a:p>
          <a:r>
            <a:rPr b="0" lang="en-US" sz="1200" strike="noStrike" u="none">
              <a:effectLst/>
              <a:uFillTx/>
              <a:latin typeface="Arial"/>
            </a:rPr>
            <a:t>The total DSM capital expenditure is $33.2 million. The capital interest rate is 9.45%. The consumption premium is 1.5% of the NPV revenues. There is a negative NPV of $4.3 million for Account Management that is not included in this summary sheet. The discount rate used is 7%.</a:t>
          </a:r>
          <a:endParaRPr b="0" lang="en-US" sz="1200" strike="noStrike" u="none">
            <a:effectLst/>
            <a:uFillTx/>
            <a:latin typeface="Times New Roman"/>
          </a:endParaRPr>
        </a:p>
        <a:p>
          <a:endParaRPr b="0" lang="en-US" sz="1200" strike="noStrike" u="none">
            <a:effectLst/>
            <a:uFillTx/>
            <a:latin typeface="Times New Roman"/>
          </a:endParaRPr>
        </a:p>
        <a:p>
          <a:endParaRPr b="0" lang="en-US" sz="1200" strike="noStrike" u="none">
            <a:effectLst/>
            <a:uFillTx/>
            <a:latin typeface="Times New Roman"/>
          </a:endParaRPr>
        </a:p>
      </xdr:txBody>
    </xdr:sp>
    <xdr:clientData/>
  </xdr:twoCellAnchor>
  <xdr:twoCellAnchor editAs="oneCell">
    <xdr:from>
      <xdr:col>1</xdr:col>
      <xdr:colOff>0</xdr:colOff>
      <xdr:row>2</xdr:row>
      <xdr:rowOff>0</xdr:rowOff>
    </xdr:from>
    <xdr:to>
      <xdr:col>8</xdr:col>
      <xdr:colOff>360</xdr:colOff>
      <xdr:row>2</xdr:row>
      <xdr:rowOff>199800</xdr:rowOff>
    </xdr:to>
    <xdr:sp>
      <xdr:nvSpPr>
        <xdr:cNvPr id="19" name="Rectangle 2"/>
        <xdr:cNvSpPr/>
      </xdr:nvSpPr>
      <xdr:spPr>
        <a:xfrm>
          <a:off x="250920" y="324000"/>
          <a:ext cx="8836920" cy="199800"/>
        </a:xfrm>
        <a:prstGeom prst="rect">
          <a:avLst/>
        </a:prstGeom>
        <a:noFill/>
        <a:ln w="9360">
          <a:solidFill>
            <a:srgbClr val="000000"/>
          </a:solidFill>
          <a:miter/>
        </a:ln>
      </xdr:spPr>
      <xdr:style>
        <a:lnRef idx="0"/>
        <a:fillRef idx="0"/>
        <a:effectRef idx="0"/>
        <a:fontRef idx="minor"/>
      </xdr:style>
    </xdr:sp>
    <xdr:clientData/>
  </xdr:twoCellAnchor>
  <xdr:twoCellAnchor editAs="oneCell">
    <xdr:from>
      <xdr:col>1</xdr:col>
      <xdr:colOff>0</xdr:colOff>
      <xdr:row>29</xdr:row>
      <xdr:rowOff>0</xdr:rowOff>
    </xdr:from>
    <xdr:to>
      <xdr:col>4</xdr:col>
      <xdr:colOff>1080</xdr:colOff>
      <xdr:row>29</xdr:row>
      <xdr:rowOff>162000</xdr:rowOff>
    </xdr:to>
    <xdr:sp>
      <xdr:nvSpPr>
        <xdr:cNvPr id="20" name="Rectangle 3"/>
        <xdr:cNvSpPr/>
      </xdr:nvSpPr>
      <xdr:spPr>
        <a:xfrm>
          <a:off x="250920" y="4800600"/>
          <a:ext cx="3724560" cy="162000"/>
        </a:xfrm>
        <a:prstGeom prst="rect">
          <a:avLst/>
        </a:prstGeom>
        <a:noFill/>
        <a:ln w="9360">
          <a:solidFill>
            <a:srgbClr val="000000"/>
          </a:solidFill>
          <a:miter/>
        </a:ln>
        <a:effectLst>
          <a:outerShdw dist="153753" dir="2700000" blurRad="0" rotWithShape="0">
            <a:srgbClr val="808080"/>
          </a:outerShdw>
        </a:effectLst>
      </xdr:spPr>
      <xdr:style>
        <a:lnRef idx="0"/>
        <a:fillRef idx="0"/>
        <a:effectRef idx="0"/>
        <a:fontRef idx="minor"/>
      </xdr:style>
    </xdr:sp>
    <xdr:clientData/>
  </xdr:twoCellAnchor>
  <xdr:twoCellAnchor editAs="oneCell">
    <xdr:from>
      <xdr:col>1</xdr:col>
      <xdr:colOff>0</xdr:colOff>
      <xdr:row>39</xdr:row>
      <xdr:rowOff>0</xdr:rowOff>
    </xdr:from>
    <xdr:to>
      <xdr:col>4</xdr:col>
      <xdr:colOff>1080</xdr:colOff>
      <xdr:row>39</xdr:row>
      <xdr:rowOff>162000</xdr:rowOff>
    </xdr:to>
    <xdr:sp>
      <xdr:nvSpPr>
        <xdr:cNvPr id="21" name="Rectangle 4"/>
        <xdr:cNvSpPr/>
      </xdr:nvSpPr>
      <xdr:spPr>
        <a:xfrm>
          <a:off x="250920" y="6419880"/>
          <a:ext cx="3724560" cy="162000"/>
        </a:xfrm>
        <a:prstGeom prst="rect">
          <a:avLst/>
        </a:prstGeom>
        <a:noFill/>
        <a:ln w="9360">
          <a:solidFill>
            <a:srgbClr val="000000"/>
          </a:solidFill>
          <a:miter/>
        </a:ln>
        <a:effectLst>
          <a:outerShdw dist="153753" dir="2700000" blurRad="0" rotWithShape="0">
            <a:srgbClr val="808080"/>
          </a:outerShdw>
        </a:effectLst>
      </xdr:spPr>
      <xdr:style>
        <a:lnRef idx="0"/>
        <a:fillRef idx="0"/>
        <a:effectRef idx="0"/>
        <a:fontRef idx="minor"/>
      </xdr:style>
    </xdr:sp>
    <xdr:clientData/>
  </xdr:twoCellAnchor>
  <xdr:twoCellAnchor editAs="oneCell">
    <xdr:from>
      <xdr:col>5</xdr:col>
      <xdr:colOff>252000</xdr:colOff>
      <xdr:row>41</xdr:row>
      <xdr:rowOff>37440</xdr:rowOff>
    </xdr:from>
    <xdr:to>
      <xdr:col>8</xdr:col>
      <xdr:colOff>360</xdr:colOff>
      <xdr:row>66</xdr:row>
      <xdr:rowOff>9360</xdr:rowOff>
    </xdr:to>
    <xdr:graphicFrame>
      <xdr:nvGraphicFramePr>
        <xdr:cNvPr id="22" name="Chart 5"/>
        <xdr:cNvGraphicFramePr/>
      </xdr:nvGraphicFramePr>
      <xdr:xfrm>
        <a:off x="5374080" y="6781320"/>
        <a:ext cx="3713760" cy="427716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6</xdr:col>
      <xdr:colOff>0</xdr:colOff>
      <xdr:row>29</xdr:row>
      <xdr:rowOff>0</xdr:rowOff>
    </xdr:from>
    <xdr:to>
      <xdr:col>8</xdr:col>
      <xdr:colOff>360</xdr:colOff>
      <xdr:row>29</xdr:row>
      <xdr:rowOff>162000</xdr:rowOff>
    </xdr:to>
    <xdr:sp>
      <xdr:nvSpPr>
        <xdr:cNvPr id="23" name="Rectangle 6"/>
        <xdr:cNvSpPr/>
      </xdr:nvSpPr>
      <xdr:spPr>
        <a:xfrm>
          <a:off x="6269400" y="4800600"/>
          <a:ext cx="2818440" cy="162000"/>
        </a:xfrm>
        <a:prstGeom prst="rect">
          <a:avLst/>
        </a:prstGeom>
        <a:noFill/>
        <a:ln w="9360">
          <a:solidFill>
            <a:srgbClr val="000000"/>
          </a:solidFill>
          <a:miter/>
        </a:ln>
        <a:effectLst>
          <a:outerShdw dist="153753" dir="2700000" blurRad="0" rotWithShape="0">
            <a:srgbClr val="808080"/>
          </a:outerShdw>
        </a:effectLst>
      </xdr:spPr>
      <xdr:style>
        <a:lnRef idx="0"/>
        <a:fillRef idx="0"/>
        <a:effectRef idx="0"/>
        <a:fontRef idx="minor"/>
      </xdr:style>
    </xdr:sp>
    <xdr:clientData/>
  </xdr:twoCellAnchor>
  <xdr:twoCellAnchor editAs="oneCell">
    <xdr:from>
      <xdr:col>1</xdr:col>
      <xdr:colOff>664920</xdr:colOff>
      <xdr:row>4</xdr:row>
      <xdr:rowOff>86040</xdr:rowOff>
    </xdr:from>
    <xdr:to>
      <xdr:col>2</xdr:col>
      <xdr:colOff>11160</xdr:colOff>
      <xdr:row>9</xdr:row>
      <xdr:rowOff>172080</xdr:rowOff>
    </xdr:to>
    <xdr:pic>
      <xdr:nvPicPr>
        <xdr:cNvPr id="24" name="Picture 7" descr=""/>
        <xdr:cNvPicPr/>
      </xdr:nvPicPr>
      <xdr:blipFill>
        <a:blip r:embed="rId2"/>
        <a:stretch/>
      </xdr:blipFill>
      <xdr:spPr>
        <a:xfrm>
          <a:off x="915840" y="733680"/>
          <a:ext cx="987120" cy="933840"/>
        </a:xfrm>
        <a:prstGeom prst="rect">
          <a:avLst/>
        </a:prstGeom>
        <a:noFill/>
        <a:ln w="0">
          <a:noFill/>
        </a:ln>
      </xdr:spPr>
    </xdr:pic>
    <xdr:clientData/>
  </xdr:twoCellAnchor>
  <xdr:twoCellAnchor editAs="oneCell">
    <xdr:from>
      <xdr:col>7</xdr:col>
      <xdr:colOff>1217160</xdr:colOff>
      <xdr:row>93</xdr:row>
      <xdr:rowOff>114480</xdr:rowOff>
    </xdr:from>
    <xdr:to>
      <xdr:col>9</xdr:col>
      <xdr:colOff>585720</xdr:colOff>
      <xdr:row>95</xdr:row>
      <xdr:rowOff>28800</xdr:rowOff>
    </xdr:to>
    <xdr:sp>
      <xdr:nvSpPr>
        <xdr:cNvPr id="25" name="Line 61"/>
        <xdr:cNvSpPr/>
      </xdr:nvSpPr>
      <xdr:spPr>
        <a:xfrm>
          <a:off x="8633880" y="15573600"/>
          <a:ext cx="1219680" cy="237960"/>
        </a:xfrm>
        <a:prstGeom prst="line">
          <a:avLst/>
        </a:prstGeom>
        <a:ln w="9360">
          <a:solidFill>
            <a:srgbClr val="000000"/>
          </a:solidFill>
          <a:miter/>
          <a:tailEnd len="med" type="triangle" w="med"/>
        </a:ln>
      </xdr:spPr>
      <xdr:style>
        <a:lnRef idx="0"/>
        <a:fillRef idx="0"/>
        <a:effectRef idx="0"/>
        <a:fontRef idx="minor"/>
      </xdr:style>
    </xdr:sp>
    <xdr:clientData/>
  </xdr:twoCellAnchor>
  <xdr:twoCellAnchor editAs="oneCell">
    <xdr:from>
      <xdr:col>9</xdr:col>
      <xdr:colOff>1127520</xdr:colOff>
      <xdr:row>93</xdr:row>
      <xdr:rowOff>66240</xdr:rowOff>
    </xdr:from>
    <xdr:to>
      <xdr:col>10</xdr:col>
      <xdr:colOff>775800</xdr:colOff>
      <xdr:row>95</xdr:row>
      <xdr:rowOff>28800</xdr:rowOff>
    </xdr:to>
    <xdr:sp>
      <xdr:nvSpPr>
        <xdr:cNvPr id="26" name="Line 62"/>
        <xdr:cNvSpPr/>
      </xdr:nvSpPr>
      <xdr:spPr>
        <a:xfrm flipH="1">
          <a:off x="10395360" y="15525360"/>
          <a:ext cx="1148040" cy="286200"/>
        </a:xfrm>
        <a:prstGeom prst="line">
          <a:avLst/>
        </a:prstGeom>
        <a:ln w="9360">
          <a:solidFill>
            <a:srgbClr val="000000"/>
          </a:solidFill>
          <a:miter/>
          <a:tailEnd len="med" type="triangle" w="med"/>
        </a:ln>
      </xdr:spPr>
      <xdr:style>
        <a:lnRef idx="0"/>
        <a:fillRef idx="0"/>
        <a:effectRef idx="0"/>
        <a:fontRef idx="minor"/>
      </xdr:style>
    </xdr: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81000</xdr:colOff>
      <xdr:row>67</xdr:row>
      <xdr:rowOff>47520</xdr:rowOff>
    </xdr:from>
    <xdr:to>
      <xdr:col>8</xdr:col>
      <xdr:colOff>30240</xdr:colOff>
      <xdr:row>76</xdr:row>
      <xdr:rowOff>19080</xdr:rowOff>
    </xdr:to>
    <xdr:sp>
      <xdr:nvSpPr>
        <xdr:cNvPr id="27" name="Text 1"/>
        <xdr:cNvSpPr/>
      </xdr:nvSpPr>
      <xdr:spPr>
        <a:xfrm>
          <a:off x="331920" y="11296440"/>
          <a:ext cx="8664480" cy="1428840"/>
        </a:xfrm>
        <a:prstGeom prst="rect">
          <a:avLst/>
        </a:prstGeom>
        <a:solidFill>
          <a:srgbClr val="ffffff"/>
        </a:solidFill>
        <a:ln w="38160">
          <a:solidFill>
            <a:srgbClr val="000000"/>
          </a:solidFill>
          <a:miter/>
        </a:ln>
      </xdr:spPr>
      <xdr:style>
        <a:lnRef idx="0"/>
        <a:fillRef idx="0"/>
        <a:effectRef idx="0"/>
        <a:fontRef idx="minor"/>
      </xdr:style>
      <xdr:txBody>
        <a:bodyPr lIns="20160" rIns="20160" tIns="20160" bIns="20160" anchor="t">
          <a:noAutofit/>
        </a:bodyPr>
        <a:p>
          <a:r>
            <a:rPr b="0" lang="en-US" sz="1200" strike="noStrike" u="none">
              <a:effectLst/>
              <a:uFillTx/>
              <a:latin typeface="Arial"/>
            </a:rPr>
            <a:t>This is only for redistribution part of the Simmon deal. The negative cash flows in the first couple of years are mainly caused by the fixed payment to Simon by Contract.</a:t>
          </a:r>
          <a:endParaRPr b="0" lang="en-US" sz="1200" strike="noStrike" u="none">
            <a:effectLst/>
            <a:uFillTx/>
            <a:latin typeface="Times New Roman"/>
          </a:endParaRPr>
        </a:p>
      </xdr:txBody>
    </xdr:sp>
    <xdr:clientData/>
  </xdr:twoCellAnchor>
  <xdr:twoCellAnchor editAs="oneCell">
    <xdr:from>
      <xdr:col>1</xdr:col>
      <xdr:colOff>0</xdr:colOff>
      <xdr:row>2</xdr:row>
      <xdr:rowOff>0</xdr:rowOff>
    </xdr:from>
    <xdr:to>
      <xdr:col>8</xdr:col>
      <xdr:colOff>360</xdr:colOff>
      <xdr:row>2</xdr:row>
      <xdr:rowOff>199800</xdr:rowOff>
    </xdr:to>
    <xdr:sp>
      <xdr:nvSpPr>
        <xdr:cNvPr id="28" name="Rectangle 2"/>
        <xdr:cNvSpPr/>
      </xdr:nvSpPr>
      <xdr:spPr>
        <a:xfrm>
          <a:off x="250920" y="324000"/>
          <a:ext cx="8715600" cy="199800"/>
        </a:xfrm>
        <a:prstGeom prst="rect">
          <a:avLst/>
        </a:prstGeom>
        <a:noFill/>
        <a:ln w="9360">
          <a:solidFill>
            <a:srgbClr val="000000"/>
          </a:solidFill>
          <a:miter/>
        </a:ln>
      </xdr:spPr>
      <xdr:style>
        <a:lnRef idx="0"/>
        <a:fillRef idx="0"/>
        <a:effectRef idx="0"/>
        <a:fontRef idx="minor"/>
      </xdr:style>
    </xdr:sp>
    <xdr:clientData/>
  </xdr:twoCellAnchor>
  <xdr:twoCellAnchor editAs="oneCell">
    <xdr:from>
      <xdr:col>1</xdr:col>
      <xdr:colOff>0</xdr:colOff>
      <xdr:row>28</xdr:row>
      <xdr:rowOff>0</xdr:rowOff>
    </xdr:from>
    <xdr:to>
      <xdr:col>4</xdr:col>
      <xdr:colOff>1080</xdr:colOff>
      <xdr:row>28</xdr:row>
      <xdr:rowOff>162000</xdr:rowOff>
    </xdr:to>
    <xdr:sp>
      <xdr:nvSpPr>
        <xdr:cNvPr id="29" name="Rectangle 3"/>
        <xdr:cNvSpPr/>
      </xdr:nvSpPr>
      <xdr:spPr>
        <a:xfrm>
          <a:off x="250920" y="4638600"/>
          <a:ext cx="3714480" cy="162000"/>
        </a:xfrm>
        <a:prstGeom prst="rect">
          <a:avLst/>
        </a:prstGeom>
        <a:noFill/>
        <a:ln w="9360">
          <a:solidFill>
            <a:srgbClr val="000000"/>
          </a:solidFill>
          <a:miter/>
        </a:ln>
        <a:effectLst>
          <a:outerShdw dist="153753" dir="2700000" blurRad="0" rotWithShape="0">
            <a:srgbClr val="808080"/>
          </a:outerShdw>
        </a:effectLst>
      </xdr:spPr>
      <xdr:style>
        <a:lnRef idx="0"/>
        <a:fillRef idx="0"/>
        <a:effectRef idx="0"/>
        <a:fontRef idx="minor"/>
      </xdr:style>
    </xdr:sp>
    <xdr:clientData/>
  </xdr:twoCellAnchor>
  <xdr:twoCellAnchor editAs="oneCell">
    <xdr:from>
      <xdr:col>1</xdr:col>
      <xdr:colOff>0</xdr:colOff>
      <xdr:row>37</xdr:row>
      <xdr:rowOff>0</xdr:rowOff>
    </xdr:from>
    <xdr:to>
      <xdr:col>4</xdr:col>
      <xdr:colOff>1080</xdr:colOff>
      <xdr:row>37</xdr:row>
      <xdr:rowOff>162000</xdr:rowOff>
    </xdr:to>
    <xdr:sp>
      <xdr:nvSpPr>
        <xdr:cNvPr id="30" name="Rectangle 4"/>
        <xdr:cNvSpPr/>
      </xdr:nvSpPr>
      <xdr:spPr>
        <a:xfrm>
          <a:off x="250920" y="6095880"/>
          <a:ext cx="3714480" cy="162000"/>
        </a:xfrm>
        <a:prstGeom prst="rect">
          <a:avLst/>
        </a:prstGeom>
        <a:noFill/>
        <a:ln w="9360">
          <a:solidFill>
            <a:srgbClr val="000000"/>
          </a:solidFill>
          <a:miter/>
        </a:ln>
        <a:effectLst>
          <a:outerShdw dist="153753" dir="2700000" blurRad="0" rotWithShape="0">
            <a:srgbClr val="808080"/>
          </a:outerShdw>
        </a:effectLst>
      </xdr:spPr>
      <xdr:style>
        <a:lnRef idx="0"/>
        <a:fillRef idx="0"/>
        <a:effectRef idx="0"/>
        <a:fontRef idx="minor"/>
      </xdr:style>
    </xdr:sp>
    <xdr:clientData/>
  </xdr:twoCellAnchor>
  <xdr:twoCellAnchor editAs="oneCell">
    <xdr:from>
      <xdr:col>5</xdr:col>
      <xdr:colOff>252000</xdr:colOff>
      <xdr:row>39</xdr:row>
      <xdr:rowOff>37800</xdr:rowOff>
    </xdr:from>
    <xdr:to>
      <xdr:col>8</xdr:col>
      <xdr:colOff>360</xdr:colOff>
      <xdr:row>64</xdr:row>
      <xdr:rowOff>9360</xdr:rowOff>
    </xdr:to>
    <xdr:graphicFrame>
      <xdr:nvGraphicFramePr>
        <xdr:cNvPr id="31" name="Chart 5"/>
        <xdr:cNvGraphicFramePr/>
      </xdr:nvGraphicFramePr>
      <xdr:xfrm>
        <a:off x="5252760" y="6457680"/>
        <a:ext cx="3713760" cy="42768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6</xdr:col>
      <xdr:colOff>0</xdr:colOff>
      <xdr:row>28</xdr:row>
      <xdr:rowOff>0</xdr:rowOff>
    </xdr:from>
    <xdr:to>
      <xdr:col>8</xdr:col>
      <xdr:colOff>360</xdr:colOff>
      <xdr:row>28</xdr:row>
      <xdr:rowOff>162000</xdr:rowOff>
    </xdr:to>
    <xdr:sp>
      <xdr:nvSpPr>
        <xdr:cNvPr id="32" name="Rectangle 6"/>
        <xdr:cNvSpPr/>
      </xdr:nvSpPr>
      <xdr:spPr>
        <a:xfrm>
          <a:off x="6148080" y="4638600"/>
          <a:ext cx="2818440" cy="162000"/>
        </a:xfrm>
        <a:prstGeom prst="rect">
          <a:avLst/>
        </a:prstGeom>
        <a:noFill/>
        <a:ln w="9360">
          <a:solidFill>
            <a:srgbClr val="000000"/>
          </a:solidFill>
          <a:miter/>
        </a:ln>
        <a:effectLst>
          <a:outerShdw dist="153753" dir="2700000" blurRad="0" rotWithShape="0">
            <a:srgbClr val="808080"/>
          </a:outerShdw>
        </a:effectLst>
      </xdr:spPr>
      <xdr:style>
        <a:lnRef idx="0"/>
        <a:fillRef idx="0"/>
        <a:effectRef idx="0"/>
        <a:fontRef idx="minor"/>
      </xdr:style>
    </xdr:sp>
    <xdr:clientData/>
  </xdr:twoCellAnchor>
  <xdr:twoCellAnchor editAs="oneCell">
    <xdr:from>
      <xdr:col>1</xdr:col>
      <xdr:colOff>663840</xdr:colOff>
      <xdr:row>4</xdr:row>
      <xdr:rowOff>86040</xdr:rowOff>
    </xdr:from>
    <xdr:to>
      <xdr:col>2</xdr:col>
      <xdr:colOff>21600</xdr:colOff>
      <xdr:row>9</xdr:row>
      <xdr:rowOff>172080</xdr:rowOff>
    </xdr:to>
    <xdr:pic>
      <xdr:nvPicPr>
        <xdr:cNvPr id="33" name="Picture 7" descr=""/>
        <xdr:cNvPicPr/>
      </xdr:nvPicPr>
      <xdr:blipFill>
        <a:blip r:embed="rId2"/>
        <a:stretch/>
      </xdr:blipFill>
      <xdr:spPr>
        <a:xfrm>
          <a:off x="914760" y="733680"/>
          <a:ext cx="988200" cy="933840"/>
        </a:xfrm>
        <a:prstGeom prst="rect">
          <a:avLst/>
        </a:prstGeom>
        <a:noFill/>
        <a:ln w="0">
          <a:noFill/>
        </a:ln>
      </xdr:spPr>
    </xdr:pic>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29880</xdr:colOff>
      <xdr:row>67</xdr:row>
      <xdr:rowOff>9720</xdr:rowOff>
    </xdr:from>
    <xdr:to>
      <xdr:col>7</xdr:col>
      <xdr:colOff>1652760</xdr:colOff>
      <xdr:row>75</xdr:row>
      <xdr:rowOff>142920</xdr:rowOff>
    </xdr:to>
    <xdr:sp>
      <xdr:nvSpPr>
        <xdr:cNvPr id="34" name="Text 1"/>
        <xdr:cNvSpPr/>
      </xdr:nvSpPr>
      <xdr:spPr>
        <a:xfrm>
          <a:off x="280800" y="11258640"/>
          <a:ext cx="8657280" cy="1428840"/>
        </a:xfrm>
        <a:prstGeom prst="rect">
          <a:avLst/>
        </a:prstGeom>
        <a:solidFill>
          <a:srgbClr val="ffffff"/>
        </a:solidFill>
        <a:ln w="38160">
          <a:solidFill>
            <a:srgbClr val="000000"/>
          </a:solidFill>
          <a:miter/>
        </a:ln>
      </xdr:spPr>
      <xdr:style>
        <a:lnRef idx="0"/>
        <a:fillRef idx="0"/>
        <a:effectRef idx="0"/>
        <a:fontRef idx="minor"/>
      </xdr:style>
      <xdr:txBody>
        <a:bodyPr lIns="20160" rIns="20160" tIns="20160" bIns="20160" anchor="t">
          <a:noAutofit/>
        </a:bodyPr>
        <a:p>
          <a:r>
            <a:rPr b="0" lang="en-US" sz="1200" strike="noStrike" u="none">
              <a:effectLst/>
              <a:uFillTx/>
              <a:latin typeface="Arial"/>
            </a:rPr>
            <a:t>This is only for FM Alliance part of the Simmon deal. The total current baseline for FM revenue is about $30 million. The model is based on 7.5% Enron's share of FM services.</a:t>
          </a:r>
          <a:endParaRPr b="0" lang="en-US" sz="1200" strike="noStrike" u="none">
            <a:effectLst/>
            <a:uFillTx/>
            <a:latin typeface="Times New Roman"/>
          </a:endParaRPr>
        </a:p>
      </xdr:txBody>
    </xdr:sp>
    <xdr:clientData/>
  </xdr:twoCellAnchor>
  <xdr:twoCellAnchor editAs="oneCell">
    <xdr:from>
      <xdr:col>1</xdr:col>
      <xdr:colOff>0</xdr:colOff>
      <xdr:row>2</xdr:row>
      <xdr:rowOff>0</xdr:rowOff>
    </xdr:from>
    <xdr:to>
      <xdr:col>7</xdr:col>
      <xdr:colOff>1670760</xdr:colOff>
      <xdr:row>2</xdr:row>
      <xdr:rowOff>199800</xdr:rowOff>
    </xdr:to>
    <xdr:sp>
      <xdr:nvSpPr>
        <xdr:cNvPr id="35" name="Rectangle 2"/>
        <xdr:cNvSpPr/>
      </xdr:nvSpPr>
      <xdr:spPr>
        <a:xfrm>
          <a:off x="250920" y="324000"/>
          <a:ext cx="8705160" cy="199800"/>
        </a:xfrm>
        <a:prstGeom prst="rect">
          <a:avLst/>
        </a:prstGeom>
        <a:noFill/>
        <a:ln w="9360">
          <a:solidFill>
            <a:srgbClr val="000000"/>
          </a:solidFill>
          <a:miter/>
        </a:ln>
      </xdr:spPr>
      <xdr:style>
        <a:lnRef idx="0"/>
        <a:fillRef idx="0"/>
        <a:effectRef idx="0"/>
        <a:fontRef idx="minor"/>
      </xdr:style>
    </xdr:sp>
    <xdr:clientData/>
  </xdr:twoCellAnchor>
  <xdr:twoCellAnchor editAs="oneCell">
    <xdr:from>
      <xdr:col>1</xdr:col>
      <xdr:colOff>0</xdr:colOff>
      <xdr:row>28</xdr:row>
      <xdr:rowOff>0</xdr:rowOff>
    </xdr:from>
    <xdr:to>
      <xdr:col>4</xdr:col>
      <xdr:colOff>1080</xdr:colOff>
      <xdr:row>28</xdr:row>
      <xdr:rowOff>162000</xdr:rowOff>
    </xdr:to>
    <xdr:sp>
      <xdr:nvSpPr>
        <xdr:cNvPr id="36" name="Rectangle 3"/>
        <xdr:cNvSpPr/>
      </xdr:nvSpPr>
      <xdr:spPr>
        <a:xfrm>
          <a:off x="250920" y="4638600"/>
          <a:ext cx="3704400" cy="162000"/>
        </a:xfrm>
        <a:prstGeom prst="rect">
          <a:avLst/>
        </a:prstGeom>
        <a:noFill/>
        <a:ln w="9360">
          <a:solidFill>
            <a:srgbClr val="000000"/>
          </a:solidFill>
          <a:miter/>
        </a:ln>
        <a:effectLst>
          <a:outerShdw dist="153753" dir="2700000" blurRad="0" rotWithShape="0">
            <a:srgbClr val="808080"/>
          </a:outerShdw>
        </a:effectLst>
      </xdr:spPr>
      <xdr:style>
        <a:lnRef idx="0"/>
        <a:fillRef idx="0"/>
        <a:effectRef idx="0"/>
        <a:fontRef idx="minor"/>
      </xdr:style>
    </xdr:sp>
    <xdr:clientData/>
  </xdr:twoCellAnchor>
  <xdr:twoCellAnchor editAs="oneCell">
    <xdr:from>
      <xdr:col>1</xdr:col>
      <xdr:colOff>0</xdr:colOff>
      <xdr:row>37</xdr:row>
      <xdr:rowOff>0</xdr:rowOff>
    </xdr:from>
    <xdr:to>
      <xdr:col>4</xdr:col>
      <xdr:colOff>1080</xdr:colOff>
      <xdr:row>37</xdr:row>
      <xdr:rowOff>162000</xdr:rowOff>
    </xdr:to>
    <xdr:sp>
      <xdr:nvSpPr>
        <xdr:cNvPr id="37" name="Rectangle 4"/>
        <xdr:cNvSpPr/>
      </xdr:nvSpPr>
      <xdr:spPr>
        <a:xfrm>
          <a:off x="250920" y="6095880"/>
          <a:ext cx="3704400" cy="162000"/>
        </a:xfrm>
        <a:prstGeom prst="rect">
          <a:avLst/>
        </a:prstGeom>
        <a:noFill/>
        <a:ln w="9360">
          <a:solidFill>
            <a:srgbClr val="000000"/>
          </a:solidFill>
          <a:miter/>
        </a:ln>
        <a:effectLst>
          <a:outerShdw dist="153753" dir="2700000" blurRad="0" rotWithShape="0">
            <a:srgbClr val="808080"/>
          </a:outerShdw>
        </a:effectLst>
      </xdr:spPr>
      <xdr:style>
        <a:lnRef idx="0"/>
        <a:fillRef idx="0"/>
        <a:effectRef idx="0"/>
        <a:fontRef idx="minor"/>
      </xdr:style>
    </xdr:sp>
    <xdr:clientData/>
  </xdr:twoCellAnchor>
  <xdr:twoCellAnchor editAs="oneCell">
    <xdr:from>
      <xdr:col>5</xdr:col>
      <xdr:colOff>252360</xdr:colOff>
      <xdr:row>39</xdr:row>
      <xdr:rowOff>37800</xdr:rowOff>
    </xdr:from>
    <xdr:to>
      <xdr:col>7</xdr:col>
      <xdr:colOff>1670760</xdr:colOff>
      <xdr:row>64</xdr:row>
      <xdr:rowOff>9360</xdr:rowOff>
    </xdr:to>
    <xdr:graphicFrame>
      <xdr:nvGraphicFramePr>
        <xdr:cNvPr id="38" name="Chart 5"/>
        <xdr:cNvGraphicFramePr/>
      </xdr:nvGraphicFramePr>
      <xdr:xfrm>
        <a:off x="5242680" y="6457680"/>
        <a:ext cx="3713400" cy="42768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6</xdr:col>
      <xdr:colOff>0</xdr:colOff>
      <xdr:row>28</xdr:row>
      <xdr:rowOff>0</xdr:rowOff>
    </xdr:from>
    <xdr:to>
      <xdr:col>7</xdr:col>
      <xdr:colOff>1670760</xdr:colOff>
      <xdr:row>28</xdr:row>
      <xdr:rowOff>162000</xdr:rowOff>
    </xdr:to>
    <xdr:sp>
      <xdr:nvSpPr>
        <xdr:cNvPr id="39" name="Rectangle 6"/>
        <xdr:cNvSpPr/>
      </xdr:nvSpPr>
      <xdr:spPr>
        <a:xfrm>
          <a:off x="6138000" y="4638600"/>
          <a:ext cx="2818080" cy="162000"/>
        </a:xfrm>
        <a:prstGeom prst="rect">
          <a:avLst/>
        </a:prstGeom>
        <a:noFill/>
        <a:ln w="9360">
          <a:solidFill>
            <a:srgbClr val="000000"/>
          </a:solidFill>
          <a:miter/>
        </a:ln>
        <a:effectLst>
          <a:outerShdw dist="153753" dir="2700000" blurRad="0" rotWithShape="0">
            <a:srgbClr val="808080"/>
          </a:outerShdw>
        </a:effectLst>
      </xdr:spPr>
      <xdr:style>
        <a:lnRef idx="0"/>
        <a:fillRef idx="0"/>
        <a:effectRef idx="0"/>
        <a:fontRef idx="minor"/>
      </xdr:style>
    </xdr:sp>
    <xdr:clientData/>
  </xdr:twoCellAnchor>
  <xdr:twoCellAnchor editAs="oneCell">
    <xdr:from>
      <xdr:col>1</xdr:col>
      <xdr:colOff>664560</xdr:colOff>
      <xdr:row>4</xdr:row>
      <xdr:rowOff>86040</xdr:rowOff>
    </xdr:from>
    <xdr:to>
      <xdr:col>2</xdr:col>
      <xdr:colOff>31680</xdr:colOff>
      <xdr:row>9</xdr:row>
      <xdr:rowOff>172080</xdr:rowOff>
    </xdr:to>
    <xdr:pic>
      <xdr:nvPicPr>
        <xdr:cNvPr id="40" name="Picture 7" descr=""/>
        <xdr:cNvPicPr/>
      </xdr:nvPicPr>
      <xdr:blipFill>
        <a:blip r:embed="rId2"/>
        <a:stretch/>
      </xdr:blipFill>
      <xdr:spPr>
        <a:xfrm>
          <a:off x="915480" y="733680"/>
          <a:ext cx="987480" cy="933840"/>
        </a:xfrm>
        <a:prstGeom prst="rect">
          <a:avLst/>
        </a:prstGeom>
        <a:noFill/>
        <a:ln w="0">
          <a:noFill/>
        </a:ln>
      </xdr:spPr>
    </xdr:pic>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7</xdr:col>
      <xdr:colOff>392040</xdr:colOff>
      <xdr:row>4</xdr:row>
      <xdr:rowOff>9720</xdr:rowOff>
    </xdr:from>
    <xdr:to>
      <xdr:col>12</xdr:col>
      <xdr:colOff>91080</xdr:colOff>
      <xdr:row>15</xdr:row>
      <xdr:rowOff>76680</xdr:rowOff>
    </xdr:to>
    <xdr:sp>
      <xdr:nvSpPr>
        <xdr:cNvPr id="41" name="Text 9"/>
        <xdr:cNvSpPr/>
      </xdr:nvSpPr>
      <xdr:spPr>
        <a:xfrm>
          <a:off x="8019000" y="800280"/>
          <a:ext cx="3371400" cy="2257560"/>
        </a:xfrm>
        <a:prstGeom prst="rect">
          <a:avLst/>
        </a:prstGeom>
        <a:solidFill>
          <a:srgbClr val="cc99ff"/>
        </a:solidFill>
        <a:ln w="38160">
          <a:solidFill>
            <a:srgbClr val="008000"/>
          </a:solidFill>
          <a:miter/>
        </a:ln>
      </xdr:spPr>
      <xdr:style>
        <a:lnRef idx="0"/>
        <a:fillRef idx="0"/>
        <a:effectRef idx="0"/>
        <a:fontRef idx="minor"/>
      </xdr:style>
      <xdr:txBody>
        <a:bodyPr lIns="20160" rIns="20160" tIns="20160" bIns="20160" anchor="t">
          <a:noAutofit/>
        </a:bodyPr>
        <a:p>
          <a:r>
            <a:rPr b="1" lang="en-US" sz="1200" strike="noStrike" u="none">
              <a:solidFill>
                <a:srgbClr val="000000"/>
              </a:solidFill>
              <a:effectLst/>
              <a:uFillTx/>
              <a:latin typeface="Arial"/>
            </a:rPr>
            <a:t>The difference is caused by:</a:t>
          </a:r>
          <a:endParaRPr b="0" lang="en-US" sz="1200" strike="noStrike" u="none">
            <a:effectLst/>
            <a:uFillTx/>
            <a:latin typeface="Times New Roman"/>
          </a:endParaRPr>
        </a:p>
        <a:p>
          <a:endParaRPr b="0" lang="en-US" sz="1200" strike="noStrike" u="none">
            <a:effectLst/>
            <a:uFillTx/>
            <a:latin typeface="Times New Roman"/>
          </a:endParaRPr>
        </a:p>
        <a:p>
          <a:r>
            <a:rPr b="0" lang="en-US" sz="1200" strike="noStrike" u="none">
              <a:solidFill>
                <a:srgbClr val="000000"/>
              </a:solidFill>
              <a:effectLst/>
              <a:uFillTx/>
              <a:latin typeface="Arial"/>
            </a:rPr>
            <a:t>1. Kevin uses fixed % as consumption savings. Jun uses fixed $ as consumption savings. This is about $1.5M differnece at the offer and $2.8M at the mid. </a:t>
          </a:r>
          <a:endParaRPr b="0" lang="en-US" sz="1200" strike="noStrike" u="none">
            <a:effectLst/>
            <a:uFillTx/>
            <a:latin typeface="Times New Roman"/>
          </a:endParaRPr>
        </a:p>
        <a:p>
          <a:endParaRPr b="0" lang="en-US" sz="1200" strike="noStrike" u="none">
            <a:effectLst/>
            <a:uFillTx/>
            <a:latin typeface="Times New Roman"/>
          </a:endParaRPr>
        </a:p>
        <a:p>
          <a:r>
            <a:rPr b="0" lang="en-US" sz="1200" strike="noStrike" u="none">
              <a:solidFill>
                <a:srgbClr val="000000"/>
              </a:solidFill>
              <a:effectLst/>
              <a:uFillTx/>
              <a:latin typeface="Arial"/>
            </a:rPr>
            <a:t>2. Jun's model is using monthly construction drawdown and accrued interest during construction. This is about $0.3M difference.</a:t>
          </a:r>
          <a:endParaRPr b="0" lang="en-US" sz="1200" strike="noStrike" u="none">
            <a:effectLst/>
            <a:uFillTx/>
            <a:latin typeface="Times New Roman"/>
          </a:endParaRPr>
        </a:p>
        <a:p>
          <a:endParaRPr b="0" lang="en-US" sz="1200" strike="noStrike" u="none">
            <a:effectLst/>
            <a:uFillTx/>
            <a:latin typeface="Times New Roman"/>
          </a:endParaRPr>
        </a:p>
        <a:p>
          <a:endParaRPr b="0" lang="en-US" sz="1200" strike="noStrike" u="none">
            <a:effectLst/>
            <a:uFillTx/>
            <a:latin typeface="Times New Roman"/>
          </a:endParaRPr>
        </a:p>
      </xdr:txBody>
    </xdr:sp>
    <xdr:clientData/>
  </xdr:twoCellAnchor>
  <xdr:twoCellAnchor editAs="oneCell">
    <xdr:from>
      <xdr:col>6</xdr:col>
      <xdr:colOff>70200</xdr:colOff>
      <xdr:row>7</xdr:row>
      <xdr:rowOff>133920</xdr:rowOff>
    </xdr:from>
    <xdr:to>
      <xdr:col>7</xdr:col>
      <xdr:colOff>353160</xdr:colOff>
      <xdr:row>7</xdr:row>
      <xdr:rowOff>133920</xdr:rowOff>
    </xdr:to>
    <xdr:sp>
      <xdr:nvSpPr>
        <xdr:cNvPr id="42" name="Line 10"/>
        <xdr:cNvSpPr/>
      </xdr:nvSpPr>
      <xdr:spPr>
        <a:xfrm flipH="1">
          <a:off x="7053120" y="1514880"/>
          <a:ext cx="927000" cy="0"/>
        </a:xfrm>
        <a:prstGeom prst="line">
          <a:avLst/>
        </a:prstGeom>
        <a:ln w="28440">
          <a:solidFill>
            <a:srgbClr val="000000"/>
          </a:solidFill>
          <a:miter/>
          <a:tailEnd len="med" type="triangle" w="med"/>
        </a:ln>
      </xdr:spPr>
      <xdr:style>
        <a:lnRef idx="0"/>
        <a:fillRef idx="0"/>
        <a:effectRef idx="0"/>
        <a:fontRef idx="minor"/>
      </xdr:style>
    </xdr:sp>
    <xdr:clientData/>
  </xdr:twoCellAnchor>
  <mc:AlternateContent xmlns:mc="http://schemas.openxmlformats.org/markup-compatibility/2006">
    <mc:Choice xmlns:a14="http://schemas.microsoft.com/office/drawing/2010/main" Requires="a14">
      <xdr:twoCellAnchor editAs="oneCell">
        <xdr:from>
          <xdr:col>7</xdr:col>
          <xdr:colOff>915840</xdr:colOff>
          <xdr:row>19</xdr:row>
          <xdr:rowOff>76680</xdr:rowOff>
        </xdr:from>
        <xdr:to>
          <xdr:col>9</xdr:col>
          <xdr:colOff>161640</xdr:colOff>
          <xdr:row>21</xdr:row>
          <xdr:rowOff>9360</xdr:rowOff>
        </xdr:to>
        <xdr:sp>
          <xdr:nvSpPr>
            <xdr:cNvPr id="1001" name="Button 20" descr="Mid/Offer" hidden="0"/>
            <xdr:cNvSpPr/>
          </xdr:nvSpPr>
          <xdr:spPr>
            <a:xfrm>
              <a:off x="0" y="0"/>
              <a:ext cx="0" cy="0"/>
            </a:xfrm>
            <a:prstGeom prst="rect">
              <a:avLst/>
            </a:prstGeom>
          </xdr:spPr>
          <xdr:txBody>
            <a:bodyPr anchor="ctr">
              <a:noAutofit/>
            </a:bodyPr>
            <a:p>
              <a:r>
                <a:t>Mid/Offer</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TEMP/simon_economics.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TEMP/Simon09_20.xls" TargetMode="External"/>
</Relationships>
</file>

<file path=xl/externalLinks/_rels/externalLink3.xml.rels><?xml version="1.0" encoding="UTF-8"?>
<Relationships xmlns="http://schemas.openxmlformats.org/package/2006/relationships"><Relationship Id="rId1" Type="http://schemas.openxmlformats.org/officeDocument/2006/relationships/externalLinkPath" Target="../../../../../../../../TEMP/Chris%20Redistribution-2.xls" TargetMode="External"/>
</Relationships>
</file>

<file path=xl/externalLinks/_rels/externalLink4.xml.rels><?xml version="1.0" encoding="UTF-8"?>
<Relationships xmlns="http://schemas.openxmlformats.org/package/2006/relationships"><Relationship Id="rId1" Type="http://schemas.openxmlformats.org/officeDocument/2006/relationships/externalLinkPath" Target="../../../../../../../../TEMP/Simon09_17.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As provided"/>
      <sheetName val="Chris's"/>
      <sheetName val="Chris' Flows"/>
      <sheetName val="Sensitivities"/>
      <sheetName val="Subsidy unwind"/>
      <sheetName val="Kevin Roll-up"/>
      <sheetName val="Options w swap"/>
      <sheetName val="GL Expen"/>
      <sheetName val="GL Rev"/>
      <sheetName val="Basis Swag"/>
      <sheetName val="BAse data"/>
      <sheetName val="Financial summ-SPG "/>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form A info"/>
      <sheetName val="1998 Expense Detail"/>
      <sheetName val="Updated Final List"/>
      <sheetName val="Total Baseline"/>
      <sheetName val="general info"/>
      <sheetName val="commodity information"/>
      <sheetName val="Wholesale Baseline"/>
      <sheetName val="EAM Curves"/>
      <sheetName val="wholesale services"/>
      <sheetName val="unwinds"/>
      <sheetName val="charts"/>
      <sheetName val="account mgt"/>
      <sheetName val="non-cash charges"/>
      <sheetName val="power redistribution"/>
      <sheetName val="Redistribution Scenarios"/>
      <sheetName val="assumptions"/>
      <sheetName val="FM Summary"/>
      <sheetName val="Financial summ-EES"/>
      <sheetName val="Financial summ-SPG"/>
      <sheetName val="Financial summ-TFSPs"/>
      <sheetName val="RMPM-Whole"/>
      <sheetName val="RMPM-Redis"/>
      <sheetName val="RMPM-FM"/>
      <sheetName val="Breakout"/>
      <sheetName val="Re-Whole"/>
      <sheetName val="Re-Redis"/>
      <sheetName val="Re-FM"/>
      <sheetName val="Compar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As provided"/>
      <sheetName val="Chris's"/>
      <sheetName val="Chris' Flows"/>
      <sheetName val="Sensitivities"/>
      <sheetName val="Subsidy unwind"/>
      <sheetName val="Options w swap"/>
      <sheetName val="GL Expen"/>
      <sheetName val="GL Rev"/>
      <sheetName val="Basis Swag"/>
      <sheetName val="BAse data"/>
    </sheetNames>
    <sheetDataSet>
      <sheetData sheetId="0"/>
      <sheetData sheetId="1"/>
      <sheetData sheetId="2">
        <row r="4">
          <cell r="AH4">
            <v>0.105</v>
          </cell>
        </row>
        <row r="4">
          <cell r="AL4">
            <v>0.195</v>
          </cell>
        </row>
        <row r="9">
          <cell r="E9">
            <v>4106916.66666667</v>
          </cell>
        </row>
        <row r="9">
          <cell r="I9">
            <v>5112094.34699057</v>
          </cell>
        </row>
        <row r="9">
          <cell r="AH9">
            <v>0</v>
          </cell>
          <cell r="AI9">
            <v>13306028.1404576</v>
          </cell>
        </row>
        <row r="9">
          <cell r="AL9">
            <v>996858.397663161</v>
          </cell>
        </row>
        <row r="10">
          <cell r="E10">
            <v>4106916.66666667</v>
          </cell>
        </row>
        <row r="10">
          <cell r="I10">
            <v>5112094.34699057</v>
          </cell>
        </row>
        <row r="10">
          <cell r="AH10">
            <v>0</v>
          </cell>
        </row>
        <row r="10">
          <cell r="AL10">
            <v>996858.397663161</v>
          </cell>
        </row>
        <row r="11">
          <cell r="E11">
            <v>4106916.66666667</v>
          </cell>
        </row>
        <row r="11">
          <cell r="I11">
            <v>5112094.34699057</v>
          </cell>
        </row>
        <row r="11">
          <cell r="AH11">
            <v>0</v>
          </cell>
        </row>
        <row r="11">
          <cell r="AL11">
            <v>996858.397663161</v>
          </cell>
        </row>
        <row r="12">
          <cell r="E12">
            <v>4175044.33333333</v>
          </cell>
        </row>
        <row r="12">
          <cell r="I12">
            <v>5194493.71139883</v>
          </cell>
        </row>
        <row r="12">
          <cell r="AH12">
            <v>8651.93326286809</v>
          </cell>
        </row>
        <row r="12">
          <cell r="AL12">
            <v>1012926.27372277</v>
          </cell>
        </row>
        <row r="13">
          <cell r="E13">
            <v>4175044.33333333</v>
          </cell>
        </row>
        <row r="13">
          <cell r="I13">
            <v>5194493.71139883</v>
          </cell>
        </row>
        <row r="13">
          <cell r="AH13">
            <v>8651.93326286809</v>
          </cell>
        </row>
        <row r="13">
          <cell r="AL13">
            <v>1012926.27372277</v>
          </cell>
        </row>
        <row r="14">
          <cell r="E14">
            <v>4175044.33333333</v>
          </cell>
        </row>
        <row r="14">
          <cell r="I14">
            <v>5194493.71139883</v>
          </cell>
        </row>
        <row r="14">
          <cell r="AH14">
            <v>8651.93326286809</v>
          </cell>
        </row>
        <row r="14">
          <cell r="AL14">
            <v>1012926.27372277</v>
          </cell>
        </row>
        <row r="15">
          <cell r="E15">
            <v>4243172</v>
          </cell>
        </row>
        <row r="15">
          <cell r="I15">
            <v>5276893.0758071</v>
          </cell>
        </row>
        <row r="15">
          <cell r="AH15">
            <v>17303.8665257362</v>
          </cell>
        </row>
        <row r="15">
          <cell r="AL15">
            <v>1028994.14978239</v>
          </cell>
        </row>
        <row r="16">
          <cell r="E16">
            <v>4243172</v>
          </cell>
        </row>
        <row r="16">
          <cell r="I16">
            <v>5276893.0758071</v>
          </cell>
        </row>
        <row r="16">
          <cell r="AH16">
            <v>17303.8665257362</v>
          </cell>
        </row>
        <row r="16">
          <cell r="AL16">
            <v>1028994.14978239</v>
          </cell>
        </row>
        <row r="17">
          <cell r="E17">
            <v>4243172</v>
          </cell>
        </row>
        <row r="17">
          <cell r="I17">
            <v>5276893.0758071</v>
          </cell>
        </row>
        <row r="17">
          <cell r="AH17">
            <v>17303.8665257362</v>
          </cell>
        </row>
        <row r="17">
          <cell r="AL17">
            <v>1028994.14978239</v>
          </cell>
        </row>
        <row r="18">
          <cell r="E18">
            <v>4311299.66666667</v>
          </cell>
        </row>
        <row r="18">
          <cell r="I18">
            <v>5359292.44021537</v>
          </cell>
        </row>
        <row r="18">
          <cell r="AH18">
            <v>25955.7997886043</v>
          </cell>
        </row>
        <row r="18">
          <cell r="AL18">
            <v>1045062.025842</v>
          </cell>
        </row>
        <row r="19">
          <cell r="E19">
            <v>4311299.66666667</v>
          </cell>
        </row>
        <row r="19">
          <cell r="I19">
            <v>5359292.44021537</v>
          </cell>
        </row>
        <row r="19">
          <cell r="AH19">
            <v>25955.7997886043</v>
          </cell>
        </row>
        <row r="19">
          <cell r="AL19">
            <v>1045062.025842</v>
          </cell>
        </row>
        <row r="20">
          <cell r="E20">
            <v>4311299.66666667</v>
          </cell>
        </row>
        <row r="20">
          <cell r="I20">
            <v>5359292.44021537</v>
          </cell>
        </row>
        <row r="20">
          <cell r="AH20">
            <v>25955.7997886043</v>
          </cell>
        </row>
        <row r="20">
          <cell r="AL20">
            <v>1045062.025842</v>
          </cell>
        </row>
        <row r="21">
          <cell r="E21">
            <v>4379427.33333333</v>
          </cell>
        </row>
        <row r="21">
          <cell r="I21">
            <v>5441691.80462364</v>
          </cell>
        </row>
        <row r="21">
          <cell r="AG21">
            <v>1134791.47816007</v>
          </cell>
          <cell r="AH21">
            <v>8651.93326286809</v>
          </cell>
        </row>
        <row r="21">
          <cell r="AL21">
            <v>1061129.90190161</v>
          </cell>
        </row>
        <row r="22">
          <cell r="E22">
            <v>4379427.33333333</v>
          </cell>
        </row>
        <row r="22">
          <cell r="I22">
            <v>5441691.80462364</v>
          </cell>
        </row>
        <row r="22">
          <cell r="AG22">
            <v>1134791.47816007</v>
          </cell>
          <cell r="AH22">
            <v>8651.93326286809</v>
          </cell>
        </row>
        <row r="22">
          <cell r="AL22">
            <v>1061129.90190161</v>
          </cell>
        </row>
        <row r="23">
          <cell r="E23">
            <v>4447555</v>
          </cell>
        </row>
        <row r="23">
          <cell r="I23">
            <v>5524091.1690319</v>
          </cell>
        </row>
        <row r="23">
          <cell r="AG23">
            <v>1134791.47816007</v>
          </cell>
          <cell r="AH23">
            <v>17303.8665257362</v>
          </cell>
        </row>
        <row r="23">
          <cell r="AL23">
            <v>1077197.77796122</v>
          </cell>
        </row>
        <row r="24">
          <cell r="E24">
            <v>4515682.66666667</v>
          </cell>
        </row>
        <row r="24">
          <cell r="I24">
            <v>5606490.53344017</v>
          </cell>
        </row>
        <row r="24">
          <cell r="AG24">
            <v>1134791.47816007</v>
          </cell>
          <cell r="AH24">
            <v>25955.7997886043</v>
          </cell>
        </row>
        <row r="24">
          <cell r="AL24">
            <v>1093265.65402083</v>
          </cell>
        </row>
        <row r="25">
          <cell r="E25">
            <v>4583810.33333333</v>
          </cell>
        </row>
        <row r="25">
          <cell r="I25">
            <v>5688889.89784844</v>
          </cell>
        </row>
        <row r="25">
          <cell r="AG25">
            <v>1134791.47816007</v>
          </cell>
          <cell r="AH25">
            <v>34607.7330514723</v>
          </cell>
        </row>
        <row r="25">
          <cell r="AL25">
            <v>1109333.53008045</v>
          </cell>
        </row>
        <row r="26">
          <cell r="E26">
            <v>4651938</v>
          </cell>
        </row>
        <row r="26">
          <cell r="I26">
            <v>5771289.26225671</v>
          </cell>
        </row>
        <row r="26">
          <cell r="AG26">
            <v>1134791.47816007</v>
          </cell>
          <cell r="AH26">
            <v>43259.6663143404</v>
          </cell>
        </row>
        <row r="26">
          <cell r="AL26">
            <v>1125401.40614006</v>
          </cell>
        </row>
        <row r="27">
          <cell r="E27">
            <v>4720065.66666667</v>
          </cell>
        </row>
        <row r="27">
          <cell r="I27">
            <v>5853688.62666497</v>
          </cell>
        </row>
        <row r="27">
          <cell r="AG27">
            <v>1134791.47816007</v>
          </cell>
          <cell r="AH27">
            <v>51911.5995772085</v>
          </cell>
        </row>
        <row r="27">
          <cell r="AL27">
            <v>1141469.28219967</v>
          </cell>
        </row>
        <row r="28">
          <cell r="E28">
            <v>4788193.33333333</v>
          </cell>
        </row>
        <row r="28">
          <cell r="I28">
            <v>5936087.99107324</v>
          </cell>
        </row>
        <row r="28">
          <cell r="AG28">
            <v>1134791.47816007</v>
          </cell>
          <cell r="AH28">
            <v>60563.5328400766</v>
          </cell>
        </row>
        <row r="28">
          <cell r="AL28">
            <v>1157537.15825928</v>
          </cell>
        </row>
        <row r="29">
          <cell r="E29">
            <v>4856321</v>
          </cell>
        </row>
        <row r="29">
          <cell r="I29">
            <v>6018487.35548151</v>
          </cell>
        </row>
        <row r="29">
          <cell r="AG29">
            <v>1134791.47816007</v>
          </cell>
          <cell r="AH29">
            <v>69215.4661029447</v>
          </cell>
        </row>
        <row r="29">
          <cell r="AL29">
            <v>1173605.03431889</v>
          </cell>
        </row>
        <row r="30">
          <cell r="E30">
            <v>4924448.66666667</v>
          </cell>
        </row>
        <row r="30">
          <cell r="I30">
            <v>6100886.71988978</v>
          </cell>
        </row>
        <row r="30">
          <cell r="AG30">
            <v>1134791.47816007</v>
          </cell>
          <cell r="AH30">
            <v>77867.3993658128</v>
          </cell>
        </row>
        <row r="30">
          <cell r="AL30">
            <v>1189672.91037851</v>
          </cell>
        </row>
        <row r="31">
          <cell r="E31">
            <v>4992576.33333333</v>
          </cell>
        </row>
        <row r="31">
          <cell r="I31">
            <v>6183286.08429804</v>
          </cell>
        </row>
        <row r="31">
          <cell r="AG31">
            <v>1134791.47816007</v>
          </cell>
          <cell r="AH31">
            <v>86519.3326286809</v>
          </cell>
        </row>
        <row r="31">
          <cell r="AL31">
            <v>1205740.78643812</v>
          </cell>
        </row>
        <row r="32">
          <cell r="E32">
            <v>5060704</v>
          </cell>
        </row>
        <row r="32">
          <cell r="I32">
            <v>6265685.44870631</v>
          </cell>
        </row>
        <row r="32">
          <cell r="AG32">
            <v>1134791.47816007</v>
          </cell>
          <cell r="AH32">
            <v>95171.2658915489</v>
          </cell>
        </row>
        <row r="32">
          <cell r="AL32">
            <v>1221808.66249773</v>
          </cell>
        </row>
        <row r="33">
          <cell r="E33">
            <v>4807668.8</v>
          </cell>
        </row>
        <row r="33">
          <cell r="I33">
            <v>6265685.44870631</v>
          </cell>
        </row>
        <row r="33">
          <cell r="AG33">
            <v>1229962.74405162</v>
          </cell>
          <cell r="AH33">
            <v>0</v>
          </cell>
        </row>
        <row r="33">
          <cell r="AL33">
            <v>1221808.66249773</v>
          </cell>
        </row>
        <row r="34">
          <cell r="E34">
            <v>4872390.08333333</v>
          </cell>
        </row>
        <row r="34">
          <cell r="I34">
            <v>6348084.81311458</v>
          </cell>
        </row>
        <row r="34">
          <cell r="AG34">
            <v>1229962.74405162</v>
          </cell>
          <cell r="AH34">
            <v>8651.9332628681</v>
          </cell>
        </row>
        <row r="34">
          <cell r="AL34">
            <v>1237876.53855734</v>
          </cell>
        </row>
        <row r="35">
          <cell r="E35">
            <v>4872390.08333333</v>
          </cell>
        </row>
        <row r="35">
          <cell r="I35">
            <v>6348084.81311458</v>
          </cell>
        </row>
        <row r="35">
          <cell r="AG35">
            <v>1229962.74405162</v>
          </cell>
          <cell r="AH35">
            <v>8651.9332628681</v>
          </cell>
        </row>
        <row r="35">
          <cell r="AL35">
            <v>1237876.53855734</v>
          </cell>
        </row>
        <row r="36">
          <cell r="E36">
            <v>4937111.36666667</v>
          </cell>
        </row>
        <row r="36">
          <cell r="I36">
            <v>6430484.17752285</v>
          </cell>
        </row>
        <row r="36">
          <cell r="AG36">
            <v>1229962.74405162</v>
          </cell>
          <cell r="AH36">
            <v>17303.8665257362</v>
          </cell>
        </row>
        <row r="36">
          <cell r="AL36">
            <v>1253944.41461696</v>
          </cell>
        </row>
        <row r="37">
          <cell r="E37">
            <v>4937111.36666667</v>
          </cell>
        </row>
        <row r="37">
          <cell r="I37">
            <v>6430484.17752285</v>
          </cell>
        </row>
        <row r="37">
          <cell r="AG37">
            <v>1229962.74405162</v>
          </cell>
          <cell r="AH37">
            <v>17303.8665257362</v>
          </cell>
        </row>
        <row r="37">
          <cell r="AL37">
            <v>1253944.41461696</v>
          </cell>
        </row>
        <row r="38">
          <cell r="E38">
            <v>5001832.65</v>
          </cell>
        </row>
        <row r="38">
          <cell r="I38">
            <v>6512883.54193111</v>
          </cell>
        </row>
        <row r="38">
          <cell r="AG38">
            <v>1229962.74405162</v>
          </cell>
          <cell r="AH38">
            <v>25955.7997886043</v>
          </cell>
        </row>
        <row r="38">
          <cell r="AL38">
            <v>1270012.29067657</v>
          </cell>
        </row>
        <row r="39">
          <cell r="E39">
            <v>5001832.65</v>
          </cell>
        </row>
        <row r="39">
          <cell r="I39">
            <v>6512883.54193111</v>
          </cell>
        </row>
        <row r="39">
          <cell r="AG39">
            <v>1229962.74405162</v>
          </cell>
          <cell r="AH39">
            <v>25955.7997886043</v>
          </cell>
        </row>
        <row r="39">
          <cell r="AL39">
            <v>1270012.29067657</v>
          </cell>
        </row>
        <row r="40">
          <cell r="E40">
            <v>5066553.93333333</v>
          </cell>
        </row>
        <row r="40">
          <cell r="I40">
            <v>6595282.90633938</v>
          </cell>
        </row>
        <row r="40">
          <cell r="AG40">
            <v>1229962.74405162</v>
          </cell>
          <cell r="AH40">
            <v>34607.7330514724</v>
          </cell>
        </row>
        <row r="40">
          <cell r="AL40">
            <v>1286080.16673618</v>
          </cell>
        </row>
        <row r="41">
          <cell r="E41">
            <v>5066553.93333333</v>
          </cell>
        </row>
        <row r="41">
          <cell r="I41">
            <v>6595282.90633938</v>
          </cell>
        </row>
        <row r="41">
          <cell r="AG41">
            <v>1229962.74405162</v>
          </cell>
          <cell r="AH41">
            <v>34607.7330514724</v>
          </cell>
        </row>
        <row r="41">
          <cell r="AL41">
            <v>1286080.16673618</v>
          </cell>
        </row>
        <row r="42">
          <cell r="E42">
            <v>5131275.21666667</v>
          </cell>
        </row>
        <row r="42">
          <cell r="I42">
            <v>6677682.27074765</v>
          </cell>
        </row>
        <row r="42">
          <cell r="AG42">
            <v>1229962.74405162</v>
          </cell>
          <cell r="AH42">
            <v>43259.6663143404</v>
          </cell>
        </row>
        <row r="42">
          <cell r="AL42">
            <v>1302148.04279579</v>
          </cell>
        </row>
        <row r="43">
          <cell r="E43">
            <v>5131275.21666667</v>
          </cell>
        </row>
        <row r="43">
          <cell r="I43">
            <v>6677682.27074765</v>
          </cell>
        </row>
        <row r="43">
          <cell r="AG43">
            <v>1229962.74405162</v>
          </cell>
          <cell r="AH43">
            <v>43259.6663143404</v>
          </cell>
        </row>
        <row r="43">
          <cell r="AL43">
            <v>1302148.04279579</v>
          </cell>
        </row>
        <row r="44">
          <cell r="E44">
            <v>5195996.5</v>
          </cell>
        </row>
        <row r="44">
          <cell r="I44">
            <v>6760081.63515592</v>
          </cell>
        </row>
        <row r="44">
          <cell r="AG44">
            <v>1229962.74405162</v>
          </cell>
          <cell r="AH44">
            <v>51911.5995772085</v>
          </cell>
        </row>
        <row r="44">
          <cell r="AL44">
            <v>1318215.9188554</v>
          </cell>
        </row>
        <row r="45">
          <cell r="E45">
            <v>5195996.5</v>
          </cell>
        </row>
        <row r="45">
          <cell r="I45">
            <v>6760081.63515592</v>
          </cell>
        </row>
        <row r="45">
          <cell r="AG45">
            <v>1281874.34362883</v>
          </cell>
          <cell r="AH45">
            <v>0</v>
          </cell>
        </row>
        <row r="45">
          <cell r="AL45">
            <v>1318215.9188554</v>
          </cell>
        </row>
        <row r="46">
          <cell r="E46">
            <v>5195996.5</v>
          </cell>
        </row>
        <row r="46">
          <cell r="I46">
            <v>6760081.63515592</v>
          </cell>
        </row>
        <row r="46">
          <cell r="AG46">
            <v>1281874.34362883</v>
          </cell>
          <cell r="AH46">
            <v>0</v>
          </cell>
        </row>
        <row r="46">
          <cell r="AL46">
            <v>1318215.9188554</v>
          </cell>
        </row>
        <row r="47">
          <cell r="E47">
            <v>5195996.5</v>
          </cell>
        </row>
        <row r="47">
          <cell r="I47">
            <v>6760081.63515592</v>
          </cell>
        </row>
        <row r="47">
          <cell r="AG47">
            <v>1281874.34362883</v>
          </cell>
          <cell r="AH47">
            <v>0</v>
          </cell>
        </row>
        <row r="47">
          <cell r="AL47">
            <v>1318215.9188554</v>
          </cell>
        </row>
        <row r="48">
          <cell r="E48">
            <v>5195996.5</v>
          </cell>
        </row>
        <row r="48">
          <cell r="I48">
            <v>6760081.63515592</v>
          </cell>
        </row>
        <row r="48">
          <cell r="AG48">
            <v>1281874.34362883</v>
          </cell>
          <cell r="AH48">
            <v>0</v>
          </cell>
        </row>
        <row r="48">
          <cell r="AL48">
            <v>1318215.9188554</v>
          </cell>
        </row>
        <row r="49">
          <cell r="E49">
            <v>5195996.5</v>
          </cell>
        </row>
        <row r="49">
          <cell r="I49">
            <v>6760081.63515592</v>
          </cell>
        </row>
        <row r="49">
          <cell r="AG49">
            <v>1281874.34362883</v>
          </cell>
          <cell r="AH49">
            <v>0</v>
          </cell>
        </row>
        <row r="49">
          <cell r="AL49">
            <v>1318215.9188554</v>
          </cell>
        </row>
        <row r="50">
          <cell r="E50">
            <v>5195996.5</v>
          </cell>
        </row>
        <row r="50">
          <cell r="I50">
            <v>6760081.63515592</v>
          </cell>
        </row>
        <row r="50">
          <cell r="AG50">
            <v>1281874.34362883</v>
          </cell>
          <cell r="AH50">
            <v>0</v>
          </cell>
        </row>
        <row r="50">
          <cell r="AL50">
            <v>1318215.9188554</v>
          </cell>
        </row>
        <row r="51">
          <cell r="E51">
            <v>5195996.5</v>
          </cell>
        </row>
        <row r="51">
          <cell r="I51">
            <v>6760081.63515592</v>
          </cell>
        </row>
        <row r="51">
          <cell r="AG51">
            <v>1281874.34362883</v>
          </cell>
          <cell r="AH51">
            <v>0</v>
          </cell>
        </row>
        <row r="51">
          <cell r="AL51">
            <v>1318215.9188554</v>
          </cell>
        </row>
        <row r="52">
          <cell r="E52">
            <v>5195996.5</v>
          </cell>
        </row>
        <row r="52">
          <cell r="I52">
            <v>6760081.63515592</v>
          </cell>
        </row>
        <row r="52">
          <cell r="AG52">
            <v>1281874.34362883</v>
          </cell>
          <cell r="AH52">
            <v>0</v>
          </cell>
        </row>
        <row r="52">
          <cell r="AL52">
            <v>1318215.9188554</v>
          </cell>
        </row>
        <row r="53">
          <cell r="E53">
            <v>5195996.5</v>
          </cell>
        </row>
        <row r="53">
          <cell r="I53">
            <v>6760081.63515592</v>
          </cell>
        </row>
        <row r="53">
          <cell r="AG53">
            <v>1281874.34362883</v>
          </cell>
          <cell r="AH53">
            <v>0</v>
          </cell>
        </row>
        <row r="53">
          <cell r="AL53">
            <v>1318215.9188554</v>
          </cell>
        </row>
        <row r="54">
          <cell r="E54">
            <v>5195996.5</v>
          </cell>
        </row>
        <row r="54">
          <cell r="I54">
            <v>6760081.63515592</v>
          </cell>
        </row>
        <row r="54">
          <cell r="AG54">
            <v>1281874.34362883</v>
          </cell>
          <cell r="AH54">
            <v>0</v>
          </cell>
        </row>
        <row r="54">
          <cell r="AL54">
            <v>1318215.9188554</v>
          </cell>
        </row>
        <row r="55">
          <cell r="E55">
            <v>5195996.5</v>
          </cell>
        </row>
        <row r="55">
          <cell r="I55">
            <v>6760081.63515592</v>
          </cell>
        </row>
        <row r="55">
          <cell r="AG55">
            <v>1281874.34362883</v>
          </cell>
          <cell r="AH55">
            <v>0</v>
          </cell>
        </row>
        <row r="55">
          <cell r="AL55">
            <v>1318215.9188554</v>
          </cell>
        </row>
        <row r="56">
          <cell r="E56">
            <v>5195996.5</v>
          </cell>
        </row>
        <row r="56">
          <cell r="I56">
            <v>6760081.63515592</v>
          </cell>
        </row>
        <row r="56">
          <cell r="AG56">
            <v>1281874.34362883</v>
          </cell>
          <cell r="AH56">
            <v>0</v>
          </cell>
        </row>
        <row r="56">
          <cell r="AL56">
            <v>1318215.9188554</v>
          </cell>
        </row>
        <row r="57">
          <cell r="E57">
            <v>5086607.1</v>
          </cell>
        </row>
        <row r="57">
          <cell r="I57">
            <v>6760081.63515592</v>
          </cell>
        </row>
        <row r="57">
          <cell r="AG57">
            <v>1281874.34362883</v>
          </cell>
          <cell r="AH57">
            <v>0</v>
          </cell>
        </row>
        <row r="57">
          <cell r="AL57">
            <v>1318215.9188554</v>
          </cell>
        </row>
        <row r="58">
          <cell r="E58">
            <v>5086607.1</v>
          </cell>
        </row>
        <row r="58">
          <cell r="I58">
            <v>6760081.63515592</v>
          </cell>
        </row>
        <row r="58">
          <cell r="AG58">
            <v>1281874.34362883</v>
          </cell>
          <cell r="AH58">
            <v>0</v>
          </cell>
        </row>
        <row r="58">
          <cell r="AL58">
            <v>1318215.9188554</v>
          </cell>
        </row>
        <row r="59">
          <cell r="E59">
            <v>5086607.1</v>
          </cell>
        </row>
        <row r="59">
          <cell r="I59">
            <v>6760081.63515592</v>
          </cell>
        </row>
        <row r="59">
          <cell r="AG59">
            <v>1281874.34362883</v>
          </cell>
          <cell r="AH59">
            <v>0</v>
          </cell>
        </row>
        <row r="59">
          <cell r="AL59">
            <v>1318215.9188554</v>
          </cell>
        </row>
        <row r="60">
          <cell r="E60">
            <v>5086607.1</v>
          </cell>
        </row>
        <row r="60">
          <cell r="I60">
            <v>6760081.63515592</v>
          </cell>
        </row>
        <row r="60">
          <cell r="AG60">
            <v>1281874.34362883</v>
          </cell>
          <cell r="AH60">
            <v>0</v>
          </cell>
        </row>
        <row r="60">
          <cell r="AL60">
            <v>1318215.9188554</v>
          </cell>
        </row>
        <row r="61">
          <cell r="E61">
            <v>5086607.1</v>
          </cell>
        </row>
        <row r="61">
          <cell r="I61">
            <v>6760081.63515592</v>
          </cell>
        </row>
        <row r="61">
          <cell r="AG61">
            <v>1281874.34362883</v>
          </cell>
          <cell r="AH61">
            <v>0</v>
          </cell>
        </row>
        <row r="61">
          <cell r="AL61">
            <v>1318215.9188554</v>
          </cell>
        </row>
        <row r="62">
          <cell r="E62">
            <v>5086607.1</v>
          </cell>
        </row>
        <row r="62">
          <cell r="I62">
            <v>6760081.63515592</v>
          </cell>
        </row>
        <row r="62">
          <cell r="AG62">
            <v>1281874.34362883</v>
          </cell>
          <cell r="AH62">
            <v>0</v>
          </cell>
        </row>
        <row r="62">
          <cell r="AL62">
            <v>1318215.9188554</v>
          </cell>
        </row>
        <row r="63">
          <cell r="E63">
            <v>5086607.1</v>
          </cell>
        </row>
        <row r="63">
          <cell r="I63">
            <v>6760081.63515592</v>
          </cell>
        </row>
        <row r="63">
          <cell r="AG63">
            <v>1281874.34362883</v>
          </cell>
          <cell r="AH63">
            <v>0</v>
          </cell>
        </row>
        <row r="63">
          <cell r="AL63">
            <v>1318215.9188554</v>
          </cell>
        </row>
        <row r="64">
          <cell r="E64">
            <v>5086607.1</v>
          </cell>
        </row>
        <row r="64">
          <cell r="I64">
            <v>6760081.63515592</v>
          </cell>
        </row>
        <row r="64">
          <cell r="AG64">
            <v>1281874.34362883</v>
          </cell>
          <cell r="AH64">
            <v>0</v>
          </cell>
        </row>
        <row r="64">
          <cell r="AL64">
            <v>1318215.9188554</v>
          </cell>
        </row>
        <row r="65">
          <cell r="E65">
            <v>5086607.1</v>
          </cell>
        </row>
        <row r="65">
          <cell r="I65">
            <v>6760081.63515592</v>
          </cell>
        </row>
        <row r="65">
          <cell r="AG65">
            <v>1281874.34362883</v>
          </cell>
          <cell r="AH65">
            <v>0</v>
          </cell>
        </row>
        <row r="65">
          <cell r="AL65">
            <v>1318215.9188554</v>
          </cell>
        </row>
        <row r="66">
          <cell r="E66">
            <v>5086607.1</v>
          </cell>
        </row>
        <row r="66">
          <cell r="I66">
            <v>6760081.63515592</v>
          </cell>
        </row>
        <row r="66">
          <cell r="AG66">
            <v>1281874.34362883</v>
          </cell>
          <cell r="AH66">
            <v>0</v>
          </cell>
        </row>
        <row r="66">
          <cell r="AL66">
            <v>1318215.9188554</v>
          </cell>
        </row>
        <row r="67">
          <cell r="E67">
            <v>5086607.1</v>
          </cell>
        </row>
        <row r="67">
          <cell r="I67">
            <v>6760081.63515592</v>
          </cell>
        </row>
        <row r="67">
          <cell r="AG67">
            <v>1281874.34362883</v>
          </cell>
          <cell r="AH67">
            <v>0</v>
          </cell>
        </row>
        <row r="67">
          <cell r="AL67">
            <v>1318215.9188554</v>
          </cell>
        </row>
        <row r="68">
          <cell r="E68">
            <v>5086607.1</v>
          </cell>
        </row>
        <row r="68">
          <cell r="I68">
            <v>6760081.63515592</v>
          </cell>
        </row>
        <row r="68">
          <cell r="AG68">
            <v>1281874.34362883</v>
          </cell>
          <cell r="AH68">
            <v>0</v>
          </cell>
        </row>
        <row r="68">
          <cell r="AL68">
            <v>1318215.9188554</v>
          </cell>
        </row>
        <row r="69">
          <cell r="E69">
            <v>5086607.1</v>
          </cell>
        </row>
        <row r="69">
          <cell r="I69">
            <v>6760081.63515592</v>
          </cell>
        </row>
        <row r="69">
          <cell r="AG69">
            <v>1281874.34362883</v>
          </cell>
          <cell r="AH69">
            <v>0</v>
          </cell>
        </row>
        <row r="69">
          <cell r="AL69">
            <v>1318215.9188554</v>
          </cell>
        </row>
        <row r="70">
          <cell r="E70">
            <v>5086607.1</v>
          </cell>
        </row>
        <row r="70">
          <cell r="I70">
            <v>6760081.63515592</v>
          </cell>
        </row>
        <row r="70">
          <cell r="AG70">
            <v>1281874.34362883</v>
          </cell>
          <cell r="AH70">
            <v>0</v>
          </cell>
        </row>
        <row r="70">
          <cell r="AL70">
            <v>1318215.9188554</v>
          </cell>
        </row>
        <row r="71">
          <cell r="E71">
            <v>5086607.1</v>
          </cell>
        </row>
        <row r="71">
          <cell r="I71">
            <v>6760081.63515592</v>
          </cell>
        </row>
        <row r="71">
          <cell r="AG71">
            <v>1281874.34362883</v>
          </cell>
          <cell r="AH71">
            <v>0</v>
          </cell>
        </row>
        <row r="71">
          <cell r="AL71">
            <v>1318215.9188554</v>
          </cell>
        </row>
        <row r="72">
          <cell r="E72">
            <v>5086607.1</v>
          </cell>
        </row>
        <row r="72">
          <cell r="I72">
            <v>6760081.63515592</v>
          </cell>
        </row>
        <row r="72">
          <cell r="AG72">
            <v>1281874.34362883</v>
          </cell>
          <cell r="AH72">
            <v>0</v>
          </cell>
        </row>
        <row r="72">
          <cell r="AL72">
            <v>1318215.9188554</v>
          </cell>
        </row>
        <row r="73">
          <cell r="E73">
            <v>5086607.1</v>
          </cell>
        </row>
        <row r="73">
          <cell r="I73">
            <v>6760081.63515592</v>
          </cell>
        </row>
        <row r="73">
          <cell r="AG73">
            <v>1281874.34362883</v>
          </cell>
          <cell r="AH73">
            <v>0</v>
          </cell>
        </row>
        <row r="73">
          <cell r="AL73">
            <v>1318215.9188554</v>
          </cell>
        </row>
        <row r="74">
          <cell r="E74">
            <v>5086607.1</v>
          </cell>
        </row>
        <row r="74">
          <cell r="I74">
            <v>6760081.63515592</v>
          </cell>
        </row>
        <row r="74">
          <cell r="AG74">
            <v>1281874.34362883</v>
          </cell>
          <cell r="AH74">
            <v>0</v>
          </cell>
        </row>
        <row r="74">
          <cell r="AL74">
            <v>1318215.9188554</v>
          </cell>
        </row>
        <row r="75">
          <cell r="E75">
            <v>5086607.1</v>
          </cell>
        </row>
        <row r="75">
          <cell r="I75">
            <v>6760081.63515592</v>
          </cell>
        </row>
        <row r="75">
          <cell r="AG75">
            <v>1281874.34362883</v>
          </cell>
          <cell r="AH75">
            <v>0</v>
          </cell>
        </row>
        <row r="75">
          <cell r="AL75">
            <v>1318215.9188554</v>
          </cell>
        </row>
        <row r="76">
          <cell r="E76">
            <v>5086607.1</v>
          </cell>
        </row>
        <row r="76">
          <cell r="I76">
            <v>6760081.63515592</v>
          </cell>
        </row>
        <row r="76">
          <cell r="AG76">
            <v>1281874.34362883</v>
          </cell>
          <cell r="AH76">
            <v>0</v>
          </cell>
        </row>
        <row r="76">
          <cell r="AL76">
            <v>1318215.9188554</v>
          </cell>
        </row>
        <row r="77">
          <cell r="E77">
            <v>5086607.1</v>
          </cell>
        </row>
        <row r="77">
          <cell r="I77">
            <v>6760081.63515592</v>
          </cell>
        </row>
        <row r="77">
          <cell r="AG77">
            <v>1281874.34362883</v>
          </cell>
          <cell r="AH77">
            <v>0</v>
          </cell>
        </row>
        <row r="77">
          <cell r="AL77">
            <v>1318215.9188554</v>
          </cell>
        </row>
        <row r="78">
          <cell r="E78">
            <v>5086607.1</v>
          </cell>
        </row>
        <row r="78">
          <cell r="I78">
            <v>6760081.63515592</v>
          </cell>
        </row>
        <row r="78">
          <cell r="AG78">
            <v>1281874.34362883</v>
          </cell>
          <cell r="AH78">
            <v>0</v>
          </cell>
        </row>
        <row r="78">
          <cell r="AL78">
            <v>1318215.9188554</v>
          </cell>
        </row>
        <row r="79">
          <cell r="E79">
            <v>5086607.1</v>
          </cell>
        </row>
        <row r="79">
          <cell r="I79">
            <v>6760081.63515592</v>
          </cell>
        </row>
        <row r="79">
          <cell r="AG79">
            <v>1281874.34362883</v>
          </cell>
          <cell r="AH79">
            <v>0</v>
          </cell>
        </row>
        <row r="79">
          <cell r="AL79">
            <v>1318215.9188554</v>
          </cell>
        </row>
        <row r="80">
          <cell r="E80">
            <v>5086607.1</v>
          </cell>
        </row>
        <row r="80">
          <cell r="I80">
            <v>6760081.63515592</v>
          </cell>
        </row>
        <row r="80">
          <cell r="AG80">
            <v>1281874.34362883</v>
          </cell>
          <cell r="AH80">
            <v>0</v>
          </cell>
        </row>
        <row r="80">
          <cell r="AL80">
            <v>1318215.9188554</v>
          </cell>
        </row>
        <row r="81">
          <cell r="E81">
            <v>5086607.1</v>
          </cell>
        </row>
        <row r="81">
          <cell r="I81">
            <v>6760081.63515592</v>
          </cell>
        </row>
        <row r="81">
          <cell r="AG81">
            <v>1281874.34362883</v>
          </cell>
          <cell r="AH81">
            <v>0</v>
          </cell>
        </row>
        <row r="81">
          <cell r="AL81">
            <v>1318215.9188554</v>
          </cell>
        </row>
        <row r="82">
          <cell r="E82">
            <v>5086607.1</v>
          </cell>
        </row>
        <row r="82">
          <cell r="I82">
            <v>6760081.63515592</v>
          </cell>
        </row>
        <row r="82">
          <cell r="AG82">
            <v>1281874.34362883</v>
          </cell>
          <cell r="AH82">
            <v>0</v>
          </cell>
        </row>
        <row r="82">
          <cell r="AL82">
            <v>1318215.9188554</v>
          </cell>
        </row>
        <row r="83">
          <cell r="E83">
            <v>5086607.1</v>
          </cell>
        </row>
        <row r="83">
          <cell r="I83">
            <v>6760081.63515592</v>
          </cell>
        </row>
        <row r="83">
          <cell r="AG83">
            <v>1281874.34362883</v>
          </cell>
          <cell r="AH83">
            <v>0</v>
          </cell>
        </row>
        <row r="83">
          <cell r="AL83">
            <v>1318215.9188554</v>
          </cell>
        </row>
        <row r="84">
          <cell r="E84">
            <v>5086607.1</v>
          </cell>
        </row>
        <row r="84">
          <cell r="I84">
            <v>6760081.63515592</v>
          </cell>
        </row>
        <row r="84">
          <cell r="AG84">
            <v>1281874.34362883</v>
          </cell>
          <cell r="AH84">
            <v>0</v>
          </cell>
        </row>
        <row r="84">
          <cell r="AL84">
            <v>1318215.9188554</v>
          </cell>
        </row>
        <row r="85">
          <cell r="E85">
            <v>5086607.1</v>
          </cell>
        </row>
        <row r="85">
          <cell r="I85">
            <v>6760081.63515592</v>
          </cell>
        </row>
        <row r="85">
          <cell r="AG85">
            <v>1281874.34362883</v>
          </cell>
          <cell r="AH85">
            <v>0</v>
          </cell>
        </row>
        <row r="85">
          <cell r="AL85">
            <v>1318215.9188554</v>
          </cell>
        </row>
        <row r="86">
          <cell r="E86">
            <v>5086607.1</v>
          </cell>
        </row>
        <row r="86">
          <cell r="I86">
            <v>6760081.63515592</v>
          </cell>
        </row>
        <row r="86">
          <cell r="AG86">
            <v>1281874.34362883</v>
          </cell>
          <cell r="AH86">
            <v>0</v>
          </cell>
        </row>
        <row r="86">
          <cell r="AL86">
            <v>1318215.9188554</v>
          </cell>
        </row>
        <row r="87">
          <cell r="E87">
            <v>5086607.1</v>
          </cell>
        </row>
        <row r="87">
          <cell r="I87">
            <v>6760081.63515592</v>
          </cell>
        </row>
        <row r="87">
          <cell r="AG87">
            <v>1281874.34362883</v>
          </cell>
          <cell r="AH87">
            <v>0</v>
          </cell>
        </row>
        <row r="87">
          <cell r="AL87">
            <v>1318215.9188554</v>
          </cell>
        </row>
        <row r="88">
          <cell r="E88">
            <v>5086607.1</v>
          </cell>
        </row>
        <row r="88">
          <cell r="I88">
            <v>6760081.63515592</v>
          </cell>
        </row>
        <row r="88">
          <cell r="AG88">
            <v>1281874.34362883</v>
          </cell>
          <cell r="AH88">
            <v>0</v>
          </cell>
        </row>
        <row r="88">
          <cell r="AL88">
            <v>1318215.9188554</v>
          </cell>
        </row>
        <row r="89">
          <cell r="E89">
            <v>5086607.1</v>
          </cell>
        </row>
        <row r="89">
          <cell r="I89">
            <v>6760081.63515592</v>
          </cell>
        </row>
        <row r="89">
          <cell r="AG89">
            <v>1281874.34362883</v>
          </cell>
          <cell r="AH89">
            <v>0</v>
          </cell>
        </row>
        <row r="89">
          <cell r="AL89">
            <v>1318215.9188554</v>
          </cell>
        </row>
        <row r="90">
          <cell r="E90">
            <v>5086607.1</v>
          </cell>
        </row>
        <row r="90">
          <cell r="I90">
            <v>6760081.63515592</v>
          </cell>
        </row>
        <row r="90">
          <cell r="AG90">
            <v>1281874.34362883</v>
          </cell>
          <cell r="AH90">
            <v>0</v>
          </cell>
        </row>
        <row r="90">
          <cell r="AL90">
            <v>1318215.9188554</v>
          </cell>
        </row>
        <row r="91">
          <cell r="E91">
            <v>5086607.1</v>
          </cell>
        </row>
        <row r="91">
          <cell r="I91">
            <v>6760081.63515592</v>
          </cell>
        </row>
        <row r="91">
          <cell r="AG91">
            <v>1281874.34362883</v>
          </cell>
          <cell r="AH91">
            <v>0</v>
          </cell>
        </row>
        <row r="91">
          <cell r="AL91">
            <v>1318215.9188554</v>
          </cell>
        </row>
        <row r="92">
          <cell r="E92">
            <v>5086607.1</v>
          </cell>
        </row>
        <row r="92">
          <cell r="I92">
            <v>6760081.63515592</v>
          </cell>
        </row>
        <row r="92">
          <cell r="AG92">
            <v>1281874.34362883</v>
          </cell>
          <cell r="AH92">
            <v>0</v>
          </cell>
        </row>
        <row r="92">
          <cell r="AL92">
            <v>1318215.9188554</v>
          </cell>
        </row>
        <row r="93">
          <cell r="E93">
            <v>5086607.1</v>
          </cell>
        </row>
        <row r="93">
          <cell r="I93">
            <v>6760081.63515592</v>
          </cell>
        </row>
        <row r="93">
          <cell r="AG93">
            <v>1281874.34362883</v>
          </cell>
          <cell r="AH93">
            <v>0</v>
          </cell>
        </row>
        <row r="93">
          <cell r="AL93">
            <v>1318215.9188554</v>
          </cell>
        </row>
        <row r="94">
          <cell r="E94">
            <v>5086607.1</v>
          </cell>
        </row>
        <row r="94">
          <cell r="I94">
            <v>6760081.63515592</v>
          </cell>
        </row>
        <row r="94">
          <cell r="AG94">
            <v>1281874.34362883</v>
          </cell>
          <cell r="AH94">
            <v>0</v>
          </cell>
        </row>
        <row r="94">
          <cell r="AL94">
            <v>1318215.9188554</v>
          </cell>
        </row>
        <row r="95">
          <cell r="E95">
            <v>5086607.1</v>
          </cell>
        </row>
        <row r="95">
          <cell r="I95">
            <v>6760081.63515592</v>
          </cell>
        </row>
        <row r="95">
          <cell r="AG95">
            <v>1281874.34362883</v>
          </cell>
          <cell r="AH95">
            <v>0</v>
          </cell>
        </row>
        <row r="95">
          <cell r="AL95">
            <v>1318215.9188554</v>
          </cell>
        </row>
        <row r="96">
          <cell r="E96">
            <v>5086607.1</v>
          </cell>
        </row>
        <row r="96">
          <cell r="I96">
            <v>6760081.63515592</v>
          </cell>
        </row>
        <row r="96">
          <cell r="AG96">
            <v>1281874.34362883</v>
          </cell>
          <cell r="AH96">
            <v>0</v>
          </cell>
        </row>
        <row r="96">
          <cell r="AL96">
            <v>1318215.9188554</v>
          </cell>
        </row>
        <row r="97">
          <cell r="E97">
            <v>5086607.1</v>
          </cell>
        </row>
        <row r="97">
          <cell r="I97">
            <v>6760081.63515592</v>
          </cell>
        </row>
        <row r="97">
          <cell r="AG97">
            <v>1281874.34362883</v>
          </cell>
          <cell r="AH97">
            <v>0</v>
          </cell>
        </row>
        <row r="97">
          <cell r="AL97">
            <v>1318215.9188554</v>
          </cell>
        </row>
        <row r="98">
          <cell r="E98">
            <v>5086607.1</v>
          </cell>
        </row>
        <row r="98">
          <cell r="I98">
            <v>6760081.63515592</v>
          </cell>
        </row>
        <row r="98">
          <cell r="AG98">
            <v>1281874.34362883</v>
          </cell>
          <cell r="AH98">
            <v>0</v>
          </cell>
        </row>
        <row r="98">
          <cell r="AL98">
            <v>1318215.9188554</v>
          </cell>
        </row>
        <row r="99">
          <cell r="E99">
            <v>5086607.1</v>
          </cell>
        </row>
        <row r="99">
          <cell r="I99">
            <v>6760081.63515592</v>
          </cell>
        </row>
        <row r="99">
          <cell r="AG99">
            <v>1281874.34362883</v>
          </cell>
          <cell r="AH99">
            <v>0</v>
          </cell>
        </row>
        <row r="99">
          <cell r="AL99">
            <v>1318215.9188554</v>
          </cell>
        </row>
        <row r="100">
          <cell r="E100">
            <v>5086607.1</v>
          </cell>
        </row>
        <row r="100">
          <cell r="I100">
            <v>6760081.63515592</v>
          </cell>
        </row>
        <row r="100">
          <cell r="AG100">
            <v>1281874.34362883</v>
          </cell>
          <cell r="AH100">
            <v>0</v>
          </cell>
        </row>
        <row r="100">
          <cell r="AL100">
            <v>1318215.9188554</v>
          </cell>
        </row>
        <row r="101">
          <cell r="E101">
            <v>5086607.1</v>
          </cell>
        </row>
        <row r="101">
          <cell r="I101">
            <v>6760081.63515592</v>
          </cell>
        </row>
        <row r="101">
          <cell r="AG101">
            <v>1281874.34362883</v>
          </cell>
          <cell r="AH101">
            <v>0</v>
          </cell>
        </row>
        <row r="101">
          <cell r="AL101">
            <v>1318215.9188554</v>
          </cell>
        </row>
        <row r="102">
          <cell r="E102">
            <v>5086607.1</v>
          </cell>
        </row>
        <row r="102">
          <cell r="I102">
            <v>6760081.63515592</v>
          </cell>
        </row>
        <row r="102">
          <cell r="AG102">
            <v>1281874.34362883</v>
          </cell>
          <cell r="AH102">
            <v>0</v>
          </cell>
        </row>
        <row r="102">
          <cell r="AL102">
            <v>1318215.9188554</v>
          </cell>
        </row>
        <row r="103">
          <cell r="E103">
            <v>5086607.1</v>
          </cell>
        </row>
        <row r="103">
          <cell r="I103">
            <v>6760081.63515592</v>
          </cell>
        </row>
        <row r="103">
          <cell r="AG103">
            <v>1281874.34362883</v>
          </cell>
          <cell r="AH103">
            <v>0</v>
          </cell>
        </row>
        <row r="103">
          <cell r="AL103">
            <v>1318215.9188554</v>
          </cell>
        </row>
        <row r="104">
          <cell r="E104">
            <v>5086607.1</v>
          </cell>
        </row>
        <row r="104">
          <cell r="I104">
            <v>6760081.63515592</v>
          </cell>
        </row>
        <row r="104">
          <cell r="AG104">
            <v>1281874.34362883</v>
          </cell>
          <cell r="AH104">
            <v>0</v>
          </cell>
        </row>
        <row r="104">
          <cell r="AL104">
            <v>1318215.9188554</v>
          </cell>
        </row>
        <row r="105">
          <cell r="E105">
            <v>4922523</v>
          </cell>
        </row>
        <row r="105">
          <cell r="I105">
            <v>6760081.63515592</v>
          </cell>
        </row>
        <row r="105">
          <cell r="AG105">
            <v>1281874.34362883</v>
          </cell>
          <cell r="AH105">
            <v>0</v>
          </cell>
        </row>
        <row r="105">
          <cell r="AL105">
            <v>1318215.9188554</v>
          </cell>
        </row>
        <row r="106">
          <cell r="E106">
            <v>4922523</v>
          </cell>
        </row>
        <row r="106">
          <cell r="I106">
            <v>6760081.63515592</v>
          </cell>
        </row>
        <row r="106">
          <cell r="AG106">
            <v>1281874.34362883</v>
          </cell>
          <cell r="AH106">
            <v>0</v>
          </cell>
        </row>
        <row r="106">
          <cell r="AL106">
            <v>1318215.9188554</v>
          </cell>
        </row>
        <row r="107">
          <cell r="E107">
            <v>4922523</v>
          </cell>
        </row>
        <row r="107">
          <cell r="I107">
            <v>6760081.63515592</v>
          </cell>
        </row>
        <row r="107">
          <cell r="AG107">
            <v>1281874.34362883</v>
          </cell>
          <cell r="AH107">
            <v>0</v>
          </cell>
        </row>
        <row r="107">
          <cell r="AL107">
            <v>1318215.9188554</v>
          </cell>
        </row>
        <row r="108">
          <cell r="E108">
            <v>4922523</v>
          </cell>
        </row>
        <row r="108">
          <cell r="I108">
            <v>6760081.63515592</v>
          </cell>
        </row>
        <row r="108">
          <cell r="AG108">
            <v>1281874.34362883</v>
          </cell>
          <cell r="AH108">
            <v>0</v>
          </cell>
        </row>
        <row r="108">
          <cell r="AL108">
            <v>1318215.9188554</v>
          </cell>
        </row>
        <row r="109">
          <cell r="E109">
            <v>4922523</v>
          </cell>
        </row>
        <row r="109">
          <cell r="I109">
            <v>6760081.63515592</v>
          </cell>
        </row>
        <row r="109">
          <cell r="AG109">
            <v>1281874.34362883</v>
          </cell>
          <cell r="AH109">
            <v>0</v>
          </cell>
        </row>
        <row r="109">
          <cell r="AL109">
            <v>1318215.9188554</v>
          </cell>
        </row>
        <row r="110">
          <cell r="E110">
            <v>4922523</v>
          </cell>
        </row>
        <row r="110">
          <cell r="I110">
            <v>6760081.63515592</v>
          </cell>
        </row>
        <row r="110">
          <cell r="AG110">
            <v>1281874.34362883</v>
          </cell>
          <cell r="AH110">
            <v>0</v>
          </cell>
        </row>
        <row r="110">
          <cell r="AL110">
            <v>1318215.9188554</v>
          </cell>
        </row>
        <row r="111">
          <cell r="E111">
            <v>4922523</v>
          </cell>
        </row>
        <row r="111">
          <cell r="I111">
            <v>6760081.63515592</v>
          </cell>
        </row>
        <row r="111">
          <cell r="AG111">
            <v>1281874.34362883</v>
          </cell>
          <cell r="AH111">
            <v>0</v>
          </cell>
        </row>
        <row r="111">
          <cell r="AL111">
            <v>1318215.9188554</v>
          </cell>
        </row>
        <row r="112">
          <cell r="E112">
            <v>4922523</v>
          </cell>
        </row>
        <row r="112">
          <cell r="I112">
            <v>6760081.63515592</v>
          </cell>
        </row>
        <row r="112">
          <cell r="AG112">
            <v>1281874.34362883</v>
          </cell>
          <cell r="AH112">
            <v>0</v>
          </cell>
        </row>
        <row r="112">
          <cell r="AL112">
            <v>1318215.9188554</v>
          </cell>
        </row>
        <row r="113">
          <cell r="E113">
            <v>4922523</v>
          </cell>
        </row>
        <row r="113">
          <cell r="I113">
            <v>6760081.63515592</v>
          </cell>
        </row>
        <row r="113">
          <cell r="AG113">
            <v>1281874.34362883</v>
          </cell>
          <cell r="AH113">
            <v>0</v>
          </cell>
        </row>
        <row r="113">
          <cell r="AL113">
            <v>1318215.9188554</v>
          </cell>
        </row>
        <row r="114">
          <cell r="E114">
            <v>4922523</v>
          </cell>
        </row>
        <row r="114">
          <cell r="I114">
            <v>6760081.63515592</v>
          </cell>
        </row>
        <row r="114">
          <cell r="AG114">
            <v>1281874.34362883</v>
          </cell>
          <cell r="AH114">
            <v>0</v>
          </cell>
        </row>
        <row r="114">
          <cell r="AL114">
            <v>1318215.9188554</v>
          </cell>
        </row>
        <row r="115">
          <cell r="E115">
            <v>4922523</v>
          </cell>
        </row>
        <row r="115">
          <cell r="I115">
            <v>6760081.63515592</v>
          </cell>
        </row>
        <row r="115">
          <cell r="AG115">
            <v>1281874.34362883</v>
          </cell>
          <cell r="AH115">
            <v>0</v>
          </cell>
        </row>
        <row r="115">
          <cell r="AL115">
            <v>1318215.9188554</v>
          </cell>
        </row>
        <row r="116">
          <cell r="E116">
            <v>4922523</v>
          </cell>
        </row>
        <row r="116">
          <cell r="I116">
            <v>6760081.63515592</v>
          </cell>
        </row>
        <row r="116">
          <cell r="AG116">
            <v>1281874.34362883</v>
          </cell>
          <cell r="AH116">
            <v>0</v>
          </cell>
        </row>
        <row r="116">
          <cell r="AL116">
            <v>1318215.9188554</v>
          </cell>
        </row>
        <row r="117">
          <cell r="E117">
            <v>4922523</v>
          </cell>
        </row>
        <row r="117">
          <cell r="I117">
            <v>6760081.63515592</v>
          </cell>
        </row>
        <row r="117">
          <cell r="AG117">
            <v>1281874.34362883</v>
          </cell>
          <cell r="AH117">
            <v>0</v>
          </cell>
        </row>
        <row r="117">
          <cell r="AL117">
            <v>1318215.9188554</v>
          </cell>
        </row>
        <row r="118">
          <cell r="E118">
            <v>4922523</v>
          </cell>
        </row>
        <row r="118">
          <cell r="I118">
            <v>6760081.63515592</v>
          </cell>
        </row>
        <row r="118">
          <cell r="AG118">
            <v>1281874.34362883</v>
          </cell>
          <cell r="AH118">
            <v>0</v>
          </cell>
        </row>
        <row r="118">
          <cell r="AL118">
            <v>1318215.9188554</v>
          </cell>
        </row>
        <row r="119">
          <cell r="E119">
            <v>4922523</v>
          </cell>
        </row>
        <row r="119">
          <cell r="I119">
            <v>6760081.63515592</v>
          </cell>
        </row>
        <row r="119">
          <cell r="AG119">
            <v>1281874.34362883</v>
          </cell>
          <cell r="AH119">
            <v>0</v>
          </cell>
        </row>
        <row r="119">
          <cell r="AL119">
            <v>1318215.9188554</v>
          </cell>
        </row>
        <row r="120">
          <cell r="E120">
            <v>4922523</v>
          </cell>
        </row>
        <row r="120">
          <cell r="I120">
            <v>6760081.63515592</v>
          </cell>
        </row>
        <row r="120">
          <cell r="AG120">
            <v>1281874.34362883</v>
          </cell>
          <cell r="AH120">
            <v>0</v>
          </cell>
        </row>
        <row r="120">
          <cell r="AL120">
            <v>1318215.9188554</v>
          </cell>
        </row>
        <row r="121">
          <cell r="E121">
            <v>4922523</v>
          </cell>
        </row>
        <row r="121">
          <cell r="I121">
            <v>6760081.63515592</v>
          </cell>
        </row>
        <row r="121">
          <cell r="AG121">
            <v>1281874.34362883</v>
          </cell>
          <cell r="AH121">
            <v>0</v>
          </cell>
        </row>
        <row r="121">
          <cell r="AL121">
            <v>1318215.9188554</v>
          </cell>
        </row>
        <row r="122">
          <cell r="E122">
            <v>4922523</v>
          </cell>
        </row>
        <row r="122">
          <cell r="I122">
            <v>6760081.63515592</v>
          </cell>
        </row>
        <row r="122">
          <cell r="AG122">
            <v>1281874.34362883</v>
          </cell>
          <cell r="AH122">
            <v>0</v>
          </cell>
        </row>
        <row r="122">
          <cell r="AL122">
            <v>1318215.9188554</v>
          </cell>
        </row>
        <row r="123">
          <cell r="E123">
            <v>4922523</v>
          </cell>
        </row>
        <row r="123">
          <cell r="I123">
            <v>6760081.63515592</v>
          </cell>
        </row>
        <row r="123">
          <cell r="AG123">
            <v>1281874.34362883</v>
          </cell>
          <cell r="AH123">
            <v>0</v>
          </cell>
        </row>
        <row r="123">
          <cell r="AL123">
            <v>1318215.9188554</v>
          </cell>
        </row>
        <row r="124">
          <cell r="E124">
            <v>4922523</v>
          </cell>
        </row>
        <row r="124">
          <cell r="I124">
            <v>6760081.63515592</v>
          </cell>
        </row>
        <row r="124">
          <cell r="AG124">
            <v>1281874.34362883</v>
          </cell>
          <cell r="AH124">
            <v>0</v>
          </cell>
        </row>
        <row r="124">
          <cell r="AL124">
            <v>1318215.9188554</v>
          </cell>
        </row>
        <row r="125">
          <cell r="E125">
            <v>4922523</v>
          </cell>
        </row>
        <row r="125">
          <cell r="I125">
            <v>6760081.63515592</v>
          </cell>
        </row>
        <row r="125">
          <cell r="AG125">
            <v>1281874.34362883</v>
          </cell>
          <cell r="AH125">
            <v>0</v>
          </cell>
        </row>
        <row r="125">
          <cell r="AL125">
            <v>1318215.9188554</v>
          </cell>
        </row>
        <row r="126">
          <cell r="E126">
            <v>4922523</v>
          </cell>
        </row>
        <row r="126">
          <cell r="I126">
            <v>6760081.63515592</v>
          </cell>
        </row>
        <row r="126">
          <cell r="AG126">
            <v>1281874.34362883</v>
          </cell>
          <cell r="AH126">
            <v>0</v>
          </cell>
        </row>
        <row r="126">
          <cell r="AL126">
            <v>1318215.9188554</v>
          </cell>
        </row>
        <row r="127">
          <cell r="E127">
            <v>4922523</v>
          </cell>
        </row>
        <row r="127">
          <cell r="I127">
            <v>6760081.63515592</v>
          </cell>
        </row>
        <row r="127">
          <cell r="AG127">
            <v>1281874.34362883</v>
          </cell>
          <cell r="AH127">
            <v>0</v>
          </cell>
        </row>
        <row r="127">
          <cell r="AL127">
            <v>1318215.9188554</v>
          </cell>
        </row>
        <row r="128">
          <cell r="E128">
            <v>4922523</v>
          </cell>
        </row>
        <row r="128">
          <cell r="I128">
            <v>6760081.63515592</v>
          </cell>
        </row>
        <row r="128">
          <cell r="AG128">
            <v>1281874.34362883</v>
          </cell>
          <cell r="AH128">
            <v>0</v>
          </cell>
        </row>
        <row r="128">
          <cell r="AL128">
            <v>1318215.9188554</v>
          </cell>
        </row>
      </sheetData>
      <sheetData sheetId="3">
        <row r="20">
          <cell r="C20" t="str">
            <v>Yes</v>
          </cell>
        </row>
      </sheetData>
      <sheetData sheetId="4"/>
      <sheetData sheetId="5"/>
      <sheetData sheetId="6"/>
      <sheetData sheetId="7"/>
      <sheetData sheetId="8"/>
      <sheetData sheetId="9"/>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form A info"/>
      <sheetName val="1998 Expense Detail"/>
      <sheetName val="Total Baseline"/>
      <sheetName val="general info"/>
      <sheetName val="commodity information"/>
      <sheetName val="Wholesale Baseline"/>
      <sheetName val="EAM Curves"/>
      <sheetName val="wholesale services"/>
      <sheetName val="unwinds"/>
      <sheetName val="charts"/>
      <sheetName val="account mgt"/>
      <sheetName val="non-cash charges"/>
      <sheetName val="power redistribution"/>
      <sheetName val="Redistribution Scenarios"/>
      <sheetName val="assumptions"/>
      <sheetName val="FM Summary"/>
      <sheetName val="Financial summ-EES"/>
      <sheetName val="Financial summ-SPG"/>
      <sheetName val="Financial summ-TFSPs"/>
      <sheetName val="RMPM-Whole"/>
      <sheetName val="RMPM-Redis"/>
      <sheetName val="RMPM-FM"/>
      <sheetName val="Breakout"/>
      <sheetName val="Re-Whole"/>
      <sheetName val="Re-Redis"/>
      <sheetName val="Re-FM"/>
      <sheetName val="Compare"/>
      <sheetName val="Diagram"/>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ow r="5">
          <cell r="C5">
            <v>0.0945</v>
          </cell>
        </row>
      </sheetData>
      <sheetData sheetId="23"/>
      <sheetData sheetId="24"/>
      <sheetData sheetId="25"/>
      <sheetData sheetId="26"/>
      <sheetData sheetId="27"/>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1.xml.rels><?xml version="1.0" encoding="UTF-8"?>
<Relationships xmlns="http://schemas.openxmlformats.org/package/2006/relationships"><Relationship Id="rId1" Type="http://schemas.openxmlformats.org/officeDocument/2006/relationships/comments" Target="../comments11.xml"/><Relationship Id="rId2" Type="http://schemas.openxmlformats.org/officeDocument/2006/relationships/drawing" Target="../drawings/drawing1.xml"/><Relationship Id="rId3" Type="http://schemas.openxmlformats.org/officeDocument/2006/relationships/vmlDrawing" Target="../drawings/vmlDrawing3.vml"/>
</Relationships>
</file>

<file path=xl/worksheets/_rels/sheet14.xml.rels><?xml version="1.0" encoding="UTF-8"?>
<Relationships xmlns="http://schemas.openxmlformats.org/package/2006/relationships"><Relationship Id="rId1" Type="http://schemas.openxmlformats.org/officeDocument/2006/relationships/comments" Target="../comments14.xml"/><Relationship Id="rId2" Type="http://schemas.openxmlformats.org/officeDocument/2006/relationships/vmlDrawing" Target="../drawings/vmlDrawing4.vml"/>
</Relationships>
</file>

<file path=xl/worksheets/_rels/sheet15.xml.rels><?xml version="1.0" encoding="UTF-8"?>
<Relationships xmlns="http://schemas.openxmlformats.org/package/2006/relationships"><Relationship Id="rId1" Type="http://schemas.openxmlformats.org/officeDocument/2006/relationships/drawing" Target="../drawings/drawing2.xml"/>
</Relationships>
</file>

<file path=xl/worksheets/_rels/sheet18.xml.rels><?xml version="1.0" encoding="UTF-8"?>
<Relationships xmlns="http://schemas.openxmlformats.org/package/2006/relationships"><Relationship Id="rId1" Type="http://schemas.openxmlformats.org/officeDocument/2006/relationships/drawing" Target="../drawings/drawing3.xml"/>
</Relationships>
</file>

<file path=xl/worksheets/_rels/sheet19.xml.rels><?xml version="1.0" encoding="UTF-8"?>
<Relationships xmlns="http://schemas.openxmlformats.org/package/2006/relationships"><Relationship Id="rId1" Type="http://schemas.openxmlformats.org/officeDocument/2006/relationships/comments" Target="../comments19.xml"/><Relationship Id="rId2" Type="http://schemas.openxmlformats.org/officeDocument/2006/relationships/vmlDrawing" Target="../drawings/vmlDrawing5.vml"/>
</Relationships>
</file>

<file path=xl/worksheets/_rels/sheet25.xml.rels><?xml version="1.0" encoding="UTF-8"?>
<Relationships xmlns="http://schemas.openxmlformats.org/package/2006/relationships"><Relationship Id="rId1" Type="http://schemas.openxmlformats.org/officeDocument/2006/relationships/comments" Target="../comments25.xml"/><Relationship Id="rId2" Type="http://schemas.openxmlformats.org/officeDocument/2006/relationships/drawing" Target="../drawings/drawing4.xml"/><Relationship Id="rId3" Type="http://schemas.openxmlformats.org/officeDocument/2006/relationships/vmlDrawing" Target="../drawings/vmlDrawing6.vml"/><Relationship Id="rId4" Type="http://schemas.openxmlformats.org/officeDocument/2006/relationships/ctrlProp" Target="../ctrlProps/ctrlProps5.xml"/>
</Relationships>
</file>

<file path=xl/worksheets/_rels/sheet29.xml.rels><?xml version="1.0" encoding="UTF-8"?>
<Relationships xmlns="http://schemas.openxmlformats.org/package/2006/relationships"><Relationship Id="rId1" Type="http://schemas.openxmlformats.org/officeDocument/2006/relationships/drawing" Target="../drawings/drawing6.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1.vml"/>
</Relationships>
</file>

<file path=xl/worksheets/_rels/sheet30.xml.rels><?xml version="1.0" encoding="UTF-8"?>
<Relationships xmlns="http://schemas.openxmlformats.org/package/2006/relationships"><Relationship Id="rId1" Type="http://schemas.openxmlformats.org/officeDocument/2006/relationships/drawing" Target="../drawings/drawing7.xml"/>
</Relationships>
</file>

<file path=xl/worksheets/_rels/sheet31.xml.rels><?xml version="1.0" encoding="UTF-8"?>
<Relationships xmlns="http://schemas.openxmlformats.org/package/2006/relationships"><Relationship Id="rId1" Type="http://schemas.openxmlformats.org/officeDocument/2006/relationships/drawing" Target="../drawings/drawing8.xml"/>
</Relationships>
</file>

<file path=xl/worksheets/_rels/sheet32.xml.rels><?xml version="1.0" encoding="UTF-8"?>
<Relationships xmlns="http://schemas.openxmlformats.org/package/2006/relationships"><Relationship Id="rId1" Type="http://schemas.openxmlformats.org/officeDocument/2006/relationships/drawing" Target="../drawings/drawing9.xml"/><Relationship Id="rId2" Type="http://schemas.openxmlformats.org/officeDocument/2006/relationships/vmlDrawing" Target="../drawings/vmlDrawing7.vml"/><Relationship Id="rId3" Type="http://schemas.openxmlformats.org/officeDocument/2006/relationships/ctrlProp" Target="../ctrlProps/ctrlProps10.xml"/>
</Relationships>
</file>

<file path=xl/worksheets/_rels/sheet33.xml.rels><?xml version="1.0" encoding="UTF-8"?>
<Relationships xmlns="http://schemas.openxmlformats.org/package/2006/relationships"><Relationship Id="rId1" Type="http://schemas.openxmlformats.org/officeDocument/2006/relationships/drawing" Target="../drawings/drawing11.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vmlDrawing" Target="../drawings/vmlDrawing2.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M26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7.9921875" defaultRowHeight="12.75" customHeight="true" zeroHeight="false" outlineLevelRow="0" outlineLevelCol="0"/>
  <cols>
    <col collapsed="false" customWidth="true" hidden="false" outlineLevel="0" max="1" min="1" style="1" width="7.85"/>
    <col collapsed="false" customWidth="true" hidden="false" outlineLevel="0" max="2" min="2" style="1" width="9.56"/>
    <col collapsed="false" customWidth="true" hidden="false" outlineLevel="0" max="3" min="3" style="1" width="7.7"/>
    <col collapsed="false" customWidth="true" hidden="false" outlineLevel="0" max="4" min="4" style="1" width="21.7"/>
    <col collapsed="false" customWidth="true" hidden="false" outlineLevel="0" max="5" min="5" style="1" width="13.7"/>
    <col collapsed="false" customWidth="true" hidden="false" outlineLevel="0" max="6" min="6" style="1" width="4.14"/>
    <col collapsed="false" customWidth="true" hidden="false" outlineLevel="0" max="7" min="7" style="1" width="6.28"/>
    <col collapsed="false" customWidth="true" hidden="false" outlineLevel="0" max="8" min="8" style="1" width="8.7"/>
    <col collapsed="false" customWidth="true" hidden="false" outlineLevel="0" max="9" min="9" style="1" width="6.28"/>
    <col collapsed="false" customWidth="true" hidden="false" outlineLevel="0" max="10" min="10" style="1" width="12.14"/>
    <col collapsed="false" customWidth="false" hidden="false" outlineLevel="0" max="11" min="11" style="1" width="7.99"/>
    <col collapsed="false" customWidth="true" hidden="false" outlineLevel="0" max="12" min="12" style="1" width="27.42"/>
    <col collapsed="false" customWidth="true" hidden="false" outlineLevel="0" max="13" min="13" style="1" width="7.85"/>
    <col collapsed="false" customWidth="false" hidden="false" outlineLevel="0" max="15" min="14" style="1" width="7.99"/>
    <col collapsed="false" customWidth="true" hidden="true" outlineLevel="0" max="17" min="16" style="1" width="9.06"/>
    <col collapsed="false" customWidth="true" hidden="false" outlineLevel="0" max="18" min="18" style="1" width="12.7"/>
    <col collapsed="false" customWidth="true" hidden="false" outlineLevel="0" max="19" min="19" style="1" width="12.14"/>
    <col collapsed="false" customWidth="true" hidden="false" outlineLevel="0" max="20" min="20" style="1" width="11.28"/>
    <col collapsed="false" customWidth="true" hidden="false" outlineLevel="0" max="21" min="21" style="1" width="13.14"/>
    <col collapsed="false" customWidth="true" hidden="false" outlineLevel="0" max="22" min="22" style="1" width="11.7"/>
    <col collapsed="false" customWidth="true" hidden="false" outlineLevel="0" max="23" min="23" style="1" width="10.99"/>
    <col collapsed="false" customWidth="true" hidden="false" outlineLevel="0" max="26" min="24" style="1" width="11.42"/>
    <col collapsed="false" customWidth="true" hidden="false" outlineLevel="0" max="29" min="27" style="1" width="12.56"/>
    <col collapsed="false" customWidth="true" hidden="false" outlineLevel="0" max="30" min="30" style="1" width="11.42"/>
    <col collapsed="false" customWidth="true" hidden="false" outlineLevel="0" max="31" min="31" style="1" width="11.28"/>
    <col collapsed="false" customWidth="true" hidden="false" outlineLevel="0" max="32" min="32" style="1" width="11.42"/>
    <col collapsed="false" customWidth="true" hidden="false" outlineLevel="0" max="33" min="33" style="1" width="12.28"/>
    <col collapsed="false" customWidth="true" hidden="false" outlineLevel="0" max="35" min="34" style="1" width="12.85"/>
    <col collapsed="false" customWidth="true" hidden="false" outlineLevel="0" max="36" min="36" style="1" width="6.7"/>
    <col collapsed="false" customWidth="true" hidden="false" outlineLevel="0" max="37" min="37" style="1" width="11.28"/>
    <col collapsed="false" customWidth="false" hidden="false" outlineLevel="0" max="38" min="38" style="1" width="7.99"/>
    <col collapsed="false" customWidth="true" hidden="false" outlineLevel="0" max="39" min="39" style="1" width="14.85"/>
    <col collapsed="false" customWidth="false" hidden="false" outlineLevel="0" max="257" min="40" style="1" width="7.99"/>
  </cols>
  <sheetData>
    <row r="1" customFormat="false" ht="18" hidden="false" customHeight="false" outlineLevel="0" collapsed="false">
      <c r="A1" s="2"/>
      <c r="B1" s="2"/>
      <c r="C1" s="2"/>
      <c r="D1" s="3" t="s">
        <v>0</v>
      </c>
      <c r="E1" s="4"/>
      <c r="F1" s="4"/>
      <c r="G1" s="4"/>
      <c r="H1" s="4"/>
      <c r="I1" s="4"/>
      <c r="J1" s="4"/>
      <c r="K1" s="5"/>
      <c r="L1" s="6"/>
      <c r="M1" s="7"/>
      <c r="N1" s="2"/>
      <c r="O1" s="2"/>
      <c r="P1" s="2"/>
      <c r="Q1" s="2"/>
      <c r="R1" s="8"/>
      <c r="S1" s="2"/>
      <c r="T1" s="2"/>
      <c r="U1" s="2"/>
      <c r="V1" s="2"/>
      <c r="W1" s="2"/>
      <c r="X1" s="2"/>
      <c r="Y1" s="2"/>
      <c r="Z1" s="2"/>
      <c r="AA1" s="2"/>
      <c r="AB1" s="2"/>
      <c r="AC1" s="2"/>
      <c r="AD1" s="9"/>
      <c r="AE1" s="10"/>
      <c r="AF1" s="9"/>
      <c r="AG1" s="2"/>
      <c r="AH1" s="2"/>
      <c r="AI1" s="9"/>
      <c r="AJ1" s="9"/>
      <c r="AK1" s="9"/>
      <c r="AL1" s="9"/>
      <c r="AM1" s="11"/>
    </row>
    <row r="2" customFormat="false" ht="12.75" hidden="false" customHeight="true" outlineLevel="0" collapsed="false">
      <c r="A2" s="12"/>
      <c r="B2" s="12"/>
      <c r="C2" s="12"/>
      <c r="D2" s="13" t="s">
        <v>1</v>
      </c>
      <c r="E2" s="13"/>
      <c r="F2" s="13"/>
      <c r="G2" s="13"/>
      <c r="H2" s="13"/>
      <c r="I2" s="13"/>
      <c r="J2" s="13"/>
      <c r="K2" s="13"/>
      <c r="L2" s="14" t="s">
        <v>2</v>
      </c>
      <c r="M2" s="14"/>
      <c r="N2" s="15" t="s">
        <v>3</v>
      </c>
      <c r="O2" s="15"/>
      <c r="P2" s="15"/>
      <c r="Q2" s="15"/>
      <c r="R2" s="16" t="s">
        <v>4</v>
      </c>
      <c r="S2" s="16"/>
      <c r="T2" s="16"/>
      <c r="U2" s="16"/>
      <c r="V2" s="16"/>
      <c r="W2" s="16"/>
      <c r="X2" s="16"/>
      <c r="Y2" s="16"/>
      <c r="Z2" s="16"/>
      <c r="AA2" s="16"/>
      <c r="AB2" s="16"/>
      <c r="AC2" s="16"/>
      <c r="AD2" s="16"/>
      <c r="AE2" s="16"/>
      <c r="AF2" s="16"/>
      <c r="AG2" s="16"/>
      <c r="AH2" s="16"/>
      <c r="AI2" s="16"/>
      <c r="AJ2" s="16"/>
      <c r="AK2" s="16"/>
      <c r="AL2" s="16"/>
      <c r="AM2" s="16"/>
    </row>
    <row r="3" customFormat="false" ht="15" hidden="false" customHeight="false" outlineLevel="0" collapsed="false">
      <c r="A3" s="12"/>
      <c r="B3" s="12"/>
      <c r="C3" s="12"/>
      <c r="D3" s="17" t="s">
        <v>5</v>
      </c>
      <c r="E3" s="4"/>
      <c r="F3" s="4"/>
      <c r="G3" s="4"/>
      <c r="H3" s="4"/>
      <c r="I3" s="4"/>
      <c r="J3" s="4"/>
      <c r="K3" s="5"/>
      <c r="L3" s="18"/>
      <c r="M3" s="7"/>
      <c r="N3" s="19"/>
      <c r="O3" s="19"/>
      <c r="P3" s="19"/>
      <c r="Q3" s="19"/>
      <c r="R3" s="20"/>
      <c r="S3" s="21"/>
      <c r="T3" s="21"/>
      <c r="U3" s="21"/>
      <c r="V3" s="21"/>
      <c r="W3" s="21"/>
      <c r="X3" s="21"/>
      <c r="Y3" s="21"/>
      <c r="Z3" s="21"/>
      <c r="AA3" s="21"/>
      <c r="AB3" s="21"/>
      <c r="AC3" s="21"/>
      <c r="AD3" s="9"/>
      <c r="AE3" s="22"/>
      <c r="AF3" s="22"/>
      <c r="AG3" s="12"/>
      <c r="AH3" s="12"/>
      <c r="AI3" s="23"/>
      <c r="AJ3" s="24"/>
      <c r="AK3" s="25"/>
      <c r="AL3" s="26"/>
      <c r="AM3" s="26"/>
    </row>
    <row r="4" customFormat="false" ht="13.5" hidden="false" customHeight="false" outlineLevel="0" collapsed="false">
      <c r="A4" s="12"/>
      <c r="B4" s="12"/>
      <c r="C4" s="12"/>
      <c r="D4" s="4"/>
      <c r="E4" s="4"/>
      <c r="F4" s="4"/>
      <c r="G4" s="4"/>
      <c r="H4" s="4"/>
      <c r="I4" s="4"/>
      <c r="J4" s="4"/>
      <c r="K4" s="5"/>
      <c r="L4" s="27"/>
      <c r="M4" s="7"/>
      <c r="N4" s="19"/>
      <c r="O4" s="19"/>
      <c r="P4" s="19"/>
      <c r="Q4" s="19"/>
      <c r="R4" s="20"/>
      <c r="S4" s="21"/>
      <c r="T4" s="21"/>
      <c r="U4" s="21"/>
      <c r="V4" s="21"/>
      <c r="W4" s="21"/>
      <c r="X4" s="21"/>
      <c r="Y4" s="21"/>
      <c r="Z4" s="21"/>
      <c r="AA4" s="21"/>
      <c r="AB4" s="21"/>
      <c r="AC4" s="21"/>
      <c r="AD4" s="9"/>
      <c r="AE4" s="9"/>
      <c r="AF4" s="9"/>
      <c r="AG4" s="12"/>
      <c r="AH4" s="12"/>
      <c r="AI4" s="8"/>
      <c r="AJ4" s="28"/>
      <c r="AK4" s="29"/>
      <c r="AL4" s="30"/>
      <c r="AM4" s="31"/>
    </row>
    <row r="5" customFormat="false" ht="222.75" hidden="false" customHeight="false" outlineLevel="0" collapsed="false">
      <c r="A5" s="32" t="s">
        <v>6</v>
      </c>
      <c r="B5" s="32" t="s">
        <v>7</v>
      </c>
      <c r="C5" s="32" t="s">
        <v>8</v>
      </c>
      <c r="D5" s="33" t="s">
        <v>9</v>
      </c>
      <c r="E5" s="33" t="s">
        <v>10</v>
      </c>
      <c r="F5" s="33" t="s">
        <v>11</v>
      </c>
      <c r="G5" s="33" t="s">
        <v>12</v>
      </c>
      <c r="H5" s="33" t="s">
        <v>13</v>
      </c>
      <c r="I5" s="33" t="s">
        <v>14</v>
      </c>
      <c r="J5" s="33" t="s">
        <v>15</v>
      </c>
      <c r="K5" s="34" t="s">
        <v>16</v>
      </c>
      <c r="L5" s="35" t="s">
        <v>17</v>
      </c>
      <c r="M5" s="36" t="s">
        <v>18</v>
      </c>
      <c r="N5" s="37" t="s">
        <v>19</v>
      </c>
      <c r="O5" s="37" t="s">
        <v>20</v>
      </c>
      <c r="P5" s="37" t="s">
        <v>21</v>
      </c>
      <c r="Q5" s="37" t="s">
        <v>22</v>
      </c>
      <c r="R5" s="38" t="s">
        <v>23</v>
      </c>
      <c r="S5" s="39" t="s">
        <v>24</v>
      </c>
      <c r="T5" s="40" t="s">
        <v>25</v>
      </c>
      <c r="U5" s="41" t="s">
        <v>26</v>
      </c>
      <c r="V5" s="41" t="s">
        <v>27</v>
      </c>
      <c r="W5" s="41" t="s">
        <v>28</v>
      </c>
      <c r="X5" s="40" t="s">
        <v>29</v>
      </c>
      <c r="Y5" s="41" t="s">
        <v>30</v>
      </c>
      <c r="Z5" s="42" t="s">
        <v>31</v>
      </c>
      <c r="AA5" s="43" t="s">
        <v>32</v>
      </c>
      <c r="AB5" s="41" t="s">
        <v>33</v>
      </c>
      <c r="AC5" s="42" t="s">
        <v>34</v>
      </c>
      <c r="AD5" s="44" t="s">
        <v>35</v>
      </c>
      <c r="AE5" s="45" t="s">
        <v>36</v>
      </c>
      <c r="AF5" s="45" t="s">
        <v>37</v>
      </c>
      <c r="AG5" s="45" t="s">
        <v>38</v>
      </c>
      <c r="AH5" s="46" t="s">
        <v>39</v>
      </c>
      <c r="AI5" s="47" t="s">
        <v>40</v>
      </c>
      <c r="AJ5" s="48" t="s">
        <v>41</v>
      </c>
      <c r="AK5" s="49" t="s">
        <v>42</v>
      </c>
      <c r="AL5" s="30"/>
      <c r="AM5" s="31"/>
    </row>
    <row r="6" customFormat="false" ht="15" hidden="false" customHeight="false" outlineLevel="0" collapsed="false">
      <c r="A6" s="2"/>
      <c r="B6" s="2" t="s">
        <v>43</v>
      </c>
      <c r="C6" s="2"/>
      <c r="D6" s="50"/>
      <c r="E6" s="4"/>
      <c r="F6" s="4"/>
      <c r="G6" s="4"/>
      <c r="H6" s="4"/>
      <c r="I6" s="4"/>
      <c r="J6" s="4"/>
      <c r="K6" s="5"/>
      <c r="L6" s="51"/>
      <c r="M6" s="7"/>
      <c r="N6" s="2"/>
      <c r="O6" s="2"/>
      <c r="P6" s="2"/>
      <c r="Q6" s="2"/>
      <c r="R6" s="8"/>
      <c r="S6" s="2"/>
      <c r="T6" s="2"/>
      <c r="U6" s="2"/>
      <c r="V6" s="2"/>
      <c r="W6" s="2"/>
      <c r="X6" s="52"/>
      <c r="Y6" s="52"/>
      <c r="Z6" s="52"/>
      <c r="AA6" s="2"/>
      <c r="AB6" s="2"/>
      <c r="AC6" s="2"/>
      <c r="AD6" s="53"/>
      <c r="AE6" s="54"/>
      <c r="AF6" s="53"/>
      <c r="AG6" s="2"/>
      <c r="AH6" s="2"/>
      <c r="AI6" s="53"/>
      <c r="AJ6" s="55"/>
      <c r="AK6" s="56"/>
      <c r="AL6" s="57"/>
      <c r="AM6" s="31"/>
    </row>
    <row r="7" customFormat="false" ht="12.75" hidden="false" customHeight="false" outlineLevel="0" collapsed="false">
      <c r="A7" s="2" t="s">
        <v>44</v>
      </c>
      <c r="B7" s="2"/>
      <c r="C7" s="2" t="n">
        <v>110</v>
      </c>
      <c r="D7" s="4" t="s">
        <v>45</v>
      </c>
      <c r="E7" s="4" t="s">
        <v>46</v>
      </c>
      <c r="F7" s="4" t="s">
        <v>47</v>
      </c>
      <c r="G7" s="4" t="s">
        <v>44</v>
      </c>
      <c r="H7" s="4" t="n">
        <v>1993</v>
      </c>
      <c r="I7" s="4"/>
      <c r="J7" s="4" t="s">
        <v>48</v>
      </c>
      <c r="K7" s="5" t="s">
        <v>49</v>
      </c>
      <c r="L7" s="58" t="s">
        <v>50</v>
      </c>
      <c r="M7" s="7" t="n">
        <v>80</v>
      </c>
      <c r="N7" s="59" t="n">
        <v>0.739</v>
      </c>
      <c r="O7" s="59" t="n">
        <v>0.75</v>
      </c>
      <c r="P7" s="59" t="n">
        <v>0.675</v>
      </c>
      <c r="Q7" s="59" t="n">
        <v>0.71</v>
      </c>
      <c r="R7" s="8" t="n">
        <v>746273</v>
      </c>
      <c r="S7" s="8" t="n">
        <v>636535</v>
      </c>
      <c r="T7" s="8" t="n">
        <f aca="false">IF(J7="regional",IF(R7&gt;0,R7*0.2975,S7*0.3484),S7*0.1939)</f>
        <v>222016.2175</v>
      </c>
      <c r="U7" s="8" t="n">
        <v>426315</v>
      </c>
      <c r="V7" s="8" t="n">
        <f aca="false">S7-U7</f>
        <v>210220</v>
      </c>
      <c r="W7" s="8" t="n">
        <v>3017</v>
      </c>
      <c r="X7" s="60" t="n">
        <f aca="false">Y7+Z7</f>
        <v>0</v>
      </c>
      <c r="Y7" s="8" t="n">
        <f aca="false">IF(B7="y",T7,0)</f>
        <v>0</v>
      </c>
      <c r="Z7" s="23"/>
      <c r="AA7" s="8" t="n">
        <f aca="false">AB7+AC7</f>
        <v>858551.2175</v>
      </c>
      <c r="AB7" s="8" t="n">
        <f aca="false">IF(B7="y",0,T7)</f>
        <v>222016.2175</v>
      </c>
      <c r="AC7" s="8" t="n">
        <f aca="false">S7-Z7</f>
        <v>636535</v>
      </c>
      <c r="AD7" s="61" t="n">
        <f aca="false">IF($K7="y",Z7,0)</f>
        <v>0</v>
      </c>
      <c r="AE7" s="61" t="n">
        <f aca="false">IF($K7="",Z7,0)</f>
        <v>0</v>
      </c>
      <c r="AF7" s="62" t="n">
        <f aca="false">IF($K7="y",AC7,0)</f>
        <v>0</v>
      </c>
      <c r="AG7" s="62" t="n">
        <f aca="false">IF($K7="",AC7,0)+IF($K7="n",AC7,0)</f>
        <v>636535</v>
      </c>
      <c r="AH7" s="8" t="n">
        <v>0</v>
      </c>
      <c r="AI7" s="8" t="n">
        <v>0</v>
      </c>
      <c r="AJ7" s="1" t="s">
        <v>51</v>
      </c>
      <c r="AK7" s="63" t="n">
        <v>438309</v>
      </c>
      <c r="AL7" s="30"/>
      <c r="AM7" s="25" t="n">
        <f aca="false">SUM(AK7:AK119)</f>
        <v>31858855.18</v>
      </c>
    </row>
    <row r="8" customFormat="false" ht="12.75" hidden="false" customHeight="false" outlineLevel="0" collapsed="false">
      <c r="A8" s="2" t="s">
        <v>44</v>
      </c>
      <c r="B8" s="2" t="s">
        <v>44</v>
      </c>
      <c r="C8" s="2" t="n">
        <v>328</v>
      </c>
      <c r="D8" s="64" t="s">
        <v>52</v>
      </c>
      <c r="E8" s="4" t="s">
        <v>53</v>
      </c>
      <c r="F8" s="4" t="s">
        <v>54</v>
      </c>
      <c r="G8" s="4" t="s">
        <v>44</v>
      </c>
      <c r="H8" s="4" t="n">
        <v>1974</v>
      </c>
      <c r="I8" s="4"/>
      <c r="J8" s="4" t="s">
        <v>48</v>
      </c>
      <c r="K8" s="5" t="s">
        <v>44</v>
      </c>
      <c r="L8" s="58" t="s">
        <v>55</v>
      </c>
      <c r="M8" s="7" t="n">
        <v>64</v>
      </c>
      <c r="N8" s="59" t="n">
        <v>0.735</v>
      </c>
      <c r="O8" s="59" t="n">
        <v>0.754</v>
      </c>
      <c r="P8" s="59" t="n">
        <v>0.68</v>
      </c>
      <c r="Q8" s="59" t="n">
        <v>0.704</v>
      </c>
      <c r="R8" s="8" t="n">
        <v>628918</v>
      </c>
      <c r="S8" s="8" t="n">
        <v>550024</v>
      </c>
      <c r="T8" s="8" t="n">
        <f aca="false">IF(J8="regional",IF(R8&gt;0,R8*0.2975,S8*0.3484),S8*0.1939)</f>
        <v>187103.105</v>
      </c>
      <c r="U8" s="8" t="n">
        <v>332773</v>
      </c>
      <c r="V8" s="8" t="n">
        <f aca="false">S8-U8</f>
        <v>217251</v>
      </c>
      <c r="W8" s="8" t="n">
        <v>3242</v>
      </c>
      <c r="X8" s="60" t="n">
        <f aca="false">Y8+Z8</f>
        <v>463946.105</v>
      </c>
      <c r="Y8" s="8" t="n">
        <f aca="false">IF(B8="y",T8,0)</f>
        <v>187103.105</v>
      </c>
      <c r="Z8" s="8" t="n">
        <v>276843</v>
      </c>
      <c r="AA8" s="8" t="n">
        <f aca="false">AB8+AC8</f>
        <v>273181</v>
      </c>
      <c r="AB8" s="8" t="n">
        <f aca="false">IF(B8="y",0,T8)</f>
        <v>0</v>
      </c>
      <c r="AC8" s="8" t="n">
        <f aca="false">S8-Z8</f>
        <v>273181</v>
      </c>
      <c r="AD8" s="61" t="n">
        <f aca="false">IF(K8="y",Z8,0)</f>
        <v>276843</v>
      </c>
      <c r="AE8" s="61" t="n">
        <f aca="false">IF($K8="",Z8,0)+IF($K8="n",Z8,0)</f>
        <v>0</v>
      </c>
      <c r="AF8" s="62" t="n">
        <f aca="false">IF($K8="y",AC8,0)</f>
        <v>273181</v>
      </c>
      <c r="AG8" s="62" t="n">
        <f aca="false">IF($K8="",AC8,0)+IF($K8="n",AC8,0)</f>
        <v>0</v>
      </c>
      <c r="AH8" s="8" t="n">
        <v>189000</v>
      </c>
      <c r="AI8" s="8" t="n">
        <v>222000</v>
      </c>
      <c r="AJ8" s="1" t="s">
        <v>51</v>
      </c>
      <c r="AK8" s="63" t="n">
        <v>518920</v>
      </c>
      <c r="AL8" s="30"/>
      <c r="AM8" s="25" t="n">
        <f aca="false">SUM(S7:S119)</f>
        <v>66741024</v>
      </c>
    </row>
    <row r="9" customFormat="false" ht="12.75" hidden="false" customHeight="false" outlineLevel="0" collapsed="false">
      <c r="A9" s="2" t="s">
        <v>44</v>
      </c>
      <c r="B9" s="2" t="s">
        <v>44</v>
      </c>
      <c r="C9" s="2" t="n">
        <v>124</v>
      </c>
      <c r="D9" s="64" t="s">
        <v>56</v>
      </c>
      <c r="E9" s="4" t="s">
        <v>57</v>
      </c>
      <c r="F9" s="4" t="s">
        <v>58</v>
      </c>
      <c r="G9" s="4" t="s">
        <v>44</v>
      </c>
      <c r="H9" s="4" t="n">
        <v>1972</v>
      </c>
      <c r="I9" s="4"/>
      <c r="J9" s="4" t="s">
        <v>48</v>
      </c>
      <c r="K9" s="5" t="s">
        <v>44</v>
      </c>
      <c r="L9" s="58" t="s">
        <v>59</v>
      </c>
      <c r="M9" s="7" t="n">
        <v>107</v>
      </c>
      <c r="N9" s="59" t="n">
        <v>0.935</v>
      </c>
      <c r="O9" s="59" t="n">
        <v>0.934</v>
      </c>
      <c r="P9" s="59" t="n">
        <v>0.747</v>
      </c>
      <c r="Q9" s="59" t="n">
        <v>0.843</v>
      </c>
      <c r="R9" s="8" t="n">
        <v>739600</v>
      </c>
      <c r="S9" s="8" t="n">
        <v>632411</v>
      </c>
      <c r="T9" s="8" t="n">
        <f aca="false">IF(J9="regional",IF(R9&gt;0,R9*0.2975,S9*0.3484),S9*0.1939)</f>
        <v>220031</v>
      </c>
      <c r="U9" s="8" t="n">
        <v>404394</v>
      </c>
      <c r="V9" s="8" t="n">
        <f aca="false">S9-U9</f>
        <v>228017</v>
      </c>
      <c r="W9" s="8" t="n">
        <v>3500</v>
      </c>
      <c r="X9" s="60" t="n">
        <f aca="false">Y9+Z9</f>
        <v>562840</v>
      </c>
      <c r="Y9" s="8" t="n">
        <f aca="false">IF(B9="y",T9,0)</f>
        <v>220031</v>
      </c>
      <c r="Z9" s="8" t="n">
        <v>342809</v>
      </c>
      <c r="AA9" s="8" t="n">
        <f aca="false">AB9+AC9</f>
        <v>289602</v>
      </c>
      <c r="AB9" s="8" t="n">
        <f aca="false">IF(B9="y",0,T9)</f>
        <v>0</v>
      </c>
      <c r="AC9" s="8" t="n">
        <f aca="false">S9-Z9</f>
        <v>289602</v>
      </c>
      <c r="AD9" s="61" t="n">
        <f aca="false">IF(K9="y",Z9,0)</f>
        <v>342809</v>
      </c>
      <c r="AE9" s="61" t="n">
        <f aca="false">IF($K9="",Z9,0)+IF($K9="n",Z9,0)</f>
        <v>0</v>
      </c>
      <c r="AF9" s="62" t="n">
        <f aca="false">IF($K9="y",AC9,0)</f>
        <v>289602</v>
      </c>
      <c r="AG9" s="62" t="n">
        <f aca="false">IF($K9="",AC9,0)+IF($K9="n",AC9,0)</f>
        <v>0</v>
      </c>
      <c r="AH9" s="8" t="n">
        <v>301000</v>
      </c>
      <c r="AI9" s="8" t="n">
        <v>239000</v>
      </c>
      <c r="AJ9" s="1" t="s">
        <v>51</v>
      </c>
      <c r="AK9" s="63" t="n">
        <v>539329</v>
      </c>
      <c r="AL9" s="30"/>
      <c r="AM9" s="31"/>
    </row>
    <row r="10" customFormat="false" ht="12.75" hidden="false" customHeight="false" outlineLevel="0" collapsed="false">
      <c r="A10" s="2" t="s">
        <v>44</v>
      </c>
      <c r="B10" s="2"/>
      <c r="C10" s="2" t="n">
        <v>3</v>
      </c>
      <c r="D10" s="65" t="s">
        <v>60</v>
      </c>
      <c r="E10" s="65" t="s">
        <v>61</v>
      </c>
      <c r="F10" s="4" t="s">
        <v>54</v>
      </c>
      <c r="G10" s="4" t="s">
        <v>49</v>
      </c>
      <c r="H10" s="4"/>
      <c r="I10" s="4"/>
      <c r="J10" s="4" t="s">
        <v>62</v>
      </c>
      <c r="K10" s="5"/>
      <c r="L10" s="58" t="s">
        <v>63</v>
      </c>
      <c r="M10" s="7"/>
      <c r="R10" s="8"/>
      <c r="S10" s="8" t="n">
        <v>510000</v>
      </c>
      <c r="T10" s="8" t="n">
        <f aca="false">IF(J10="regional",IF(R10&gt;0,R10*0.2975,S10*0.3484),S10*0.1939)</f>
        <v>98889</v>
      </c>
      <c r="U10" s="8"/>
      <c r="V10" s="8" t="n">
        <f aca="false">S10-U10</f>
        <v>510000</v>
      </c>
      <c r="W10" s="8"/>
      <c r="X10" s="60" t="n">
        <f aca="false">Y10+Z10</f>
        <v>0</v>
      </c>
      <c r="Y10" s="8" t="n">
        <f aca="false">IF(B10="y",T10,0)</f>
        <v>0</v>
      </c>
      <c r="Z10" s="8"/>
      <c r="AA10" s="8" t="n">
        <f aca="false">AB10+AC10</f>
        <v>608889</v>
      </c>
      <c r="AB10" s="8" t="n">
        <f aca="false">IF(B10="y",0,T10)</f>
        <v>98889</v>
      </c>
      <c r="AC10" s="8" t="n">
        <f aca="false">S10-Z10</f>
        <v>510000</v>
      </c>
      <c r="AD10" s="61" t="n">
        <f aca="false">IF(K10="y",Z10,0)</f>
        <v>0</v>
      </c>
      <c r="AE10" s="61" t="n">
        <f aca="false">IF($K10="",Z10,0)+IF($K10="n",Z10,0)</f>
        <v>0</v>
      </c>
      <c r="AF10" s="62" t="n">
        <f aca="false">IF($K10="y",AC10,0)</f>
        <v>0</v>
      </c>
      <c r="AG10" s="62" t="n">
        <f aca="false">IF($K10="",AC10,0)+IF($K10="n",AC10,0)</f>
        <v>510000</v>
      </c>
      <c r="AH10" s="8" t="n">
        <v>0</v>
      </c>
      <c r="AI10" s="8" t="n">
        <v>0</v>
      </c>
      <c r="AJ10" s="65"/>
      <c r="AK10" s="65"/>
      <c r="AL10" s="30"/>
      <c r="AM10" s="31"/>
    </row>
    <row r="11" customFormat="false" ht="12.75" hidden="false" customHeight="false" outlineLevel="0" collapsed="false">
      <c r="A11" s="2" t="s">
        <v>44</v>
      </c>
      <c r="B11" s="2"/>
      <c r="C11" s="2" t="n">
        <v>140</v>
      </c>
      <c r="D11" s="4" t="s">
        <v>64</v>
      </c>
      <c r="E11" s="4" t="s">
        <v>65</v>
      </c>
      <c r="F11" s="4" t="s">
        <v>66</v>
      </c>
      <c r="G11" s="4" t="s">
        <v>44</v>
      </c>
      <c r="H11" s="4" t="n">
        <v>1966</v>
      </c>
      <c r="I11" s="4"/>
      <c r="J11" s="4" t="s">
        <v>62</v>
      </c>
      <c r="K11" s="5" t="s">
        <v>49</v>
      </c>
      <c r="L11" s="58" t="s">
        <v>67</v>
      </c>
      <c r="M11" s="7" t="n">
        <v>5</v>
      </c>
      <c r="N11" s="59" t="n">
        <v>1</v>
      </c>
      <c r="O11" s="59" t="n">
        <v>1</v>
      </c>
      <c r="P11" s="59" t="n">
        <v>0.747</v>
      </c>
      <c r="Q11" s="59" t="n">
        <v>0.843</v>
      </c>
      <c r="R11" s="8"/>
      <c r="S11" s="8" t="n">
        <v>90874</v>
      </c>
      <c r="T11" s="8" t="n">
        <f aca="false">IF(J11="regional",IF(R11&gt;0,R11*0.2975,S11*0.3484),S11*0.1939)</f>
        <v>17620.4686</v>
      </c>
      <c r="U11" s="8" t="n">
        <v>81047</v>
      </c>
      <c r="V11" s="8" t="n">
        <f aca="false">S11-U11</f>
        <v>9827</v>
      </c>
      <c r="W11" s="8" t="n">
        <v>488</v>
      </c>
      <c r="X11" s="60" t="n">
        <f aca="false">Y11+Z11</f>
        <v>0</v>
      </c>
      <c r="Y11" s="8" t="n">
        <f aca="false">IF(B11="y",T11,0)</f>
        <v>0</v>
      </c>
      <c r="Z11" s="8"/>
      <c r="AA11" s="8" t="n">
        <f aca="false">AB11+AC11</f>
        <v>108494.4686</v>
      </c>
      <c r="AB11" s="8" t="n">
        <f aca="false">IF(B11="y",0,T11)</f>
        <v>17620.4686</v>
      </c>
      <c r="AC11" s="8" t="n">
        <f aca="false">S11-Z11</f>
        <v>90874</v>
      </c>
      <c r="AD11" s="61" t="n">
        <f aca="false">IF(K11="y",Z11,0)</f>
        <v>0</v>
      </c>
      <c r="AE11" s="61" t="n">
        <f aca="false">IF($K11="",Z11,0)+IF($K11="n",Z11,0)</f>
        <v>0</v>
      </c>
      <c r="AF11" s="62" t="n">
        <f aca="false">IF($K11="y",AC11,0)</f>
        <v>0</v>
      </c>
      <c r="AG11" s="62" t="n">
        <f aca="false">IF($K11="",AC11,0)+IF($K11="n",AC11,0)</f>
        <v>90874</v>
      </c>
      <c r="AH11" s="8" t="n">
        <v>0</v>
      </c>
      <c r="AI11" s="8" t="n">
        <v>0</v>
      </c>
      <c r="AK11" s="4"/>
      <c r="AL11" s="30"/>
      <c r="AM11" s="31"/>
    </row>
    <row r="12" customFormat="false" ht="12.75" hidden="false" customHeight="false" outlineLevel="0" collapsed="false">
      <c r="A12" s="2" t="s">
        <v>44</v>
      </c>
      <c r="B12" s="2"/>
      <c r="C12" s="2" t="n">
        <v>4820</v>
      </c>
      <c r="D12" s="65" t="s">
        <v>68</v>
      </c>
      <c r="E12" s="65" t="s">
        <v>69</v>
      </c>
      <c r="F12" s="4" t="s">
        <v>66</v>
      </c>
      <c r="G12" s="4" t="s">
        <v>44</v>
      </c>
      <c r="H12" s="4" t="n">
        <v>1975</v>
      </c>
      <c r="I12" s="4"/>
      <c r="J12" s="4" t="s">
        <v>48</v>
      </c>
      <c r="K12" s="5" t="s">
        <v>49</v>
      </c>
      <c r="L12" s="58" t="s">
        <v>67</v>
      </c>
      <c r="M12" s="7" t="n">
        <v>130</v>
      </c>
      <c r="N12" s="59" t="n">
        <v>0.674</v>
      </c>
      <c r="O12" s="59" t="n">
        <v>0.692</v>
      </c>
      <c r="P12" s="59" t="n">
        <v>0.925</v>
      </c>
      <c r="Q12" s="59" t="n">
        <v>0.952</v>
      </c>
      <c r="R12" s="8" t="n">
        <v>501572</v>
      </c>
      <c r="S12" s="8" t="n">
        <v>950000</v>
      </c>
      <c r="T12" s="8" t="n">
        <f aca="false">IF(J12="regional",IF(R12&gt;0,R12*0.2975,S12*0.3484),S12*0.1939)</f>
        <v>149217.67</v>
      </c>
      <c r="U12" s="8" t="n">
        <v>501572</v>
      </c>
      <c r="V12" s="8" t="n">
        <f aca="false">S12-U12</f>
        <v>448428</v>
      </c>
      <c r="W12" s="8" t="n">
        <v>5500</v>
      </c>
      <c r="X12" s="60" t="n">
        <f aca="false">Y12+Z12</f>
        <v>0</v>
      </c>
      <c r="Y12" s="8" t="n">
        <f aca="false">IF(B12="y",T12,0)</f>
        <v>0</v>
      </c>
      <c r="Z12" s="8"/>
      <c r="AA12" s="8" t="n">
        <f aca="false">AB12+AC12</f>
        <v>1099217.67</v>
      </c>
      <c r="AB12" s="8" t="n">
        <f aca="false">IF(B12="y",0,T12)</f>
        <v>149217.67</v>
      </c>
      <c r="AC12" s="8" t="n">
        <f aca="false">S12-Z12</f>
        <v>950000</v>
      </c>
      <c r="AD12" s="61" t="n">
        <f aca="false">IF(K12="y",Z12,0)</f>
        <v>0</v>
      </c>
      <c r="AE12" s="61" t="n">
        <f aca="false">IF($K12="",Z12,0)+IF($K12="n",Z12,0)</f>
        <v>0</v>
      </c>
      <c r="AF12" s="62" t="n">
        <f aca="false">IF($K12="y",AC12,0)</f>
        <v>0</v>
      </c>
      <c r="AG12" s="62" t="n">
        <f aca="false">IF($K12="",AC12,0)+IF($K12="n",AC12,0)</f>
        <v>950000</v>
      </c>
      <c r="AH12" s="8" t="n">
        <v>0</v>
      </c>
      <c r="AI12" s="8" t="n">
        <v>0</v>
      </c>
      <c r="AJ12" s="1" t="s">
        <v>70</v>
      </c>
      <c r="AK12" s="63" t="n">
        <v>3062.65</v>
      </c>
      <c r="AL12" s="30"/>
      <c r="AM12" s="31"/>
    </row>
    <row r="13" customFormat="false" ht="12.75" hidden="false" customHeight="false" outlineLevel="0" collapsed="false">
      <c r="A13" s="2" t="s">
        <v>44</v>
      </c>
      <c r="B13" s="2"/>
      <c r="C13" s="2" t="n">
        <v>3116</v>
      </c>
      <c r="D13" s="4" t="s">
        <v>71</v>
      </c>
      <c r="E13" s="4" t="s">
        <v>69</v>
      </c>
      <c r="F13" s="4" t="s">
        <v>66</v>
      </c>
      <c r="G13" s="4" t="s">
        <v>44</v>
      </c>
      <c r="H13" s="4" t="n">
        <v>1965</v>
      </c>
      <c r="I13" s="4"/>
      <c r="J13" s="4" t="s">
        <v>62</v>
      </c>
      <c r="K13" s="5" t="s">
        <v>49</v>
      </c>
      <c r="L13" s="58" t="s">
        <v>67</v>
      </c>
      <c r="M13" s="7" t="n">
        <v>22</v>
      </c>
      <c r="N13" s="59" t="n">
        <v>0.96</v>
      </c>
      <c r="O13" s="59" t="n">
        <v>0.96</v>
      </c>
      <c r="P13" s="59" t="n">
        <v>0.96</v>
      </c>
      <c r="Q13" s="59" t="n">
        <v>0.967</v>
      </c>
      <c r="R13" s="8"/>
      <c r="S13" s="8" t="n">
        <v>124309</v>
      </c>
      <c r="T13" s="8" t="n">
        <f aca="false">IF(J13="regional",IF(R13&gt;0,R13*0.2975,S13*0.3484),S13*0.1939)</f>
        <v>24103.5151</v>
      </c>
      <c r="U13" s="8" t="n">
        <v>81319</v>
      </c>
      <c r="V13" s="8" t="n">
        <f aca="false">S13-U13</f>
        <v>42990</v>
      </c>
      <c r="W13" s="8" t="n">
        <v>1102</v>
      </c>
      <c r="X13" s="60" t="n">
        <f aca="false">Y13+Z13</f>
        <v>0</v>
      </c>
      <c r="Y13" s="8" t="n">
        <f aca="false">IF(B13="y",T13,0)</f>
        <v>0</v>
      </c>
      <c r="Z13" s="8"/>
      <c r="AA13" s="8" t="n">
        <f aca="false">AB13+AC13</f>
        <v>148412.5151</v>
      </c>
      <c r="AB13" s="8" t="n">
        <f aca="false">IF(B13="y",0,T13)</f>
        <v>24103.5151</v>
      </c>
      <c r="AC13" s="8" t="n">
        <f aca="false">S13-Z13</f>
        <v>124309</v>
      </c>
      <c r="AD13" s="61" t="n">
        <f aca="false">IF(K13="y",Z13,0)</f>
        <v>0</v>
      </c>
      <c r="AE13" s="61" t="n">
        <f aca="false">IF($K13="",Z13,0)+IF($K13="n",Z13,0)</f>
        <v>0</v>
      </c>
      <c r="AF13" s="62" t="n">
        <f aca="false">IF($K13="y",AC13,0)</f>
        <v>0</v>
      </c>
      <c r="AG13" s="62" t="n">
        <f aca="false">IF($K13="",AC13,0)+IF($K13="n",AC13,0)</f>
        <v>124309</v>
      </c>
      <c r="AH13" s="8" t="n">
        <v>0</v>
      </c>
      <c r="AI13" s="8" t="n">
        <v>0</v>
      </c>
      <c r="AJ13" s="4"/>
      <c r="AK13" s="4"/>
      <c r="AL13" s="57"/>
      <c r="AM13" s="31"/>
    </row>
    <row r="14" customFormat="false" ht="12.75" hidden="false" customHeight="false" outlineLevel="0" collapsed="false">
      <c r="A14" s="2" t="s">
        <v>44</v>
      </c>
      <c r="B14" s="2"/>
      <c r="C14" s="2" t="n">
        <v>8086</v>
      </c>
      <c r="D14" s="4" t="s">
        <v>72</v>
      </c>
      <c r="E14" s="4"/>
      <c r="F14" s="4"/>
      <c r="G14" s="4" t="s">
        <v>49</v>
      </c>
      <c r="H14" s="4"/>
      <c r="I14" s="4"/>
      <c r="J14" s="4"/>
      <c r="K14" s="5"/>
      <c r="L14" s="58"/>
      <c r="M14" s="7"/>
      <c r="N14" s="59"/>
      <c r="O14" s="59"/>
      <c r="P14" s="59"/>
      <c r="Q14" s="59"/>
      <c r="R14" s="8"/>
      <c r="S14" s="8"/>
      <c r="T14" s="8"/>
      <c r="U14" s="8"/>
      <c r="V14" s="8"/>
      <c r="W14" s="8"/>
      <c r="X14" s="60"/>
      <c r="Y14" s="8"/>
      <c r="Z14" s="8"/>
      <c r="AA14" s="8"/>
      <c r="AB14" s="8"/>
      <c r="AC14" s="8"/>
      <c r="AD14" s="61"/>
      <c r="AE14" s="61"/>
      <c r="AF14" s="62"/>
      <c r="AG14" s="62"/>
      <c r="AH14" s="8" t="n">
        <v>0</v>
      </c>
      <c r="AI14" s="8" t="n">
        <v>0</v>
      </c>
      <c r="AJ14" s="4"/>
      <c r="AK14" s="4"/>
      <c r="AL14" s="57"/>
      <c r="AM14" s="31"/>
    </row>
    <row r="15" customFormat="false" ht="12.75" hidden="false" customHeight="false" outlineLevel="0" collapsed="false">
      <c r="A15" s="2" t="s">
        <v>44</v>
      </c>
      <c r="B15" s="2" t="s">
        <v>44</v>
      </c>
      <c r="C15" s="2" t="n">
        <v>9087</v>
      </c>
      <c r="D15" s="64" t="s">
        <v>73</v>
      </c>
      <c r="E15" s="4" t="s">
        <v>74</v>
      </c>
      <c r="F15" s="4" t="s">
        <v>75</v>
      </c>
      <c r="G15" s="4" t="s">
        <v>49</v>
      </c>
      <c r="H15" s="4" t="n">
        <v>1990</v>
      </c>
      <c r="I15" s="4"/>
      <c r="J15" s="4" t="s">
        <v>48</v>
      </c>
      <c r="K15" s="5" t="s">
        <v>44</v>
      </c>
      <c r="L15" s="58" t="s">
        <v>76</v>
      </c>
      <c r="M15" s="7" t="n">
        <v>141</v>
      </c>
      <c r="N15" s="59" t="n">
        <v>0.986</v>
      </c>
      <c r="O15" s="59" t="n">
        <v>0.986</v>
      </c>
      <c r="P15" s="59" t="n">
        <v>0.956</v>
      </c>
      <c r="Q15" s="59" t="n">
        <v>0.835</v>
      </c>
      <c r="R15" s="8" t="n">
        <v>1385850</v>
      </c>
      <c r="S15" s="8" t="n">
        <v>1109951</v>
      </c>
      <c r="T15" s="8" t="n">
        <f aca="false">IF(J15="regional",IF(R15&gt;0,R15*0.2975,S15*0.3484),S15*0.1939)</f>
        <v>412290.375</v>
      </c>
      <c r="U15" s="8" t="n">
        <v>754956</v>
      </c>
      <c r="V15" s="8" t="n">
        <f aca="false">S15-U15</f>
        <v>354995</v>
      </c>
      <c r="W15" s="8" t="n">
        <v>4602</v>
      </c>
      <c r="X15" s="60" t="n">
        <f aca="false">Y15+Z15</f>
        <v>900326.375</v>
      </c>
      <c r="Y15" s="8" t="n">
        <f aca="false">IF(B15="y",T15,0)</f>
        <v>412290.375</v>
      </c>
      <c r="Z15" s="8" t="n">
        <v>488036</v>
      </c>
      <c r="AA15" s="8" t="n">
        <f aca="false">AB15+AC15</f>
        <v>621915</v>
      </c>
      <c r="AB15" s="8" t="n">
        <f aca="false">IF(B15="y",0,T15)</f>
        <v>0</v>
      </c>
      <c r="AC15" s="8" t="n">
        <f aca="false">S15-Z15</f>
        <v>621915</v>
      </c>
      <c r="AD15" s="61" t="n">
        <f aca="false">IF(K15="y",Z15,0)</f>
        <v>488036</v>
      </c>
      <c r="AE15" s="61" t="n">
        <f aca="false">IF($K15="",Z15,0)+IF($K15="n",Z15,0)</f>
        <v>0</v>
      </c>
      <c r="AF15" s="62" t="n">
        <f aca="false">IF($K15="y",AC15,0)</f>
        <v>621915</v>
      </c>
      <c r="AG15" s="62" t="n">
        <f aca="false">IF($K15="",AC15,0)+IF($K15="n",AC15,0)</f>
        <v>0</v>
      </c>
      <c r="AH15" s="8" t="n">
        <v>660000</v>
      </c>
      <c r="AI15" s="8" t="n">
        <v>449000</v>
      </c>
      <c r="AJ15" s="1" t="s">
        <v>51</v>
      </c>
      <c r="AK15" s="63" t="n">
        <v>1178969</v>
      </c>
      <c r="AL15" s="30"/>
      <c r="AM15" s="31"/>
    </row>
    <row r="16" customFormat="false" ht="12.75" hidden="false" customHeight="false" outlineLevel="0" collapsed="false">
      <c r="A16" s="2" t="s">
        <v>44</v>
      </c>
      <c r="B16" s="2" t="s">
        <v>44</v>
      </c>
      <c r="C16" s="2" t="n">
        <v>145</v>
      </c>
      <c r="D16" s="64" t="s">
        <v>77</v>
      </c>
      <c r="E16" s="4" t="s">
        <v>61</v>
      </c>
      <c r="F16" s="4" t="s">
        <v>54</v>
      </c>
      <c r="G16" s="4" t="s">
        <v>44</v>
      </c>
      <c r="H16" s="4" t="n">
        <v>1981</v>
      </c>
      <c r="I16" s="4"/>
      <c r="J16" s="4" t="s">
        <v>48</v>
      </c>
      <c r="K16" s="5" t="s">
        <v>44</v>
      </c>
      <c r="L16" s="58" t="s">
        <v>78</v>
      </c>
      <c r="M16" s="7" t="n">
        <v>184</v>
      </c>
      <c r="N16" s="59" t="n">
        <v>0.951</v>
      </c>
      <c r="O16" s="59" t="n">
        <v>0.954</v>
      </c>
      <c r="P16" s="59" t="n">
        <v>0.863</v>
      </c>
      <c r="Q16" s="59" t="n">
        <v>0.921</v>
      </c>
      <c r="R16" s="8" t="n">
        <v>1645545</v>
      </c>
      <c r="S16" s="8" t="n">
        <v>1365952</v>
      </c>
      <c r="T16" s="8" t="n">
        <f aca="false">IF(J16="regional",IF(R16&gt;0,R16*0.2975,S16*0.3484),S16*0.1939)</f>
        <v>489549.6375</v>
      </c>
      <c r="U16" s="8" t="n">
        <v>932372</v>
      </c>
      <c r="V16" s="8" t="n">
        <f aca="false">S16-U16</f>
        <v>433580</v>
      </c>
      <c r="W16" s="8" t="n">
        <v>5600</v>
      </c>
      <c r="X16" s="60" t="n">
        <f aca="false">Y16+Z16</f>
        <v>1128135.6375</v>
      </c>
      <c r="Y16" s="8" t="n">
        <f aca="false">IF(B16="y",T16,0)</f>
        <v>489549.6375</v>
      </c>
      <c r="Z16" s="8" t="n">
        <v>638586</v>
      </c>
      <c r="AA16" s="8" t="n">
        <f aca="false">AB16+AC16</f>
        <v>727366</v>
      </c>
      <c r="AB16" s="8" t="n">
        <f aca="false">IF(B16="y",0,T16)</f>
        <v>0</v>
      </c>
      <c r="AC16" s="8" t="n">
        <f aca="false">S16-Z16</f>
        <v>727366</v>
      </c>
      <c r="AD16" s="61" t="n">
        <f aca="false">IF(K16="y",Z16,0)</f>
        <v>638586</v>
      </c>
      <c r="AE16" s="61" t="n">
        <f aca="false">IF($K16="",Z16,0)+IF($K16="n",Z16,0)</f>
        <v>0</v>
      </c>
      <c r="AF16" s="62" t="n">
        <f aca="false">IF($K16="y",AC16,0)</f>
        <v>727366</v>
      </c>
      <c r="AG16" s="62" t="n">
        <f aca="false">IF($K16="",AC16,0)+IF($K16="n",AC16,0)</f>
        <v>0</v>
      </c>
      <c r="AH16" s="8" t="n">
        <v>849000</v>
      </c>
      <c r="AI16" s="8" t="n">
        <v>769000</v>
      </c>
      <c r="AJ16" s="1" t="s">
        <v>51</v>
      </c>
      <c r="AK16" s="63" t="n">
        <v>1074815.56</v>
      </c>
      <c r="AL16" s="57"/>
      <c r="AM16" s="31"/>
    </row>
    <row r="17" customFormat="false" ht="12.75" hidden="false" customHeight="false" outlineLevel="0" collapsed="false">
      <c r="A17" s="2" t="s">
        <v>44</v>
      </c>
      <c r="B17" s="2"/>
      <c r="C17" s="2" t="n">
        <v>302</v>
      </c>
      <c r="D17" s="4" t="s">
        <v>79</v>
      </c>
      <c r="E17" s="4" t="s">
        <v>80</v>
      </c>
      <c r="F17" s="4" t="s">
        <v>81</v>
      </c>
      <c r="G17" s="4" t="s">
        <v>44</v>
      </c>
      <c r="H17" s="4" t="n">
        <v>1970</v>
      </c>
      <c r="I17" s="4"/>
      <c r="J17" s="4" t="s">
        <v>48</v>
      </c>
      <c r="K17" s="5" t="s">
        <v>44</v>
      </c>
      <c r="L17" s="58" t="s">
        <v>82</v>
      </c>
      <c r="M17" s="7" t="n">
        <v>154</v>
      </c>
      <c r="N17" s="59" t="n">
        <v>0.951</v>
      </c>
      <c r="O17" s="59" t="n">
        <v>0.96</v>
      </c>
      <c r="P17" s="59" t="n">
        <v>0.908</v>
      </c>
      <c r="Q17" s="59" t="n">
        <v>0.886</v>
      </c>
      <c r="R17" s="8" t="n">
        <v>1310195</v>
      </c>
      <c r="S17" s="8" t="n">
        <v>1120620</v>
      </c>
      <c r="T17" s="8" t="n">
        <f aca="false">IF(J17="regional",IF(R17&gt;0,R17*0.2975,S17*0.3484),S17*0.1939)</f>
        <v>389783.0125</v>
      </c>
      <c r="U17" s="8" t="n">
        <v>738683</v>
      </c>
      <c r="V17" s="8" t="n">
        <f aca="false">S17-U17</f>
        <v>381937</v>
      </c>
      <c r="W17" s="8" t="n">
        <v>5768</v>
      </c>
      <c r="X17" s="60" t="n">
        <f aca="false">Y17+Z17</f>
        <v>0</v>
      </c>
      <c r="Y17" s="8" t="n">
        <f aca="false">IF(B17="y",T17,0)</f>
        <v>0</v>
      </c>
      <c r="Z17" s="8"/>
      <c r="AA17" s="8" t="n">
        <f aca="false">AB17+AC17</f>
        <v>1510403.0125</v>
      </c>
      <c r="AB17" s="8" t="n">
        <f aca="false">IF(B17="y",0,T17)</f>
        <v>389783.0125</v>
      </c>
      <c r="AC17" s="8" t="n">
        <f aca="false">S17-Z17</f>
        <v>1120620</v>
      </c>
      <c r="AD17" s="61" t="n">
        <f aca="false">IF(K17="y",Z17,0)</f>
        <v>0</v>
      </c>
      <c r="AE17" s="61" t="n">
        <f aca="false">IF($K17="",Z17,0)+IF($K17="n",Z17,0)</f>
        <v>0</v>
      </c>
      <c r="AF17" s="62" t="n">
        <f aca="false">IF($K17="y",AC17,0)</f>
        <v>1120620</v>
      </c>
      <c r="AG17" s="62" t="n">
        <f aca="false">IF($K17="",AC17,0)+IF($K17="n",AC17,0)</f>
        <v>0</v>
      </c>
      <c r="AH17" s="8" t="n">
        <v>714000</v>
      </c>
      <c r="AI17" s="8" t="n">
        <v>605000</v>
      </c>
      <c r="AJ17" s="1" t="s">
        <v>70</v>
      </c>
      <c r="AK17" s="63" t="n">
        <v>325422</v>
      </c>
      <c r="AL17" s="30"/>
      <c r="AM17" s="31"/>
    </row>
    <row r="18" customFormat="false" ht="12.75" hidden="false" customHeight="false" outlineLevel="0" collapsed="false">
      <c r="A18" s="2" t="s">
        <v>44</v>
      </c>
      <c r="B18" s="2"/>
      <c r="C18" s="2" t="n">
        <v>8099</v>
      </c>
      <c r="D18" s="4" t="s">
        <v>83</v>
      </c>
      <c r="E18" s="4" t="s">
        <v>84</v>
      </c>
      <c r="F18" s="4" t="s">
        <v>85</v>
      </c>
      <c r="G18" s="4" t="s">
        <v>44</v>
      </c>
      <c r="H18" s="4" t="n">
        <v>1980</v>
      </c>
      <c r="I18" s="4"/>
      <c r="J18" s="4" t="s">
        <v>48</v>
      </c>
      <c r="K18" s="5" t="s">
        <v>49</v>
      </c>
      <c r="L18" s="58" t="s">
        <v>86</v>
      </c>
      <c r="M18" s="7" t="n">
        <v>74</v>
      </c>
      <c r="N18" s="59" t="n">
        <v>0.834</v>
      </c>
      <c r="O18" s="59" t="n">
        <v>0.888</v>
      </c>
      <c r="P18" s="59" t="n">
        <v>0.877</v>
      </c>
      <c r="Q18" s="59" t="n">
        <v>0.855</v>
      </c>
      <c r="R18" s="8" t="n">
        <v>664194</v>
      </c>
      <c r="S18" s="8" t="n">
        <v>642207</v>
      </c>
      <c r="T18" s="8" t="n">
        <f aca="false">IF(J18="regional",IF(R18&gt;0,R18*0.2975,S18*0.3484),S18*0.1939)</f>
        <v>197597.715</v>
      </c>
      <c r="U18" s="8" t="n">
        <v>445150</v>
      </c>
      <c r="V18" s="8" t="n">
        <f aca="false">S18-U18</f>
        <v>197057</v>
      </c>
      <c r="W18" s="8" t="n">
        <v>3589</v>
      </c>
      <c r="X18" s="60" t="n">
        <f aca="false">Y18+Z18</f>
        <v>0</v>
      </c>
      <c r="Y18" s="8" t="n">
        <f aca="false">IF(B18="y",T18,0)</f>
        <v>0</v>
      </c>
      <c r="Z18" s="8"/>
      <c r="AA18" s="8" t="n">
        <f aca="false">AB18+AC18</f>
        <v>839804.715</v>
      </c>
      <c r="AB18" s="8" t="n">
        <f aca="false">IF(B18="y",0,T18)</f>
        <v>197597.715</v>
      </c>
      <c r="AC18" s="8" t="n">
        <f aca="false">S18-Z18</f>
        <v>642207</v>
      </c>
      <c r="AD18" s="61" t="n">
        <f aca="false">IF(K18="y",Z18,0)</f>
        <v>0</v>
      </c>
      <c r="AE18" s="61" t="n">
        <f aca="false">IF($K18="",Z18,0)+IF($K18="n",Z18,0)</f>
        <v>0</v>
      </c>
      <c r="AF18" s="62" t="n">
        <f aca="false">IF($K18="y",AC18,0)</f>
        <v>0</v>
      </c>
      <c r="AG18" s="62" t="n">
        <f aca="false">IF($K18="",AC18,0)+IF($K18="n",AC18,0)</f>
        <v>642207</v>
      </c>
      <c r="AH18" s="8" t="n">
        <v>0</v>
      </c>
      <c r="AI18" s="8" t="n">
        <v>0</v>
      </c>
      <c r="AJ18" s="4"/>
      <c r="AK18" s="4"/>
      <c r="AL18" s="30"/>
      <c r="AM18" s="31"/>
    </row>
    <row r="19" customFormat="false" ht="12.75" hidden="false" customHeight="false" outlineLevel="0" collapsed="false">
      <c r="A19" s="2" t="s">
        <v>44</v>
      </c>
      <c r="B19" s="2"/>
      <c r="C19" s="2" t="n">
        <v>8115</v>
      </c>
      <c r="D19" s="66" t="s">
        <v>87</v>
      </c>
      <c r="E19" s="4" t="s">
        <v>88</v>
      </c>
      <c r="F19" s="4" t="s">
        <v>89</v>
      </c>
      <c r="G19" s="4" t="s">
        <v>44</v>
      </c>
      <c r="H19" s="4" t="n">
        <v>1987</v>
      </c>
      <c r="I19" s="4"/>
      <c r="J19" s="4" t="s">
        <v>48</v>
      </c>
      <c r="K19" s="5" t="s">
        <v>44</v>
      </c>
      <c r="L19" s="58" t="s">
        <v>90</v>
      </c>
      <c r="M19" s="7" t="n">
        <v>158</v>
      </c>
      <c r="N19" s="59" t="n">
        <v>0.878</v>
      </c>
      <c r="O19" s="59" t="n">
        <v>0.894</v>
      </c>
      <c r="P19" s="59" t="n">
        <v>0.887</v>
      </c>
      <c r="Q19" s="59" t="n">
        <v>0.873</v>
      </c>
      <c r="R19" s="8" t="n">
        <v>1193429</v>
      </c>
      <c r="S19" s="8" t="n">
        <v>1043806</v>
      </c>
      <c r="T19" s="8" t="n">
        <f aca="false">IF(J19="regional",IF(R19&gt;0,R19*0.2975,S19*0.3484),S19*0.1939)</f>
        <v>355045.1275</v>
      </c>
      <c r="U19" s="8" t="n">
        <v>541973</v>
      </c>
      <c r="V19" s="8" t="n">
        <f aca="false">S19-U19</f>
        <v>501833</v>
      </c>
      <c r="W19" s="8" t="n">
        <v>5072</v>
      </c>
      <c r="X19" s="60" t="n">
        <f aca="false">Y19+Z19</f>
        <v>0</v>
      </c>
      <c r="Y19" s="8" t="n">
        <f aca="false">IF(B19="y",T19,0)</f>
        <v>0</v>
      </c>
      <c r="Z19" s="8"/>
      <c r="AA19" s="8" t="n">
        <f aca="false">AB19+AC19</f>
        <v>1398851.1275</v>
      </c>
      <c r="AB19" s="8" t="n">
        <f aca="false">IF(B19="y",0,T19)</f>
        <v>355045.1275</v>
      </c>
      <c r="AC19" s="8" t="n">
        <f aca="false">S19-Z19</f>
        <v>1043806</v>
      </c>
      <c r="AD19" s="61" t="n">
        <f aca="false">IF(K19="y",Z19,0)</f>
        <v>0</v>
      </c>
      <c r="AE19" s="61" t="n">
        <f aca="false">IF($K19="",Z19,0)+IF($K19="n",Z19,0)</f>
        <v>0</v>
      </c>
      <c r="AF19" s="62" t="n">
        <f aca="false">IF($K19="y",AC19,0)</f>
        <v>1043806</v>
      </c>
      <c r="AG19" s="62" t="n">
        <f aca="false">IF($K19="",AC19,0)+IF($K19="n",AC19,0)</f>
        <v>0</v>
      </c>
      <c r="AH19" s="8" t="n">
        <v>591000</v>
      </c>
      <c r="AI19" s="8" t="n">
        <v>565000</v>
      </c>
      <c r="AJ19" s="1" t="s">
        <v>91</v>
      </c>
      <c r="AK19" s="63" t="n">
        <v>393189.14</v>
      </c>
      <c r="AL19" s="30"/>
      <c r="AM19" s="31"/>
    </row>
    <row r="20" customFormat="false" ht="12.75" hidden="false" customHeight="false" outlineLevel="0" collapsed="false">
      <c r="A20" s="2" t="s">
        <v>44</v>
      </c>
      <c r="B20" s="2"/>
      <c r="C20" s="2" t="n">
        <v>8120</v>
      </c>
      <c r="D20" s="4" t="s">
        <v>92</v>
      </c>
      <c r="E20" s="4" t="s">
        <v>93</v>
      </c>
      <c r="F20" s="4" t="s">
        <v>94</v>
      </c>
      <c r="G20" s="4" t="s">
        <v>49</v>
      </c>
      <c r="H20" s="4" t="n">
        <v>1989</v>
      </c>
      <c r="I20" s="4"/>
      <c r="J20" s="4" t="s">
        <v>48</v>
      </c>
      <c r="K20" s="5" t="s">
        <v>49</v>
      </c>
      <c r="L20" s="58" t="s">
        <v>95</v>
      </c>
      <c r="M20" s="7" t="n">
        <v>97</v>
      </c>
      <c r="N20" s="59" t="n">
        <v>0.842</v>
      </c>
      <c r="O20" s="59" t="n">
        <v>0.847</v>
      </c>
      <c r="P20" s="59" t="n">
        <v>0.804</v>
      </c>
      <c r="Q20" s="59" t="n">
        <v>0.748</v>
      </c>
      <c r="R20" s="8" t="n">
        <v>620910</v>
      </c>
      <c r="S20" s="8" t="n">
        <v>494151</v>
      </c>
      <c r="T20" s="8" t="n">
        <f aca="false">IF(J20="regional",IF(R20&gt;0,R20*0.2975,S20*0.3484),S20*0.1939)</f>
        <v>184720.725</v>
      </c>
      <c r="U20" s="8" t="n">
        <v>242576</v>
      </c>
      <c r="V20" s="8" t="n">
        <f aca="false">S20-U20</f>
        <v>251575</v>
      </c>
      <c r="W20" s="8" t="n">
        <v>3127</v>
      </c>
      <c r="X20" s="60" t="n">
        <f aca="false">Y20+Z20</f>
        <v>0</v>
      </c>
      <c r="Y20" s="8" t="n">
        <f aca="false">IF(B20="y",T20,0)</f>
        <v>0</v>
      </c>
      <c r="Z20" s="8"/>
      <c r="AA20" s="8" t="n">
        <f aca="false">AB20+AC20</f>
        <v>678871.725</v>
      </c>
      <c r="AB20" s="8" t="n">
        <f aca="false">IF(B20="y",0,T20)</f>
        <v>184720.725</v>
      </c>
      <c r="AC20" s="8" t="n">
        <f aca="false">S20-Z20</f>
        <v>494151</v>
      </c>
      <c r="AD20" s="61" t="n">
        <f aca="false">IF(K20="y",Z20,0)</f>
        <v>0</v>
      </c>
      <c r="AE20" s="61" t="n">
        <f aca="false">IF($K20="",Z20,0)+IF($K20="n",Z20,0)</f>
        <v>0</v>
      </c>
      <c r="AF20" s="62" t="n">
        <f aca="false">IF($K20="y",AC20,0)</f>
        <v>0</v>
      </c>
      <c r="AG20" s="62" t="n">
        <f aca="false">IF($K20="",AC20,0)+IF($K20="n",AC20,0)</f>
        <v>494151</v>
      </c>
      <c r="AH20" s="8" t="n">
        <v>0</v>
      </c>
      <c r="AI20" s="8" t="n">
        <v>0</v>
      </c>
      <c r="AJ20" s="1" t="s">
        <v>51</v>
      </c>
      <c r="AK20" s="63" t="n">
        <v>573856</v>
      </c>
      <c r="AL20" s="30"/>
      <c r="AM20" s="31"/>
    </row>
    <row r="21" customFormat="false" ht="12.75" hidden="false" customHeight="false" outlineLevel="0" collapsed="false">
      <c r="A21" s="2" t="s">
        <v>44</v>
      </c>
      <c r="B21" s="2"/>
      <c r="C21" s="2" t="n">
        <v>313</v>
      </c>
      <c r="D21" s="4" t="s">
        <v>96</v>
      </c>
      <c r="E21" s="4" t="s">
        <v>97</v>
      </c>
      <c r="F21" s="4" t="s">
        <v>47</v>
      </c>
      <c r="G21" s="4" t="s">
        <v>44</v>
      </c>
      <c r="H21" s="4" t="n">
        <v>1987</v>
      </c>
      <c r="I21" s="4"/>
      <c r="J21" s="4" t="s">
        <v>62</v>
      </c>
      <c r="K21" s="5"/>
      <c r="L21" s="58" t="s">
        <v>98</v>
      </c>
      <c r="M21" s="7" t="n">
        <v>57</v>
      </c>
      <c r="N21" s="59" t="n">
        <v>0.887</v>
      </c>
      <c r="O21" s="59" t="n">
        <v>0.92</v>
      </c>
      <c r="P21" s="59" t="n">
        <v>0.936</v>
      </c>
      <c r="Q21" s="59" t="n">
        <v>0.896</v>
      </c>
      <c r="R21" s="8"/>
      <c r="S21" s="8" t="n">
        <v>543591</v>
      </c>
      <c r="T21" s="8" t="n">
        <f aca="false">IF(J21="regional",IF(R21&gt;0,R21*0.2975,S21*0.3484),S21*0.1939)</f>
        <v>105402.2949</v>
      </c>
      <c r="U21" s="8" t="n">
        <v>414515</v>
      </c>
      <c r="V21" s="8" t="n">
        <f aca="false">S21-U21</f>
        <v>129076</v>
      </c>
      <c r="W21" s="8" t="n">
        <v>2715</v>
      </c>
      <c r="X21" s="60" t="n">
        <f aca="false">Y21+Z21</f>
        <v>0</v>
      </c>
      <c r="Y21" s="8" t="n">
        <f aca="false">IF(B21="y",T21,0)</f>
        <v>0</v>
      </c>
      <c r="Z21" s="8"/>
      <c r="AA21" s="8" t="n">
        <f aca="false">AB21+AC21</f>
        <v>648993.2949</v>
      </c>
      <c r="AB21" s="8" t="n">
        <f aca="false">IF(B21="y",0,T21)</f>
        <v>105402.2949</v>
      </c>
      <c r="AC21" s="8" t="n">
        <f aca="false">S21-Z21</f>
        <v>543591</v>
      </c>
      <c r="AD21" s="61" t="n">
        <f aca="false">IF(K21="y",Z21,0)</f>
        <v>0</v>
      </c>
      <c r="AE21" s="61" t="n">
        <f aca="false">IF($K21="",Z21,0)+IF($K21="n",Z21,0)</f>
        <v>0</v>
      </c>
      <c r="AF21" s="62" t="n">
        <f aca="false">IF($K21="y",AC21,0)</f>
        <v>0</v>
      </c>
      <c r="AG21" s="62" t="n">
        <f aca="false">IF($K21="",AC21,0)+IF($K21="n",AC21,0)</f>
        <v>543591</v>
      </c>
      <c r="AH21" s="8" t="n">
        <v>0</v>
      </c>
      <c r="AI21" s="8" t="n">
        <v>0</v>
      </c>
      <c r="AJ21" s="4"/>
      <c r="AK21" s="4"/>
      <c r="AL21" s="57"/>
      <c r="AM21" s="31"/>
    </row>
    <row r="22" customFormat="false" ht="12.75" hidden="false" customHeight="false" outlineLevel="0" collapsed="false">
      <c r="A22" s="2" t="s">
        <v>44</v>
      </c>
      <c r="B22" s="2"/>
      <c r="C22" s="2" t="n">
        <v>8680</v>
      </c>
      <c r="D22" s="4" t="s">
        <v>99</v>
      </c>
      <c r="E22" s="4" t="s">
        <v>100</v>
      </c>
      <c r="F22" s="4" t="s">
        <v>101</v>
      </c>
      <c r="G22" s="4" t="s">
        <v>44</v>
      </c>
      <c r="H22" s="4" t="n">
        <v>1951</v>
      </c>
      <c r="I22" s="4"/>
      <c r="J22" s="4" t="s">
        <v>62</v>
      </c>
      <c r="K22" s="5" t="s">
        <v>49</v>
      </c>
      <c r="L22" s="58" t="s">
        <v>102</v>
      </c>
      <c r="M22" s="7" t="n">
        <v>63</v>
      </c>
      <c r="N22" s="59" t="n">
        <v>0.952</v>
      </c>
      <c r="O22" s="59" t="n">
        <v>0.926</v>
      </c>
      <c r="P22" s="59" t="n">
        <v>0.941</v>
      </c>
      <c r="Q22" s="59" t="n">
        <v>0.901</v>
      </c>
      <c r="R22" s="8"/>
      <c r="S22" s="8" t="n">
        <v>645996</v>
      </c>
      <c r="T22" s="8" t="n">
        <f aca="false">IF(J22="regional",IF(R22&gt;0,R22*0.2975,S22*0.3484),S22*0.1939)</f>
        <v>125258.6244</v>
      </c>
      <c r="U22" s="8" t="n">
        <v>396866</v>
      </c>
      <c r="V22" s="8" t="n">
        <f aca="false">S22-U22</f>
        <v>249130</v>
      </c>
      <c r="W22" s="8" t="n">
        <v>3250</v>
      </c>
      <c r="X22" s="60" t="n">
        <f aca="false">Y22+Z22</f>
        <v>0</v>
      </c>
      <c r="Y22" s="8" t="n">
        <f aca="false">IF(B22="y",T22,0)</f>
        <v>0</v>
      </c>
      <c r="Z22" s="8"/>
      <c r="AA22" s="8" t="n">
        <f aca="false">AB22+AC22</f>
        <v>771254.6244</v>
      </c>
      <c r="AB22" s="8" t="n">
        <f aca="false">IF(B22="y",0,T22)</f>
        <v>125258.6244</v>
      </c>
      <c r="AC22" s="8" t="n">
        <f aca="false">S22-Z22</f>
        <v>645996</v>
      </c>
      <c r="AD22" s="61" t="n">
        <f aca="false">IF(K22="y",Z22,0)</f>
        <v>0</v>
      </c>
      <c r="AE22" s="61" t="n">
        <f aca="false">IF($K22="",Z22,0)+IF($K22="n",Z22,0)</f>
        <v>0</v>
      </c>
      <c r="AF22" s="62" t="n">
        <f aca="false">IF($K22="y",AC22,0)</f>
        <v>0</v>
      </c>
      <c r="AG22" s="62" t="n">
        <f aca="false">IF($K22="",AC22,0)+IF($K22="n",AC22,0)</f>
        <v>645996</v>
      </c>
      <c r="AH22" s="8" t="n">
        <v>0</v>
      </c>
      <c r="AI22" s="8" t="n">
        <v>0</v>
      </c>
      <c r="AJ22" s="4"/>
      <c r="AK22" s="4"/>
      <c r="AL22" s="30"/>
      <c r="AM22" s="31"/>
    </row>
    <row r="23" customFormat="false" ht="12.75" hidden="false" customHeight="false" outlineLevel="0" collapsed="false">
      <c r="A23" s="2" t="s">
        <v>44</v>
      </c>
      <c r="B23" s="2"/>
      <c r="C23" s="2" t="n">
        <v>8142</v>
      </c>
      <c r="D23" s="4" t="s">
        <v>103</v>
      </c>
      <c r="E23" s="4" t="s">
        <v>104</v>
      </c>
      <c r="F23" s="4" t="s">
        <v>75</v>
      </c>
      <c r="G23" s="4" t="s">
        <v>44</v>
      </c>
      <c r="H23" s="4" t="n">
        <v>1985</v>
      </c>
      <c r="I23" s="4"/>
      <c r="J23" s="4" t="s">
        <v>48</v>
      </c>
      <c r="K23" s="5" t="s">
        <v>49</v>
      </c>
      <c r="L23" s="58" t="s">
        <v>105</v>
      </c>
      <c r="M23" s="7" t="n">
        <v>151</v>
      </c>
      <c r="N23" s="59" t="n">
        <v>0.883</v>
      </c>
      <c r="O23" s="59" t="n">
        <v>0.894</v>
      </c>
      <c r="P23" s="59" t="n">
        <v>0.944</v>
      </c>
      <c r="Q23" s="59" t="n">
        <v>0.869</v>
      </c>
      <c r="R23" s="8" t="n">
        <v>1199771</v>
      </c>
      <c r="S23" s="8" t="n">
        <v>1064997</v>
      </c>
      <c r="T23" s="8" t="n">
        <f aca="false">IF(J23="regional",IF(R23&gt;0,R23*0.2975,S23*0.3484),S23*0.1939)</f>
        <v>356931.8725</v>
      </c>
      <c r="U23" s="8" t="n">
        <v>762368</v>
      </c>
      <c r="V23" s="8" t="n">
        <f aca="false">S23-U23</f>
        <v>302629</v>
      </c>
      <c r="W23" s="8" t="n">
        <v>5510</v>
      </c>
      <c r="X23" s="60" t="n">
        <f aca="false">Y23+Z23</f>
        <v>0</v>
      </c>
      <c r="Y23" s="8" t="n">
        <f aca="false">IF(B23="y",T23,0)</f>
        <v>0</v>
      </c>
      <c r="Z23" s="8"/>
      <c r="AA23" s="8" t="n">
        <f aca="false">AB23+AC23</f>
        <v>1421928.8725</v>
      </c>
      <c r="AB23" s="8" t="n">
        <f aca="false">IF(B23="y",0,T23)</f>
        <v>356931.8725</v>
      </c>
      <c r="AC23" s="8" t="n">
        <f aca="false">S23-Z23</f>
        <v>1064997</v>
      </c>
      <c r="AD23" s="61" t="n">
        <f aca="false">IF(K23="y",Z23,0)</f>
        <v>0</v>
      </c>
      <c r="AE23" s="61" t="n">
        <f aca="false">IF($K23="",Z23,0)+IF($K23="n",Z23,0)</f>
        <v>0</v>
      </c>
      <c r="AF23" s="62" t="n">
        <f aca="false">IF($K23="y",AC23,0)</f>
        <v>0</v>
      </c>
      <c r="AG23" s="62" t="n">
        <f aca="false">IF($K23="",AC23,0)+IF($K23="n",AC23,0)</f>
        <v>1064997</v>
      </c>
      <c r="AH23" s="8" t="n">
        <v>0</v>
      </c>
      <c r="AI23" s="8" t="n">
        <v>0</v>
      </c>
      <c r="AJ23" s="1" t="s">
        <v>51</v>
      </c>
      <c r="AK23" s="63" t="n">
        <v>910511</v>
      </c>
      <c r="AL23" s="30"/>
      <c r="AM23" s="31"/>
    </row>
    <row r="24" customFormat="false" ht="12.75" hidden="false" customHeight="false" outlineLevel="0" collapsed="false">
      <c r="A24" s="2" t="s">
        <v>44</v>
      </c>
      <c r="B24" s="2"/>
      <c r="C24" s="2" t="n">
        <v>4821</v>
      </c>
      <c r="D24" s="67" t="s">
        <v>106</v>
      </c>
      <c r="E24" s="65" t="s">
        <v>107</v>
      </c>
      <c r="F24" s="4" t="s">
        <v>108</v>
      </c>
      <c r="G24" s="4" t="s">
        <v>44</v>
      </c>
      <c r="H24" s="4" t="n">
        <v>1977</v>
      </c>
      <c r="I24" s="4"/>
      <c r="J24" s="4" t="s">
        <v>48</v>
      </c>
      <c r="K24" s="5" t="s">
        <v>44</v>
      </c>
      <c r="L24" s="58" t="s">
        <v>109</v>
      </c>
      <c r="M24" s="7" t="n">
        <v>181</v>
      </c>
      <c r="N24" s="59" t="n">
        <v>0.951</v>
      </c>
      <c r="O24" s="59" t="n">
        <v>0.977</v>
      </c>
      <c r="P24" s="59" t="n">
        <v>0.925</v>
      </c>
      <c r="Q24" s="59" t="n">
        <v>0.952</v>
      </c>
      <c r="R24" s="8" t="n">
        <v>813000</v>
      </c>
      <c r="S24" s="8" t="n">
        <v>1250000</v>
      </c>
      <c r="T24" s="8" t="n">
        <f aca="false">IF(J24="regional",IF(R24&gt;0,R24*0.2975,S24*0.3484),S24*0.1939)</f>
        <v>241867.5</v>
      </c>
      <c r="U24" s="8" t="n">
        <v>813000</v>
      </c>
      <c r="V24" s="8" t="n">
        <f aca="false">S24-U24</f>
        <v>437000</v>
      </c>
      <c r="W24" s="8" t="n">
        <v>6115</v>
      </c>
      <c r="X24" s="60" t="n">
        <f aca="false">Y24+Z24</f>
        <v>0</v>
      </c>
      <c r="Y24" s="8" t="n">
        <f aca="false">IF(B24="y",T24,0)</f>
        <v>0</v>
      </c>
      <c r="Z24" s="8"/>
      <c r="AA24" s="8" t="n">
        <f aca="false">AB24+AC24</f>
        <v>1491867.5</v>
      </c>
      <c r="AB24" s="8" t="n">
        <f aca="false">IF(B24="y",0,T24)</f>
        <v>241867.5</v>
      </c>
      <c r="AC24" s="8" t="n">
        <f aca="false">S24-Z24</f>
        <v>1250000</v>
      </c>
      <c r="AD24" s="61" t="n">
        <f aca="false">IF(K24="y",Z24,0)</f>
        <v>0</v>
      </c>
      <c r="AE24" s="61" t="n">
        <f aca="false">IF($K24="",Z24,0)+IF($K24="n",Z24,0)</f>
        <v>0</v>
      </c>
      <c r="AF24" s="62" t="n">
        <f aca="false">IF($K24="y",AC24,0)</f>
        <v>1250000</v>
      </c>
      <c r="AG24" s="62" t="n">
        <f aca="false">IF($K24="",AC24,0)+IF($K24="n",AC24,0)</f>
        <v>0</v>
      </c>
      <c r="AH24" s="8" t="n">
        <v>2217000</v>
      </c>
      <c r="AI24" s="8" t="n">
        <v>1531000</v>
      </c>
      <c r="AJ24" s="67"/>
      <c r="AK24" s="67"/>
      <c r="AL24" s="9"/>
      <c r="AM24" s="9"/>
    </row>
    <row r="25" customFormat="false" ht="12.75" hidden="false" customHeight="false" outlineLevel="0" collapsed="false">
      <c r="A25" s="2" t="s">
        <v>44</v>
      </c>
      <c r="B25" s="2"/>
      <c r="C25" s="2" t="n">
        <v>323</v>
      </c>
      <c r="D25" s="4" t="s">
        <v>110</v>
      </c>
      <c r="E25" s="4" t="s">
        <v>111</v>
      </c>
      <c r="F25" s="4" t="s">
        <v>47</v>
      </c>
      <c r="G25" s="4" t="s">
        <v>44</v>
      </c>
      <c r="H25" s="4" t="n">
        <v>1988</v>
      </c>
      <c r="I25" s="4"/>
      <c r="J25" s="4" t="s">
        <v>62</v>
      </c>
      <c r="K25" s="5" t="s">
        <v>49</v>
      </c>
      <c r="L25" s="58" t="s">
        <v>98</v>
      </c>
      <c r="M25" s="7" t="n">
        <v>20</v>
      </c>
      <c r="N25" s="59" t="n">
        <v>0.582</v>
      </c>
      <c r="O25" s="59" t="n">
        <v>0.559</v>
      </c>
      <c r="P25" s="59" t="n">
        <v>0.658</v>
      </c>
      <c r="Q25" s="59" t="n">
        <v>0.629</v>
      </c>
      <c r="R25" s="8"/>
      <c r="S25" s="8" t="n">
        <v>268904</v>
      </c>
      <c r="T25" s="8" t="n">
        <f aca="false">IF(J25="regional",IF(R25&gt;0,R25*0.2975,S25*0.3484),S25*0.1939)</f>
        <v>52140.4856</v>
      </c>
      <c r="U25" s="8" t="n">
        <v>216491</v>
      </c>
      <c r="V25" s="8" t="n">
        <f aca="false">S25-U25</f>
        <v>52413</v>
      </c>
      <c r="W25" s="8" t="n">
        <v>1345</v>
      </c>
      <c r="X25" s="60" t="n">
        <f aca="false">Y25+Z25</f>
        <v>0</v>
      </c>
      <c r="Y25" s="8" t="n">
        <f aca="false">IF(B25="y",T25,0)</f>
        <v>0</v>
      </c>
      <c r="Z25" s="8"/>
      <c r="AA25" s="8" t="n">
        <f aca="false">AB25+AC25</f>
        <v>321044.4856</v>
      </c>
      <c r="AB25" s="8" t="n">
        <f aca="false">IF(B25="y",0,T25)</f>
        <v>52140.4856</v>
      </c>
      <c r="AC25" s="8" t="n">
        <f aca="false">S25-Z25</f>
        <v>268904</v>
      </c>
      <c r="AD25" s="61" t="n">
        <f aca="false">IF(K25="y",Z25,0)</f>
        <v>0</v>
      </c>
      <c r="AE25" s="61" t="n">
        <f aca="false">IF($K25="",Z25,0)+IF($K25="n",Z25,0)</f>
        <v>0</v>
      </c>
      <c r="AF25" s="62" t="n">
        <f aca="false">IF($K25="y",AC25,0)</f>
        <v>0</v>
      </c>
      <c r="AG25" s="62" t="n">
        <f aca="false">IF($K25="",AC25,0)+IF($K25="n",AC25,0)</f>
        <v>268904</v>
      </c>
      <c r="AH25" s="8" t="n">
        <v>0</v>
      </c>
      <c r="AI25" s="8" t="n">
        <v>0</v>
      </c>
      <c r="AJ25" s="4"/>
      <c r="AK25" s="4"/>
      <c r="AL25" s="57"/>
      <c r="AM25" s="31"/>
    </row>
    <row r="26" customFormat="false" ht="12.75" hidden="false" customHeight="false" outlineLevel="0" collapsed="false">
      <c r="A26" s="2" t="s">
        <v>44</v>
      </c>
      <c r="B26" s="2"/>
      <c r="C26" s="2" t="n">
        <v>324</v>
      </c>
      <c r="D26" s="4" t="s">
        <v>112</v>
      </c>
      <c r="E26" s="4" t="s">
        <v>113</v>
      </c>
      <c r="F26" s="4" t="s">
        <v>114</v>
      </c>
      <c r="G26" s="4" t="s">
        <v>44</v>
      </c>
      <c r="H26" s="4" t="n">
        <v>1965</v>
      </c>
      <c r="I26" s="4"/>
      <c r="J26" s="4" t="s">
        <v>62</v>
      </c>
      <c r="K26" s="5"/>
      <c r="L26" s="58" t="s">
        <v>115</v>
      </c>
      <c r="M26" s="7" t="n">
        <v>8</v>
      </c>
      <c r="N26" s="59" t="n">
        <v>0.946</v>
      </c>
      <c r="O26" s="59" t="n">
        <v>0.946</v>
      </c>
      <c r="P26" s="59" t="n">
        <v>1</v>
      </c>
      <c r="Q26" s="59" t="n">
        <v>1</v>
      </c>
      <c r="R26" s="8"/>
      <c r="S26" s="8" t="n">
        <v>40901</v>
      </c>
      <c r="T26" s="8" t="n">
        <f aca="false">IF(J26="regional",IF(R26&gt;0,R26*0.2975,S26*0.3484),S26*0.1939)</f>
        <v>7930.7039</v>
      </c>
      <c r="U26" s="8" t="n">
        <v>0</v>
      </c>
      <c r="V26" s="8" t="n">
        <f aca="false">S26-U26</f>
        <v>40901</v>
      </c>
      <c r="W26" s="8" t="n">
        <v>315</v>
      </c>
      <c r="X26" s="60" t="n">
        <f aca="false">Y26+Z26</f>
        <v>0</v>
      </c>
      <c r="Y26" s="8" t="n">
        <f aca="false">IF(B26="y",T26,0)</f>
        <v>0</v>
      </c>
      <c r="Z26" s="8"/>
      <c r="AA26" s="8" t="n">
        <f aca="false">AB26+AC26</f>
        <v>48831.7039</v>
      </c>
      <c r="AB26" s="8" t="n">
        <f aca="false">IF(B26="y",0,T26)</f>
        <v>7930.7039</v>
      </c>
      <c r="AC26" s="8" t="n">
        <f aca="false">S26-Z26</f>
        <v>40901</v>
      </c>
      <c r="AD26" s="61" t="n">
        <f aca="false">IF(K26="y",Z26,0)</f>
        <v>0</v>
      </c>
      <c r="AE26" s="61" t="n">
        <f aca="false">IF($K26="",Z26,0)+IF($K26="n",Z26,0)</f>
        <v>0</v>
      </c>
      <c r="AF26" s="62" t="n">
        <f aca="false">IF($K26="y",AC26,0)</f>
        <v>0</v>
      </c>
      <c r="AG26" s="62" t="n">
        <f aca="false">IF($K26="",AC26,0)+IF($K26="n",AC26,0)</f>
        <v>40901</v>
      </c>
      <c r="AH26" s="8" t="n">
        <v>0</v>
      </c>
      <c r="AI26" s="8" t="n">
        <v>0</v>
      </c>
      <c r="AJ26" s="4"/>
      <c r="AK26" s="4"/>
      <c r="AL26" s="30"/>
      <c r="AM26" s="31"/>
    </row>
    <row r="27" customFormat="false" ht="12.75" hidden="false" customHeight="false" outlineLevel="0" collapsed="false">
      <c r="A27" s="2" t="s">
        <v>44</v>
      </c>
      <c r="B27" s="2"/>
      <c r="C27" s="2" t="n">
        <v>344</v>
      </c>
      <c r="D27" s="4" t="s">
        <v>116</v>
      </c>
      <c r="E27" s="4" t="s">
        <v>117</v>
      </c>
      <c r="F27" s="4" t="s">
        <v>54</v>
      </c>
      <c r="G27" s="4" t="s">
        <v>44</v>
      </c>
      <c r="H27" s="4" t="n">
        <v>1994</v>
      </c>
      <c r="I27" s="4"/>
      <c r="J27" s="4" t="s">
        <v>48</v>
      </c>
      <c r="K27" s="5" t="s">
        <v>44</v>
      </c>
      <c r="L27" s="58" t="s">
        <v>118</v>
      </c>
      <c r="M27" s="7" t="n">
        <v>90</v>
      </c>
      <c r="N27" s="59" t="n">
        <v>0.818</v>
      </c>
      <c r="O27" s="59" t="n">
        <v>0.974</v>
      </c>
      <c r="P27" s="59" t="n">
        <v>0.963</v>
      </c>
      <c r="Q27" s="59" t="n">
        <v>0.95</v>
      </c>
      <c r="R27" s="8" t="n">
        <v>652078</v>
      </c>
      <c r="S27" s="8" t="n">
        <v>571312</v>
      </c>
      <c r="T27" s="8" t="n">
        <f aca="false">IF(J27="regional",IF(R27&gt;0,R27*0.2975,S27*0.3484),S27*0.1939)</f>
        <v>193993.205</v>
      </c>
      <c r="U27" s="8" t="n">
        <v>378599</v>
      </c>
      <c r="V27" s="8" t="n">
        <f aca="false">S27-U27</f>
        <v>192713</v>
      </c>
      <c r="W27" s="8" t="n">
        <v>2865</v>
      </c>
      <c r="X27" s="60" t="n">
        <f aca="false">Y27+Z27</f>
        <v>0</v>
      </c>
      <c r="Y27" s="8" t="n">
        <f aca="false">IF(B27="y",T27,0)</f>
        <v>0</v>
      </c>
      <c r="Z27" s="8"/>
      <c r="AA27" s="8" t="n">
        <f aca="false">AB27+AC27</f>
        <v>765305.205</v>
      </c>
      <c r="AB27" s="8" t="n">
        <f aca="false">IF(B27="y",0,T27)</f>
        <v>193993.205</v>
      </c>
      <c r="AC27" s="8" t="n">
        <f aca="false">S27-Z27</f>
        <v>571312</v>
      </c>
      <c r="AD27" s="61" t="n">
        <f aca="false">IF(K27="y",Z27,0)</f>
        <v>0</v>
      </c>
      <c r="AE27" s="61" t="n">
        <f aca="false">IF($K27="",Z27,0)+IF($K27="n",Z27,0)</f>
        <v>0</v>
      </c>
      <c r="AF27" s="62" t="n">
        <f aca="false">IF($K27="y",AC27,0)</f>
        <v>571312</v>
      </c>
      <c r="AG27" s="62" t="n">
        <f aca="false">IF($K27="",AC27,0)+IF($K27="n",AC27,0)</f>
        <v>0</v>
      </c>
      <c r="AH27" s="8" t="n">
        <v>519000</v>
      </c>
      <c r="AI27" s="8" t="n">
        <v>452000</v>
      </c>
      <c r="AJ27" s="1" t="s">
        <v>51</v>
      </c>
      <c r="AK27" s="63" t="n">
        <v>467151.75</v>
      </c>
      <c r="AL27" s="30"/>
      <c r="AM27" s="31"/>
    </row>
    <row r="28" customFormat="false" ht="12.75" hidden="false" customHeight="false" outlineLevel="0" collapsed="false">
      <c r="A28" s="2" t="s">
        <v>44</v>
      </c>
      <c r="B28" s="2"/>
      <c r="C28" s="2" t="n">
        <v>8178</v>
      </c>
      <c r="D28" s="66" t="s">
        <v>119</v>
      </c>
      <c r="E28" s="4" t="s">
        <v>120</v>
      </c>
      <c r="F28" s="4" t="s">
        <v>89</v>
      </c>
      <c r="G28" s="4" t="s">
        <v>44</v>
      </c>
      <c r="H28" s="4" t="n">
        <v>1973</v>
      </c>
      <c r="I28" s="4"/>
      <c r="J28" s="4" t="s">
        <v>48</v>
      </c>
      <c r="K28" s="5" t="s">
        <v>49</v>
      </c>
      <c r="L28" s="58" t="s">
        <v>90</v>
      </c>
      <c r="M28" s="7" t="n">
        <v>76</v>
      </c>
      <c r="N28" s="59" t="n">
        <v>0.904</v>
      </c>
      <c r="O28" s="59" t="n">
        <v>0.939</v>
      </c>
      <c r="P28" s="59" t="n">
        <v>0.874</v>
      </c>
      <c r="Q28" s="59" t="n">
        <v>0.767</v>
      </c>
      <c r="R28" s="8" t="n">
        <v>857149</v>
      </c>
      <c r="S28" s="8" t="n">
        <v>768303</v>
      </c>
      <c r="T28" s="8" t="n">
        <f aca="false">IF(J28="regional",IF(R28&gt;0,R28*0.2975,S28*0.3484),S28*0.1939)</f>
        <v>255001.8275</v>
      </c>
      <c r="U28" s="8" t="n">
        <v>467626</v>
      </c>
      <c r="V28" s="8" t="n">
        <f aca="false">S28-U28</f>
        <v>300677</v>
      </c>
      <c r="W28" s="8" t="n">
        <v>4248</v>
      </c>
      <c r="X28" s="60" t="n">
        <f aca="false">Y28+Z28</f>
        <v>0</v>
      </c>
      <c r="Y28" s="8" t="n">
        <f aca="false">IF(B28="y",T28,0)</f>
        <v>0</v>
      </c>
      <c r="Z28" s="8"/>
      <c r="AA28" s="8" t="n">
        <f aca="false">AB28+AC28</f>
        <v>1023304.8275</v>
      </c>
      <c r="AB28" s="8" t="n">
        <f aca="false">IF(B28="y",0,T28)</f>
        <v>255001.8275</v>
      </c>
      <c r="AC28" s="8" t="n">
        <f aca="false">S28-Z28</f>
        <v>768303</v>
      </c>
      <c r="AD28" s="61" t="n">
        <f aca="false">IF(K28="y",Z28,0)</f>
        <v>0</v>
      </c>
      <c r="AE28" s="61" t="n">
        <f aca="false">IF($K28="",Z28,0)+IF($K28="n",Z28,0)</f>
        <v>0</v>
      </c>
      <c r="AF28" s="62" t="n">
        <f aca="false">IF($K28="y",AC28,0)</f>
        <v>0</v>
      </c>
      <c r="AG28" s="62" t="n">
        <f aca="false">IF($K28="",AC28,0)+IF($K28="n",AC28,0)</f>
        <v>768303</v>
      </c>
      <c r="AH28" s="8" t="n">
        <v>0</v>
      </c>
      <c r="AI28" s="8" t="n">
        <v>0</v>
      </c>
      <c r="AJ28" s="1" t="s">
        <v>91</v>
      </c>
      <c r="AK28" s="63" t="n">
        <v>290235.95</v>
      </c>
      <c r="AL28" s="57"/>
      <c r="AM28" s="31"/>
    </row>
    <row r="29" customFormat="false" ht="12.75" hidden="false" customHeight="false" outlineLevel="0" collapsed="false">
      <c r="A29" s="2" t="s">
        <v>44</v>
      </c>
      <c r="B29" s="2"/>
      <c r="C29" s="2" t="n">
        <v>339</v>
      </c>
      <c r="D29" s="4" t="s">
        <v>121</v>
      </c>
      <c r="E29" s="4" t="s">
        <v>122</v>
      </c>
      <c r="F29" s="4" t="s">
        <v>47</v>
      </c>
      <c r="G29" s="4" t="s">
        <v>44</v>
      </c>
      <c r="H29" s="4" t="n">
        <v>1988</v>
      </c>
      <c r="I29" s="4"/>
      <c r="J29" s="4" t="s">
        <v>62</v>
      </c>
      <c r="K29" s="5" t="s">
        <v>49</v>
      </c>
      <c r="L29" s="58" t="s">
        <v>98</v>
      </c>
      <c r="M29" s="7" t="n">
        <v>40</v>
      </c>
      <c r="N29" s="59" t="n">
        <v>0.802</v>
      </c>
      <c r="O29" s="59" t="n">
        <v>0.733</v>
      </c>
      <c r="P29" s="59" t="n">
        <v>0.797</v>
      </c>
      <c r="Q29" s="59" t="n">
        <v>0.807</v>
      </c>
      <c r="R29" s="8"/>
      <c r="S29" s="8" t="n">
        <v>134083</v>
      </c>
      <c r="T29" s="8" t="n">
        <f aca="false">IF(J29="regional",IF(R29&gt;0,R29*0.2975,S29*0.3484),S29*0.1939)</f>
        <v>25998.6937</v>
      </c>
      <c r="U29" s="8" t="n">
        <v>0</v>
      </c>
      <c r="V29" s="8" t="n">
        <f aca="false">S29-U29</f>
        <v>134083</v>
      </c>
      <c r="W29" s="8" t="n">
        <v>910</v>
      </c>
      <c r="X29" s="60" t="n">
        <f aca="false">Y29+Z29</f>
        <v>0</v>
      </c>
      <c r="Y29" s="8" t="n">
        <f aca="false">IF(B29="y",T29,0)</f>
        <v>0</v>
      </c>
      <c r="Z29" s="8"/>
      <c r="AA29" s="8" t="n">
        <f aca="false">AB29+AC29</f>
        <v>160081.6937</v>
      </c>
      <c r="AB29" s="8" t="n">
        <f aca="false">IF(B29="y",0,T29)</f>
        <v>25998.6937</v>
      </c>
      <c r="AC29" s="8" t="n">
        <f aca="false">S29-Z29</f>
        <v>134083</v>
      </c>
      <c r="AD29" s="61" t="n">
        <f aca="false">IF(K29="y",Z29,0)</f>
        <v>0</v>
      </c>
      <c r="AE29" s="61" t="n">
        <f aca="false">IF($K29="",Z29,0)+IF($K29="n",Z29,0)</f>
        <v>0</v>
      </c>
      <c r="AF29" s="62" t="n">
        <f aca="false">IF($K29="y",AC29,0)</f>
        <v>0</v>
      </c>
      <c r="AG29" s="62" t="n">
        <f aca="false">IF($K29="",AC29,0)+IF($K29="n",AC29,0)</f>
        <v>134083</v>
      </c>
      <c r="AH29" s="8" t="n">
        <v>0</v>
      </c>
      <c r="AI29" s="8" t="n">
        <v>0</v>
      </c>
      <c r="AJ29" s="4"/>
      <c r="AK29" s="4"/>
      <c r="AL29" s="30"/>
      <c r="AM29" s="31"/>
    </row>
    <row r="30" customFormat="false" ht="12.75" hidden="false" customHeight="false" outlineLevel="0" collapsed="false">
      <c r="A30" s="2" t="s">
        <v>44</v>
      </c>
      <c r="B30" s="2"/>
      <c r="C30" s="2" t="n">
        <v>6730</v>
      </c>
      <c r="D30" s="4" t="s">
        <v>123</v>
      </c>
      <c r="E30" s="4" t="s">
        <v>124</v>
      </c>
      <c r="F30" s="4" t="s">
        <v>47</v>
      </c>
      <c r="G30" s="4" t="s">
        <v>49</v>
      </c>
      <c r="H30" s="4" t="n">
        <v>1984</v>
      </c>
      <c r="I30" s="4"/>
      <c r="J30" s="4" t="s">
        <v>62</v>
      </c>
      <c r="L30" s="58" t="s">
        <v>98</v>
      </c>
      <c r="M30" s="7" t="n">
        <v>11</v>
      </c>
      <c r="N30" s="59" t="n">
        <v>0</v>
      </c>
      <c r="O30" s="59" t="n">
        <v>0</v>
      </c>
      <c r="P30" s="59" t="n">
        <v>0.925</v>
      </c>
      <c r="Q30" s="59" t="n">
        <v>0.952</v>
      </c>
      <c r="R30" s="8"/>
      <c r="S30" s="8" t="n">
        <v>236021</v>
      </c>
      <c r="T30" s="8" t="n">
        <f aca="false">IF(J30="regional",IF(R30&gt;0,R30*0.2975,S30*0.3484),S30*0.1939)</f>
        <v>45764.4719</v>
      </c>
      <c r="U30" s="8" t="n">
        <v>196853</v>
      </c>
      <c r="V30" s="8" t="n">
        <f aca="false">S30-U30</f>
        <v>39168</v>
      </c>
      <c r="W30" s="8" t="n">
        <v>1887</v>
      </c>
      <c r="X30" s="60" t="n">
        <f aca="false">Y30+Z30</f>
        <v>0</v>
      </c>
      <c r="Y30" s="8" t="n">
        <f aca="false">IF(B30="y",T30,0)</f>
        <v>0</v>
      </c>
      <c r="Z30" s="8"/>
      <c r="AA30" s="8" t="n">
        <f aca="false">AB30+AC30</f>
        <v>281785.4719</v>
      </c>
      <c r="AB30" s="8" t="n">
        <f aca="false">IF(B30="y",0,T30)</f>
        <v>45764.4719</v>
      </c>
      <c r="AC30" s="8" t="n">
        <f aca="false">S30-Z30</f>
        <v>236021</v>
      </c>
      <c r="AD30" s="61" t="n">
        <f aca="false">IF(K30="y",Z30,0)</f>
        <v>0</v>
      </c>
      <c r="AE30" s="61" t="n">
        <f aca="false">IF($K30="",Z30,0)+IF($K30="n",Z30,0)</f>
        <v>0</v>
      </c>
      <c r="AF30" s="62" t="n">
        <f aca="false">IF($K30="y",AC30,0)</f>
        <v>0</v>
      </c>
      <c r="AG30" s="62" t="n">
        <f aca="false">IF($K30="",AC30,0)+IF($K30="n",AC30,0)</f>
        <v>236021</v>
      </c>
      <c r="AH30" s="8" t="n">
        <v>0</v>
      </c>
      <c r="AI30" s="8" t="n">
        <v>0</v>
      </c>
      <c r="AJ30" s="4"/>
      <c r="AK30" s="4"/>
      <c r="AL30" s="30"/>
      <c r="AM30" s="31"/>
    </row>
    <row r="31" customFormat="false" ht="12.75" hidden="false" customHeight="false" outlineLevel="0" collapsed="false">
      <c r="A31" s="2" t="s">
        <v>44</v>
      </c>
      <c r="B31" s="2"/>
      <c r="C31" s="2" t="n">
        <v>4822</v>
      </c>
      <c r="D31" s="65" t="s">
        <v>125</v>
      </c>
      <c r="E31" s="65" t="s">
        <v>126</v>
      </c>
      <c r="F31" s="4" t="s">
        <v>127</v>
      </c>
      <c r="G31" s="4" t="s">
        <v>44</v>
      </c>
      <c r="H31" s="4" t="n">
        <v>1968</v>
      </c>
      <c r="I31" s="4"/>
      <c r="J31" s="4" t="s">
        <v>128</v>
      </c>
      <c r="K31" s="5"/>
      <c r="L31" s="58" t="s">
        <v>129</v>
      </c>
      <c r="M31" s="7" t="n">
        <v>175</v>
      </c>
      <c r="N31" s="59" t="n">
        <v>0.965</v>
      </c>
      <c r="O31" s="59" t="n">
        <v>0.981</v>
      </c>
      <c r="P31" s="59" t="n">
        <v>0.925</v>
      </c>
      <c r="Q31" s="59" t="n">
        <v>0.952</v>
      </c>
      <c r="R31" s="8" t="n">
        <v>1580588</v>
      </c>
      <c r="S31" s="8" t="n">
        <v>1255000</v>
      </c>
      <c r="T31" s="8" t="n">
        <f aca="false">IF(J31="regional",IF(R31&gt;0,R31*0.2975,S31*0.3484),S31*0.1939)</f>
        <v>470224.93</v>
      </c>
      <c r="U31" s="8" t="n">
        <v>836500</v>
      </c>
      <c r="V31" s="8" t="n">
        <f aca="false">S31-U31</f>
        <v>418500</v>
      </c>
      <c r="W31" s="8" t="n">
        <v>6000</v>
      </c>
      <c r="X31" s="60" t="n">
        <f aca="false">Y31+Z31</f>
        <v>0</v>
      </c>
      <c r="Y31" s="8" t="n">
        <f aca="false">IF(B31="y",T31,0)</f>
        <v>0</v>
      </c>
      <c r="Z31" s="8"/>
      <c r="AA31" s="8" t="n">
        <f aca="false">AB31+AC31</f>
        <v>1725224.93</v>
      </c>
      <c r="AB31" s="8" t="n">
        <f aca="false">IF(B31="y",0,T31)</f>
        <v>470224.93</v>
      </c>
      <c r="AC31" s="8" t="n">
        <f aca="false">S31-Z31</f>
        <v>1255000</v>
      </c>
      <c r="AD31" s="61" t="n">
        <f aca="false">IF(K31="y",Z31,0)</f>
        <v>0</v>
      </c>
      <c r="AE31" s="61" t="n">
        <f aca="false">IF($K31="",Z31,0)+IF($K31="n",Z31,0)</f>
        <v>0</v>
      </c>
      <c r="AF31" s="62" t="n">
        <f aca="false">IF($K31="y",AC31,0)</f>
        <v>0</v>
      </c>
      <c r="AG31" s="62" t="n">
        <f aca="false">IF($K31="",AC31,0)+IF($K31="n",AC31,0)</f>
        <v>1255000</v>
      </c>
      <c r="AH31" s="8" t="n">
        <v>0</v>
      </c>
      <c r="AI31" s="8" t="n">
        <v>0</v>
      </c>
      <c r="AJ31" s="1" t="s">
        <v>130</v>
      </c>
      <c r="AK31" s="63" t="n">
        <v>188308.65</v>
      </c>
      <c r="AL31" s="9"/>
      <c r="AM31" s="9"/>
    </row>
    <row r="32" customFormat="false" ht="12.75" hidden="false" customHeight="false" outlineLevel="0" collapsed="false">
      <c r="A32" s="2" t="s">
        <v>44</v>
      </c>
      <c r="B32" s="2"/>
      <c r="C32" s="2" t="n">
        <v>8700</v>
      </c>
      <c r="D32" s="66" t="s">
        <v>131</v>
      </c>
      <c r="E32" s="4" t="s">
        <v>113</v>
      </c>
      <c r="F32" s="4" t="s">
        <v>114</v>
      </c>
      <c r="G32" s="4" t="s">
        <v>44</v>
      </c>
      <c r="H32" s="4" t="n">
        <v>1972</v>
      </c>
      <c r="I32" s="4"/>
      <c r="J32" s="4" t="s">
        <v>48</v>
      </c>
      <c r="K32" s="5" t="s">
        <v>44</v>
      </c>
      <c r="L32" s="58" t="s">
        <v>115</v>
      </c>
      <c r="M32" s="7" t="n">
        <v>125</v>
      </c>
      <c r="N32" s="59" t="n">
        <v>0.879</v>
      </c>
      <c r="O32" s="59" t="n">
        <v>0.852</v>
      </c>
      <c r="P32" s="59" t="n">
        <v>0.875</v>
      </c>
      <c r="Q32" s="59" t="n">
        <v>0.938</v>
      </c>
      <c r="R32" s="8" t="n">
        <v>1445650</v>
      </c>
      <c r="S32" s="8" t="n">
        <v>1430137</v>
      </c>
      <c r="T32" s="8" t="n">
        <f aca="false">IF(J32="regional",IF(R32&gt;0,R32*0.2975,S32*0.3484),S32*0.1939)</f>
        <v>430080.875</v>
      </c>
      <c r="U32" s="8" t="n">
        <v>1078896</v>
      </c>
      <c r="V32" s="8" t="n">
        <f aca="false">S32-U32</f>
        <v>351241</v>
      </c>
      <c r="W32" s="8" t="n">
        <v>7558</v>
      </c>
      <c r="X32" s="60" t="n">
        <f aca="false">Y32+Z32</f>
        <v>0</v>
      </c>
      <c r="Y32" s="8" t="n">
        <f aca="false">IF(B32="y",T32,0)</f>
        <v>0</v>
      </c>
      <c r="Z32" s="8"/>
      <c r="AA32" s="8" t="n">
        <f aca="false">AB32+AC32</f>
        <v>1860217.875</v>
      </c>
      <c r="AB32" s="8" t="n">
        <f aca="false">IF(B32="y",0,T32)</f>
        <v>430080.875</v>
      </c>
      <c r="AC32" s="8" t="n">
        <f aca="false">S32-Z32</f>
        <v>1430137</v>
      </c>
      <c r="AD32" s="61" t="n">
        <f aca="false">IF(K32="y",Z32,0)</f>
        <v>0</v>
      </c>
      <c r="AE32" s="61" t="n">
        <f aca="false">IF($K32="",Z32,0)+IF($K32="n",Z32,0)</f>
        <v>0</v>
      </c>
      <c r="AF32" s="62" t="n">
        <f aca="false">IF($K32="y",AC32,0)</f>
        <v>1430137</v>
      </c>
      <c r="AG32" s="62" t="n">
        <f aca="false">IF($K32="",AC32,0)+IF($K32="n",AC32,0)</f>
        <v>0</v>
      </c>
      <c r="AH32" s="8" t="n">
        <v>527000</v>
      </c>
      <c r="AI32" s="8" t="n">
        <v>519000</v>
      </c>
      <c r="AJ32" s="1" t="s">
        <v>51</v>
      </c>
      <c r="AK32" s="63" t="n">
        <v>536151</v>
      </c>
      <c r="AL32" s="30"/>
      <c r="AM32" s="31"/>
    </row>
    <row r="33" customFormat="false" ht="12.75" hidden="false" customHeight="false" outlineLevel="0" collapsed="false">
      <c r="A33" s="2" t="s">
        <v>44</v>
      </c>
      <c r="B33" s="2"/>
      <c r="C33" s="2" t="n">
        <v>512</v>
      </c>
      <c r="D33" s="4" t="s">
        <v>132</v>
      </c>
      <c r="E33" s="4" t="s">
        <v>133</v>
      </c>
      <c r="F33" s="4" t="s">
        <v>54</v>
      </c>
      <c r="G33" s="4" t="s">
        <v>44</v>
      </c>
      <c r="H33" s="4" t="n">
        <v>1978</v>
      </c>
      <c r="I33" s="4"/>
      <c r="J33" s="4" t="s">
        <v>62</v>
      </c>
      <c r="K33" s="5"/>
      <c r="L33" s="58" t="s">
        <v>134</v>
      </c>
      <c r="M33" s="7"/>
      <c r="N33" s="59" t="n">
        <v>1</v>
      </c>
      <c r="O33" s="59" t="n">
        <v>1</v>
      </c>
      <c r="P33" s="59" t="n">
        <v>1</v>
      </c>
      <c r="Q33" s="59" t="n">
        <v>1</v>
      </c>
      <c r="R33" s="8"/>
      <c r="S33" s="8" t="n">
        <v>32622</v>
      </c>
      <c r="T33" s="8" t="n">
        <f aca="false">IF(J33="regional",IF(R33&gt;0,R33*0.2975,S33*0.3484),S33*0.1939)</f>
        <v>6325.4058</v>
      </c>
      <c r="U33" s="8" t="n">
        <v>32622</v>
      </c>
      <c r="V33" s="8" t="n">
        <f aca="false">S33-U33</f>
        <v>0</v>
      </c>
      <c r="W33" s="8" t="n">
        <v>200</v>
      </c>
      <c r="X33" s="60" t="n">
        <f aca="false">Y33+Z33</f>
        <v>0</v>
      </c>
      <c r="Y33" s="8" t="n">
        <f aca="false">IF(B33="y",T33,0)</f>
        <v>0</v>
      </c>
      <c r="Z33" s="8"/>
      <c r="AA33" s="8" t="n">
        <f aca="false">AB33+AC33</f>
        <v>38947.4058</v>
      </c>
      <c r="AB33" s="8" t="n">
        <f aca="false">IF(B33="y",0,T33)</f>
        <v>6325.4058</v>
      </c>
      <c r="AC33" s="8" t="n">
        <f aca="false">S33-Z33</f>
        <v>32622</v>
      </c>
      <c r="AD33" s="61" t="n">
        <f aca="false">IF(K33="y",Z33,0)</f>
        <v>0</v>
      </c>
      <c r="AE33" s="61" t="n">
        <f aca="false">IF($K33="",Z33,0)+IF($K33="n",Z33,0)</f>
        <v>0</v>
      </c>
      <c r="AF33" s="62" t="n">
        <f aca="false">IF($K33="y",AC33,0)</f>
        <v>0</v>
      </c>
      <c r="AG33" s="62" t="n">
        <f aca="false">IF($K33="",AC33,0)+IF($K33="n",AC33,0)</f>
        <v>32622</v>
      </c>
      <c r="AH33" s="8" t="n">
        <v>0</v>
      </c>
      <c r="AI33" s="8" t="n">
        <v>0</v>
      </c>
      <c r="AJ33" s="1" t="s">
        <v>51</v>
      </c>
      <c r="AK33" s="63" t="n">
        <v>11793</v>
      </c>
      <c r="AL33" s="30"/>
      <c r="AM33" s="31"/>
    </row>
    <row r="34" customFormat="false" ht="12.75" hidden="false" customHeight="false" outlineLevel="0" collapsed="false">
      <c r="A34" s="2" t="s">
        <v>44</v>
      </c>
      <c r="B34" s="2"/>
      <c r="C34" s="2" t="n">
        <v>8245</v>
      </c>
      <c r="D34" s="64" t="s">
        <v>135</v>
      </c>
      <c r="E34" s="4" t="s">
        <v>136</v>
      </c>
      <c r="F34" s="4" t="s">
        <v>137</v>
      </c>
      <c r="G34" s="4" t="s">
        <v>49</v>
      </c>
      <c r="H34" s="4" t="n">
        <v>1979</v>
      </c>
      <c r="I34" s="4"/>
      <c r="J34" s="4" t="s">
        <v>48</v>
      </c>
      <c r="K34" s="5" t="s">
        <v>49</v>
      </c>
      <c r="L34" s="58" t="s">
        <v>138</v>
      </c>
      <c r="M34" s="7" t="n">
        <v>190</v>
      </c>
      <c r="N34" s="59" t="n">
        <v>0.88</v>
      </c>
      <c r="O34" s="59" t="n">
        <v>0.893</v>
      </c>
      <c r="P34" s="59" t="n">
        <v>0.849</v>
      </c>
      <c r="Q34" s="59" t="n">
        <v>0.855</v>
      </c>
      <c r="R34" s="8" t="n">
        <v>1447842</v>
      </c>
      <c r="S34" s="8" t="n">
        <v>1287451</v>
      </c>
      <c r="T34" s="8" t="n">
        <f aca="false">IF(J34="regional",IF(R34&gt;0,R34*0.2975,S34*0.3484),S34*0.1939)</f>
        <v>430732.995</v>
      </c>
      <c r="U34" s="8" t="n">
        <v>816613</v>
      </c>
      <c r="V34" s="8" t="n">
        <f aca="false">S34-U34</f>
        <v>470838</v>
      </c>
      <c r="W34" s="8" t="n">
        <v>5760</v>
      </c>
      <c r="X34" s="60" t="n">
        <f aca="false">Y34+Z34</f>
        <v>0</v>
      </c>
      <c r="Y34" s="8" t="n">
        <f aca="false">IF(B34="y",T34,0)</f>
        <v>0</v>
      </c>
      <c r="Z34" s="8"/>
      <c r="AA34" s="8" t="n">
        <f aca="false">AB34+AC34</f>
        <v>1718183.995</v>
      </c>
      <c r="AB34" s="8" t="n">
        <f aca="false">IF(B34="y",0,T34)</f>
        <v>430732.995</v>
      </c>
      <c r="AC34" s="8" t="n">
        <f aca="false">S34-Z34</f>
        <v>1287451</v>
      </c>
      <c r="AD34" s="61" t="n">
        <f aca="false">IF(K34="y",Z34,0)</f>
        <v>0</v>
      </c>
      <c r="AE34" s="61" t="n">
        <f aca="false">IF($K34="",Z34,0)+IF($K34="n",Z34,0)</f>
        <v>0</v>
      </c>
      <c r="AF34" s="62" t="n">
        <f aca="false">IF($K34="y",AC34,0)</f>
        <v>0</v>
      </c>
      <c r="AG34" s="62" t="n">
        <f aca="false">IF($K34="",AC34,0)+IF($K34="n",AC34,0)</f>
        <v>1287451</v>
      </c>
      <c r="AH34" s="8" t="n">
        <v>0</v>
      </c>
      <c r="AI34" s="8" t="n">
        <v>0</v>
      </c>
      <c r="AJ34" s="1" t="s">
        <v>51</v>
      </c>
      <c r="AK34" s="63" t="n">
        <v>1175747</v>
      </c>
      <c r="AL34" s="30"/>
      <c r="AM34" s="31"/>
    </row>
    <row r="35" customFormat="false" ht="12.75" hidden="false" customHeight="false" outlineLevel="0" collapsed="false">
      <c r="A35" s="2" t="s">
        <v>44</v>
      </c>
      <c r="B35" s="2"/>
      <c r="C35" s="2" t="n">
        <v>513</v>
      </c>
      <c r="D35" s="4" t="s">
        <v>139</v>
      </c>
      <c r="E35" s="4" t="s">
        <v>140</v>
      </c>
      <c r="F35" s="4" t="s">
        <v>114</v>
      </c>
      <c r="G35" s="4" t="s">
        <v>44</v>
      </c>
      <c r="H35" s="4" t="n">
        <v>1982</v>
      </c>
      <c r="I35" s="4"/>
      <c r="J35" s="4" t="s">
        <v>48</v>
      </c>
      <c r="K35" s="5" t="s">
        <v>49</v>
      </c>
      <c r="L35" s="58" t="s">
        <v>141</v>
      </c>
      <c r="M35" s="7" t="n">
        <v>54</v>
      </c>
      <c r="N35" s="59" t="n">
        <v>0.784</v>
      </c>
      <c r="O35" s="59" t="n">
        <v>0.787</v>
      </c>
      <c r="P35" s="59" t="n">
        <v>0.838</v>
      </c>
      <c r="Q35" s="59" t="n">
        <v>0.52</v>
      </c>
      <c r="R35" s="8" t="n">
        <v>449345</v>
      </c>
      <c r="S35" s="8" t="n">
        <v>411302</v>
      </c>
      <c r="T35" s="8" t="n">
        <f aca="false">IF(J35="regional",IF(R35&gt;0,R35*0.2975,S35*0.3484),S35*0.1939)</f>
        <v>133680.1375</v>
      </c>
      <c r="U35" s="8" t="n">
        <v>301514</v>
      </c>
      <c r="V35" s="8" t="n">
        <f aca="false">S35-U35</f>
        <v>109788</v>
      </c>
      <c r="W35" s="8" t="n">
        <v>2575</v>
      </c>
      <c r="X35" s="60" t="n">
        <f aca="false">Y35+Z35</f>
        <v>0</v>
      </c>
      <c r="Y35" s="8" t="n">
        <f aca="false">IF(B35="y",T35,0)</f>
        <v>0</v>
      </c>
      <c r="Z35" s="8"/>
      <c r="AA35" s="8" t="n">
        <f aca="false">AB35+AC35</f>
        <v>544982.1375</v>
      </c>
      <c r="AB35" s="8" t="n">
        <f aca="false">IF(B35="y",0,T35)</f>
        <v>133680.1375</v>
      </c>
      <c r="AC35" s="8" t="n">
        <f aca="false">S35-Z35</f>
        <v>411302</v>
      </c>
      <c r="AD35" s="61" t="n">
        <f aca="false">IF(K35="y",Z35,0)</f>
        <v>0</v>
      </c>
      <c r="AE35" s="61" t="n">
        <f aca="false">IF($K35="",Z35,0)+IF($K35="n",Z35,0)</f>
        <v>0</v>
      </c>
      <c r="AF35" s="62" t="n">
        <f aca="false">IF($K35="y",AC35,0)</f>
        <v>0</v>
      </c>
      <c r="AG35" s="62" t="n">
        <f aca="false">IF($K35="",AC35,0)+IF($K35="n",AC35,0)</f>
        <v>411302</v>
      </c>
      <c r="AH35" s="8" t="n">
        <v>0</v>
      </c>
      <c r="AI35" s="8" t="n">
        <v>0</v>
      </c>
      <c r="AJ35" s="4"/>
      <c r="AK35" s="4"/>
      <c r="AL35" s="57"/>
      <c r="AM35" s="31"/>
    </row>
    <row r="36" customFormat="false" ht="12.75" hidden="false" customHeight="false" outlineLevel="0" collapsed="false">
      <c r="A36" s="2" t="s">
        <v>44</v>
      </c>
      <c r="B36" s="2"/>
      <c r="C36" s="2" t="n">
        <v>516</v>
      </c>
      <c r="D36" s="4" t="s">
        <v>142</v>
      </c>
      <c r="E36" s="4" t="s">
        <v>143</v>
      </c>
      <c r="F36" s="4" t="s">
        <v>58</v>
      </c>
      <c r="G36" s="4" t="s">
        <v>44</v>
      </c>
      <c r="H36" s="4" t="n">
        <v>1976</v>
      </c>
      <c r="I36" s="4"/>
      <c r="J36" s="4" t="s">
        <v>62</v>
      </c>
      <c r="K36" s="5" t="s">
        <v>49</v>
      </c>
      <c r="L36" s="58" t="s">
        <v>144</v>
      </c>
      <c r="M36" s="7" t="n">
        <v>41</v>
      </c>
      <c r="N36" s="59" t="n">
        <v>1</v>
      </c>
      <c r="O36" s="59" t="n">
        <v>1</v>
      </c>
      <c r="P36" s="59" t="n">
        <v>1</v>
      </c>
      <c r="Q36" s="59" t="n">
        <v>0.381</v>
      </c>
      <c r="R36" s="8"/>
      <c r="S36" s="8" t="n">
        <v>460789</v>
      </c>
      <c r="T36" s="8" t="n">
        <f aca="false">IF(J36="regional",IF(R36&gt;0,R36*0.2975,S36*0.3484),S36*0.1939)</f>
        <v>89346.9871</v>
      </c>
      <c r="U36" s="8" t="n">
        <v>127899</v>
      </c>
      <c r="V36" s="8" t="n">
        <f aca="false">S36-U36</f>
        <v>332890</v>
      </c>
      <c r="W36" s="8" t="n">
        <v>2300</v>
      </c>
      <c r="X36" s="60" t="n">
        <f aca="false">Y36+Z36</f>
        <v>0</v>
      </c>
      <c r="Y36" s="8" t="n">
        <f aca="false">IF(B36="y",T36,0)</f>
        <v>0</v>
      </c>
      <c r="Z36" s="8"/>
      <c r="AA36" s="8" t="n">
        <f aca="false">AB36+AC36</f>
        <v>550135.9871</v>
      </c>
      <c r="AB36" s="8" t="n">
        <f aca="false">IF(B36="y",0,T36)</f>
        <v>89346.9871</v>
      </c>
      <c r="AC36" s="8" t="n">
        <f aca="false">S36-Z36</f>
        <v>460789</v>
      </c>
      <c r="AD36" s="61" t="n">
        <f aca="false">IF(K36="y",Z36,0)</f>
        <v>0</v>
      </c>
      <c r="AE36" s="61" t="n">
        <f aca="false">IF($K36="",Z36,0)+IF($K36="n",Z36,0)</f>
        <v>0</v>
      </c>
      <c r="AF36" s="62" t="n">
        <f aca="false">IF($K36="y",AC36,0)</f>
        <v>0</v>
      </c>
      <c r="AG36" s="62" t="n">
        <f aca="false">IF($K36="",AC36,0)+IF($K36="n",AC36,0)</f>
        <v>460789</v>
      </c>
      <c r="AH36" s="8" t="n">
        <v>0</v>
      </c>
      <c r="AI36" s="8" t="n">
        <v>0</v>
      </c>
      <c r="AJ36" s="4"/>
      <c r="AK36" s="4"/>
      <c r="AL36" s="30"/>
      <c r="AM36" s="31"/>
    </row>
    <row r="37" customFormat="false" ht="12.75" hidden="false" customHeight="false" outlineLevel="0" collapsed="false">
      <c r="A37" s="2" t="s">
        <v>44</v>
      </c>
      <c r="B37" s="2"/>
      <c r="C37" s="2" t="n">
        <v>4661</v>
      </c>
      <c r="D37" s="4" t="s">
        <v>145</v>
      </c>
      <c r="E37" s="4" t="s">
        <v>146</v>
      </c>
      <c r="F37" s="4" t="s">
        <v>147</v>
      </c>
      <c r="G37" s="4" t="s">
        <v>44</v>
      </c>
      <c r="H37" s="4" t="n">
        <v>1997</v>
      </c>
      <c r="I37" s="4"/>
      <c r="J37" s="4" t="s">
        <v>48</v>
      </c>
      <c r="K37" s="5" t="s">
        <v>44</v>
      </c>
      <c r="L37" s="58" t="s">
        <v>148</v>
      </c>
      <c r="M37" s="7" t="n">
        <v>86</v>
      </c>
      <c r="N37" s="59" t="n">
        <v>0.926</v>
      </c>
      <c r="O37" s="59" t="n">
        <v>0.946</v>
      </c>
      <c r="P37" s="59" t="n">
        <v>0.928</v>
      </c>
      <c r="Q37" s="59" t="n">
        <v>0.952</v>
      </c>
      <c r="R37" s="8" t="n">
        <v>651334</v>
      </c>
      <c r="S37" s="8" t="n">
        <v>573614</v>
      </c>
      <c r="T37" s="8" t="n">
        <f aca="false">IF(J37="regional",IF(R37&gt;0,R37*0.2975,S37*0.3484),S37*0.1939)</f>
        <v>193771.865</v>
      </c>
      <c r="U37" s="8" t="n">
        <v>381153</v>
      </c>
      <c r="V37" s="8" t="n">
        <f aca="false">S37-U37</f>
        <v>192461</v>
      </c>
      <c r="W37" s="8" t="n">
        <v>3375</v>
      </c>
      <c r="X37" s="60" t="n">
        <f aca="false">Y37+Z37</f>
        <v>0</v>
      </c>
      <c r="Y37" s="8" t="n">
        <f aca="false">IF(B37="y",T37,0)</f>
        <v>0</v>
      </c>
      <c r="Z37" s="8"/>
      <c r="AA37" s="8" t="n">
        <f aca="false">AB37+AC37</f>
        <v>767385.865</v>
      </c>
      <c r="AB37" s="8" t="n">
        <f aca="false">IF(B37="y",0,T37)</f>
        <v>193771.865</v>
      </c>
      <c r="AC37" s="8" t="n">
        <f aca="false">S37-Z37</f>
        <v>573614</v>
      </c>
      <c r="AD37" s="61" t="n">
        <f aca="false">IF(K37="y",Z37,0)</f>
        <v>0</v>
      </c>
      <c r="AE37" s="61" t="n">
        <f aca="false">IF($K37="",Z37,0)+IF($K37="n",Z37,0)</f>
        <v>0</v>
      </c>
      <c r="AF37" s="62" t="n">
        <f aca="false">IF($K37="y",AC37,0)</f>
        <v>573614</v>
      </c>
      <c r="AG37" s="62" t="n">
        <f aca="false">IF($K37="",AC37,0)+IF($K37="n",AC37,0)</f>
        <v>0</v>
      </c>
      <c r="AH37" s="8" t="n">
        <v>540000</v>
      </c>
      <c r="AI37" s="8" t="n">
        <v>321000</v>
      </c>
      <c r="AJ37" s="1" t="s">
        <v>130</v>
      </c>
      <c r="AK37" s="63" t="n">
        <v>233286</v>
      </c>
      <c r="AL37" s="30"/>
      <c r="AM37" s="31"/>
    </row>
    <row r="38" customFormat="false" ht="12.75" hidden="false" customHeight="false" outlineLevel="0" collapsed="false">
      <c r="A38" s="2" t="s">
        <v>44</v>
      </c>
      <c r="B38" s="2"/>
      <c r="C38" s="2" t="n">
        <v>8250</v>
      </c>
      <c r="D38" s="4" t="s">
        <v>149</v>
      </c>
      <c r="E38" s="4" t="s">
        <v>150</v>
      </c>
      <c r="F38" s="4" t="s">
        <v>151</v>
      </c>
      <c r="G38" s="4" t="s">
        <v>44</v>
      </c>
      <c r="H38" s="4" t="n">
        <v>1971</v>
      </c>
      <c r="I38" s="4"/>
      <c r="J38" s="4" t="s">
        <v>48</v>
      </c>
      <c r="K38" s="5" t="s">
        <v>49</v>
      </c>
      <c r="L38" s="58" t="s">
        <v>152</v>
      </c>
      <c r="M38" s="7" t="n">
        <v>72</v>
      </c>
      <c r="N38" s="59" t="n">
        <v>0.749</v>
      </c>
      <c r="O38" s="59" t="n">
        <v>0.746</v>
      </c>
      <c r="P38" s="59" t="n">
        <v>0.692</v>
      </c>
      <c r="Q38" s="59" t="n">
        <v>0.632</v>
      </c>
      <c r="R38" s="8" t="n">
        <v>530152</v>
      </c>
      <c r="S38" s="8" t="n">
        <v>427690</v>
      </c>
      <c r="T38" s="8" t="n">
        <f aca="false">IF(J38="regional",IF(R38&gt;0,R38*0.2975,S38*0.3484),S38*0.1939)</f>
        <v>157720.22</v>
      </c>
      <c r="U38" s="8" t="n">
        <v>213572</v>
      </c>
      <c r="V38" s="8" t="n">
        <f aca="false">S38-U38</f>
        <v>214118</v>
      </c>
      <c r="W38" s="8" t="n">
        <v>2692</v>
      </c>
      <c r="X38" s="60" t="n">
        <f aca="false">Y38+Z38</f>
        <v>0</v>
      </c>
      <c r="Y38" s="8" t="n">
        <f aca="false">IF(B38="y",T38,0)</f>
        <v>0</v>
      </c>
      <c r="Z38" s="8"/>
      <c r="AA38" s="8" t="n">
        <f aca="false">AB38+AC38</f>
        <v>585410.22</v>
      </c>
      <c r="AB38" s="8" t="n">
        <f aca="false">IF(B38="y",0,T38)</f>
        <v>157720.22</v>
      </c>
      <c r="AC38" s="8" t="n">
        <f aca="false">S38-Z38</f>
        <v>427690</v>
      </c>
      <c r="AD38" s="61" t="n">
        <f aca="false">IF(K38="y",Z38,0)</f>
        <v>0</v>
      </c>
      <c r="AE38" s="61" t="n">
        <f aca="false">IF($K38="",Z38,0)+IF($K38="n",Z38,0)</f>
        <v>0</v>
      </c>
      <c r="AF38" s="62" t="n">
        <f aca="false">IF($K38="y",AC38,0)</f>
        <v>0</v>
      </c>
      <c r="AG38" s="62" t="n">
        <f aca="false">IF($K38="",AC38,0)+IF($K38="n",AC38,0)</f>
        <v>427690</v>
      </c>
      <c r="AH38" s="8" t="n">
        <v>0</v>
      </c>
      <c r="AI38" s="8" t="n">
        <v>0</v>
      </c>
      <c r="AJ38" s="4"/>
      <c r="AK38" s="4"/>
      <c r="AL38" s="57"/>
      <c r="AM38" s="31"/>
    </row>
    <row r="39" customFormat="false" ht="12.75" hidden="false" customHeight="false" outlineLevel="0" collapsed="false">
      <c r="A39" s="2" t="s">
        <v>44</v>
      </c>
      <c r="B39" s="2"/>
      <c r="C39" s="2" t="n">
        <v>8253</v>
      </c>
      <c r="D39" s="4" t="s">
        <v>153</v>
      </c>
      <c r="E39" s="4" t="s">
        <v>154</v>
      </c>
      <c r="F39" s="4" t="s">
        <v>137</v>
      </c>
      <c r="G39" s="4" t="s">
        <v>44</v>
      </c>
      <c r="H39" s="4" t="n">
        <v>1981</v>
      </c>
      <c r="I39" s="4"/>
      <c r="J39" s="4" t="s">
        <v>48</v>
      </c>
      <c r="K39" s="5" t="s">
        <v>44</v>
      </c>
      <c r="L39" s="58" t="s">
        <v>155</v>
      </c>
      <c r="M39" s="7" t="n">
        <v>77</v>
      </c>
      <c r="N39" s="59" t="n">
        <v>0.944</v>
      </c>
      <c r="O39" s="59" t="n">
        <v>0.975</v>
      </c>
      <c r="P39" s="59" t="n">
        <v>0.978</v>
      </c>
      <c r="Q39" s="59" t="n">
        <v>0.906</v>
      </c>
      <c r="R39" s="8" t="n">
        <v>540019</v>
      </c>
      <c r="S39" s="8" t="n">
        <v>625761</v>
      </c>
      <c r="T39" s="8" t="n">
        <f aca="false">IF(J39="regional",IF(R39&gt;0,R39*0.2975,S39*0.3484),S39*0.1939)</f>
        <v>160655.6525</v>
      </c>
      <c r="U39" s="8" t="n">
        <v>361767</v>
      </c>
      <c r="V39" s="8" t="n">
        <f aca="false">S39-U39</f>
        <v>263994</v>
      </c>
      <c r="W39" s="8" t="n">
        <v>3224</v>
      </c>
      <c r="X39" s="60" t="n">
        <f aca="false">Y39+Z39</f>
        <v>0</v>
      </c>
      <c r="Y39" s="8" t="n">
        <f aca="false">IF(B39="y",T39,0)</f>
        <v>0</v>
      </c>
      <c r="Z39" s="8"/>
      <c r="AA39" s="8" t="n">
        <f aca="false">AB39+AC39</f>
        <v>786416.6525</v>
      </c>
      <c r="AB39" s="8" t="n">
        <f aca="false">IF(B39="y",0,T39)</f>
        <v>160655.6525</v>
      </c>
      <c r="AC39" s="8" t="n">
        <f aca="false">S39-Z39</f>
        <v>625761</v>
      </c>
      <c r="AD39" s="61" t="n">
        <f aca="false">IF(K39="y",Z39,0)</f>
        <v>0</v>
      </c>
      <c r="AE39" s="61" t="n">
        <f aca="false">IF($K39="",Z39,0)+IF($K39="n",Z39,0)</f>
        <v>0</v>
      </c>
      <c r="AF39" s="62" t="n">
        <f aca="false">IF($K39="y",AC39,0)</f>
        <v>625761</v>
      </c>
      <c r="AG39" s="62" t="n">
        <f aca="false">IF($K39="",AC39,0)+IF($K39="n",AC39,0)</f>
        <v>0</v>
      </c>
      <c r="AH39" s="8" t="n">
        <v>589000</v>
      </c>
      <c r="AI39" s="8" t="n">
        <v>559000</v>
      </c>
      <c r="AJ39" s="1" t="s">
        <v>51</v>
      </c>
      <c r="AK39" s="63" t="n">
        <v>467510</v>
      </c>
      <c r="AL39" s="30"/>
      <c r="AM39" s="31"/>
    </row>
    <row r="40" customFormat="false" ht="12.75" hidden="false" customHeight="false" outlineLevel="0" collapsed="false">
      <c r="A40" s="2" t="s">
        <v>44</v>
      </c>
      <c r="B40" s="2"/>
      <c r="C40" s="2" t="n">
        <v>8266</v>
      </c>
      <c r="D40" s="4" t="s">
        <v>156</v>
      </c>
      <c r="E40" s="4" t="s">
        <v>157</v>
      </c>
      <c r="F40" s="4" t="s">
        <v>147</v>
      </c>
      <c r="G40" s="4" t="s">
        <v>44</v>
      </c>
      <c r="H40" s="4" t="n">
        <v>1989</v>
      </c>
      <c r="I40" s="4"/>
      <c r="J40" s="4" t="s">
        <v>62</v>
      </c>
      <c r="K40" s="5" t="s">
        <v>49</v>
      </c>
      <c r="L40" s="58" t="s">
        <v>148</v>
      </c>
      <c r="M40" s="7"/>
      <c r="N40" s="59" t="n">
        <v>1</v>
      </c>
      <c r="O40" s="59" t="n">
        <v>1</v>
      </c>
      <c r="P40" s="59" t="n">
        <v>0.943</v>
      </c>
      <c r="Q40" s="59" t="n">
        <v>0.977</v>
      </c>
      <c r="R40" s="8"/>
      <c r="S40" s="8" t="n">
        <v>296824</v>
      </c>
      <c r="T40" s="8" t="n">
        <f aca="false">IF(J40="regional",IF(R40&gt;0,R40*0.2975,S40*0.3484),S40*0.1939)</f>
        <v>57554.1736</v>
      </c>
      <c r="U40" s="8" t="n">
        <v>235962</v>
      </c>
      <c r="V40" s="8" t="n">
        <f aca="false">S40-U40</f>
        <v>60862</v>
      </c>
      <c r="W40" s="8" t="n">
        <v>1500</v>
      </c>
      <c r="X40" s="60" t="n">
        <f aca="false">Y40+Z40</f>
        <v>0</v>
      </c>
      <c r="Y40" s="8" t="n">
        <f aca="false">IF(B40="y",T40,0)</f>
        <v>0</v>
      </c>
      <c r="Z40" s="8"/>
      <c r="AA40" s="8" t="n">
        <f aca="false">AB40+AC40</f>
        <v>354378.1736</v>
      </c>
      <c r="AB40" s="8" t="n">
        <f aca="false">IF(B40="y",0,T40)</f>
        <v>57554.1736</v>
      </c>
      <c r="AC40" s="8" t="n">
        <f aca="false">S40-Z40</f>
        <v>296824</v>
      </c>
      <c r="AD40" s="61" t="n">
        <f aca="false">IF(K40="y",Z40,0)</f>
        <v>0</v>
      </c>
      <c r="AE40" s="61" t="n">
        <f aca="false">IF($K40="",Z40,0)+IF($K40="n",Z40,0)</f>
        <v>0</v>
      </c>
      <c r="AF40" s="62" t="n">
        <f aca="false">IF($K40="y",AC40,0)</f>
        <v>0</v>
      </c>
      <c r="AG40" s="62" t="n">
        <f aca="false">IF($K40="",AC40,0)+IF($K40="n",AC40,0)</f>
        <v>296824</v>
      </c>
      <c r="AH40" s="8" t="n">
        <v>0</v>
      </c>
      <c r="AI40" s="8" t="n">
        <v>0</v>
      </c>
      <c r="AJ40" s="1" t="s">
        <v>51</v>
      </c>
      <c r="AK40" s="63" t="n">
        <v>67175</v>
      </c>
      <c r="AL40" s="30"/>
      <c r="AM40" s="31"/>
    </row>
    <row r="41" customFormat="false" ht="12.75" hidden="false" customHeight="false" outlineLevel="0" collapsed="false">
      <c r="A41" s="2" t="s">
        <v>44</v>
      </c>
      <c r="B41" s="2"/>
      <c r="C41" s="2" t="n">
        <v>9888</v>
      </c>
      <c r="D41" s="4" t="s">
        <v>158</v>
      </c>
      <c r="E41" s="4" t="s">
        <v>157</v>
      </c>
      <c r="F41" s="4" t="s">
        <v>147</v>
      </c>
      <c r="G41" s="4" t="s">
        <v>49</v>
      </c>
      <c r="H41" s="4" t="n">
        <v>1989</v>
      </c>
      <c r="I41" s="4"/>
      <c r="J41" s="4" t="s">
        <v>48</v>
      </c>
      <c r="K41" s="5" t="s">
        <v>44</v>
      </c>
      <c r="L41" s="58" t="s">
        <v>148</v>
      </c>
      <c r="M41" s="7" t="n">
        <v>132</v>
      </c>
      <c r="N41" s="59" t="n">
        <v>0.853</v>
      </c>
      <c r="O41" s="59" t="n">
        <v>0.853</v>
      </c>
      <c r="P41" s="59" t="n">
        <v>0.831</v>
      </c>
      <c r="Q41" s="59" t="n">
        <v>0.761</v>
      </c>
      <c r="R41" s="8" t="n">
        <v>743297</v>
      </c>
      <c r="S41" s="8" t="n">
        <v>704428</v>
      </c>
      <c r="T41" s="8" t="n">
        <f aca="false">IF(J41="regional",IF(R41&gt;0,R41*0.2975,S41*0.3484),S41*0.1939)</f>
        <v>221130.8575</v>
      </c>
      <c r="U41" s="8" t="n">
        <v>429463</v>
      </c>
      <c r="V41" s="8" t="n">
        <f aca="false">S41-U41</f>
        <v>274965</v>
      </c>
      <c r="W41" s="8" t="n">
        <v>3525</v>
      </c>
      <c r="X41" s="60" t="n">
        <f aca="false">Y41+Z41</f>
        <v>0</v>
      </c>
      <c r="Y41" s="8" t="n">
        <f aca="false">IF(B41="y",T41,0)</f>
        <v>0</v>
      </c>
      <c r="Z41" s="8"/>
      <c r="AA41" s="8" t="n">
        <f aca="false">AB41+AC41</f>
        <v>925558.8575</v>
      </c>
      <c r="AB41" s="8" t="n">
        <f aca="false">IF(B41="y",0,T41)</f>
        <v>221130.8575</v>
      </c>
      <c r="AC41" s="8" t="n">
        <f aca="false">S41-Z41</f>
        <v>704428</v>
      </c>
      <c r="AD41" s="61" t="n">
        <f aca="false">IF(K41="y",Z41,0)</f>
        <v>0</v>
      </c>
      <c r="AE41" s="61" t="n">
        <f aca="false">IF($K41="",Z41,0)+IF($K41="n",Z41,0)</f>
        <v>0</v>
      </c>
      <c r="AF41" s="62" t="n">
        <f aca="false">IF($K41="y",AC41,0)</f>
        <v>704428</v>
      </c>
      <c r="AG41" s="62" t="n">
        <f aca="false">IF($K41="",AC41,0)+IF($K41="n",AC41,0)</f>
        <v>0</v>
      </c>
      <c r="AH41" s="8" t="n">
        <v>763000</v>
      </c>
      <c r="AI41" s="8" t="n">
        <v>589000</v>
      </c>
      <c r="AJ41" s="1" t="s">
        <v>51</v>
      </c>
      <c r="AK41" s="63" t="n">
        <v>729283</v>
      </c>
      <c r="AL41" s="30"/>
      <c r="AM41" s="31"/>
    </row>
    <row r="42" customFormat="false" ht="12.75" hidden="false" customHeight="false" outlineLevel="0" collapsed="false">
      <c r="A42" s="2" t="s">
        <v>44</v>
      </c>
      <c r="B42" s="2" t="s">
        <v>44</v>
      </c>
      <c r="C42" s="2" t="n">
        <v>511</v>
      </c>
      <c r="D42" s="64" t="s">
        <v>159</v>
      </c>
      <c r="E42" s="4" t="s">
        <v>133</v>
      </c>
      <c r="F42" s="4" t="s">
        <v>54</v>
      </c>
      <c r="G42" s="4" t="s">
        <v>44</v>
      </c>
      <c r="H42" s="4" t="n">
        <v>1974</v>
      </c>
      <c r="I42" s="4"/>
      <c r="J42" s="4" t="s">
        <v>48</v>
      </c>
      <c r="K42" s="5" t="s">
        <v>44</v>
      </c>
      <c r="L42" s="58" t="s">
        <v>160</v>
      </c>
      <c r="M42" s="7" t="n">
        <v>146</v>
      </c>
      <c r="N42" s="59" t="n">
        <v>0.924</v>
      </c>
      <c r="O42" s="59" t="n">
        <v>0.972</v>
      </c>
      <c r="P42" s="59" t="n">
        <v>0.933</v>
      </c>
      <c r="Q42" s="59" t="n">
        <v>0.894</v>
      </c>
      <c r="R42" s="8" t="n">
        <v>1446933</v>
      </c>
      <c r="S42" s="8" t="n">
        <v>1168567</v>
      </c>
      <c r="T42" s="8" t="n">
        <f aca="false">IF(J42="regional",IF(R42&gt;0,R42*0.2975,S42*0.3484),S42*0.1939)</f>
        <v>430462.5675</v>
      </c>
      <c r="U42" s="8" t="n">
        <v>793716</v>
      </c>
      <c r="V42" s="8" t="n">
        <f aca="false">S42-U42</f>
        <v>374851</v>
      </c>
      <c r="W42" s="8" t="n">
        <v>6000</v>
      </c>
      <c r="X42" s="60" t="n">
        <f aca="false">Y42+Z42</f>
        <v>991625.5675</v>
      </c>
      <c r="Y42" s="8" t="n">
        <f aca="false">IF(B42="y",T42,0)</f>
        <v>430462.5675</v>
      </c>
      <c r="Z42" s="8" t="n">
        <v>561163</v>
      </c>
      <c r="AA42" s="8" t="n">
        <f aca="false">AB42+AC42</f>
        <v>607404</v>
      </c>
      <c r="AB42" s="8" t="n">
        <f aca="false">IF(B42="y",0,T42)</f>
        <v>0</v>
      </c>
      <c r="AC42" s="8" t="n">
        <f aca="false">S42-Z42</f>
        <v>607404</v>
      </c>
      <c r="AD42" s="61" t="n">
        <f aca="false">IF(K42="y",Z42,0)</f>
        <v>561163</v>
      </c>
      <c r="AE42" s="61" t="n">
        <f aca="false">IF($K42="",Z42,0)+IF($K42="n",Z42,0)</f>
        <v>0</v>
      </c>
      <c r="AF42" s="62" t="n">
        <f aca="false">IF($K42="y",AC42,0)</f>
        <v>607404</v>
      </c>
      <c r="AG42" s="62" t="n">
        <f aca="false">IF($K42="",AC42,0)+IF($K42="n",AC42,0)</f>
        <v>0</v>
      </c>
      <c r="AH42" s="8" t="n">
        <v>1182000</v>
      </c>
      <c r="AI42" s="8" t="n">
        <v>990000</v>
      </c>
      <c r="AJ42" s="1" t="s">
        <v>51</v>
      </c>
      <c r="AK42" s="63" t="n">
        <v>813939</v>
      </c>
      <c r="AL42" s="57"/>
      <c r="AM42" s="31"/>
    </row>
    <row r="43" customFormat="false" ht="12.75" hidden="false" customHeight="false" outlineLevel="0" collapsed="false">
      <c r="A43" s="2" t="s">
        <v>44</v>
      </c>
      <c r="B43" s="2"/>
      <c r="C43" s="2" t="n">
        <v>564</v>
      </c>
      <c r="D43" s="64" t="s">
        <v>161</v>
      </c>
      <c r="E43" s="4" t="s">
        <v>113</v>
      </c>
      <c r="F43" s="4" t="s">
        <v>114</v>
      </c>
      <c r="G43" s="4" t="s">
        <v>49</v>
      </c>
      <c r="H43" s="4" t="n">
        <v>1995</v>
      </c>
      <c r="I43" s="4"/>
      <c r="J43" s="4" t="s">
        <v>48</v>
      </c>
      <c r="K43" s="5" t="s">
        <v>44</v>
      </c>
      <c r="L43" s="6" t="s">
        <v>115</v>
      </c>
      <c r="M43" s="7" t="n">
        <v>90</v>
      </c>
      <c r="N43" s="59" t="n">
        <v>0.961</v>
      </c>
      <c r="O43" s="59" t="n">
        <v>0.946</v>
      </c>
      <c r="P43" s="59" t="n">
        <v>0.962</v>
      </c>
      <c r="Q43" s="59" t="n">
        <v>0.944</v>
      </c>
      <c r="R43" s="8" t="n">
        <v>1126844</v>
      </c>
      <c r="S43" s="8" t="n">
        <v>789933</v>
      </c>
      <c r="T43" s="8" t="n">
        <f aca="false">IF(J43="regional",IF(R43&gt;0,R43*0.2975,S43*0.3484),S43*0.1939)</f>
        <v>335236.09</v>
      </c>
      <c r="U43" s="8" t="n">
        <v>350000</v>
      </c>
      <c r="V43" s="8" t="n">
        <f aca="false">S43-U43</f>
        <v>439933</v>
      </c>
      <c r="W43" s="8" t="n">
        <v>3000</v>
      </c>
      <c r="X43" s="60" t="n">
        <f aca="false">Y43+Z43</f>
        <v>0</v>
      </c>
      <c r="Y43" s="8" t="n">
        <f aca="false">IF(B43="y",T43,0)</f>
        <v>0</v>
      </c>
      <c r="Z43" s="9"/>
      <c r="AA43" s="8" t="n">
        <f aca="false">AB43+AC43</f>
        <v>1125169.09</v>
      </c>
      <c r="AB43" s="8" t="n">
        <f aca="false">IF(B43="y",0,T43)</f>
        <v>335236.09</v>
      </c>
      <c r="AC43" s="8" t="n">
        <f aca="false">S43-Z43</f>
        <v>789933</v>
      </c>
      <c r="AD43" s="61" t="n">
        <f aca="false">IF(K43="y",Z43,0)</f>
        <v>0</v>
      </c>
      <c r="AE43" s="61" t="n">
        <f aca="false">IF($K43="",Z43,0)+IF($K43="n",Z43,0)</f>
        <v>0</v>
      </c>
      <c r="AF43" s="62" t="n">
        <f aca="false">IF($K43="y",AC43,0)</f>
        <v>789933</v>
      </c>
      <c r="AG43" s="62" t="n">
        <f aca="false">IF($K43="",AC43,0)+IF($K43="n",AC43,0)</f>
        <v>0</v>
      </c>
      <c r="AH43" s="8" t="n">
        <v>794000</v>
      </c>
      <c r="AI43" s="8" t="n">
        <v>652000</v>
      </c>
      <c r="AJ43" s="64"/>
      <c r="AK43" s="64"/>
      <c r="AL43" s="30"/>
      <c r="AM43" s="31"/>
    </row>
    <row r="44" customFormat="false" ht="12.75" hidden="false" customHeight="false" outlineLevel="0" collapsed="false">
      <c r="A44" s="2"/>
      <c r="B44" s="2" t="s">
        <v>44</v>
      </c>
      <c r="C44" s="2" t="n">
        <v>526</v>
      </c>
      <c r="D44" s="67" t="s">
        <v>162</v>
      </c>
      <c r="E44" s="65" t="s">
        <v>113</v>
      </c>
      <c r="F44" s="4"/>
      <c r="G44" s="4" t="s">
        <v>49</v>
      </c>
      <c r="H44" s="4" t="n">
        <v>1985</v>
      </c>
      <c r="I44" s="4"/>
      <c r="J44" s="4" t="s">
        <v>48</v>
      </c>
      <c r="K44" s="5" t="s">
        <v>44</v>
      </c>
      <c r="L44" s="58" t="s">
        <v>115</v>
      </c>
      <c r="M44" s="7" t="n">
        <v>10</v>
      </c>
      <c r="N44" s="59" t="n">
        <v>0.55</v>
      </c>
      <c r="O44" s="59" t="n">
        <v>0.55</v>
      </c>
      <c r="P44" s="59" t="n">
        <v>0.536</v>
      </c>
      <c r="Q44" s="59" t="n">
        <v>0.777</v>
      </c>
      <c r="R44" s="8"/>
      <c r="S44" s="8" t="n">
        <v>69958</v>
      </c>
      <c r="T44" s="8" t="n">
        <f aca="false">IF(J44="regional",IF(R44&gt;0,R44*0.2975,S44*0.3484),S44*0.1939)</f>
        <v>24373.3672</v>
      </c>
      <c r="U44" s="8" t="n">
        <v>0</v>
      </c>
      <c r="V44" s="8" t="n">
        <f aca="false">S44-U44</f>
        <v>69958</v>
      </c>
      <c r="W44" s="8"/>
      <c r="X44" s="60" t="n">
        <f aca="false">Y44+Z44</f>
        <v>161979.3672</v>
      </c>
      <c r="Y44" s="8" t="n">
        <f aca="false">IF(B44="y",T44,0)</f>
        <v>24373.3672</v>
      </c>
      <c r="Z44" s="8" t="n">
        <v>137606</v>
      </c>
      <c r="AA44" s="8" t="n">
        <f aca="false">AB44+AC44</f>
        <v>-67648</v>
      </c>
      <c r="AB44" s="8" t="n">
        <f aca="false">IF(B44="y",0,T44)</f>
        <v>0</v>
      </c>
      <c r="AC44" s="8" t="n">
        <f aca="false">S44-Z44</f>
        <v>-67648</v>
      </c>
      <c r="AD44" s="61" t="n">
        <f aca="false">IF(K44="y",Z44,0)</f>
        <v>137606</v>
      </c>
      <c r="AE44" s="61" t="n">
        <f aca="false">IF($K44="",Z44,0)+IF($K44="n",Z44,0)</f>
        <v>0</v>
      </c>
      <c r="AF44" s="62" t="n">
        <f aca="false">IF($K44="y",AC44,0)</f>
        <v>-67648</v>
      </c>
      <c r="AG44" s="62" t="n">
        <f aca="false">IF($K44="",AC44,0)+IF($K44="n",AC44,0)</f>
        <v>0</v>
      </c>
      <c r="AH44" s="8" t="n">
        <v>47000</v>
      </c>
      <c r="AI44" s="8" t="n">
        <v>39000</v>
      </c>
      <c r="AJ44" s="67"/>
      <c r="AK44" s="67"/>
      <c r="AL44" s="9"/>
      <c r="AM44" s="9"/>
    </row>
    <row r="45" customFormat="false" ht="12.75" hidden="false" customHeight="false" outlineLevel="0" collapsed="false">
      <c r="A45" s="2" t="s">
        <v>44</v>
      </c>
      <c r="B45" s="2"/>
      <c r="C45" s="2" t="n">
        <v>548</v>
      </c>
      <c r="D45" s="4" t="s">
        <v>163</v>
      </c>
      <c r="E45" s="4" t="s">
        <v>164</v>
      </c>
      <c r="F45" s="4" t="s">
        <v>151</v>
      </c>
      <c r="G45" s="4" t="s">
        <v>49</v>
      </c>
      <c r="H45" s="4" t="n">
        <v>1993</v>
      </c>
      <c r="I45" s="4"/>
      <c r="J45" s="4" t="s">
        <v>62</v>
      </c>
      <c r="K45" s="5"/>
      <c r="L45" s="58" t="s">
        <v>165</v>
      </c>
      <c r="M45" s="7"/>
      <c r="N45" s="59" t="n">
        <v>0.938</v>
      </c>
      <c r="O45" s="59" t="n">
        <v>0.952</v>
      </c>
      <c r="P45" s="59" t="n">
        <v>0.996</v>
      </c>
      <c r="Q45" s="59" t="n">
        <v>0.973</v>
      </c>
      <c r="R45" s="8"/>
      <c r="S45" s="8" t="n">
        <v>261206</v>
      </c>
      <c r="T45" s="8" t="n">
        <f aca="false">IF(J45="regional",IF(R45&gt;0,R45*0.2975,S45*0.3484),S45*0.1939)</f>
        <v>50647.8434</v>
      </c>
      <c r="U45" s="8" t="n">
        <v>206680</v>
      </c>
      <c r="V45" s="8" t="n">
        <f aca="false">S45-U45</f>
        <v>54526</v>
      </c>
      <c r="W45" s="8" t="n">
        <v>1262</v>
      </c>
      <c r="X45" s="60" t="n">
        <f aca="false">Y45+Z45</f>
        <v>0</v>
      </c>
      <c r="Y45" s="8" t="n">
        <f aca="false">IF(B45="y",T45,0)</f>
        <v>0</v>
      </c>
      <c r="Z45" s="8"/>
      <c r="AA45" s="8" t="n">
        <f aca="false">AB45+AC45</f>
        <v>311853.8434</v>
      </c>
      <c r="AB45" s="8" t="n">
        <f aca="false">IF(B45="y",0,T45)</f>
        <v>50647.8434</v>
      </c>
      <c r="AC45" s="8" t="n">
        <f aca="false">S45-Z45</f>
        <v>261206</v>
      </c>
      <c r="AD45" s="61" t="n">
        <f aca="false">IF(K45="y",Z45,0)</f>
        <v>0</v>
      </c>
      <c r="AE45" s="61" t="n">
        <f aca="false">IF($K45="",Z45,0)+IF($K45="n",Z45,0)</f>
        <v>0</v>
      </c>
      <c r="AF45" s="62" t="n">
        <f aca="false">IF($K45="y",AC45,0)</f>
        <v>0</v>
      </c>
      <c r="AG45" s="62" t="n">
        <f aca="false">IF($K45="",AC45,0)+IF($K45="n",AC45,0)</f>
        <v>261206</v>
      </c>
      <c r="AH45" s="8" t="n">
        <v>0</v>
      </c>
      <c r="AI45" s="8" t="n">
        <v>0</v>
      </c>
      <c r="AJ45" s="4"/>
      <c r="AK45" s="4"/>
      <c r="AL45" s="57"/>
      <c r="AM45" s="31"/>
    </row>
    <row r="46" customFormat="false" ht="12.75" hidden="false" customHeight="false" outlineLevel="0" collapsed="false">
      <c r="A46" s="2" t="s">
        <v>44</v>
      </c>
      <c r="B46" s="2"/>
      <c r="C46" s="2" t="n">
        <v>514</v>
      </c>
      <c r="D46" s="4" t="s">
        <v>166</v>
      </c>
      <c r="E46" s="4" t="s">
        <v>167</v>
      </c>
      <c r="F46" s="4" t="s">
        <v>151</v>
      </c>
      <c r="G46" s="4" t="s">
        <v>44</v>
      </c>
      <c r="H46" s="4" t="n">
        <v>1984</v>
      </c>
      <c r="I46" s="4"/>
      <c r="J46" s="4" t="s">
        <v>62</v>
      </c>
      <c r="K46" s="5" t="s">
        <v>49</v>
      </c>
      <c r="L46" s="58" t="s">
        <v>165</v>
      </c>
      <c r="M46" s="7" t="n">
        <v>21</v>
      </c>
      <c r="N46" s="59" t="n">
        <v>0.573</v>
      </c>
      <c r="O46" s="59" t="n">
        <v>0.517</v>
      </c>
      <c r="P46" s="59" t="n">
        <v>0.838</v>
      </c>
      <c r="Q46" s="59" t="n">
        <v>0.936</v>
      </c>
      <c r="R46" s="8"/>
      <c r="S46" s="8" t="n">
        <v>248323</v>
      </c>
      <c r="T46" s="8" t="n">
        <f aca="false">IF(J46="regional",IF(R46&gt;0,R46*0.2975,S46*0.3484),S46*0.1939)</f>
        <v>48149.8297</v>
      </c>
      <c r="U46" s="8" t="n">
        <v>179123</v>
      </c>
      <c r="V46" s="8" t="n">
        <f aca="false">S46-U46</f>
        <v>69200</v>
      </c>
      <c r="W46" s="8" t="n">
        <v>1260</v>
      </c>
      <c r="X46" s="60" t="n">
        <f aca="false">Y46+Z46</f>
        <v>0</v>
      </c>
      <c r="Y46" s="8" t="n">
        <f aca="false">IF(B46="y",T46,0)</f>
        <v>0</v>
      </c>
      <c r="Z46" s="8"/>
      <c r="AA46" s="8" t="n">
        <f aca="false">AB46+AC46</f>
        <v>296472.8297</v>
      </c>
      <c r="AB46" s="8" t="n">
        <f aca="false">IF(B46="y",0,T46)</f>
        <v>48149.8297</v>
      </c>
      <c r="AC46" s="8" t="n">
        <f aca="false">S46-Z46</f>
        <v>248323</v>
      </c>
      <c r="AD46" s="61" t="n">
        <f aca="false">IF(K46="y",Z46,0)</f>
        <v>0</v>
      </c>
      <c r="AE46" s="61" t="n">
        <f aca="false">IF($K46="",Z46,0)+IF($K46="n",Z46,0)</f>
        <v>0</v>
      </c>
      <c r="AF46" s="62" t="n">
        <f aca="false">IF($K46="y",AC46,0)</f>
        <v>0</v>
      </c>
      <c r="AG46" s="62" t="n">
        <f aca="false">IF($K46="",AC46,0)+IF($K46="n",AC46,0)</f>
        <v>248323</v>
      </c>
      <c r="AH46" s="8" t="n">
        <v>0</v>
      </c>
      <c r="AI46" s="8" t="n">
        <v>0</v>
      </c>
      <c r="AJ46" s="4"/>
      <c r="AK46" s="4"/>
      <c r="AL46" s="30"/>
      <c r="AM46" s="31"/>
    </row>
    <row r="47" customFormat="false" ht="12.75" hidden="false" customHeight="false" outlineLevel="0" collapsed="false">
      <c r="A47" s="2" t="s">
        <v>44</v>
      </c>
      <c r="B47" s="2"/>
      <c r="C47" s="2" t="n">
        <v>540</v>
      </c>
      <c r="D47" s="66" t="s">
        <v>168</v>
      </c>
      <c r="E47" s="4" t="s">
        <v>169</v>
      </c>
      <c r="F47" s="4" t="s">
        <v>114</v>
      </c>
      <c r="G47" s="4" t="s">
        <v>44</v>
      </c>
      <c r="H47" s="4" t="n">
        <v>1965</v>
      </c>
      <c r="I47" s="4"/>
      <c r="J47" s="4" t="s">
        <v>48</v>
      </c>
      <c r="K47" s="5" t="s">
        <v>44</v>
      </c>
      <c r="L47" s="58" t="s">
        <v>170</v>
      </c>
      <c r="M47" s="7" t="n">
        <v>101</v>
      </c>
      <c r="N47" s="59" t="n">
        <v>0.913</v>
      </c>
      <c r="O47" s="59" t="n">
        <v>0.918</v>
      </c>
      <c r="P47" s="59" t="n">
        <v>0.858</v>
      </c>
      <c r="Q47" s="59" t="n">
        <v>0.861</v>
      </c>
      <c r="R47" s="8" t="n">
        <v>812507</v>
      </c>
      <c r="S47" s="8" t="n">
        <v>695116</v>
      </c>
      <c r="T47" s="8" t="n">
        <f aca="false">IF(J47="regional",IF(R47&gt;0,R47*0.2975,S47*0.3484),S47*0.1939)</f>
        <v>241720.8325</v>
      </c>
      <c r="U47" s="8" t="n">
        <v>440253</v>
      </c>
      <c r="V47" s="8" t="n">
        <f aca="false">S47-U47</f>
        <v>254863</v>
      </c>
      <c r="W47" s="8" t="n">
        <v>3568</v>
      </c>
      <c r="X47" s="60" t="n">
        <f aca="false">Y47+Z47</f>
        <v>0</v>
      </c>
      <c r="Y47" s="8" t="n">
        <f aca="false">IF(B47="y",T47,0)</f>
        <v>0</v>
      </c>
      <c r="Z47" s="8"/>
      <c r="AA47" s="8" t="n">
        <f aca="false">AB47+AC47</f>
        <v>936836.8325</v>
      </c>
      <c r="AB47" s="8" t="n">
        <f aca="false">IF(B47="y",0,T47)</f>
        <v>241720.8325</v>
      </c>
      <c r="AC47" s="8" t="n">
        <f aca="false">S47-Z47</f>
        <v>695116</v>
      </c>
      <c r="AD47" s="61" t="n">
        <f aca="false">IF(K47="y",Z47,0)</f>
        <v>0</v>
      </c>
      <c r="AE47" s="61" t="n">
        <f aca="false">IF($K47="",Z47,0)+IF($K47="n",Z47,0)</f>
        <v>0</v>
      </c>
      <c r="AF47" s="62" t="n">
        <f aca="false">IF($K47="y",AC47,0)</f>
        <v>695116</v>
      </c>
      <c r="AG47" s="62" t="n">
        <f aca="false">IF($K47="",AC47,0)+IF($K47="n",AC47,0)</f>
        <v>0</v>
      </c>
      <c r="AH47" s="8" t="n">
        <v>341000</v>
      </c>
      <c r="AI47" s="8" t="n">
        <v>282000</v>
      </c>
      <c r="AJ47" s="66"/>
      <c r="AK47" s="66"/>
      <c r="AL47" s="30"/>
      <c r="AM47" s="31"/>
    </row>
    <row r="48" customFormat="false" ht="12.75" hidden="false" customHeight="false" outlineLevel="0" collapsed="false">
      <c r="A48" s="2" t="s">
        <v>44</v>
      </c>
      <c r="B48" s="2"/>
      <c r="C48" s="2" t="n">
        <v>8262</v>
      </c>
      <c r="D48" s="4" t="s">
        <v>171</v>
      </c>
      <c r="E48" s="4" t="s">
        <v>172</v>
      </c>
      <c r="F48" s="4" t="s">
        <v>173</v>
      </c>
      <c r="G48" s="4" t="s">
        <v>44</v>
      </c>
      <c r="H48" s="4" t="n">
        <v>1987</v>
      </c>
      <c r="I48" s="4"/>
      <c r="J48" s="4" t="s">
        <v>48</v>
      </c>
      <c r="K48" s="5" t="s">
        <v>49</v>
      </c>
      <c r="L48" s="58" t="s">
        <v>174</v>
      </c>
      <c r="M48" s="7" t="n">
        <v>105</v>
      </c>
      <c r="N48" s="59" t="n">
        <v>0.96</v>
      </c>
      <c r="O48" s="59" t="n">
        <v>0.96</v>
      </c>
      <c r="P48" s="59" t="n">
        <v>0.887</v>
      </c>
      <c r="Q48" s="59" t="n">
        <v>0.866</v>
      </c>
      <c r="R48" s="8" t="n">
        <v>796952</v>
      </c>
      <c r="S48" s="8" t="n">
        <v>754287</v>
      </c>
      <c r="T48" s="8" t="n">
        <f aca="false">IF(J48="regional",IF(R48&gt;0,R48*0.2975,S48*0.3484),S48*0.1939)</f>
        <v>237093.22</v>
      </c>
      <c r="U48" s="8" t="n">
        <v>431052</v>
      </c>
      <c r="V48" s="8" t="n">
        <f aca="false">S48-U48</f>
        <v>323235</v>
      </c>
      <c r="W48" s="8" t="n">
        <v>4914</v>
      </c>
      <c r="X48" s="60" t="n">
        <f aca="false">Y48+Z48</f>
        <v>0</v>
      </c>
      <c r="Y48" s="8" t="n">
        <f aca="false">IF(B48="y",T48,0)</f>
        <v>0</v>
      </c>
      <c r="Z48" s="8"/>
      <c r="AA48" s="8" t="n">
        <f aca="false">AB48+AC48</f>
        <v>991380.22</v>
      </c>
      <c r="AB48" s="8" t="n">
        <f aca="false">IF(B48="y",0,T48)</f>
        <v>237093.22</v>
      </c>
      <c r="AC48" s="8" t="n">
        <f aca="false">S48-Z48</f>
        <v>754287</v>
      </c>
      <c r="AD48" s="61" t="n">
        <f aca="false">IF(K48="y",Z48,0)</f>
        <v>0</v>
      </c>
      <c r="AE48" s="61" t="n">
        <f aca="false">IF($K48="",Z48,0)+IF($K48="n",Z48,0)</f>
        <v>0</v>
      </c>
      <c r="AF48" s="62" t="n">
        <f aca="false">IF($K48="y",AC48,0)</f>
        <v>0</v>
      </c>
      <c r="AG48" s="62" t="n">
        <f aca="false">IF($K48="",AC48,0)+IF($K48="n",AC48,0)</f>
        <v>754287</v>
      </c>
      <c r="AH48" s="8" t="n">
        <v>0</v>
      </c>
      <c r="AI48" s="8" t="n">
        <v>0</v>
      </c>
      <c r="AJ48" s="1" t="s">
        <v>51</v>
      </c>
      <c r="AK48" s="63" t="n">
        <v>539112</v>
      </c>
      <c r="AL48" s="30"/>
      <c r="AM48" s="31"/>
    </row>
    <row r="49" customFormat="false" ht="12.75" hidden="false" customHeight="false" outlineLevel="0" collapsed="false">
      <c r="A49" s="2" t="s">
        <v>44</v>
      </c>
      <c r="B49" s="2"/>
      <c r="C49" s="2" t="n">
        <v>9862</v>
      </c>
      <c r="D49" s="4" t="s">
        <v>175</v>
      </c>
      <c r="E49" s="4" t="s">
        <v>176</v>
      </c>
      <c r="F49" s="4" t="s">
        <v>75</v>
      </c>
      <c r="G49" s="4" t="s">
        <v>49</v>
      </c>
      <c r="H49" s="4" t="n">
        <v>1984</v>
      </c>
      <c r="I49" s="4"/>
      <c r="J49" s="4" t="s">
        <v>48</v>
      </c>
      <c r="K49" s="5" t="s">
        <v>49</v>
      </c>
      <c r="L49" s="58" t="s">
        <v>105</v>
      </c>
      <c r="M49" s="7" t="n">
        <v>149</v>
      </c>
      <c r="N49" s="59" t="n">
        <v>0.871</v>
      </c>
      <c r="O49" s="59" t="n">
        <v>0.9</v>
      </c>
      <c r="P49" s="59" t="n">
        <v>0.844</v>
      </c>
      <c r="Q49" s="59" t="n">
        <v>0.863</v>
      </c>
      <c r="R49" s="8" t="n">
        <v>1101419</v>
      </c>
      <c r="S49" s="8" t="n">
        <v>942563</v>
      </c>
      <c r="T49" s="8" t="n">
        <f aca="false">IF(J49="regional",IF(R49&gt;0,R49*0.2975,S49*0.3484),S49*0.1939)</f>
        <v>327672.1525</v>
      </c>
      <c r="U49" s="8" t="n">
        <v>648144</v>
      </c>
      <c r="V49" s="8" t="n">
        <f aca="false">S49-U49</f>
        <v>294419</v>
      </c>
      <c r="W49" s="8" t="n">
        <v>4683</v>
      </c>
      <c r="X49" s="60" t="n">
        <f aca="false">Y49+Z49</f>
        <v>0</v>
      </c>
      <c r="Y49" s="8" t="n">
        <f aca="false">IF(B49="y",T49,0)</f>
        <v>0</v>
      </c>
      <c r="Z49" s="8"/>
      <c r="AA49" s="8" t="n">
        <f aca="false">AB49+AC49</f>
        <v>1270235.1525</v>
      </c>
      <c r="AB49" s="8" t="n">
        <f aca="false">IF(B49="y",0,T49)</f>
        <v>327672.1525</v>
      </c>
      <c r="AC49" s="8" t="n">
        <f aca="false">S49-Z49</f>
        <v>942563</v>
      </c>
      <c r="AD49" s="61" t="n">
        <f aca="false">IF(K49="y",Z49,0)</f>
        <v>0</v>
      </c>
      <c r="AE49" s="61" t="n">
        <f aca="false">IF($K49="",Z49,0)+IF($K49="n",Z49,0)</f>
        <v>0</v>
      </c>
      <c r="AF49" s="62" t="n">
        <f aca="false">IF($K49="y",AC49,0)</f>
        <v>0</v>
      </c>
      <c r="AG49" s="62" t="n">
        <f aca="false">IF($K49="",AC49,0)+IF($K49="n",AC49,0)</f>
        <v>942563</v>
      </c>
      <c r="AH49" s="8" t="n">
        <v>0</v>
      </c>
      <c r="AI49" s="8" t="n">
        <v>0</v>
      </c>
      <c r="AJ49" s="1" t="s">
        <v>51</v>
      </c>
      <c r="AK49" s="63" t="n">
        <v>871547</v>
      </c>
      <c r="AL49" s="57"/>
      <c r="AM49" s="31"/>
    </row>
    <row r="50" customFormat="false" ht="12.75" hidden="false" customHeight="false" outlineLevel="0" collapsed="false">
      <c r="A50" s="2" t="s">
        <v>44</v>
      </c>
      <c r="B50" s="2"/>
      <c r="C50" s="2" t="n">
        <v>552</v>
      </c>
      <c r="D50" s="66" t="s">
        <v>177</v>
      </c>
      <c r="E50" s="4" t="s">
        <v>178</v>
      </c>
      <c r="F50" s="4" t="s">
        <v>75</v>
      </c>
      <c r="G50" s="4" t="s">
        <v>44</v>
      </c>
      <c r="H50" s="4" t="n">
        <v>1971</v>
      </c>
      <c r="I50" s="4"/>
      <c r="J50" s="4" t="s">
        <v>48</v>
      </c>
      <c r="K50" s="5"/>
      <c r="L50" s="6" t="s">
        <v>179</v>
      </c>
      <c r="M50" s="7"/>
      <c r="N50" s="59" t="n">
        <v>0.886</v>
      </c>
      <c r="O50" s="59" t="n">
        <v>0.909</v>
      </c>
      <c r="P50" s="59" t="n">
        <v>0.903</v>
      </c>
      <c r="Q50" s="59" t="n">
        <v>0.905</v>
      </c>
      <c r="R50" s="8" t="n">
        <v>988224</v>
      </c>
      <c r="S50" s="8" t="n">
        <v>853145</v>
      </c>
      <c r="T50" s="8" t="n">
        <f aca="false">IF(J50="regional",IF(R50&gt;0,R50*0.2975,S50*0.3484),S50*0.1939)</f>
        <v>293996.64</v>
      </c>
      <c r="U50" s="8" t="n">
        <v>497632</v>
      </c>
      <c r="V50" s="8" t="n">
        <f aca="false">S50-U50</f>
        <v>355513</v>
      </c>
      <c r="W50" s="8" t="n">
        <v>5500</v>
      </c>
      <c r="X50" s="60" t="n">
        <f aca="false">Y50+Z50</f>
        <v>0</v>
      </c>
      <c r="Y50" s="8" t="n">
        <f aca="false">IF(B50="y",T50,0)</f>
        <v>0</v>
      </c>
      <c r="Z50" s="9"/>
      <c r="AA50" s="8" t="n">
        <f aca="false">AB50+AC50</f>
        <v>1147141.64</v>
      </c>
      <c r="AB50" s="8" t="n">
        <f aca="false">IF(B50="y",0,T50)</f>
        <v>293996.64</v>
      </c>
      <c r="AC50" s="8" t="n">
        <f aca="false">S50-Z50</f>
        <v>853145</v>
      </c>
      <c r="AD50" s="61" t="n">
        <f aca="false">IF(K50="y",Z50,0)</f>
        <v>0</v>
      </c>
      <c r="AE50" s="61" t="n">
        <f aca="false">IF($K50="",Z50,0)+IF($K50="n",Z50,0)</f>
        <v>0</v>
      </c>
      <c r="AF50" s="62" t="n">
        <f aca="false">IF($K50="y",AC50,0)</f>
        <v>0</v>
      </c>
      <c r="AG50" s="62" t="n">
        <f aca="false">IF($K50="",AC50,0)+IF($K50="n",AC50,0)</f>
        <v>853145</v>
      </c>
      <c r="AH50" s="8" t="n">
        <v>0</v>
      </c>
      <c r="AI50" s="8" t="n">
        <v>0</v>
      </c>
      <c r="AJ50" s="1" t="s">
        <v>51</v>
      </c>
      <c r="AK50" s="63" t="n">
        <v>645066</v>
      </c>
      <c r="AL50" s="9"/>
      <c r="AM50" s="9"/>
    </row>
    <row r="51" customFormat="false" ht="12.75" hidden="false" customHeight="false" outlineLevel="0" collapsed="false">
      <c r="A51" s="2"/>
      <c r="B51" s="2" t="s">
        <v>44</v>
      </c>
      <c r="C51" s="2" t="n">
        <v>549</v>
      </c>
      <c r="D51" s="64" t="s">
        <v>180</v>
      </c>
      <c r="E51" s="4" t="s">
        <v>181</v>
      </c>
      <c r="F51" s="4" t="s">
        <v>182</v>
      </c>
      <c r="G51" s="4" t="s">
        <v>44</v>
      </c>
      <c r="H51" s="4" t="n">
        <v>1996</v>
      </c>
      <c r="I51" s="4"/>
      <c r="J51" s="4" t="s">
        <v>48</v>
      </c>
      <c r="K51" s="5" t="s">
        <v>44</v>
      </c>
      <c r="L51" s="58" t="s">
        <v>183</v>
      </c>
      <c r="M51" s="7" t="n">
        <v>120</v>
      </c>
      <c r="N51" s="59" t="n">
        <v>0.878</v>
      </c>
      <c r="O51" s="59" t="n">
        <v>0.878</v>
      </c>
      <c r="P51" s="59" t="n">
        <v>0.903</v>
      </c>
      <c r="Q51" s="59" t="n">
        <v>0.905</v>
      </c>
      <c r="R51" s="8" t="n">
        <v>1134980</v>
      </c>
      <c r="S51" s="8" t="n">
        <v>1039720</v>
      </c>
      <c r="T51" s="8" t="n">
        <f aca="false">IF(J51="regional",IF(R51&gt;0,R51*0.2975,S51*0.3484),S51*0.1939)</f>
        <v>337656.55</v>
      </c>
      <c r="U51" s="8" t="n">
        <v>631556</v>
      </c>
      <c r="V51" s="8" t="n">
        <f aca="false">S51-U51</f>
        <v>408164</v>
      </c>
      <c r="W51" s="8" t="n">
        <v>4800</v>
      </c>
      <c r="X51" s="60" t="n">
        <f aca="false">Y51+Z51</f>
        <v>730156.55</v>
      </c>
      <c r="Y51" s="8" t="n">
        <f aca="false">IF(B51="y",T51,0)</f>
        <v>337656.55</v>
      </c>
      <c r="Z51" s="8" t="n">
        <v>392500</v>
      </c>
      <c r="AA51" s="8" t="n">
        <f aca="false">AB51+AC51</f>
        <v>647220</v>
      </c>
      <c r="AB51" s="8" t="n">
        <f aca="false">IF(B51="y",0,T51)</f>
        <v>0</v>
      </c>
      <c r="AC51" s="8" t="n">
        <f aca="false">S51-Z51</f>
        <v>647220</v>
      </c>
      <c r="AD51" s="61" t="n">
        <f aca="false">IF(K51="y",Z51,0)</f>
        <v>392500</v>
      </c>
      <c r="AE51" s="61" t="n">
        <f aca="false">IF($K51="",Z51,0)+IF($K51="n",Z51,0)</f>
        <v>0</v>
      </c>
      <c r="AF51" s="62" t="n">
        <f aca="false">IF($K51="y",AC51,0)</f>
        <v>647220</v>
      </c>
      <c r="AG51" s="62" t="n">
        <f aca="false">IF($K51="",AC51,0)+IF($K51="n",AC51,0)</f>
        <v>0</v>
      </c>
      <c r="AH51" s="8" t="n">
        <v>1026000</v>
      </c>
      <c r="AI51" s="8" t="n">
        <v>475000</v>
      </c>
      <c r="AJ51" s="1" t="s">
        <v>51</v>
      </c>
      <c r="AK51" s="63" t="n">
        <v>858272</v>
      </c>
      <c r="AL51" s="57"/>
      <c r="AM51" s="31"/>
    </row>
    <row r="52" customFormat="false" ht="12.75" hidden="false" customHeight="false" outlineLevel="0" collapsed="false">
      <c r="A52" s="2"/>
      <c r="B52" s="2" t="s">
        <v>44</v>
      </c>
      <c r="C52" s="2" t="n">
        <v>7320</v>
      </c>
      <c r="D52" s="68" t="s">
        <v>184</v>
      </c>
      <c r="E52" s="4"/>
      <c r="F52" s="4"/>
      <c r="G52" s="4" t="s">
        <v>49</v>
      </c>
      <c r="H52" s="4"/>
      <c r="I52" s="4"/>
      <c r="J52" s="4"/>
      <c r="K52" s="5"/>
      <c r="L52" s="58"/>
      <c r="M52" s="7"/>
      <c r="N52" s="59"/>
      <c r="O52" s="59"/>
      <c r="P52" s="59"/>
      <c r="Q52" s="59"/>
      <c r="R52" s="8"/>
      <c r="S52" s="8"/>
      <c r="T52" s="8"/>
      <c r="U52" s="8"/>
      <c r="V52" s="8"/>
      <c r="W52" s="8"/>
      <c r="X52" s="60"/>
      <c r="Y52" s="8"/>
      <c r="Z52" s="8"/>
      <c r="AA52" s="8"/>
      <c r="AB52" s="8"/>
      <c r="AC52" s="8"/>
      <c r="AD52" s="61"/>
      <c r="AE52" s="61"/>
      <c r="AF52" s="62"/>
      <c r="AG52" s="62"/>
      <c r="AH52" s="8" t="n">
        <v>0</v>
      </c>
      <c r="AI52" s="8" t="n">
        <v>0</v>
      </c>
      <c r="AK52" s="63"/>
      <c r="AL52" s="57"/>
      <c r="AM52" s="31"/>
    </row>
    <row r="53" customFormat="false" ht="12.75" hidden="false" customHeight="false" outlineLevel="0" collapsed="false">
      <c r="A53" s="2"/>
      <c r="B53" s="2" t="s">
        <v>44</v>
      </c>
      <c r="C53" s="2" t="n">
        <v>2315</v>
      </c>
      <c r="D53" s="4" t="s">
        <v>185</v>
      </c>
      <c r="E53" s="4" t="s">
        <v>186</v>
      </c>
      <c r="F53" s="4" t="s">
        <v>47</v>
      </c>
      <c r="G53" s="4" t="s">
        <v>44</v>
      </c>
      <c r="H53" s="4" t="n">
        <v>1977</v>
      </c>
      <c r="I53" s="4"/>
      <c r="J53" s="4" t="s">
        <v>62</v>
      </c>
      <c r="K53" s="5"/>
      <c r="L53" s="58" t="s">
        <v>187</v>
      </c>
      <c r="M53" s="7" t="n">
        <v>23</v>
      </c>
      <c r="N53" s="59" t="n">
        <v>0.796</v>
      </c>
      <c r="O53" s="59" t="n">
        <v>0.777</v>
      </c>
      <c r="P53" s="59" t="n">
        <v>0.808</v>
      </c>
      <c r="Q53" s="59" t="n">
        <v>1</v>
      </c>
      <c r="R53" s="8"/>
      <c r="S53" s="8" t="n">
        <v>423531</v>
      </c>
      <c r="T53" s="8" t="n">
        <f aca="false">IF(J53="regional",IF(R53&gt;0,R53*0.2975,S53*0.3484),S53*0.1939)</f>
        <v>82122.6609</v>
      </c>
      <c r="U53" s="8" t="n">
        <v>320402</v>
      </c>
      <c r="V53" s="8" t="n">
        <f aca="false">S53-U53</f>
        <v>103129</v>
      </c>
      <c r="W53" s="8" t="n">
        <v>1487</v>
      </c>
      <c r="X53" s="60" t="n">
        <f aca="false">Y53+Z53</f>
        <v>607454.6609</v>
      </c>
      <c r="Y53" s="8" t="n">
        <f aca="false">IF(B53="y",T53,0)</f>
        <v>82122.6609</v>
      </c>
      <c r="Z53" s="8" t="n">
        <v>525332</v>
      </c>
      <c r="AA53" s="8" t="n">
        <f aca="false">AB53+AC53</f>
        <v>-101801</v>
      </c>
      <c r="AB53" s="8" t="n">
        <f aca="false">IF(B53="y",0,T53)</f>
        <v>0</v>
      </c>
      <c r="AC53" s="8" t="n">
        <f aca="false">S53-Z53</f>
        <v>-101801</v>
      </c>
      <c r="AD53" s="61" t="n">
        <f aca="false">IF(K53="y",Z53,0)</f>
        <v>0</v>
      </c>
      <c r="AE53" s="61" t="n">
        <f aca="false">IF($K53="",Z53,0)+IF($K53="n",Z53,0)</f>
        <v>525332</v>
      </c>
      <c r="AF53" s="62" t="n">
        <f aca="false">IF($K53="y",AC53,0)</f>
        <v>0</v>
      </c>
      <c r="AG53" s="62" t="n">
        <f aca="false">IF($K53="",AC53,0)+IF($K53="n",AC53,0)</f>
        <v>-101801</v>
      </c>
      <c r="AH53" s="8" t="n">
        <v>0</v>
      </c>
      <c r="AI53" s="8" t="n">
        <v>0</v>
      </c>
      <c r="AJ53" s="4"/>
      <c r="AK53" s="4"/>
      <c r="AL53" s="30"/>
      <c r="AM53" s="31"/>
    </row>
    <row r="54" customFormat="false" ht="12.75" hidden="false" customHeight="false" outlineLevel="0" collapsed="false">
      <c r="A54" s="2" t="s">
        <v>44</v>
      </c>
      <c r="B54" s="2" t="s">
        <v>44</v>
      </c>
      <c r="C54" s="2" t="n">
        <v>582</v>
      </c>
      <c r="D54" s="64" t="s">
        <v>188</v>
      </c>
      <c r="E54" s="4" t="s">
        <v>189</v>
      </c>
      <c r="F54" s="4" t="s">
        <v>190</v>
      </c>
      <c r="G54" s="4" t="s">
        <v>44</v>
      </c>
      <c r="H54" s="4" t="n">
        <v>1994</v>
      </c>
      <c r="I54" s="4"/>
      <c r="J54" s="4" t="s">
        <v>48</v>
      </c>
      <c r="K54" s="5" t="s">
        <v>44</v>
      </c>
      <c r="L54" s="58" t="s">
        <v>191</v>
      </c>
      <c r="M54" s="7" t="n">
        <v>110</v>
      </c>
      <c r="N54" s="59" t="n">
        <v>0.813</v>
      </c>
      <c r="O54" s="59" t="n">
        <v>0.906</v>
      </c>
      <c r="P54" s="59" t="n">
        <v>0.906</v>
      </c>
      <c r="Q54" s="59" t="n">
        <v>0.905</v>
      </c>
      <c r="R54" s="8" t="n">
        <v>1132740</v>
      </c>
      <c r="S54" s="8" t="n">
        <v>871468</v>
      </c>
      <c r="T54" s="8" t="n">
        <f aca="false">IF(J54="regional",IF(R54&gt;0,R54*0.2975,S54*0.3484),S54*0.1939)</f>
        <v>336990.15</v>
      </c>
      <c r="U54" s="8" t="n">
        <v>609669</v>
      </c>
      <c r="V54" s="8" t="n">
        <f aca="false">S54-U54</f>
        <v>261799</v>
      </c>
      <c r="W54" s="8" t="n">
        <v>3500</v>
      </c>
      <c r="X54" s="60" t="n">
        <f aca="false">Y54+Z54</f>
        <v>907427.15</v>
      </c>
      <c r="Y54" s="8" t="n">
        <f aca="false">IF(B54="y",T54,0)</f>
        <v>336990.15</v>
      </c>
      <c r="Z54" s="8" t="n">
        <v>570437</v>
      </c>
      <c r="AA54" s="8" t="n">
        <f aca="false">AB54+AC54</f>
        <v>301031</v>
      </c>
      <c r="AB54" s="8" t="n">
        <f aca="false">IF(B54="y",0,T54)</f>
        <v>0</v>
      </c>
      <c r="AC54" s="8" t="n">
        <f aca="false">S54-Z54</f>
        <v>301031</v>
      </c>
      <c r="AD54" s="61" t="n">
        <f aca="false">IF(K54="y",Z54,0)</f>
        <v>570437</v>
      </c>
      <c r="AE54" s="61" t="n">
        <f aca="false">IF($K54="",Z54,0)+IF($K54="n",Z54,0)</f>
        <v>0</v>
      </c>
      <c r="AF54" s="62" t="n">
        <f aca="false">IF($K54="y",AC54,0)</f>
        <v>301031</v>
      </c>
      <c r="AG54" s="62" t="n">
        <f aca="false">IF($K54="",AC54,0)+IF($K54="n",AC54,0)</f>
        <v>0</v>
      </c>
      <c r="AH54" s="8" t="n">
        <v>435000</v>
      </c>
      <c r="AI54" s="8" t="n">
        <v>367000</v>
      </c>
      <c r="AJ54" s="64"/>
      <c r="AK54" s="64"/>
      <c r="AL54" s="30"/>
      <c r="AM54" s="31"/>
    </row>
    <row r="55" customFormat="false" ht="12.75" hidden="false" customHeight="false" outlineLevel="0" collapsed="false">
      <c r="A55" s="2" t="s">
        <v>44</v>
      </c>
      <c r="B55" s="2"/>
      <c r="C55" s="2" t="n">
        <v>584</v>
      </c>
      <c r="D55" s="4" t="s">
        <v>192</v>
      </c>
      <c r="E55" s="4" t="s">
        <v>193</v>
      </c>
      <c r="F55" s="4" t="s">
        <v>47</v>
      </c>
      <c r="G55" s="4" t="s">
        <v>49</v>
      </c>
      <c r="H55" s="4" t="n">
        <v>1989</v>
      </c>
      <c r="I55" s="4"/>
      <c r="J55" s="4" t="s">
        <v>62</v>
      </c>
      <c r="K55" s="5"/>
      <c r="L55" s="58" t="s">
        <v>98</v>
      </c>
      <c r="M55" s="7" t="n">
        <v>15</v>
      </c>
      <c r="N55" s="59" t="n">
        <v>0.594</v>
      </c>
      <c r="O55" s="59" t="n">
        <v>0.576</v>
      </c>
      <c r="P55" s="59" t="n">
        <v>0.501</v>
      </c>
      <c r="Q55" s="59" t="n">
        <v>0.62</v>
      </c>
      <c r="R55" s="8"/>
      <c r="S55" s="8" t="n">
        <v>273557</v>
      </c>
      <c r="T55" s="8" t="n">
        <f aca="false">IF(J55="regional",IF(R55&gt;0,R55*0.2975,S55*0.3484),S55*0.1939)</f>
        <v>53042.7023</v>
      </c>
      <c r="U55" s="8" t="n">
        <v>229188</v>
      </c>
      <c r="V55" s="8" t="n">
        <f aca="false">S55-U55</f>
        <v>44369</v>
      </c>
      <c r="W55" s="8" t="n">
        <v>1400</v>
      </c>
      <c r="X55" s="60" t="n">
        <f aca="false">Y55+Z55</f>
        <v>0</v>
      </c>
      <c r="Y55" s="8" t="n">
        <f aca="false">IF(B55="y",T55,0)</f>
        <v>0</v>
      </c>
      <c r="Z55" s="8"/>
      <c r="AA55" s="8" t="n">
        <f aca="false">AB55+AC55</f>
        <v>326599.7023</v>
      </c>
      <c r="AB55" s="8" t="n">
        <f aca="false">IF(B55="y",0,T55)</f>
        <v>53042.7023</v>
      </c>
      <c r="AC55" s="8" t="n">
        <f aca="false">S55-Z55</f>
        <v>273557</v>
      </c>
      <c r="AD55" s="61" t="n">
        <f aca="false">IF(K55="y",Z55,0)</f>
        <v>0</v>
      </c>
      <c r="AE55" s="61" t="n">
        <f aca="false">IF($K55="",Z55,0)+IF($K55="n",Z55,0)</f>
        <v>0</v>
      </c>
      <c r="AF55" s="62" t="n">
        <f aca="false">IF($K55="y",AC55,0)</f>
        <v>0</v>
      </c>
      <c r="AG55" s="62" t="n">
        <f aca="false">IF($K55="",AC55,0)+IF($K55="n",AC55,0)</f>
        <v>273557</v>
      </c>
      <c r="AH55" s="8" t="n">
        <v>0</v>
      </c>
      <c r="AI55" s="8" t="n">
        <v>0</v>
      </c>
      <c r="AJ55" s="4"/>
      <c r="AK55" s="4"/>
      <c r="AL55" s="30"/>
      <c r="AM55" s="31"/>
    </row>
    <row r="56" customFormat="false" ht="12.75" hidden="false" customHeight="false" outlineLevel="0" collapsed="false">
      <c r="A56" s="2" t="s">
        <v>44</v>
      </c>
      <c r="B56" s="2" t="s">
        <v>44</v>
      </c>
      <c r="C56" s="2" t="n">
        <v>8287</v>
      </c>
      <c r="D56" s="64" t="s">
        <v>194</v>
      </c>
      <c r="E56" s="4" t="s">
        <v>195</v>
      </c>
      <c r="F56" s="4" t="s">
        <v>75</v>
      </c>
      <c r="G56" s="4" t="s">
        <v>44</v>
      </c>
      <c r="H56" s="4" t="n">
        <v>1990</v>
      </c>
      <c r="I56" s="4"/>
      <c r="J56" s="4" t="s">
        <v>48</v>
      </c>
      <c r="K56" s="5" t="s">
        <v>49</v>
      </c>
      <c r="L56" s="58" t="s">
        <v>196</v>
      </c>
      <c r="M56" s="7" t="n">
        <v>66</v>
      </c>
      <c r="N56" s="59" t="n">
        <v>0.778</v>
      </c>
      <c r="O56" s="59" t="n">
        <v>0.771</v>
      </c>
      <c r="P56" s="59" t="n">
        <v>0.71</v>
      </c>
      <c r="Q56" s="59" t="n">
        <v>0.745</v>
      </c>
      <c r="R56" s="8" t="n">
        <v>537158</v>
      </c>
      <c r="S56" s="8" t="n">
        <v>425233</v>
      </c>
      <c r="T56" s="8" t="n">
        <f aca="false">IF(J56="regional",IF(R56&gt;0,R56*0.2975,S56*0.3484),S56*0.1939)</f>
        <v>159804.505</v>
      </c>
      <c r="U56" s="8" t="n">
        <v>302495</v>
      </c>
      <c r="V56" s="8" t="n">
        <f aca="false">S56-U56</f>
        <v>122738</v>
      </c>
      <c r="W56" s="8" t="n">
        <v>2275</v>
      </c>
      <c r="X56" s="60" t="n">
        <f aca="false">Y56+Z56</f>
        <v>332562.505</v>
      </c>
      <c r="Y56" s="8" t="n">
        <f aca="false">IF(B56="y",T56,0)</f>
        <v>159804.505</v>
      </c>
      <c r="Z56" s="8" t="n">
        <v>172758</v>
      </c>
      <c r="AA56" s="8" t="n">
        <f aca="false">AB56+AC56</f>
        <v>252475</v>
      </c>
      <c r="AB56" s="8" t="n">
        <f aca="false">IF(B56="y",0,T56)</f>
        <v>0</v>
      </c>
      <c r="AC56" s="8" t="n">
        <f aca="false">S56-Z56</f>
        <v>252475</v>
      </c>
      <c r="AD56" s="61" t="n">
        <f aca="false">IF(K56="y",Z56,0)</f>
        <v>0</v>
      </c>
      <c r="AE56" s="61" t="n">
        <f aca="false">IF($K56="",Z56,0)+IF($K56="n",Z56,0)</f>
        <v>172758</v>
      </c>
      <c r="AF56" s="62" t="n">
        <f aca="false">IF($K56="y",AC56,0)</f>
        <v>0</v>
      </c>
      <c r="AG56" s="62" t="n">
        <f aca="false">IF($K56="",AC56,0)+IF($K56="n",AC56,0)</f>
        <v>252475</v>
      </c>
      <c r="AH56" s="8" t="n">
        <v>0</v>
      </c>
      <c r="AI56" s="8" t="n">
        <v>0</v>
      </c>
      <c r="AJ56" s="1" t="s">
        <v>51</v>
      </c>
      <c r="AK56" s="63" t="n">
        <v>360105</v>
      </c>
      <c r="AL56" s="30"/>
      <c r="AM56" s="31"/>
    </row>
    <row r="57" customFormat="false" ht="12.75" hidden="false" customHeight="false" outlineLevel="0" collapsed="false">
      <c r="A57" s="2" t="s">
        <v>44</v>
      </c>
      <c r="B57" s="2"/>
      <c r="C57" s="2" t="n">
        <v>735</v>
      </c>
      <c r="D57" s="4" t="s">
        <v>197</v>
      </c>
      <c r="E57" s="4" t="s">
        <v>198</v>
      </c>
      <c r="F57" s="4" t="s">
        <v>75</v>
      </c>
      <c r="G57" s="4" t="s">
        <v>49</v>
      </c>
      <c r="H57" s="4" t="n">
        <v>1997</v>
      </c>
      <c r="I57" s="4"/>
      <c r="J57" s="4" t="s">
        <v>48</v>
      </c>
      <c r="K57" s="5" t="s">
        <v>49</v>
      </c>
      <c r="L57" s="58" t="s">
        <v>105</v>
      </c>
      <c r="M57" s="7"/>
      <c r="N57" s="59" t="n">
        <v>0.914</v>
      </c>
      <c r="O57" s="59" t="n">
        <v>0.924</v>
      </c>
      <c r="P57" s="59" t="n">
        <v>0.899</v>
      </c>
      <c r="Q57" s="59" t="n">
        <v>0.91</v>
      </c>
      <c r="R57" s="8" t="n">
        <v>1461040</v>
      </c>
      <c r="S57" s="8" t="n">
        <v>1395577</v>
      </c>
      <c r="T57" s="8" t="n">
        <f aca="false">IF(J57="regional",IF(R57&gt;0,R57*0.2975,S57*0.3484),S57*0.1939)</f>
        <v>434659.4</v>
      </c>
      <c r="U57" s="8" t="n">
        <v>1062072</v>
      </c>
      <c r="V57" s="8" t="n">
        <f aca="false">S57-U57</f>
        <v>333505</v>
      </c>
      <c r="W57" s="8" t="n">
        <v>7800</v>
      </c>
      <c r="X57" s="60" t="n">
        <f aca="false">Y57+Z57</f>
        <v>0</v>
      </c>
      <c r="Y57" s="8" t="n">
        <f aca="false">IF(B57="y",T57,0)</f>
        <v>0</v>
      </c>
      <c r="Z57" s="8"/>
      <c r="AA57" s="8" t="n">
        <f aca="false">AB57+AC57</f>
        <v>1830236.4</v>
      </c>
      <c r="AB57" s="8" t="n">
        <f aca="false">IF(B57="y",0,T57)</f>
        <v>434659.4</v>
      </c>
      <c r="AC57" s="8" t="n">
        <f aca="false">S57-Z57</f>
        <v>1395577</v>
      </c>
      <c r="AD57" s="61" t="n">
        <f aca="false">IF(K57="y",Z57,0)</f>
        <v>0</v>
      </c>
      <c r="AE57" s="61" t="n">
        <f aca="false">IF($K57="",Z57,0)+IF($K57="n",Z57,0)</f>
        <v>0</v>
      </c>
      <c r="AF57" s="62" t="n">
        <f aca="false">IF($K57="y",AC57,0)</f>
        <v>0</v>
      </c>
      <c r="AG57" s="62" t="n">
        <f aca="false">IF($K57="",AC57,0)+IF($K57="n",AC57,0)</f>
        <v>1395577</v>
      </c>
      <c r="AH57" s="8" t="n">
        <v>0</v>
      </c>
      <c r="AI57" s="8" t="n">
        <v>0</v>
      </c>
      <c r="AJ57" s="1" t="s">
        <v>51</v>
      </c>
      <c r="AK57" s="63" t="n">
        <v>867200</v>
      </c>
      <c r="AL57" s="30"/>
      <c r="AM57" s="31"/>
    </row>
    <row r="58" customFormat="false" ht="12.75" hidden="false" customHeight="false" outlineLevel="0" collapsed="false">
      <c r="A58" s="2" t="s">
        <v>44</v>
      </c>
      <c r="B58" s="2"/>
      <c r="C58" s="2" t="n">
        <v>8158</v>
      </c>
      <c r="D58" s="4" t="s">
        <v>199</v>
      </c>
      <c r="E58" s="4" t="s">
        <v>200</v>
      </c>
      <c r="F58" s="4" t="s">
        <v>75</v>
      </c>
      <c r="G58" s="4" t="s">
        <v>44</v>
      </c>
      <c r="H58" s="4" t="n">
        <v>1973</v>
      </c>
      <c r="I58" s="4"/>
      <c r="J58" s="4" t="s">
        <v>48</v>
      </c>
      <c r="K58" s="5" t="s">
        <v>49</v>
      </c>
      <c r="L58" s="58" t="s">
        <v>105</v>
      </c>
      <c r="M58" s="7" t="n">
        <v>105</v>
      </c>
      <c r="N58" s="59" t="n">
        <v>0.826</v>
      </c>
      <c r="O58" s="59" t="n">
        <v>0.845</v>
      </c>
      <c r="P58" s="59" t="n">
        <v>0.856</v>
      </c>
      <c r="Q58" s="59" t="n">
        <v>0.822</v>
      </c>
      <c r="R58" s="8" t="n">
        <v>711794</v>
      </c>
      <c r="S58" s="8" t="n">
        <v>668428</v>
      </c>
      <c r="T58" s="8" t="n">
        <f aca="false">IF(J58="regional",IF(R58&gt;0,R58*0.2975,S58*0.3484),S58*0.1939)</f>
        <v>211758.715</v>
      </c>
      <c r="U58" s="8" t="n">
        <v>435467</v>
      </c>
      <c r="V58" s="8" t="n">
        <f aca="false">S58-U58</f>
        <v>232961</v>
      </c>
      <c r="W58" s="8" t="n">
        <v>3850</v>
      </c>
      <c r="X58" s="60" t="n">
        <f aca="false">Y58+Z58</f>
        <v>0</v>
      </c>
      <c r="Y58" s="8" t="n">
        <f aca="false">IF(B58="y",T58,0)</f>
        <v>0</v>
      </c>
      <c r="Z58" s="8"/>
      <c r="AA58" s="8" t="n">
        <f aca="false">AB58+AC58</f>
        <v>880186.715</v>
      </c>
      <c r="AB58" s="8" t="n">
        <f aca="false">IF(B58="y",0,T58)</f>
        <v>211758.715</v>
      </c>
      <c r="AC58" s="8" t="n">
        <f aca="false">S58-Z58</f>
        <v>668428</v>
      </c>
      <c r="AD58" s="61" t="n">
        <f aca="false">IF(K58="y",Z58,0)</f>
        <v>0</v>
      </c>
      <c r="AE58" s="61" t="n">
        <f aca="false">IF($K58="",Z58,0)+IF($K58="n",Z58,0)</f>
        <v>0</v>
      </c>
      <c r="AF58" s="62" t="n">
        <f aca="false">IF($K58="y",AC58,0)</f>
        <v>0</v>
      </c>
      <c r="AG58" s="62" t="n">
        <f aca="false">IF($K58="",AC58,0)+IF($K58="n",AC58,0)</f>
        <v>668428</v>
      </c>
      <c r="AH58" s="8" t="n">
        <v>0</v>
      </c>
      <c r="AI58" s="8" t="n">
        <v>0</v>
      </c>
      <c r="AJ58" s="1" t="s">
        <v>51</v>
      </c>
      <c r="AK58" s="63" t="n">
        <v>521508</v>
      </c>
      <c r="AL58" s="30"/>
      <c r="AM58" s="31"/>
    </row>
    <row r="59" customFormat="false" ht="12.75" hidden="false" customHeight="false" outlineLevel="0" collapsed="false">
      <c r="A59" s="2" t="s">
        <v>44</v>
      </c>
      <c r="B59" s="2"/>
      <c r="C59" s="2" t="n">
        <v>8185</v>
      </c>
      <c r="D59" s="4" t="s">
        <v>201</v>
      </c>
      <c r="E59" s="4" t="s">
        <v>202</v>
      </c>
      <c r="F59" s="4" t="s">
        <v>151</v>
      </c>
      <c r="G59" s="4" t="s">
        <v>44</v>
      </c>
      <c r="H59" s="4" t="n">
        <v>1971</v>
      </c>
      <c r="I59" s="4"/>
      <c r="J59" s="4" t="s">
        <v>48</v>
      </c>
      <c r="K59" s="5" t="s">
        <v>49</v>
      </c>
      <c r="L59" s="58" t="s">
        <v>203</v>
      </c>
      <c r="M59" s="7" t="n">
        <v>114</v>
      </c>
      <c r="N59" s="59" t="n">
        <v>0.659</v>
      </c>
      <c r="O59" s="59" t="n">
        <v>0.654</v>
      </c>
      <c r="P59" s="59" t="n">
        <v>0.86</v>
      </c>
      <c r="Q59" s="59" t="n">
        <v>0.838</v>
      </c>
      <c r="R59" s="8" t="n">
        <v>1106360</v>
      </c>
      <c r="S59" s="8" t="n">
        <v>1004883</v>
      </c>
      <c r="T59" s="8" t="n">
        <f aca="false">IF(J59="regional",IF(R59&gt;0,R59*0.2975,S59*0.3484),S59*0.1939)</f>
        <v>329142.1</v>
      </c>
      <c r="U59" s="8" t="n">
        <v>715584</v>
      </c>
      <c r="V59" s="8" t="n">
        <f aca="false">S59-U59</f>
        <v>289299</v>
      </c>
      <c r="W59" s="8" t="n">
        <v>5946</v>
      </c>
      <c r="X59" s="60" t="n">
        <f aca="false">Y59+Z59</f>
        <v>0</v>
      </c>
      <c r="Y59" s="8" t="n">
        <f aca="false">IF(B59="y",T59,0)</f>
        <v>0</v>
      </c>
      <c r="Z59" s="8"/>
      <c r="AA59" s="8" t="n">
        <f aca="false">AB59+AC59</f>
        <v>1334025.1</v>
      </c>
      <c r="AB59" s="8" t="n">
        <f aca="false">IF(B59="y",0,T59)</f>
        <v>329142.1</v>
      </c>
      <c r="AC59" s="8" t="n">
        <f aca="false">S59-Z59</f>
        <v>1004883</v>
      </c>
      <c r="AD59" s="61" t="n">
        <f aca="false">IF(K59="y",Z59,0)</f>
        <v>0</v>
      </c>
      <c r="AE59" s="61" t="n">
        <f aca="false">IF($K59="",Z59,0)+IF($K59="n",Z59,0)</f>
        <v>0</v>
      </c>
      <c r="AF59" s="62" t="n">
        <f aca="false">IF($K59="y",AC59,0)</f>
        <v>0</v>
      </c>
      <c r="AG59" s="62" t="n">
        <f aca="false">IF($K59="",AC59,0)+IF($K59="n",AC59,0)</f>
        <v>1004883</v>
      </c>
      <c r="AH59" s="8" t="n">
        <v>0</v>
      </c>
      <c r="AI59" s="8" t="n">
        <v>0</v>
      </c>
      <c r="AJ59" s="4"/>
      <c r="AK59" s="4"/>
      <c r="AL59" s="30"/>
      <c r="AM59" s="31"/>
    </row>
    <row r="60" customFormat="false" ht="12.75" hidden="false" customHeight="false" outlineLevel="0" collapsed="false">
      <c r="A60" s="2" t="s">
        <v>44</v>
      </c>
      <c r="B60" s="2" t="s">
        <v>44</v>
      </c>
      <c r="C60" s="2" t="n">
        <v>914</v>
      </c>
      <c r="D60" s="64" t="s">
        <v>204</v>
      </c>
      <c r="E60" s="4" t="s">
        <v>113</v>
      </c>
      <c r="F60" s="4" t="s">
        <v>114</v>
      </c>
      <c r="G60" s="4" t="s">
        <v>44</v>
      </c>
      <c r="H60" s="4" t="n">
        <v>1981</v>
      </c>
      <c r="I60" s="4"/>
      <c r="J60" s="4" t="s">
        <v>48</v>
      </c>
      <c r="K60" s="5" t="s">
        <v>49</v>
      </c>
      <c r="L60" s="58" t="s">
        <v>205</v>
      </c>
      <c r="M60" s="7" t="n">
        <v>63</v>
      </c>
      <c r="N60" s="59" t="n">
        <v>0.74</v>
      </c>
      <c r="O60" s="59" t="n">
        <v>0.743</v>
      </c>
      <c r="P60" s="59" t="n">
        <v>0.783</v>
      </c>
      <c r="Q60" s="59" t="n">
        <v>0.835</v>
      </c>
      <c r="R60" s="8"/>
      <c r="S60" s="8" t="n">
        <v>452535</v>
      </c>
      <c r="T60" s="8" t="n">
        <f aca="false">IF(J60="regional",IF(R60&gt;0,R60*0.2975,S60*0.3484),S60*0.1939)</f>
        <v>157663.194</v>
      </c>
      <c r="U60" s="8" t="n">
        <v>242442</v>
      </c>
      <c r="V60" s="8" t="n">
        <f aca="false">S60-U60</f>
        <v>210093</v>
      </c>
      <c r="W60" s="8" t="n">
        <v>2500</v>
      </c>
      <c r="X60" s="60" t="n">
        <f aca="false">Y60+Z60</f>
        <v>569360.194</v>
      </c>
      <c r="Y60" s="8" t="n">
        <f aca="false">IF(B60="y",T60,0)</f>
        <v>157663.194</v>
      </c>
      <c r="Z60" s="8" t="n">
        <v>411697</v>
      </c>
      <c r="AA60" s="8" t="n">
        <f aca="false">AB60+AC60</f>
        <v>40838</v>
      </c>
      <c r="AB60" s="8" t="n">
        <f aca="false">IF(B60="y",0,T60)</f>
        <v>0</v>
      </c>
      <c r="AC60" s="8" t="n">
        <f aca="false">S60-Z60</f>
        <v>40838</v>
      </c>
      <c r="AD60" s="61" t="n">
        <f aca="false">IF(K60="y",Z60,0)</f>
        <v>0</v>
      </c>
      <c r="AE60" s="61" t="n">
        <f aca="false">IF($K60="",Z60,0)+IF($K60="n",Z60,0)</f>
        <v>411697</v>
      </c>
      <c r="AF60" s="62" t="n">
        <f aca="false">IF($K60="y",AC60,0)</f>
        <v>0</v>
      </c>
      <c r="AG60" s="62" t="n">
        <f aca="false">IF($K60="",AC60,0)+IF($K60="n",AC60,0)</f>
        <v>40838</v>
      </c>
      <c r="AH60" s="8" t="n">
        <v>0</v>
      </c>
      <c r="AI60" s="8" t="n">
        <v>0</v>
      </c>
      <c r="AJ60" s="64"/>
      <c r="AK60" s="64"/>
      <c r="AL60" s="30"/>
      <c r="AM60" s="31"/>
    </row>
    <row r="61" customFormat="false" ht="12.75" hidden="false" customHeight="false" outlineLevel="0" collapsed="false">
      <c r="A61" s="2"/>
      <c r="B61" s="2" t="s">
        <v>44</v>
      </c>
      <c r="C61" s="2" t="n">
        <v>3937</v>
      </c>
      <c r="D61" s="64" t="s">
        <v>206</v>
      </c>
      <c r="E61" s="4" t="s">
        <v>207</v>
      </c>
      <c r="F61" s="4" t="s">
        <v>208</v>
      </c>
      <c r="G61" s="4" t="s">
        <v>44</v>
      </c>
      <c r="H61" s="4" t="n">
        <v>1986</v>
      </c>
      <c r="I61" s="4"/>
      <c r="J61" s="4" t="s">
        <v>48</v>
      </c>
      <c r="K61" s="5" t="s">
        <v>44</v>
      </c>
      <c r="L61" s="58" t="s">
        <v>209</v>
      </c>
      <c r="M61" s="7" t="n">
        <v>106</v>
      </c>
      <c r="N61" s="59" t="n">
        <v>0.731</v>
      </c>
      <c r="O61" s="59" t="n">
        <v>0.748</v>
      </c>
      <c r="P61" s="59" t="n">
        <v>0.733</v>
      </c>
      <c r="Q61" s="59" t="n">
        <v>0.849</v>
      </c>
      <c r="R61" s="8" t="n">
        <v>929007</v>
      </c>
      <c r="S61" s="8" t="n">
        <v>694282</v>
      </c>
      <c r="T61" s="8" t="n">
        <f aca="false">IF(J61="regional",IF(R61&gt;0,R61*0.2975,S61*0.3484),S61*0.1939)</f>
        <v>276379.5825</v>
      </c>
      <c r="U61" s="8" t="n">
        <v>452877</v>
      </c>
      <c r="V61" s="8" t="n">
        <f aca="false">S61-U61</f>
        <v>241405</v>
      </c>
      <c r="W61" s="8" t="n">
        <v>5000</v>
      </c>
      <c r="X61" s="60" t="n">
        <f aca="false">Y61+Z61</f>
        <v>765288.5825</v>
      </c>
      <c r="Y61" s="8" t="n">
        <f aca="false">IF(B61="y",T61,0)</f>
        <v>276379.5825</v>
      </c>
      <c r="Z61" s="8" t="n">
        <v>488909</v>
      </c>
      <c r="AA61" s="8" t="n">
        <f aca="false">AB61+AC61</f>
        <v>205373</v>
      </c>
      <c r="AB61" s="8" t="n">
        <f aca="false">IF(B61="y",0,T61)</f>
        <v>0</v>
      </c>
      <c r="AC61" s="8" t="n">
        <f aca="false">S61-Z61</f>
        <v>205373</v>
      </c>
      <c r="AD61" s="61" t="n">
        <f aca="false">IF(K61="y",Z61,0)</f>
        <v>488909</v>
      </c>
      <c r="AE61" s="61" t="n">
        <f aca="false">IF($K61="",Z61,0)+IF($K61="n",Z61,0)</f>
        <v>0</v>
      </c>
      <c r="AF61" s="62" t="n">
        <f aca="false">IF($K61="y",AC61,0)</f>
        <v>205373</v>
      </c>
      <c r="AG61" s="62" t="n">
        <f aca="false">IF($K61="",AC61,0)+IF($K61="n",AC61,0)</f>
        <v>0</v>
      </c>
      <c r="AH61" s="8" t="n">
        <v>193000</v>
      </c>
      <c r="AI61" s="8" t="n">
        <v>181000</v>
      </c>
      <c r="AJ61" s="1" t="s">
        <v>51</v>
      </c>
      <c r="AK61" s="63" t="n">
        <v>94779.94</v>
      </c>
      <c r="AL61" s="30"/>
      <c r="AM61" s="31"/>
    </row>
    <row r="62" customFormat="false" ht="12.75" hidden="false" customHeight="false" outlineLevel="0" collapsed="false">
      <c r="A62" s="2" t="s">
        <v>44</v>
      </c>
      <c r="B62" s="2"/>
      <c r="C62" s="2" t="n">
        <v>4773</v>
      </c>
      <c r="D62" s="4" t="s">
        <v>210</v>
      </c>
      <c r="E62" s="4" t="s">
        <v>211</v>
      </c>
      <c r="F62" s="4" t="s">
        <v>114</v>
      </c>
      <c r="G62" s="4" t="s">
        <v>49</v>
      </c>
      <c r="H62" s="4" t="n">
        <v>1978</v>
      </c>
      <c r="I62" s="4" t="n">
        <v>1997</v>
      </c>
      <c r="J62" s="4" t="s">
        <v>48</v>
      </c>
      <c r="K62" s="5" t="s">
        <v>44</v>
      </c>
      <c r="L62" s="6" t="s">
        <v>212</v>
      </c>
      <c r="M62" s="7" t="n">
        <v>125</v>
      </c>
      <c r="N62" s="59" t="n">
        <v>0.881</v>
      </c>
      <c r="O62" s="59" t="n">
        <v>0.891</v>
      </c>
      <c r="P62" s="59" t="n">
        <v>0.925</v>
      </c>
      <c r="Q62" s="59" t="n">
        <v>0.952</v>
      </c>
      <c r="R62" s="8" t="n">
        <v>1011912</v>
      </c>
      <c r="S62" s="8" t="n">
        <v>971638</v>
      </c>
      <c r="T62" s="8" t="n">
        <f aca="false">IF(J62="regional",IF(R62&gt;0,R62*0.2975,S62*0.3484),S62*0.1939)</f>
        <v>301043.82</v>
      </c>
      <c r="U62" s="8" t="n">
        <v>541264</v>
      </c>
      <c r="V62" s="8" t="n">
        <f aca="false">S62-U62</f>
        <v>430374</v>
      </c>
      <c r="W62" s="8" t="n">
        <v>5075</v>
      </c>
      <c r="X62" s="60" t="n">
        <f aca="false">Y62+Z62</f>
        <v>0</v>
      </c>
      <c r="Y62" s="8" t="n">
        <f aca="false">IF(B62="y",T62,0)</f>
        <v>0</v>
      </c>
      <c r="Z62" s="9"/>
      <c r="AA62" s="8" t="n">
        <f aca="false">AB62+AC62</f>
        <v>1272681.82</v>
      </c>
      <c r="AB62" s="8" t="n">
        <f aca="false">IF(B62="y",0,T62)</f>
        <v>301043.82</v>
      </c>
      <c r="AC62" s="8" t="n">
        <f aca="false">S62-Z62</f>
        <v>971638</v>
      </c>
      <c r="AD62" s="61" t="n">
        <f aca="false">IF(K62="y",Z62,0)</f>
        <v>0</v>
      </c>
      <c r="AE62" s="61" t="n">
        <f aca="false">IF($K62="",Z62,0)+IF($K62="n",Z62,0)</f>
        <v>0</v>
      </c>
      <c r="AF62" s="62" t="n">
        <f aca="false">IF($K62="y",AC62,0)</f>
        <v>971638</v>
      </c>
      <c r="AG62" s="62" t="n">
        <f aca="false">IF($K62="",AC62,0)+IF($K62="n",AC62,0)</f>
        <v>0</v>
      </c>
      <c r="AH62" s="8" t="n">
        <v>634000</v>
      </c>
      <c r="AI62" s="8" t="n">
        <v>453000</v>
      </c>
      <c r="AJ62" s="4"/>
      <c r="AK62" s="4"/>
      <c r="AL62" s="9"/>
      <c r="AM62" s="9"/>
    </row>
    <row r="63" customFormat="false" ht="12.75" hidden="false" customHeight="false" outlineLevel="0" collapsed="false">
      <c r="A63" s="2" t="s">
        <v>44</v>
      </c>
      <c r="B63" s="2"/>
      <c r="C63" s="2" t="n">
        <v>918</v>
      </c>
      <c r="D63" s="4" t="s">
        <v>213</v>
      </c>
      <c r="E63" s="4" t="s">
        <v>207</v>
      </c>
      <c r="F63" s="4" t="s">
        <v>208</v>
      </c>
      <c r="G63" s="4" t="s">
        <v>44</v>
      </c>
      <c r="H63" s="4" t="n">
        <v>1986</v>
      </c>
      <c r="I63" s="4"/>
      <c r="J63" s="4" t="s">
        <v>62</v>
      </c>
      <c r="K63" s="5"/>
      <c r="L63" s="58" t="s">
        <v>214</v>
      </c>
      <c r="M63" s="7" t="n">
        <v>8</v>
      </c>
      <c r="N63" s="59" t="n">
        <v>0.935</v>
      </c>
      <c r="O63" s="59" t="n">
        <v>0.935</v>
      </c>
      <c r="P63" s="59" t="n">
        <v>0.935</v>
      </c>
      <c r="Q63" s="59" t="n">
        <v>0.856</v>
      </c>
      <c r="R63" s="8"/>
      <c r="S63" s="8" t="n">
        <v>190261</v>
      </c>
      <c r="T63" s="8" t="n">
        <f aca="false">IF(J63="regional",IF(R63&gt;0,R63*0.2975,S63*0.3484),S63*0.1939)</f>
        <v>36891.6079</v>
      </c>
      <c r="U63" s="8" t="n">
        <v>152451</v>
      </c>
      <c r="V63" s="8" t="n">
        <f aca="false">S63-U63</f>
        <v>37810</v>
      </c>
      <c r="W63" s="8" t="n">
        <v>950</v>
      </c>
      <c r="X63" s="60" t="n">
        <f aca="false">Y63+Z63</f>
        <v>0</v>
      </c>
      <c r="Y63" s="8" t="n">
        <f aca="false">IF(B63="y",T63,0)</f>
        <v>0</v>
      </c>
      <c r="Z63" s="8"/>
      <c r="AA63" s="8" t="n">
        <f aca="false">AB63+AC63</f>
        <v>227152.6079</v>
      </c>
      <c r="AB63" s="8" t="n">
        <f aca="false">IF(B63="y",0,T63)</f>
        <v>36891.6079</v>
      </c>
      <c r="AC63" s="8" t="n">
        <f aca="false">S63-Z63</f>
        <v>190261</v>
      </c>
      <c r="AD63" s="61" t="n">
        <f aca="false">IF(K63="y",Z63,0)</f>
        <v>0</v>
      </c>
      <c r="AE63" s="61" t="n">
        <f aca="false">IF($K63="",Z63,0)+IF($K63="n",Z63,0)</f>
        <v>0</v>
      </c>
      <c r="AF63" s="62" t="n">
        <f aca="false">IF($K63="y",AC63,0)</f>
        <v>0</v>
      </c>
      <c r="AG63" s="62" t="n">
        <f aca="false">IF($K63="",AC63,0)+IF($K63="n",AC63,0)</f>
        <v>190261</v>
      </c>
      <c r="AH63" s="8" t="n">
        <v>0</v>
      </c>
      <c r="AI63" s="8" t="n">
        <v>0</v>
      </c>
      <c r="AJ63" s="4"/>
      <c r="AK63" s="4"/>
      <c r="AL63" s="57"/>
      <c r="AM63" s="69"/>
    </row>
    <row r="64" customFormat="false" ht="12.75" hidden="false" customHeight="false" outlineLevel="0" collapsed="false">
      <c r="A64" s="2" t="s">
        <v>44</v>
      </c>
      <c r="B64" s="2"/>
      <c r="C64" s="2" t="n">
        <v>4662</v>
      </c>
      <c r="D64" s="66" t="s">
        <v>215</v>
      </c>
      <c r="E64" s="4" t="s">
        <v>216</v>
      </c>
      <c r="F64" s="4" t="s">
        <v>75</v>
      </c>
      <c r="G64" s="4" t="s">
        <v>44</v>
      </c>
      <c r="H64" s="4" t="n">
        <v>1997</v>
      </c>
      <c r="I64" s="4"/>
      <c r="J64" s="4" t="s">
        <v>48</v>
      </c>
      <c r="K64" s="5" t="s">
        <v>49</v>
      </c>
      <c r="L64" s="58" t="s">
        <v>105</v>
      </c>
      <c r="M64" s="7" t="n">
        <v>134</v>
      </c>
      <c r="N64" s="59" t="n">
        <v>0.933</v>
      </c>
      <c r="O64" s="59" t="n">
        <v>0.933</v>
      </c>
      <c r="P64" s="59" t="n">
        <v>0.868</v>
      </c>
      <c r="Q64" s="59" t="n">
        <v>0.952</v>
      </c>
      <c r="R64" s="8" t="n">
        <v>1024679</v>
      </c>
      <c r="S64" s="8" t="n">
        <v>978480</v>
      </c>
      <c r="T64" s="8" t="n">
        <f aca="false">IF(J64="regional",IF(R64&gt;0,R64*0.2975,S64*0.3484),S64*0.1939)</f>
        <v>304842.0025</v>
      </c>
      <c r="U64" s="8" t="n">
        <v>685167</v>
      </c>
      <c r="V64" s="8" t="n">
        <f aca="false">S64-U64</f>
        <v>293313</v>
      </c>
      <c r="W64" s="8" t="n">
        <v>6030</v>
      </c>
      <c r="X64" s="60" t="n">
        <f aca="false">Y64+Z64</f>
        <v>0</v>
      </c>
      <c r="Y64" s="8" t="n">
        <f aca="false">IF(B64="y",T64,0)</f>
        <v>0</v>
      </c>
      <c r="Z64" s="8"/>
      <c r="AA64" s="8" t="n">
        <f aca="false">AB64+AC64</f>
        <v>1283322.0025</v>
      </c>
      <c r="AB64" s="8" t="n">
        <f aca="false">IF(B64="y",0,T64)</f>
        <v>304842.0025</v>
      </c>
      <c r="AC64" s="8" t="n">
        <f aca="false">S64-Z64</f>
        <v>978480</v>
      </c>
      <c r="AD64" s="61" t="n">
        <f aca="false">IF(K64="y",Z64,0)</f>
        <v>0</v>
      </c>
      <c r="AE64" s="61" t="n">
        <f aca="false">IF($K64="",Z64,0)+IF($K64="n",Z64,0)</f>
        <v>0</v>
      </c>
      <c r="AF64" s="62" t="n">
        <f aca="false">IF($K64="y",AC64,0)</f>
        <v>0</v>
      </c>
      <c r="AG64" s="62" t="n">
        <f aca="false">IF($K64="",AC64,0)+IF($K64="n",AC64,0)</f>
        <v>978480</v>
      </c>
      <c r="AH64" s="8" t="n">
        <v>0</v>
      </c>
      <c r="AI64" s="8" t="n">
        <v>0</v>
      </c>
      <c r="AJ64" s="1" t="s">
        <v>51</v>
      </c>
      <c r="AK64" s="63" t="n">
        <v>390279</v>
      </c>
      <c r="AL64" s="9"/>
      <c r="AM64" s="9"/>
    </row>
    <row r="65" customFormat="false" ht="12.75" hidden="false" customHeight="false" outlineLevel="0" collapsed="false">
      <c r="A65" s="2" t="s">
        <v>44</v>
      </c>
      <c r="B65" s="2"/>
      <c r="C65" s="2" t="n">
        <v>4781</v>
      </c>
      <c r="D65" s="68" t="s">
        <v>217</v>
      </c>
      <c r="E65" s="4"/>
      <c r="F65" s="4"/>
      <c r="G65" s="4" t="s">
        <v>49</v>
      </c>
      <c r="H65" s="4"/>
      <c r="I65" s="4"/>
      <c r="J65" s="4"/>
      <c r="K65" s="5"/>
      <c r="L65" s="58"/>
      <c r="M65" s="7"/>
      <c r="N65" s="59"/>
      <c r="O65" s="59"/>
      <c r="P65" s="59"/>
      <c r="Q65" s="59"/>
      <c r="R65" s="8"/>
      <c r="S65" s="8"/>
      <c r="T65" s="8"/>
      <c r="U65" s="8"/>
      <c r="V65" s="8"/>
      <c r="W65" s="8"/>
      <c r="X65" s="60"/>
      <c r="Y65" s="8"/>
      <c r="Z65" s="8"/>
      <c r="AA65" s="8"/>
      <c r="AB65" s="8"/>
      <c r="AC65" s="8"/>
      <c r="AD65" s="61"/>
      <c r="AE65" s="61"/>
      <c r="AF65" s="62"/>
      <c r="AG65" s="62"/>
      <c r="AH65" s="8" t="n">
        <v>598000</v>
      </c>
      <c r="AI65" s="8" t="n">
        <v>747000</v>
      </c>
      <c r="AK65" s="63"/>
      <c r="AL65" s="9"/>
      <c r="AM65" s="9"/>
    </row>
    <row r="66" customFormat="false" ht="12.75" hidden="false" customHeight="false" outlineLevel="0" collapsed="false">
      <c r="A66" s="2" t="s">
        <v>44</v>
      </c>
      <c r="B66" s="2"/>
      <c r="C66" s="2" t="n">
        <v>1101</v>
      </c>
      <c r="D66" s="4" t="s">
        <v>218</v>
      </c>
      <c r="E66" s="4" t="s">
        <v>219</v>
      </c>
      <c r="F66" s="4" t="s">
        <v>147</v>
      </c>
      <c r="G66" s="4" t="s">
        <v>49</v>
      </c>
      <c r="H66" s="4" t="n">
        <v>1992</v>
      </c>
      <c r="I66" s="4"/>
      <c r="J66" s="4" t="s">
        <v>62</v>
      </c>
      <c r="K66" s="5"/>
      <c r="L66" s="58" t="s">
        <v>148</v>
      </c>
      <c r="M66" s="7" t="n">
        <v>20</v>
      </c>
      <c r="N66" s="59" t="n">
        <v>0.955</v>
      </c>
      <c r="O66" s="59" t="n">
        <v>0.955</v>
      </c>
      <c r="P66" s="59" t="n">
        <v>0.941</v>
      </c>
      <c r="Q66" s="59" t="n">
        <v>0.924</v>
      </c>
      <c r="R66" s="8"/>
      <c r="S66" s="8" t="n">
        <v>239280</v>
      </c>
      <c r="T66" s="8" t="n">
        <f aca="false">IF(J66="regional",IF(R66&gt;0,R66*0.2975,S66*0.3484),S66*0.1939)</f>
        <v>46396.392</v>
      </c>
      <c r="U66" s="8" t="n">
        <v>178124</v>
      </c>
      <c r="V66" s="8" t="n">
        <f aca="false">S66-U66</f>
        <v>61156</v>
      </c>
      <c r="W66" s="8" t="n">
        <v>1210</v>
      </c>
      <c r="X66" s="60" t="n">
        <f aca="false">Y66+Z66</f>
        <v>0</v>
      </c>
      <c r="Y66" s="8" t="n">
        <f aca="false">IF(B66="y",T66,0)</f>
        <v>0</v>
      </c>
      <c r="Z66" s="8"/>
      <c r="AA66" s="8" t="n">
        <f aca="false">AB66+AC66</f>
        <v>285676.392</v>
      </c>
      <c r="AB66" s="8" t="n">
        <f aca="false">IF(B66="y",0,T66)</f>
        <v>46396.392</v>
      </c>
      <c r="AC66" s="8" t="n">
        <f aca="false">S66-Z66</f>
        <v>239280</v>
      </c>
      <c r="AD66" s="61" t="n">
        <f aca="false">IF(K66="y",Z66,0)</f>
        <v>0</v>
      </c>
      <c r="AE66" s="61" t="n">
        <f aca="false">IF($K66="",Z66,0)+IF($K66="n",Z66,0)</f>
        <v>0</v>
      </c>
      <c r="AF66" s="62" t="n">
        <f aca="false">IF($K66="y",AC66,0)</f>
        <v>0</v>
      </c>
      <c r="AG66" s="62" t="n">
        <f aca="false">IF($K66="",AC66,0)+IF($K66="n",AC66,0)</f>
        <v>239280</v>
      </c>
      <c r="AH66" s="8" t="n">
        <v>0</v>
      </c>
      <c r="AI66" s="8" t="n">
        <v>0</v>
      </c>
      <c r="AJ66" s="4"/>
      <c r="AK66" s="4"/>
      <c r="AL66" s="9"/>
      <c r="AM66" s="9"/>
    </row>
    <row r="67" customFormat="false" ht="12.75" hidden="false" customHeight="false" outlineLevel="0" collapsed="false">
      <c r="A67" s="2"/>
      <c r="B67" s="2"/>
      <c r="C67" s="2" t="n">
        <v>1137</v>
      </c>
      <c r="D67" s="4" t="s">
        <v>220</v>
      </c>
      <c r="E67" s="4"/>
      <c r="F67" s="4"/>
      <c r="G67" s="4" t="s">
        <v>49</v>
      </c>
      <c r="H67" s="4"/>
      <c r="I67" s="4"/>
      <c r="J67" s="4"/>
      <c r="K67" s="5"/>
      <c r="L67" s="58"/>
      <c r="M67" s="7"/>
      <c r="N67" s="59"/>
      <c r="O67" s="59"/>
      <c r="P67" s="59"/>
      <c r="Q67" s="59"/>
      <c r="R67" s="8"/>
      <c r="S67" s="8"/>
      <c r="T67" s="8"/>
      <c r="U67" s="8"/>
      <c r="V67" s="8"/>
      <c r="W67" s="8"/>
      <c r="X67" s="60"/>
      <c r="Y67" s="8"/>
      <c r="Z67" s="8"/>
      <c r="AA67" s="8"/>
      <c r="AB67" s="8"/>
      <c r="AC67" s="8"/>
      <c r="AD67" s="61"/>
      <c r="AE67" s="61"/>
      <c r="AF67" s="62"/>
      <c r="AG67" s="62"/>
      <c r="AH67" s="8"/>
      <c r="AI67" s="8"/>
      <c r="AJ67" s="4"/>
      <c r="AK67" s="4"/>
      <c r="AL67" s="9"/>
      <c r="AM67" s="9"/>
    </row>
    <row r="68" customFormat="false" ht="12.75" hidden="false" customHeight="false" outlineLevel="0" collapsed="false">
      <c r="A68" s="2" t="s">
        <v>44</v>
      </c>
      <c r="B68" s="2" t="s">
        <v>44</v>
      </c>
      <c r="C68" s="2" t="n">
        <v>1116</v>
      </c>
      <c r="D68" s="64" t="s">
        <v>221</v>
      </c>
      <c r="E68" s="4" t="s">
        <v>222</v>
      </c>
      <c r="F68" s="4" t="s">
        <v>147</v>
      </c>
      <c r="G68" s="4" t="s">
        <v>49</v>
      </c>
      <c r="H68" s="4" t="n">
        <v>1989</v>
      </c>
      <c r="I68" s="4"/>
      <c r="J68" s="4" t="s">
        <v>48</v>
      </c>
      <c r="K68" s="5" t="s">
        <v>44</v>
      </c>
      <c r="L68" s="58" t="s">
        <v>223</v>
      </c>
      <c r="M68" s="7" t="n">
        <v>162</v>
      </c>
      <c r="N68" s="59" t="n">
        <v>0.992</v>
      </c>
      <c r="O68" s="59" t="n">
        <v>0.996</v>
      </c>
      <c r="P68" s="59" t="n">
        <v>0.995</v>
      </c>
      <c r="Q68" s="59" t="n">
        <v>0.985</v>
      </c>
      <c r="R68" s="8" t="n">
        <v>1272159</v>
      </c>
      <c r="S68" s="8" t="n">
        <v>821397</v>
      </c>
      <c r="T68" s="8" t="n">
        <f aca="false">IF(J68="regional",IF(R68&gt;0,R68*0.2975,S68*0.3484),S68*0.1939)</f>
        <v>378467.3025</v>
      </c>
      <c r="U68" s="8" t="n">
        <v>472729</v>
      </c>
      <c r="V68" s="8" t="n">
        <f aca="false">S68-U68</f>
        <v>348668</v>
      </c>
      <c r="W68" s="8" t="n">
        <v>4110</v>
      </c>
      <c r="X68" s="60" t="n">
        <f aca="false">Y68+Z68</f>
        <v>1025689.3025</v>
      </c>
      <c r="Y68" s="8" t="n">
        <f aca="false">IF(B68="y",T68,0)</f>
        <v>378467.3025</v>
      </c>
      <c r="Z68" s="8" t="n">
        <v>647222</v>
      </c>
      <c r="AA68" s="8" t="n">
        <f aca="false">AB68+AC68</f>
        <v>174175</v>
      </c>
      <c r="AB68" s="8" t="n">
        <f aca="false">IF(B68="y",0,T68)</f>
        <v>0</v>
      </c>
      <c r="AC68" s="8" t="n">
        <f aca="false">S68-Z68</f>
        <v>174175</v>
      </c>
      <c r="AD68" s="61" t="n">
        <f aca="false">IF(K68="y",Z68,0)</f>
        <v>647222</v>
      </c>
      <c r="AE68" s="61" t="n">
        <f aca="false">IF($K68="",Z68,0)+IF($K68="n",Z68,0)</f>
        <v>0</v>
      </c>
      <c r="AF68" s="62" t="n">
        <f aca="false">IF($K68="y",AC68,0)</f>
        <v>174175</v>
      </c>
      <c r="AG68" s="62" t="n">
        <f aca="false">IF($K68="",AC68,0)+IF($K68="n",AC68,0)</f>
        <v>0</v>
      </c>
      <c r="AH68" s="8" t="n">
        <v>857000</v>
      </c>
      <c r="AI68" s="8" t="n">
        <v>518000</v>
      </c>
      <c r="AJ68" s="1" t="s">
        <v>51</v>
      </c>
      <c r="AK68" s="63" t="n">
        <v>1695745</v>
      </c>
      <c r="AL68" s="9"/>
      <c r="AM68" s="9"/>
    </row>
    <row r="69" customFormat="false" ht="12.75" hidden="false" customHeight="false" outlineLevel="0" collapsed="false">
      <c r="A69" s="2" t="s">
        <v>44</v>
      </c>
      <c r="B69" s="2" t="s">
        <v>44</v>
      </c>
      <c r="C69" s="2" t="n">
        <v>7323</v>
      </c>
      <c r="D69" s="67" t="s">
        <v>224</v>
      </c>
      <c r="E69" s="65" t="s">
        <v>225</v>
      </c>
      <c r="F69" s="4"/>
      <c r="G69" s="4" t="s">
        <v>49</v>
      </c>
      <c r="H69" s="4" t="n">
        <v>1988</v>
      </c>
      <c r="I69" s="4"/>
      <c r="J69" s="4" t="s">
        <v>48</v>
      </c>
      <c r="K69" s="5" t="s">
        <v>44</v>
      </c>
      <c r="L69" s="58" t="s">
        <v>187</v>
      </c>
      <c r="M69" s="7" t="n">
        <v>100</v>
      </c>
      <c r="N69" s="59" t="n">
        <v>0.573</v>
      </c>
      <c r="O69" s="59" t="n">
        <v>0.625</v>
      </c>
      <c r="P69" s="59" t="n">
        <v>0.613</v>
      </c>
      <c r="Q69" s="59" t="n">
        <v>0.619</v>
      </c>
      <c r="R69" s="8" t="n">
        <v>912697</v>
      </c>
      <c r="S69" s="8" t="n">
        <v>664208</v>
      </c>
      <c r="T69" s="8" t="n">
        <f aca="false">IF(J69="regional",IF(R69&gt;0,R69*0.2975,S69*0.3484),S69*0.1939)</f>
        <v>271527.3575</v>
      </c>
      <c r="U69" s="8" t="n">
        <v>349541</v>
      </c>
      <c r="V69" s="8" t="n">
        <f aca="false">S69-U69</f>
        <v>314667</v>
      </c>
      <c r="W69" s="8" t="n">
        <v>3414</v>
      </c>
      <c r="X69" s="60" t="n">
        <f aca="false">Y69+Z69</f>
        <v>867227.3575</v>
      </c>
      <c r="Y69" s="8" t="n">
        <f aca="false">IF(B69="y",T69,0)</f>
        <v>271527.3575</v>
      </c>
      <c r="Z69" s="8" t="n">
        <v>595700</v>
      </c>
      <c r="AA69" s="8" t="n">
        <f aca="false">AB69+AC69</f>
        <v>68508</v>
      </c>
      <c r="AB69" s="8" t="n">
        <f aca="false">IF(B69="y",0,T69)</f>
        <v>0</v>
      </c>
      <c r="AC69" s="8" t="n">
        <f aca="false">S69-Z69</f>
        <v>68508</v>
      </c>
      <c r="AD69" s="61" t="n">
        <f aca="false">IF(K69="y",Z69,0)</f>
        <v>595700</v>
      </c>
      <c r="AE69" s="61" t="n">
        <f aca="false">IF($K69="",Z69,0)+IF($K69="n",Z69,0)</f>
        <v>0</v>
      </c>
      <c r="AF69" s="62" t="n">
        <f aca="false">IF($K69="y",AC69,0)</f>
        <v>68508</v>
      </c>
      <c r="AG69" s="62" t="n">
        <f aca="false">IF($K69="",AC69,0)+IF($K69="n",AC69,0)</f>
        <v>0</v>
      </c>
      <c r="AH69" s="8" t="n">
        <v>409000</v>
      </c>
      <c r="AI69" s="8" t="n">
        <v>397000</v>
      </c>
      <c r="AJ69" s="1" t="s">
        <v>51</v>
      </c>
      <c r="AK69" s="63" t="n">
        <v>363650</v>
      </c>
      <c r="AL69" s="9"/>
      <c r="AM69" s="9"/>
    </row>
    <row r="70" customFormat="false" ht="12.75" hidden="false" customHeight="false" outlineLevel="0" collapsed="false">
      <c r="A70" s="2" t="s">
        <v>44</v>
      </c>
      <c r="B70" s="2"/>
      <c r="C70" s="2" t="n">
        <v>9981</v>
      </c>
      <c r="D70" s="4" t="s">
        <v>226</v>
      </c>
      <c r="E70" s="4" t="s">
        <v>113</v>
      </c>
      <c r="F70" s="4" t="s">
        <v>114</v>
      </c>
      <c r="G70" s="4" t="s">
        <v>44</v>
      </c>
      <c r="H70" s="4" t="n">
        <v>1997</v>
      </c>
      <c r="I70" s="4"/>
      <c r="J70" s="4" t="s">
        <v>48</v>
      </c>
      <c r="K70" s="5"/>
      <c r="L70" s="6"/>
      <c r="M70" s="7" t="n">
        <v>100</v>
      </c>
      <c r="N70" s="59" t="n">
        <v>0.705</v>
      </c>
      <c r="O70" s="59" t="n">
        <v>0.717</v>
      </c>
      <c r="P70" s="59" t="n">
        <v>0.746</v>
      </c>
      <c r="Q70" s="59" t="n">
        <v>0.736</v>
      </c>
      <c r="R70" s="8" t="n">
        <v>774371</v>
      </c>
      <c r="S70" s="8" t="n">
        <v>597041</v>
      </c>
      <c r="T70" s="8" t="n">
        <f aca="false">IF(J70="regional",IF(R70&gt;0,R70*0.2975,S70*0.3484),S70*0.1939)</f>
        <v>230375.3725</v>
      </c>
      <c r="U70" s="8" t="n">
        <v>249721</v>
      </c>
      <c r="V70" s="8" t="n">
        <f aca="false">S70-U70</f>
        <v>347320</v>
      </c>
      <c r="W70" s="8" t="n">
        <v>3559</v>
      </c>
      <c r="X70" s="60" t="n">
        <f aca="false">Y70+Z70</f>
        <v>0</v>
      </c>
      <c r="Y70" s="8" t="n">
        <f aca="false">IF(B70="y",T70,0)</f>
        <v>0</v>
      </c>
      <c r="Z70" s="9"/>
      <c r="AA70" s="8" t="n">
        <f aca="false">AB70+AC70</f>
        <v>827416.3725</v>
      </c>
      <c r="AB70" s="8" t="n">
        <f aca="false">IF(B70="y",0,T70)</f>
        <v>230375.3725</v>
      </c>
      <c r="AC70" s="8" t="n">
        <f aca="false">S70-Z70</f>
        <v>597041</v>
      </c>
      <c r="AD70" s="61" t="n">
        <f aca="false">IF(K70="y",Z70,0)</f>
        <v>0</v>
      </c>
      <c r="AE70" s="61" t="n">
        <f aca="false">IF($K70="",Z70,0)+IF($K70="n",Z70,0)</f>
        <v>0</v>
      </c>
      <c r="AF70" s="62" t="n">
        <f aca="false">IF($K70="y",AC70,0)</f>
        <v>0</v>
      </c>
      <c r="AG70" s="62" t="n">
        <f aca="false">IF($K70="",AC70,0)+IF($K70="n",AC70,0)</f>
        <v>597041</v>
      </c>
      <c r="AH70" s="8" t="n">
        <v>0</v>
      </c>
      <c r="AI70" s="8" t="n">
        <v>0</v>
      </c>
      <c r="AJ70" s="4"/>
      <c r="AK70" s="4"/>
      <c r="AL70" s="9"/>
      <c r="AM70" s="9"/>
    </row>
    <row r="71" customFormat="false" ht="12.75" hidden="false" customHeight="false" outlineLevel="0" collapsed="false">
      <c r="A71" s="2" t="s">
        <v>44</v>
      </c>
      <c r="B71" s="2"/>
      <c r="C71" s="2" t="n">
        <v>8544</v>
      </c>
      <c r="D71" s="66" t="s">
        <v>227</v>
      </c>
      <c r="E71" s="4" t="s">
        <v>228</v>
      </c>
      <c r="F71" s="4" t="s">
        <v>75</v>
      </c>
      <c r="G71" s="4" t="s">
        <v>49</v>
      </c>
      <c r="H71" s="4" t="n">
        <v>1986</v>
      </c>
      <c r="I71" s="4"/>
      <c r="J71" s="4" t="s">
        <v>48</v>
      </c>
      <c r="K71" s="5"/>
      <c r="L71" s="58" t="s">
        <v>229</v>
      </c>
      <c r="M71" s="7" t="n">
        <v>177</v>
      </c>
      <c r="N71" s="59" t="n">
        <v>0.941</v>
      </c>
      <c r="O71" s="59" t="n">
        <v>0.955</v>
      </c>
      <c r="P71" s="59" t="n">
        <v>0.973</v>
      </c>
      <c r="Q71" s="59" t="n">
        <v>0.962</v>
      </c>
      <c r="R71" s="8" t="n">
        <v>1160738</v>
      </c>
      <c r="S71" s="8" t="n">
        <v>1119668</v>
      </c>
      <c r="T71" s="8" t="n">
        <f aca="false">IF(J71="regional",IF(R71&gt;0,R71*0.2975,S71*0.3484),S71*0.1939)</f>
        <v>345319.555</v>
      </c>
      <c r="U71" s="8" t="n">
        <v>741368</v>
      </c>
      <c r="V71" s="8" t="n">
        <f aca="false">S71-U71</f>
        <v>378300</v>
      </c>
      <c r="W71" s="8" t="n">
        <v>5600</v>
      </c>
      <c r="X71" s="60" t="n">
        <f aca="false">Y71+Z71</f>
        <v>0</v>
      </c>
      <c r="Y71" s="8" t="n">
        <f aca="false">IF(B71="y",T71,0)</f>
        <v>0</v>
      </c>
      <c r="Z71" s="8"/>
      <c r="AA71" s="8" t="n">
        <f aca="false">AB71+AC71</f>
        <v>1464987.555</v>
      </c>
      <c r="AB71" s="8" t="n">
        <f aca="false">IF(B71="y",0,T71)</f>
        <v>345319.555</v>
      </c>
      <c r="AC71" s="8" t="n">
        <f aca="false">S71-Z71</f>
        <v>1119668</v>
      </c>
      <c r="AD71" s="61" t="n">
        <f aca="false">IF(K71="y",Z71,0)</f>
        <v>0</v>
      </c>
      <c r="AE71" s="61" t="n">
        <f aca="false">IF($K71="",Z71,0)+IF($K71="n",Z71,0)</f>
        <v>0</v>
      </c>
      <c r="AF71" s="62" t="n">
        <f aca="false">IF($K71="y",AC71,0)</f>
        <v>0</v>
      </c>
      <c r="AG71" s="62" t="n">
        <f aca="false">IF($K71="",AC71,0)+IF($K71="n",AC71,0)</f>
        <v>1119668</v>
      </c>
      <c r="AH71" s="8" t="n">
        <v>0</v>
      </c>
      <c r="AI71" s="8" t="n">
        <v>0</v>
      </c>
      <c r="AJ71" s="1" t="s">
        <v>51</v>
      </c>
      <c r="AK71" s="63" t="n">
        <v>1281234</v>
      </c>
      <c r="AL71" s="9"/>
      <c r="AM71" s="9"/>
    </row>
    <row r="72" customFormat="false" ht="12.75" hidden="false" customHeight="false" outlineLevel="0" collapsed="false">
      <c r="A72" s="2" t="s">
        <v>44</v>
      </c>
      <c r="B72" s="2"/>
      <c r="C72" s="2" t="n">
        <v>1118</v>
      </c>
      <c r="D72" s="4" t="s">
        <v>230</v>
      </c>
      <c r="E72" s="4" t="s">
        <v>231</v>
      </c>
      <c r="F72" s="4" t="s">
        <v>85</v>
      </c>
      <c r="G72" s="4" t="s">
        <v>44</v>
      </c>
      <c r="H72" s="4" t="n">
        <v>1973</v>
      </c>
      <c r="I72" s="4"/>
      <c r="J72" s="4" t="s">
        <v>48</v>
      </c>
      <c r="K72" s="5" t="s">
        <v>49</v>
      </c>
      <c r="L72" s="58" t="s">
        <v>232</v>
      </c>
      <c r="M72" s="7" t="n">
        <v>58</v>
      </c>
      <c r="N72" s="59" t="n">
        <v>0.886</v>
      </c>
      <c r="O72" s="59" t="n">
        <v>0.93</v>
      </c>
      <c r="P72" s="59" t="n">
        <v>0.92</v>
      </c>
      <c r="Q72" s="59" t="n">
        <v>0.833</v>
      </c>
      <c r="R72" s="8" t="n">
        <v>553329</v>
      </c>
      <c r="S72" s="8" t="n">
        <v>480166</v>
      </c>
      <c r="T72" s="8" t="n">
        <f aca="false">IF(J72="regional",IF(R72&gt;0,R72*0.2975,S72*0.3484),S72*0.1939)</f>
        <v>164615.3775</v>
      </c>
      <c r="U72" s="8" t="n">
        <v>299960</v>
      </c>
      <c r="V72" s="8" t="n">
        <f aca="false">S72-U72</f>
        <v>180206</v>
      </c>
      <c r="W72" s="8" t="n">
        <v>2794</v>
      </c>
      <c r="X72" s="60" t="n">
        <f aca="false">Y72+Z72</f>
        <v>0</v>
      </c>
      <c r="Y72" s="8" t="n">
        <f aca="false">IF(B72="y",T72,0)</f>
        <v>0</v>
      </c>
      <c r="Z72" s="8"/>
      <c r="AA72" s="8" t="n">
        <f aca="false">AB72+AC72</f>
        <v>644781.3775</v>
      </c>
      <c r="AB72" s="8" t="n">
        <f aca="false">IF(B72="y",0,T72)</f>
        <v>164615.3775</v>
      </c>
      <c r="AC72" s="8" t="n">
        <f aca="false">S72-Z72</f>
        <v>480166</v>
      </c>
      <c r="AD72" s="61" t="n">
        <f aca="false">IF(K72="y",Z72,0)</f>
        <v>0</v>
      </c>
      <c r="AE72" s="61" t="n">
        <f aca="false">IF($K72="",Z72,0)+IF($K72="n",Z72,0)</f>
        <v>0</v>
      </c>
      <c r="AF72" s="62" t="n">
        <f aca="false">IF($K72="y",AC72,0)</f>
        <v>0</v>
      </c>
      <c r="AG72" s="62" t="n">
        <f aca="false">IF($K72="",AC72,0)+IF($K72="n",AC72,0)</f>
        <v>480166</v>
      </c>
      <c r="AH72" s="8" t="n">
        <v>0</v>
      </c>
      <c r="AI72" s="8" t="n">
        <v>0</v>
      </c>
      <c r="AJ72" s="1" t="s">
        <v>130</v>
      </c>
      <c r="AK72" s="63" t="n">
        <v>72155.76</v>
      </c>
      <c r="AL72" s="9"/>
      <c r="AM72" s="9"/>
    </row>
    <row r="73" customFormat="false" ht="12.75" hidden="false" customHeight="false" outlineLevel="0" collapsed="false">
      <c r="A73" s="2" t="s">
        <v>44</v>
      </c>
      <c r="B73" s="2"/>
      <c r="C73" s="2" t="n">
        <v>3555</v>
      </c>
      <c r="D73" s="4" t="s">
        <v>233</v>
      </c>
      <c r="E73" s="4" t="s">
        <v>234</v>
      </c>
      <c r="F73" s="4" t="s">
        <v>47</v>
      </c>
      <c r="G73" s="4" t="s">
        <v>44</v>
      </c>
      <c r="H73" s="4" t="n">
        <v>1985</v>
      </c>
      <c r="I73" s="4"/>
      <c r="J73" s="4" t="s">
        <v>62</v>
      </c>
      <c r="K73" s="5"/>
      <c r="L73" s="58" t="s">
        <v>98</v>
      </c>
      <c r="M73" s="7" t="n">
        <v>18</v>
      </c>
      <c r="N73" s="59" t="n">
        <v>0.995</v>
      </c>
      <c r="O73" s="59" t="n">
        <v>0.995</v>
      </c>
      <c r="P73" s="59" t="n">
        <v>0.978</v>
      </c>
      <c r="Q73" s="59" t="n">
        <v>0.991</v>
      </c>
      <c r="R73" s="8"/>
      <c r="S73" s="8" t="n">
        <v>409459</v>
      </c>
      <c r="T73" s="8" t="n">
        <f aca="false">IF(J73="regional",IF(R73&gt;0,R73*0.2975,S73*0.3484),S73*0.1939)</f>
        <v>79394.1001</v>
      </c>
      <c r="U73" s="8" t="n">
        <v>309802</v>
      </c>
      <c r="V73" s="8" t="n">
        <f aca="false">S73-U73</f>
        <v>99657</v>
      </c>
      <c r="W73" s="8" t="n">
        <v>1111</v>
      </c>
      <c r="X73" s="60" t="n">
        <f aca="false">Y73+Z73</f>
        <v>0</v>
      </c>
      <c r="Y73" s="8" t="n">
        <f aca="false">IF(B73="y",T73,0)</f>
        <v>0</v>
      </c>
      <c r="Z73" s="8"/>
      <c r="AA73" s="8" t="n">
        <f aca="false">AB73+AC73</f>
        <v>488853.1001</v>
      </c>
      <c r="AB73" s="8" t="n">
        <f aca="false">IF(B73="y",0,T73)</f>
        <v>79394.1001</v>
      </c>
      <c r="AC73" s="8" t="n">
        <f aca="false">S73-Z73</f>
        <v>409459</v>
      </c>
      <c r="AD73" s="61" t="n">
        <f aca="false">IF(K73="y",Z73,0)</f>
        <v>0</v>
      </c>
      <c r="AE73" s="61" t="n">
        <f aca="false">IF($K73="",Z73,0)+IF($K73="n",Z73,0)</f>
        <v>0</v>
      </c>
      <c r="AF73" s="62" t="n">
        <f aca="false">IF($K73="y",AC73,0)</f>
        <v>0</v>
      </c>
      <c r="AG73" s="62" t="n">
        <f aca="false">IF($K73="",AC73,0)+IF($K73="n",AC73,0)</f>
        <v>409459</v>
      </c>
      <c r="AH73" s="8" t="n">
        <v>0</v>
      </c>
      <c r="AI73" s="8" t="n">
        <v>0</v>
      </c>
      <c r="AJ73" s="4"/>
      <c r="AK73" s="4"/>
      <c r="AL73" s="9"/>
      <c r="AM73" s="9"/>
    </row>
    <row r="74" customFormat="false" ht="12.75" hidden="false" customHeight="false" outlineLevel="0" collapsed="false">
      <c r="A74" s="2" t="s">
        <v>44</v>
      </c>
      <c r="B74" s="2"/>
      <c r="C74" s="2" t="n">
        <v>1125</v>
      </c>
      <c r="D74" s="4" t="s">
        <v>235</v>
      </c>
      <c r="E74" s="4" t="s">
        <v>236</v>
      </c>
      <c r="F74" s="4" t="s">
        <v>237</v>
      </c>
      <c r="G74" s="4" t="s">
        <v>44</v>
      </c>
      <c r="H74" s="4" t="n">
        <v>1980</v>
      </c>
      <c r="I74" s="4"/>
      <c r="J74" s="4" t="s">
        <v>48</v>
      </c>
      <c r="K74" s="5" t="s">
        <v>44</v>
      </c>
      <c r="L74" s="58" t="s">
        <v>238</v>
      </c>
      <c r="M74" s="7" t="n">
        <v>75</v>
      </c>
      <c r="N74" s="59" t="n">
        <v>0.744</v>
      </c>
      <c r="O74" s="59" t="n">
        <v>0.787</v>
      </c>
      <c r="P74" s="59" t="n">
        <v>0.767</v>
      </c>
      <c r="Q74" s="59" t="n">
        <v>0.82</v>
      </c>
      <c r="R74" s="8" t="n">
        <v>520231</v>
      </c>
      <c r="S74" s="8" t="n">
        <v>448933</v>
      </c>
      <c r="T74" s="8" t="n">
        <f aca="false">IF(J74="regional",IF(R74&gt;0,R74*0.2975,S74*0.3484),S74*0.1939)</f>
        <v>154768.7225</v>
      </c>
      <c r="U74" s="8" t="n">
        <v>242666</v>
      </c>
      <c r="V74" s="8" t="n">
        <f aca="false">S74-U74</f>
        <v>206267</v>
      </c>
      <c r="W74" s="8" t="n">
        <v>2090</v>
      </c>
      <c r="X74" s="60" t="n">
        <f aca="false">Y74+Z74</f>
        <v>0</v>
      </c>
      <c r="Y74" s="8" t="n">
        <f aca="false">IF(B74="y",T74,0)</f>
        <v>0</v>
      </c>
      <c r="Z74" s="8"/>
      <c r="AA74" s="8" t="n">
        <f aca="false">AB74+AC74</f>
        <v>603701.7225</v>
      </c>
      <c r="AB74" s="8" t="n">
        <f aca="false">IF(B74="y",0,T74)</f>
        <v>154768.7225</v>
      </c>
      <c r="AC74" s="8" t="n">
        <f aca="false">S74-Z74</f>
        <v>448933</v>
      </c>
      <c r="AD74" s="61" t="n">
        <f aca="false">IF(K74="y",Z74,0)</f>
        <v>0</v>
      </c>
      <c r="AE74" s="61" t="n">
        <f aca="false">IF($K74="",Z74,0)+IF($K74="n",Z74,0)</f>
        <v>0</v>
      </c>
      <c r="AF74" s="62" t="n">
        <f aca="false">IF($K74="y",AC74,0)</f>
        <v>448933</v>
      </c>
      <c r="AG74" s="62" t="n">
        <f aca="false">IF($K74="",AC74,0)+IF($K74="n",AC74,0)</f>
        <v>0</v>
      </c>
      <c r="AH74" s="8" t="n">
        <v>338000</v>
      </c>
      <c r="AI74" s="8" t="n">
        <v>392000</v>
      </c>
      <c r="AJ74" s="1" t="s">
        <v>51</v>
      </c>
      <c r="AK74" s="63" t="n">
        <v>378343</v>
      </c>
      <c r="AL74" s="9"/>
      <c r="AM74" s="9"/>
    </row>
    <row r="75" customFormat="false" ht="12.75" hidden="false" customHeight="false" outlineLevel="0" collapsed="false">
      <c r="A75" s="2" t="s">
        <v>44</v>
      </c>
      <c r="B75" s="2"/>
      <c r="C75" s="2" t="n">
        <v>1145</v>
      </c>
      <c r="D75" s="64" t="s">
        <v>239</v>
      </c>
      <c r="E75" s="4" t="s">
        <v>240</v>
      </c>
      <c r="F75" s="4" t="s">
        <v>241</v>
      </c>
      <c r="G75" s="4" t="s">
        <v>49</v>
      </c>
      <c r="H75" s="4" t="n">
        <v>1992</v>
      </c>
      <c r="I75" s="4"/>
      <c r="J75" s="4" t="s">
        <v>48</v>
      </c>
      <c r="K75" s="5" t="s">
        <v>44</v>
      </c>
      <c r="L75" s="58" t="s">
        <v>242</v>
      </c>
      <c r="M75" s="7" t="n">
        <v>72</v>
      </c>
      <c r="N75" s="59" t="n">
        <v>0.962</v>
      </c>
      <c r="O75" s="59" t="n">
        <v>0.962</v>
      </c>
      <c r="P75" s="59" t="n">
        <v>0.989</v>
      </c>
      <c r="Q75" s="59" t="n">
        <v>1</v>
      </c>
      <c r="R75" s="8" t="n">
        <v>1043979</v>
      </c>
      <c r="S75" s="8" t="n">
        <v>464885</v>
      </c>
      <c r="T75" s="8" t="n">
        <f aca="false">IF(J75="regional",IF(R75&gt;0,R75*0.2975,S75*0.3484),S75*0.1939)</f>
        <v>310583.7525</v>
      </c>
      <c r="U75" s="8" t="n">
        <v>0</v>
      </c>
      <c r="V75" s="8" t="n">
        <f aca="false">S75-U75</f>
        <v>464885</v>
      </c>
      <c r="W75" s="8" t="n">
        <v>5500</v>
      </c>
      <c r="X75" s="60" t="n">
        <f aca="false">Y75+Z75</f>
        <v>0</v>
      </c>
      <c r="Y75" s="8" t="n">
        <f aca="false">IF(B75="y",T75,0)</f>
        <v>0</v>
      </c>
      <c r="Z75" s="8"/>
      <c r="AA75" s="8" t="n">
        <f aca="false">AB75+AC75</f>
        <v>775468.7525</v>
      </c>
      <c r="AB75" s="8" t="n">
        <f aca="false">IF(B75="y",0,T75)</f>
        <v>310583.7525</v>
      </c>
      <c r="AC75" s="8" t="n">
        <f aca="false">S75-Z75</f>
        <v>464885</v>
      </c>
      <c r="AD75" s="61" t="n">
        <f aca="false">IF(K75="y",Z75,0)</f>
        <v>0</v>
      </c>
      <c r="AE75" s="61" t="n">
        <f aca="false">IF($K75="",Z75,0)+IF($K75="n",Z75,0)</f>
        <v>0</v>
      </c>
      <c r="AF75" s="62" t="n">
        <f aca="false">IF($K75="y",AC75,0)</f>
        <v>464885</v>
      </c>
      <c r="AG75" s="62" t="n">
        <f aca="false">IF($K75="",AC75,0)+IF($K75="n",AC75,0)</f>
        <v>0</v>
      </c>
      <c r="AH75" s="8" t="n">
        <v>1044000</v>
      </c>
      <c r="AI75" s="8" t="n">
        <v>1045000</v>
      </c>
      <c r="AJ75" s="64"/>
      <c r="AK75" s="64"/>
      <c r="AL75" s="9"/>
      <c r="AM75" s="9"/>
    </row>
    <row r="76" customFormat="false" ht="12.75" hidden="false" customHeight="false" outlineLevel="0" collapsed="false">
      <c r="A76" s="2" t="s">
        <v>44</v>
      </c>
      <c r="B76" s="2"/>
      <c r="C76" s="2" t="n">
        <v>941</v>
      </c>
      <c r="D76" s="4" t="s">
        <v>243</v>
      </c>
      <c r="E76" s="4" t="s">
        <v>244</v>
      </c>
      <c r="F76" s="4" t="s">
        <v>47</v>
      </c>
      <c r="G76" s="4" t="s">
        <v>44</v>
      </c>
      <c r="H76" s="4" t="n">
        <v>1985</v>
      </c>
      <c r="I76" s="4"/>
      <c r="J76" s="4" t="s">
        <v>62</v>
      </c>
      <c r="K76" s="5"/>
      <c r="L76" s="58" t="s">
        <v>98</v>
      </c>
      <c r="M76" s="7" t="n">
        <v>17</v>
      </c>
      <c r="N76" s="59" t="n">
        <v>0.84</v>
      </c>
      <c r="O76" s="59" t="n">
        <v>0.866</v>
      </c>
      <c r="P76" s="59" t="n">
        <v>0.751</v>
      </c>
      <c r="Q76" s="59" t="n">
        <v>0.801</v>
      </c>
      <c r="R76" s="8"/>
      <c r="S76" s="8" t="n">
        <v>321887</v>
      </c>
      <c r="T76" s="8" t="n">
        <f aca="false">IF(J76="regional",IF(R76&gt;0,R76*0.2975,S76*0.3484),S76*0.1939)</f>
        <v>62413.8893</v>
      </c>
      <c r="U76" s="8" t="n">
        <v>278489</v>
      </c>
      <c r="V76" s="8" t="n">
        <f aca="false">S76-U76</f>
        <v>43398</v>
      </c>
      <c r="W76" s="8" t="n">
        <v>1618</v>
      </c>
      <c r="X76" s="60" t="n">
        <f aca="false">Y76+Z76</f>
        <v>0</v>
      </c>
      <c r="Y76" s="8" t="n">
        <f aca="false">IF(B76="y",T76,0)</f>
        <v>0</v>
      </c>
      <c r="Z76" s="8"/>
      <c r="AA76" s="8" t="n">
        <f aca="false">AB76+AC76</f>
        <v>384300.8893</v>
      </c>
      <c r="AB76" s="8" t="n">
        <f aca="false">IF(B76="y",0,T76)</f>
        <v>62413.8893</v>
      </c>
      <c r="AC76" s="8" t="n">
        <f aca="false">S76-Z76</f>
        <v>321887</v>
      </c>
      <c r="AD76" s="61" t="n">
        <f aca="false">IF(K76="y",Z76,0)</f>
        <v>0</v>
      </c>
      <c r="AE76" s="61" t="n">
        <f aca="false">IF($K76="",Z76,0)+IF($K76="n",Z76,0)</f>
        <v>0</v>
      </c>
      <c r="AF76" s="62" t="n">
        <f aca="false">IF($K76="y",AC76,0)</f>
        <v>0</v>
      </c>
      <c r="AG76" s="62" t="n">
        <f aca="false">IF($K76="",AC76,0)+IF($K76="n",AC76,0)</f>
        <v>321887</v>
      </c>
      <c r="AH76" s="8" t="n">
        <v>0</v>
      </c>
      <c r="AI76" s="8" t="n">
        <v>0</v>
      </c>
      <c r="AJ76" s="4"/>
      <c r="AK76" s="4"/>
      <c r="AL76" s="9"/>
      <c r="AM76" s="9"/>
    </row>
    <row r="77" customFormat="false" ht="12.75" hidden="false" customHeight="false" outlineLevel="0" collapsed="false">
      <c r="A77" s="2" t="s">
        <v>44</v>
      </c>
      <c r="B77" s="2"/>
      <c r="C77" s="2" t="n">
        <v>1504</v>
      </c>
      <c r="D77" s="4" t="s">
        <v>245</v>
      </c>
      <c r="E77" s="4" t="s">
        <v>246</v>
      </c>
      <c r="F77" s="4" t="s">
        <v>190</v>
      </c>
      <c r="G77" s="4" t="s">
        <v>44</v>
      </c>
      <c r="H77" s="4" t="n">
        <v>1966</v>
      </c>
      <c r="I77" s="4"/>
      <c r="J77" s="4" t="s">
        <v>48</v>
      </c>
      <c r="K77" s="5" t="s">
        <v>49</v>
      </c>
      <c r="L77" s="58" t="s">
        <v>247</v>
      </c>
      <c r="M77" s="7" t="n">
        <v>23</v>
      </c>
      <c r="N77" s="59" t="n">
        <v>0.919</v>
      </c>
      <c r="O77" s="59" t="n">
        <v>0.919</v>
      </c>
      <c r="P77" s="59" t="n">
        <v>0.837</v>
      </c>
      <c r="Q77" s="59" t="n">
        <v>0.935</v>
      </c>
      <c r="R77" s="8" t="n">
        <v>197674</v>
      </c>
      <c r="S77" s="8" t="n">
        <v>184542</v>
      </c>
      <c r="T77" s="8" t="n">
        <f aca="false">IF(J77="regional",IF(R77&gt;0,R77*0.2975,S77*0.3484),S77*0.1939)</f>
        <v>58808.015</v>
      </c>
      <c r="U77" s="8" t="n">
        <v>92191</v>
      </c>
      <c r="V77" s="8" t="n">
        <f aca="false">S77-U77</f>
        <v>92351</v>
      </c>
      <c r="W77" s="8" t="n">
        <v>970</v>
      </c>
      <c r="X77" s="60" t="n">
        <f aca="false">Y77+Z77</f>
        <v>0</v>
      </c>
      <c r="Y77" s="8" t="n">
        <f aca="false">IF(B77="y",T77,0)</f>
        <v>0</v>
      </c>
      <c r="Z77" s="8"/>
      <c r="AA77" s="8" t="n">
        <f aca="false">AB77+AC77</f>
        <v>243350.015</v>
      </c>
      <c r="AB77" s="8" t="n">
        <f aca="false">IF(B77="y",0,T77)</f>
        <v>58808.015</v>
      </c>
      <c r="AC77" s="8" t="n">
        <f aca="false">S77-Z77</f>
        <v>184542</v>
      </c>
      <c r="AD77" s="61" t="n">
        <f aca="false">IF(K77="y",Z77,0)</f>
        <v>0</v>
      </c>
      <c r="AE77" s="61" t="n">
        <f aca="false">IF($K77="",Z77,0)+IF($K77="n",Z77,0)</f>
        <v>0</v>
      </c>
      <c r="AF77" s="62" t="n">
        <f aca="false">IF($K77="y",AC77,0)</f>
        <v>0</v>
      </c>
      <c r="AG77" s="62" t="n">
        <f aca="false">IF($K77="",AC77,0)+IF($K77="n",AC77,0)</f>
        <v>184542</v>
      </c>
      <c r="AH77" s="8" t="n">
        <v>0</v>
      </c>
      <c r="AI77" s="8" t="n">
        <v>0</v>
      </c>
      <c r="AJ77" s="4"/>
      <c r="AK77" s="4"/>
      <c r="AL77" s="9"/>
      <c r="AM77" s="9"/>
    </row>
    <row r="78" customFormat="false" ht="12.75" hidden="false" customHeight="false" outlineLevel="0" collapsed="false">
      <c r="A78" s="2" t="s">
        <v>44</v>
      </c>
      <c r="B78" s="2"/>
      <c r="C78" s="2" t="n">
        <v>509</v>
      </c>
      <c r="D78" s="4" t="s">
        <v>248</v>
      </c>
      <c r="E78" s="4" t="s">
        <v>249</v>
      </c>
      <c r="F78" s="4" t="s">
        <v>75</v>
      </c>
      <c r="G78" s="4" t="s">
        <v>49</v>
      </c>
      <c r="H78" s="4" t="n">
        <v>1989</v>
      </c>
      <c r="I78" s="4"/>
      <c r="J78" s="4" t="s">
        <v>62</v>
      </c>
      <c r="K78" s="5"/>
      <c r="L78" s="58" t="s">
        <v>250</v>
      </c>
      <c r="M78" s="7" t="n">
        <v>30</v>
      </c>
      <c r="N78" s="59" t="n">
        <v>0.987</v>
      </c>
      <c r="O78" s="59" t="n">
        <v>0.987</v>
      </c>
      <c r="P78" s="59" t="n">
        <v>0.98</v>
      </c>
      <c r="Q78" s="59" t="n">
        <v>0.98</v>
      </c>
      <c r="R78" s="8"/>
      <c r="S78" s="8" t="n">
        <v>224334</v>
      </c>
      <c r="T78" s="8" t="n">
        <f aca="false">IF(J78="regional",IF(R78&gt;0,R78*0.2975,S78*0.3484),S78*0.1939)</f>
        <v>43498.3626</v>
      </c>
      <c r="U78" s="8" t="n">
        <v>163611</v>
      </c>
      <c r="V78" s="8" t="n">
        <f aca="false">S78-U78</f>
        <v>60723</v>
      </c>
      <c r="W78" s="8" t="n">
        <v>1113</v>
      </c>
      <c r="X78" s="60" t="n">
        <f aca="false">Y78+Z78</f>
        <v>0</v>
      </c>
      <c r="Y78" s="8" t="n">
        <f aca="false">IF(B78="y",T78,0)</f>
        <v>0</v>
      </c>
      <c r="Z78" s="8"/>
      <c r="AA78" s="8" t="n">
        <f aca="false">AB78+AC78</f>
        <v>267832.3626</v>
      </c>
      <c r="AB78" s="8" t="n">
        <f aca="false">IF(B78="y",0,T78)</f>
        <v>43498.3626</v>
      </c>
      <c r="AC78" s="8" t="n">
        <f aca="false">S78-Z78</f>
        <v>224334</v>
      </c>
      <c r="AD78" s="61" t="n">
        <f aca="false">IF(K78="y",Z78,0)</f>
        <v>0</v>
      </c>
      <c r="AE78" s="61" t="n">
        <f aca="false">IF($K78="",Z78,0)+IF($K78="n",Z78,0)</f>
        <v>0</v>
      </c>
      <c r="AF78" s="62" t="n">
        <f aca="false">IF($K78="y",AC78,0)</f>
        <v>0</v>
      </c>
      <c r="AG78" s="62" t="n">
        <f aca="false">IF($K78="",AC78,0)+IF($K78="n",AC78,0)</f>
        <v>224334</v>
      </c>
      <c r="AH78" s="8" t="n">
        <v>0</v>
      </c>
      <c r="AI78" s="8" t="n">
        <v>0</v>
      </c>
      <c r="AJ78" s="1" t="s">
        <v>51</v>
      </c>
      <c r="AK78" s="63" t="n">
        <v>59468.82</v>
      </c>
      <c r="AL78" s="9"/>
      <c r="AM78" s="9"/>
    </row>
    <row r="79" customFormat="false" ht="12.75" hidden="false" customHeight="false" outlineLevel="0" collapsed="false">
      <c r="A79" s="2" t="s">
        <v>44</v>
      </c>
      <c r="B79" s="2"/>
      <c r="C79" s="2" t="n">
        <v>8638</v>
      </c>
      <c r="D79" s="4" t="s">
        <v>251</v>
      </c>
      <c r="E79" s="4" t="s">
        <v>252</v>
      </c>
      <c r="F79" s="4" t="s">
        <v>237</v>
      </c>
      <c r="G79" s="4" t="s">
        <v>44</v>
      </c>
      <c r="H79" s="4" t="n">
        <v>1963</v>
      </c>
      <c r="I79" s="4"/>
      <c r="J79" s="4" t="s">
        <v>48</v>
      </c>
      <c r="K79" s="5" t="s">
        <v>49</v>
      </c>
      <c r="L79" s="58" t="s">
        <v>253</v>
      </c>
      <c r="M79" s="7" t="n">
        <v>36</v>
      </c>
      <c r="N79" s="59" t="n">
        <v>0.954</v>
      </c>
      <c r="O79" s="59" t="n">
        <v>0.971</v>
      </c>
      <c r="P79" s="59" t="n">
        <v>0.967</v>
      </c>
      <c r="Q79" s="59" t="n">
        <v>0.923</v>
      </c>
      <c r="R79" s="8" t="n">
        <v>517657</v>
      </c>
      <c r="S79" s="8" t="n">
        <v>620987</v>
      </c>
      <c r="T79" s="8" t="n">
        <f aca="false">IF(J79="regional",IF(R79&gt;0,R79*0.2975,S79*0.3484),S79*0.1939)</f>
        <v>154002.9575</v>
      </c>
      <c r="U79" s="8" t="n">
        <v>347591</v>
      </c>
      <c r="V79" s="8" t="n">
        <f aca="false">S79-U79</f>
        <v>273396</v>
      </c>
      <c r="W79" s="8" t="n">
        <v>2258</v>
      </c>
      <c r="X79" s="60" t="n">
        <f aca="false">Y79+Z79</f>
        <v>0</v>
      </c>
      <c r="Y79" s="8" t="n">
        <f aca="false">IF(B79="y",T79,0)</f>
        <v>0</v>
      </c>
      <c r="Z79" s="8"/>
      <c r="AA79" s="8" t="n">
        <f aca="false">AB79+AC79</f>
        <v>774989.9575</v>
      </c>
      <c r="AB79" s="8" t="n">
        <f aca="false">IF(B79="y",0,T79)</f>
        <v>154002.9575</v>
      </c>
      <c r="AC79" s="8" t="n">
        <f aca="false">S79-Z79</f>
        <v>620987</v>
      </c>
      <c r="AD79" s="61" t="n">
        <f aca="false">IF(K79="y",Z79,0)</f>
        <v>0</v>
      </c>
      <c r="AE79" s="61" t="n">
        <f aca="false">IF($K79="",Z79,0)+IF($K79="n",Z79,0)</f>
        <v>0</v>
      </c>
      <c r="AF79" s="62" t="n">
        <f aca="false">IF($K79="y",AC79,0)</f>
        <v>0</v>
      </c>
      <c r="AG79" s="62" t="n">
        <f aca="false">IF($K79="",AC79,0)+IF($K79="n",AC79,0)</f>
        <v>620987</v>
      </c>
      <c r="AH79" s="8" t="n">
        <v>0</v>
      </c>
      <c r="AI79" s="8" t="n">
        <v>0</v>
      </c>
      <c r="AJ79" s="1" t="s">
        <v>51</v>
      </c>
      <c r="AK79" s="63" t="n">
        <v>495741</v>
      </c>
      <c r="AL79" s="9"/>
      <c r="AM79" s="9"/>
    </row>
    <row r="80" customFormat="false" ht="12.75" hidden="false" customHeight="false" outlineLevel="0" collapsed="false">
      <c r="A80" s="2" t="s">
        <v>44</v>
      </c>
      <c r="B80" s="2" t="s">
        <v>44</v>
      </c>
      <c r="C80" s="2" t="n">
        <v>1313</v>
      </c>
      <c r="D80" s="64" t="s">
        <v>254</v>
      </c>
      <c r="E80" s="4" t="s">
        <v>255</v>
      </c>
      <c r="F80" s="4" t="s">
        <v>237</v>
      </c>
      <c r="G80" s="4" t="s">
        <v>44</v>
      </c>
      <c r="H80" s="4" t="n">
        <v>1974</v>
      </c>
      <c r="I80" s="4"/>
      <c r="J80" s="4" t="s">
        <v>48</v>
      </c>
      <c r="K80" s="5" t="s">
        <v>44</v>
      </c>
      <c r="L80" s="58" t="s">
        <v>253</v>
      </c>
      <c r="M80" s="7" t="n">
        <v>89</v>
      </c>
      <c r="N80" s="59" t="n">
        <v>0.808</v>
      </c>
      <c r="O80" s="59" t="n">
        <v>0.81</v>
      </c>
      <c r="P80" s="59" t="n">
        <v>0.865</v>
      </c>
      <c r="Q80" s="59" t="n">
        <v>0.914</v>
      </c>
      <c r="R80" s="8" t="n">
        <v>888884</v>
      </c>
      <c r="S80" s="8" t="n">
        <v>714635</v>
      </c>
      <c r="T80" s="8" t="n">
        <f aca="false">IF(J80="regional",IF(R80&gt;0,R80*0.2975,S80*0.3484),S80*0.1939)</f>
        <v>264442.99</v>
      </c>
      <c r="U80" s="8" t="n">
        <v>462838</v>
      </c>
      <c r="V80" s="8" t="n">
        <f aca="false">S80-U80</f>
        <v>251797</v>
      </c>
      <c r="W80" s="8" t="n">
        <v>4500</v>
      </c>
      <c r="X80" s="60" t="n">
        <f aca="false">Y80+Z80</f>
        <v>621804.99</v>
      </c>
      <c r="Y80" s="8" t="n">
        <f aca="false">IF(B80="y",T80,0)</f>
        <v>264442.99</v>
      </c>
      <c r="Z80" s="8" t="n">
        <v>357362</v>
      </c>
      <c r="AA80" s="8" t="n">
        <f aca="false">AB80+AC80</f>
        <v>357273</v>
      </c>
      <c r="AB80" s="8" t="n">
        <f aca="false">IF(B80="y",0,T80)</f>
        <v>0</v>
      </c>
      <c r="AC80" s="8" t="n">
        <f aca="false">S80-Z80</f>
        <v>357273</v>
      </c>
      <c r="AD80" s="61" t="n">
        <f aca="false">IF(K80="y",Z80,0)</f>
        <v>357362</v>
      </c>
      <c r="AE80" s="61" t="n">
        <f aca="false">IF($K80="",Z80,0)+IF($K80="n",Z80,0)</f>
        <v>0</v>
      </c>
      <c r="AF80" s="62" t="n">
        <f aca="false">IF($K80="y",AC80,0)</f>
        <v>357273</v>
      </c>
      <c r="AG80" s="62" t="n">
        <f aca="false">IF($K80="",AC80,0)+IF($K80="n",AC80,0)</f>
        <v>0</v>
      </c>
      <c r="AH80" s="8" t="n">
        <v>694000</v>
      </c>
      <c r="AI80" s="8" t="n">
        <v>454000</v>
      </c>
      <c r="AJ80" s="1" t="s">
        <v>51</v>
      </c>
      <c r="AK80" s="63" t="n">
        <v>685285</v>
      </c>
      <c r="AL80" s="9"/>
      <c r="AM80" s="9"/>
    </row>
    <row r="81" customFormat="false" ht="12.75" hidden="false" customHeight="false" outlineLevel="0" collapsed="false">
      <c r="A81" s="2"/>
      <c r="B81" s="2" t="s">
        <v>44</v>
      </c>
      <c r="C81" s="2" t="n">
        <v>1310</v>
      </c>
      <c r="D81" s="68" t="s">
        <v>256</v>
      </c>
      <c r="E81" s="4"/>
      <c r="F81" s="4"/>
      <c r="G81" s="4" t="s">
        <v>49</v>
      </c>
      <c r="H81" s="4"/>
      <c r="I81" s="4"/>
      <c r="J81" s="4"/>
      <c r="K81" s="5"/>
      <c r="L81" s="58"/>
      <c r="M81" s="7"/>
      <c r="N81" s="59"/>
      <c r="O81" s="59"/>
      <c r="P81" s="59"/>
      <c r="Q81" s="59"/>
      <c r="R81" s="8"/>
      <c r="S81" s="8"/>
      <c r="T81" s="8"/>
      <c r="U81" s="8"/>
      <c r="V81" s="8"/>
      <c r="W81" s="8"/>
      <c r="X81" s="60"/>
      <c r="Y81" s="8"/>
      <c r="Z81" s="8"/>
      <c r="AA81" s="8"/>
      <c r="AB81" s="8"/>
      <c r="AC81" s="8"/>
      <c r="AD81" s="61"/>
      <c r="AE81" s="61"/>
      <c r="AF81" s="62"/>
      <c r="AG81" s="62"/>
      <c r="AH81" s="8" t="n">
        <v>664000</v>
      </c>
      <c r="AI81" s="8" t="n">
        <v>463000</v>
      </c>
      <c r="AJ81" s="1" t="s">
        <v>51</v>
      </c>
      <c r="AK81" s="63" t="n">
        <v>437958</v>
      </c>
      <c r="AL81" s="9"/>
      <c r="AM81" s="9"/>
    </row>
    <row r="82" customFormat="false" ht="12.75" hidden="false" customHeight="false" outlineLevel="0" collapsed="false">
      <c r="A82" s="2"/>
      <c r="B82" s="2" t="s">
        <v>44</v>
      </c>
      <c r="C82" s="2" t="n">
        <v>4776</v>
      </c>
      <c r="D82" s="68" t="s">
        <v>257</v>
      </c>
      <c r="E82" s="4"/>
      <c r="F82" s="4"/>
      <c r="G82" s="4" t="s">
        <v>49</v>
      </c>
      <c r="H82" s="4"/>
      <c r="I82" s="4"/>
      <c r="J82" s="4"/>
      <c r="K82" s="5"/>
      <c r="L82" s="58"/>
      <c r="M82" s="7"/>
      <c r="N82" s="59"/>
      <c r="O82" s="59"/>
      <c r="P82" s="59"/>
      <c r="Q82" s="59"/>
      <c r="R82" s="8"/>
      <c r="S82" s="8"/>
      <c r="T82" s="8"/>
      <c r="U82" s="8"/>
      <c r="V82" s="8"/>
      <c r="W82" s="8"/>
      <c r="X82" s="60"/>
      <c r="Y82" s="8"/>
      <c r="Z82" s="8"/>
      <c r="AA82" s="8"/>
      <c r="AB82" s="8"/>
      <c r="AC82" s="8"/>
      <c r="AD82" s="61"/>
      <c r="AE82" s="61"/>
      <c r="AF82" s="62"/>
      <c r="AG82" s="62"/>
      <c r="AH82" s="8" t="n">
        <v>1081000</v>
      </c>
      <c r="AI82" s="8" t="n">
        <v>951000</v>
      </c>
      <c r="AJ82" s="1" t="s">
        <v>51</v>
      </c>
      <c r="AK82" s="63" t="n">
        <v>879563</v>
      </c>
      <c r="AL82" s="9"/>
      <c r="AM82" s="9"/>
    </row>
    <row r="83" customFormat="false" ht="12.75" hidden="false" customHeight="false" outlineLevel="0" collapsed="false">
      <c r="A83" s="2" t="s">
        <v>44</v>
      </c>
      <c r="B83" s="2"/>
      <c r="C83" s="2" t="n">
        <v>8675</v>
      </c>
      <c r="D83" s="66" t="s">
        <v>258</v>
      </c>
      <c r="E83" s="4" t="s">
        <v>259</v>
      </c>
      <c r="F83" s="4" t="s">
        <v>101</v>
      </c>
      <c r="G83" s="4" t="s">
        <v>44</v>
      </c>
      <c r="H83" s="4" t="n">
        <v>1961</v>
      </c>
      <c r="I83" s="4"/>
      <c r="J83" s="4" t="s">
        <v>48</v>
      </c>
      <c r="K83" s="5" t="s">
        <v>49</v>
      </c>
      <c r="L83" s="58" t="s">
        <v>260</v>
      </c>
      <c r="M83" s="7" t="n">
        <v>130</v>
      </c>
      <c r="N83" s="59" t="n">
        <v>0.983</v>
      </c>
      <c r="O83" s="59" t="n">
        <v>0.983</v>
      </c>
      <c r="P83" s="59" t="n">
        <v>0.986</v>
      </c>
      <c r="Q83" s="59" t="n">
        <v>0.965</v>
      </c>
      <c r="R83" s="8" t="n">
        <v>1425929</v>
      </c>
      <c r="S83" s="8" t="n">
        <v>1258935</v>
      </c>
      <c r="T83" s="8" t="n">
        <f aca="false">IF(J83="regional",IF(R83&gt;0,R83*0.2975,S83*0.3484),S83*0.1939)</f>
        <v>424213.8775</v>
      </c>
      <c r="U83" s="8" t="n">
        <v>866300</v>
      </c>
      <c r="V83" s="8" t="n">
        <f aca="false">S83-U83</f>
        <v>392635</v>
      </c>
      <c r="W83" s="8" t="n">
        <v>7500</v>
      </c>
      <c r="X83" s="60" t="n">
        <f aca="false">Y83+Z83</f>
        <v>0</v>
      </c>
      <c r="Y83" s="8" t="n">
        <f aca="false">IF(B83="y",T83,0)</f>
        <v>0</v>
      </c>
      <c r="Z83" s="8"/>
      <c r="AA83" s="8" t="n">
        <f aca="false">AB83+AC83</f>
        <v>1683148.8775</v>
      </c>
      <c r="AB83" s="8" t="n">
        <f aca="false">IF(B83="y",0,T83)</f>
        <v>424213.8775</v>
      </c>
      <c r="AC83" s="8" t="n">
        <f aca="false">S83-Z83</f>
        <v>1258935</v>
      </c>
      <c r="AD83" s="61" t="n">
        <f aca="false">IF(K83="y",Z83,0)</f>
        <v>0</v>
      </c>
      <c r="AE83" s="61" t="n">
        <f aca="false">IF($K83="",Z83,0)+IF($K83="n",Z83,0)</f>
        <v>0</v>
      </c>
      <c r="AF83" s="62" t="n">
        <f aca="false">IF($K83="y",AC83,0)</f>
        <v>0</v>
      </c>
      <c r="AG83" s="62" t="n">
        <f aca="false">IF($K83="",AC83,0)+IF($K83="n",AC83,0)</f>
        <v>1258935</v>
      </c>
      <c r="AH83" s="8" t="n">
        <v>0</v>
      </c>
      <c r="AI83" s="8" t="n">
        <v>0</v>
      </c>
      <c r="AJ83" s="1" t="s">
        <v>51</v>
      </c>
      <c r="AK83" s="63" t="n">
        <v>882884</v>
      </c>
      <c r="AL83" s="9"/>
      <c r="AM83" s="9"/>
    </row>
    <row r="84" customFormat="false" ht="12.75" hidden="false" customHeight="false" outlineLevel="0" collapsed="false">
      <c r="A84" s="2" t="s">
        <v>44</v>
      </c>
      <c r="B84" s="2"/>
      <c r="C84" s="2" t="n">
        <v>8678</v>
      </c>
      <c r="D84" s="4" t="s">
        <v>261</v>
      </c>
      <c r="E84" s="4" t="s">
        <v>259</v>
      </c>
      <c r="F84" s="4" t="s">
        <v>101</v>
      </c>
      <c r="G84" s="4" t="s">
        <v>44</v>
      </c>
      <c r="H84" s="4" t="n">
        <v>1976</v>
      </c>
      <c r="I84" s="4"/>
      <c r="J84" s="4" t="s">
        <v>62</v>
      </c>
      <c r="K84" s="5"/>
      <c r="L84" s="58" t="s">
        <v>260</v>
      </c>
      <c r="M84" s="7" t="n">
        <v>12</v>
      </c>
      <c r="N84" s="59" t="n">
        <v>0.793</v>
      </c>
      <c r="O84" s="59" t="n">
        <v>0.793</v>
      </c>
      <c r="P84" s="59" t="n">
        <v>0.754</v>
      </c>
      <c r="Q84" s="59" t="n">
        <v>0.827</v>
      </c>
      <c r="R84" s="8"/>
      <c r="S84" s="8" t="n">
        <v>163898</v>
      </c>
      <c r="T84" s="8" t="n">
        <f aca="false">IF(J84="regional",IF(R84&gt;0,R84*0.2975,S84*0.3484),S84*0.1939)</f>
        <v>31779.8222</v>
      </c>
      <c r="U84" s="8" t="n">
        <v>142229</v>
      </c>
      <c r="V84" s="8" t="n">
        <f aca="false">S84-U84</f>
        <v>21669</v>
      </c>
      <c r="W84" s="8" t="n">
        <v>900</v>
      </c>
      <c r="X84" s="60" t="n">
        <f aca="false">Y84+Z84</f>
        <v>0</v>
      </c>
      <c r="Y84" s="8" t="n">
        <f aca="false">IF(B84="y",T84,0)</f>
        <v>0</v>
      </c>
      <c r="Z84" s="8"/>
      <c r="AA84" s="8" t="n">
        <f aca="false">AB84+AC84</f>
        <v>195677.8222</v>
      </c>
      <c r="AB84" s="8" t="n">
        <f aca="false">IF(B84="y",0,T84)</f>
        <v>31779.8222</v>
      </c>
      <c r="AC84" s="8" t="n">
        <f aca="false">S84-Z84</f>
        <v>163898</v>
      </c>
      <c r="AD84" s="61" t="n">
        <f aca="false">IF(K84="y",Z84,0)</f>
        <v>0</v>
      </c>
      <c r="AE84" s="61" t="n">
        <f aca="false">IF($K84="",Z84,0)+IF($K84="n",Z84,0)</f>
        <v>0</v>
      </c>
      <c r="AF84" s="62" t="n">
        <f aca="false">IF($K84="y",AC84,0)</f>
        <v>0</v>
      </c>
      <c r="AG84" s="62" t="n">
        <f aca="false">IF($K84="",AC84,0)+IF($K84="n",AC84,0)</f>
        <v>163898</v>
      </c>
      <c r="AH84" s="8" t="n">
        <v>0</v>
      </c>
      <c r="AI84" s="8" t="n">
        <v>0</v>
      </c>
      <c r="AJ84" s="1" t="s">
        <v>51</v>
      </c>
      <c r="AK84" s="63" t="n">
        <v>24258</v>
      </c>
      <c r="AL84" s="9"/>
      <c r="AM84" s="9"/>
    </row>
    <row r="85" customFormat="false" ht="12.75" hidden="false" customHeight="false" outlineLevel="0" collapsed="false">
      <c r="A85" s="2" t="s">
        <v>44</v>
      </c>
      <c r="B85" s="2"/>
      <c r="C85" s="2" t="n">
        <v>9316</v>
      </c>
      <c r="D85" s="4" t="s">
        <v>262</v>
      </c>
      <c r="E85" s="4" t="s">
        <v>154</v>
      </c>
      <c r="F85" s="4" t="s">
        <v>137</v>
      </c>
      <c r="G85" s="4" t="s">
        <v>49</v>
      </c>
      <c r="H85" s="4" t="n">
        <v>1963</v>
      </c>
      <c r="I85" s="4"/>
      <c r="J85" s="4" t="s">
        <v>62</v>
      </c>
      <c r="K85" s="5"/>
      <c r="L85" s="58" t="s">
        <v>155</v>
      </c>
      <c r="M85" s="7" t="n">
        <v>15</v>
      </c>
      <c r="N85" s="59" t="n">
        <v>0.832</v>
      </c>
      <c r="O85" s="59" t="n">
        <v>0.832</v>
      </c>
      <c r="P85" s="59" t="n">
        <v>0.813</v>
      </c>
      <c r="Q85" s="59" t="n">
        <v>0.768</v>
      </c>
      <c r="R85" s="8"/>
      <c r="S85" s="8" t="n">
        <v>298242</v>
      </c>
      <c r="T85" s="8" t="n">
        <f aca="false">IF(J85="regional",IF(R85&gt;0,R85*0.2975,S85*0.3484),S85*0.1939)</f>
        <v>57829.1238</v>
      </c>
      <c r="U85" s="8" t="n">
        <v>247025</v>
      </c>
      <c r="V85" s="8" t="n">
        <f aca="false">S85-U85</f>
        <v>51217</v>
      </c>
      <c r="W85" s="8" t="n">
        <v>1500</v>
      </c>
      <c r="X85" s="60" t="n">
        <f aca="false">Y85+Z85</f>
        <v>0</v>
      </c>
      <c r="Y85" s="8" t="n">
        <f aca="false">IF(B85="y",T85,0)</f>
        <v>0</v>
      </c>
      <c r="Z85" s="8"/>
      <c r="AA85" s="8" t="n">
        <f aca="false">AB85+AC85</f>
        <v>356071.1238</v>
      </c>
      <c r="AB85" s="8" t="n">
        <f aca="false">IF(B85="y",0,T85)</f>
        <v>57829.1238</v>
      </c>
      <c r="AC85" s="8" t="n">
        <f aca="false">S85-Z85</f>
        <v>298242</v>
      </c>
      <c r="AD85" s="61" t="n">
        <f aca="false">IF(K85="y",Z85,0)</f>
        <v>0</v>
      </c>
      <c r="AE85" s="61" t="n">
        <f aca="false">IF($K85="",Z85,0)+IF($K85="n",Z85,0)</f>
        <v>0</v>
      </c>
      <c r="AF85" s="62" t="n">
        <f aca="false">IF($K85="y",AC85,0)</f>
        <v>0</v>
      </c>
      <c r="AG85" s="62" t="n">
        <f aca="false">IF($K85="",AC85,0)+IF($K85="n",AC85,0)</f>
        <v>298242</v>
      </c>
      <c r="AH85" s="8" t="n">
        <v>0</v>
      </c>
      <c r="AI85" s="8" t="n">
        <v>0</v>
      </c>
      <c r="AJ85" s="4"/>
      <c r="AK85" s="4"/>
      <c r="AL85" s="9"/>
      <c r="AM85" s="9"/>
    </row>
    <row r="86" customFormat="false" ht="12.75" hidden="false" customHeight="false" outlineLevel="0" collapsed="false">
      <c r="A86" s="2"/>
      <c r="B86" s="2"/>
      <c r="C86" s="2" t="n">
        <v>8685</v>
      </c>
      <c r="D86" s="4" t="s">
        <v>263</v>
      </c>
      <c r="E86" s="4"/>
      <c r="F86" s="4"/>
      <c r="G86" s="4" t="s">
        <v>49</v>
      </c>
      <c r="H86" s="4"/>
      <c r="I86" s="4"/>
      <c r="J86" s="4"/>
      <c r="K86" s="5"/>
      <c r="L86" s="58"/>
      <c r="M86" s="7"/>
      <c r="N86" s="59"/>
      <c r="O86" s="59"/>
      <c r="P86" s="59"/>
      <c r="Q86" s="59"/>
      <c r="R86" s="8"/>
      <c r="S86" s="8"/>
      <c r="T86" s="8"/>
      <c r="U86" s="8"/>
      <c r="V86" s="8"/>
      <c r="W86" s="8"/>
      <c r="X86" s="60"/>
      <c r="Y86" s="8"/>
      <c r="Z86" s="8"/>
      <c r="AA86" s="8"/>
      <c r="AB86" s="8"/>
      <c r="AC86" s="8"/>
      <c r="AD86" s="61"/>
      <c r="AE86" s="61"/>
      <c r="AF86" s="62"/>
      <c r="AG86" s="62"/>
      <c r="AH86" s="8"/>
      <c r="AI86" s="8"/>
      <c r="AJ86" s="4"/>
      <c r="AK86" s="4"/>
      <c r="AL86" s="9"/>
      <c r="AM86" s="9"/>
    </row>
    <row r="87" customFormat="false" ht="12.75" hidden="false" customHeight="false" outlineLevel="0" collapsed="false">
      <c r="A87" s="2" t="s">
        <v>44</v>
      </c>
      <c r="B87" s="2"/>
      <c r="C87" s="2" t="n">
        <v>1325</v>
      </c>
      <c r="D87" s="66" t="s">
        <v>264</v>
      </c>
      <c r="E87" s="4" t="s">
        <v>265</v>
      </c>
      <c r="F87" s="4" t="s">
        <v>114</v>
      </c>
      <c r="G87" s="4" t="s">
        <v>44</v>
      </c>
      <c r="H87" s="4" t="n">
        <v>1979</v>
      </c>
      <c r="I87" s="4"/>
      <c r="J87" s="4" t="s">
        <v>48</v>
      </c>
      <c r="K87" s="5" t="s">
        <v>44</v>
      </c>
      <c r="L87" s="58" t="s">
        <v>170</v>
      </c>
      <c r="M87" s="7" t="n">
        <v>144</v>
      </c>
      <c r="N87" s="59" t="n">
        <v>0.898</v>
      </c>
      <c r="O87" s="59" t="n">
        <v>0.896</v>
      </c>
      <c r="P87" s="59" t="n">
        <v>0.938</v>
      </c>
      <c r="Q87" s="59" t="n">
        <v>0.937</v>
      </c>
      <c r="R87" s="8" t="n">
        <v>1322843</v>
      </c>
      <c r="S87" s="8" t="n">
        <v>1252232</v>
      </c>
      <c r="T87" s="8" t="n">
        <f aca="false">IF(J87="regional",IF(R87&gt;0,R87*0.2975,S87*0.3484),S87*0.1939)</f>
        <v>393545.7925</v>
      </c>
      <c r="U87" s="8" t="n">
        <v>898928</v>
      </c>
      <c r="V87" s="8" t="n">
        <f aca="false">S87-U87</f>
        <v>353304</v>
      </c>
      <c r="W87" s="8" t="n">
        <v>6000</v>
      </c>
      <c r="X87" s="60" t="n">
        <f aca="false">Y87+Z87</f>
        <v>0</v>
      </c>
      <c r="Y87" s="8" t="n">
        <f aca="false">IF(B87="y",T87,0)</f>
        <v>0</v>
      </c>
      <c r="Z87" s="8"/>
      <c r="AA87" s="8" t="n">
        <f aca="false">AB87+AC87</f>
        <v>1645777.7925</v>
      </c>
      <c r="AB87" s="8" t="n">
        <f aca="false">IF(B87="y",0,T87)</f>
        <v>393545.7925</v>
      </c>
      <c r="AC87" s="8" t="n">
        <f aca="false">S87-Z87</f>
        <v>1252232</v>
      </c>
      <c r="AD87" s="61" t="n">
        <f aca="false">IF(K87="y",Z87,0)</f>
        <v>0</v>
      </c>
      <c r="AE87" s="61" t="n">
        <f aca="false">IF($K87="",Z87,0)+IF($K87="n",Z87,0)</f>
        <v>0</v>
      </c>
      <c r="AF87" s="62" t="n">
        <f aca="false">IF($K87="y",AC87,0)</f>
        <v>1252232</v>
      </c>
      <c r="AG87" s="62" t="n">
        <f aca="false">IF($K87="",AC87,0)+IF($K87="n",AC87,0)</f>
        <v>0</v>
      </c>
      <c r="AH87" s="8" t="n">
        <v>764000</v>
      </c>
      <c r="AI87" s="8" t="n">
        <v>598000</v>
      </c>
      <c r="AJ87" s="1" t="s">
        <v>51</v>
      </c>
      <c r="AK87" s="63" t="n">
        <v>913225</v>
      </c>
      <c r="AL87" s="9"/>
      <c r="AM87" s="9"/>
    </row>
    <row r="88" customFormat="false" ht="12.75" hidden="false" customHeight="false" outlineLevel="0" collapsed="false">
      <c r="A88" s="2" t="s">
        <v>44</v>
      </c>
      <c r="B88" s="2"/>
      <c r="C88" s="2" t="n">
        <v>1329</v>
      </c>
      <c r="D88" s="4" t="s">
        <v>266</v>
      </c>
      <c r="E88" s="4" t="s">
        <v>265</v>
      </c>
      <c r="F88" s="4" t="s">
        <v>114</v>
      </c>
      <c r="G88" s="4" t="s">
        <v>44</v>
      </c>
      <c r="H88" s="4" t="n">
        <v>1979</v>
      </c>
      <c r="I88" s="4"/>
      <c r="J88" s="4" t="s">
        <v>62</v>
      </c>
      <c r="K88" s="5"/>
      <c r="L88" s="58" t="s">
        <v>170</v>
      </c>
      <c r="M88" s="7"/>
      <c r="N88" s="59" t="n">
        <v>1</v>
      </c>
      <c r="O88" s="59" t="n">
        <v>1</v>
      </c>
      <c r="P88" s="59" t="n">
        <v>1</v>
      </c>
      <c r="Q88" s="59" t="n">
        <v>0.975</v>
      </c>
      <c r="R88" s="8"/>
      <c r="S88" s="8" t="n">
        <v>149140</v>
      </c>
      <c r="T88" s="8" t="n">
        <f aca="false">IF(J88="regional",IF(R88&gt;0,R88*0.2975,S88*0.3484),S88*0.1939)</f>
        <v>28918.246</v>
      </c>
      <c r="U88" s="8" t="n">
        <v>149140</v>
      </c>
      <c r="V88" s="8" t="n">
        <f aca="false">S88-U88</f>
        <v>0</v>
      </c>
      <c r="W88" s="8" t="n">
        <v>1660</v>
      </c>
      <c r="X88" s="60" t="n">
        <f aca="false">Y88+Z88</f>
        <v>0</v>
      </c>
      <c r="Y88" s="8" t="n">
        <f aca="false">IF(B88="y",T88,0)</f>
        <v>0</v>
      </c>
      <c r="Z88" s="8"/>
      <c r="AA88" s="8" t="n">
        <f aca="false">AB88+AC88</f>
        <v>178058.246</v>
      </c>
      <c r="AB88" s="8" t="n">
        <f aca="false">IF(B88="y",0,T88)</f>
        <v>28918.246</v>
      </c>
      <c r="AC88" s="8" t="n">
        <f aca="false">S88-Z88</f>
        <v>149140</v>
      </c>
      <c r="AD88" s="61" t="n">
        <f aca="false">IF(K88="y",Z88,0)</f>
        <v>0</v>
      </c>
      <c r="AE88" s="61" t="n">
        <f aca="false">IF($K88="",Z88,0)+IF($K88="n",Z88,0)</f>
        <v>0</v>
      </c>
      <c r="AF88" s="62" t="n">
        <f aca="false">IF($K88="y",AC88,0)</f>
        <v>0</v>
      </c>
      <c r="AG88" s="62" t="n">
        <f aca="false">IF($K88="",AC88,0)+IF($K88="n",AC88,0)</f>
        <v>149140</v>
      </c>
      <c r="AH88" s="8" t="n">
        <v>0</v>
      </c>
      <c r="AI88" s="8" t="n">
        <v>0</v>
      </c>
      <c r="AJ88" s="4"/>
      <c r="AK88" s="4"/>
      <c r="AL88" s="9"/>
      <c r="AM88" s="9"/>
    </row>
    <row r="89" customFormat="false" ht="12.75" hidden="false" customHeight="false" outlineLevel="0" collapsed="false">
      <c r="A89" s="2" t="s">
        <v>44</v>
      </c>
      <c r="B89" s="2"/>
      <c r="C89" s="2" t="n">
        <v>1331</v>
      </c>
      <c r="D89" s="4" t="s">
        <v>267</v>
      </c>
      <c r="E89" s="4" t="s">
        <v>268</v>
      </c>
      <c r="F89" s="4" t="s">
        <v>114</v>
      </c>
      <c r="G89" s="4" t="s">
        <v>44</v>
      </c>
      <c r="H89" s="4" t="n">
        <v>1979</v>
      </c>
      <c r="I89" s="4"/>
      <c r="J89" s="4" t="s">
        <v>62</v>
      </c>
      <c r="K89" s="5"/>
      <c r="L89" s="58" t="s">
        <v>141</v>
      </c>
      <c r="M89" s="7" t="n">
        <v>15</v>
      </c>
      <c r="N89" s="59" t="n">
        <v>0.735</v>
      </c>
      <c r="O89" s="59" t="n">
        <v>0.882</v>
      </c>
      <c r="P89" s="59" t="n">
        <v>0.973</v>
      </c>
      <c r="Q89" s="59" t="n">
        <v>0.992</v>
      </c>
      <c r="R89" s="8"/>
      <c r="S89" s="8" t="n">
        <v>261346</v>
      </c>
      <c r="T89" s="8" t="n">
        <f aca="false">IF(J89="regional",IF(R89&gt;0,R89*0.2975,S89*0.3484),S89*0.1939)</f>
        <v>50674.9894</v>
      </c>
      <c r="U89" s="8" t="n">
        <v>205774</v>
      </c>
      <c r="V89" s="8" t="n">
        <f aca="false">S89-U89</f>
        <v>55572</v>
      </c>
      <c r="W89" s="8" t="n">
        <v>1644</v>
      </c>
      <c r="X89" s="60" t="n">
        <f aca="false">Y89+Z89</f>
        <v>0</v>
      </c>
      <c r="Y89" s="8" t="n">
        <f aca="false">IF(B89="y",T89,0)</f>
        <v>0</v>
      </c>
      <c r="Z89" s="8"/>
      <c r="AA89" s="8" t="n">
        <f aca="false">AB89+AC89</f>
        <v>312020.9894</v>
      </c>
      <c r="AB89" s="8" t="n">
        <f aca="false">IF(B89="y",0,T89)</f>
        <v>50674.9894</v>
      </c>
      <c r="AC89" s="8" t="n">
        <f aca="false">S89-Z89</f>
        <v>261346</v>
      </c>
      <c r="AD89" s="61" t="n">
        <f aca="false">IF(K89="y",Z89,0)</f>
        <v>0</v>
      </c>
      <c r="AE89" s="61" t="n">
        <f aca="false">IF($K89="",Z89,0)+IF($K89="n",Z89,0)</f>
        <v>0</v>
      </c>
      <c r="AF89" s="62" t="n">
        <f aca="false">IF($K89="y",AC89,0)</f>
        <v>0</v>
      </c>
      <c r="AG89" s="62" t="n">
        <f aca="false">IF($K89="",AC89,0)+IF($K89="n",AC89,0)</f>
        <v>261346</v>
      </c>
      <c r="AH89" s="8" t="n">
        <v>0</v>
      </c>
      <c r="AI89" s="8" t="n">
        <v>0</v>
      </c>
      <c r="AJ89" s="4"/>
      <c r="AK89" s="4"/>
      <c r="AL89" s="9"/>
      <c r="AM89" s="9"/>
    </row>
    <row r="90" customFormat="false" ht="12.75" hidden="false" customHeight="false" outlineLevel="0" collapsed="false">
      <c r="A90" s="2" t="s">
        <v>44</v>
      </c>
      <c r="B90" s="2"/>
      <c r="C90" s="2" t="n">
        <v>8682</v>
      </c>
      <c r="D90" s="4" t="s">
        <v>269</v>
      </c>
      <c r="E90" s="4" t="s">
        <v>270</v>
      </c>
      <c r="F90" s="4" t="s">
        <v>75</v>
      </c>
      <c r="G90" s="4" t="s">
        <v>44</v>
      </c>
      <c r="H90" s="4" t="n">
        <v>1988</v>
      </c>
      <c r="I90" s="4"/>
      <c r="J90" s="4" t="s">
        <v>62</v>
      </c>
      <c r="K90" s="5"/>
      <c r="L90" s="58" t="s">
        <v>271</v>
      </c>
      <c r="M90" s="7" t="n">
        <v>12</v>
      </c>
      <c r="N90" s="59" t="n">
        <v>1</v>
      </c>
      <c r="O90" s="59" t="n">
        <v>1</v>
      </c>
      <c r="P90" s="59" t="n">
        <v>1</v>
      </c>
      <c r="Q90" s="59" t="n">
        <v>0.962</v>
      </c>
      <c r="R90" s="8"/>
      <c r="S90" s="8" t="n">
        <v>184003</v>
      </c>
      <c r="T90" s="8" t="n">
        <f aca="false">IF(J90="regional",IF(R90&gt;0,R90*0.2975,S90*0.3484),S90*0.1939)</f>
        <v>35678.1817</v>
      </c>
      <c r="U90" s="8" t="n">
        <v>154723</v>
      </c>
      <c r="V90" s="8" t="n">
        <f aca="false">S90-U90</f>
        <v>29280</v>
      </c>
      <c r="W90" s="8" t="n">
        <v>1100</v>
      </c>
      <c r="X90" s="60" t="n">
        <f aca="false">Y90+Z90</f>
        <v>0</v>
      </c>
      <c r="Y90" s="8" t="n">
        <f aca="false">IF(B90="y",T90,0)</f>
        <v>0</v>
      </c>
      <c r="Z90" s="8"/>
      <c r="AA90" s="8" t="n">
        <f aca="false">AB90+AC90</f>
        <v>219681.1817</v>
      </c>
      <c r="AB90" s="8" t="n">
        <f aca="false">IF(B90="y",0,T90)</f>
        <v>35678.1817</v>
      </c>
      <c r="AC90" s="8" t="n">
        <f aca="false">S90-Z90</f>
        <v>184003</v>
      </c>
      <c r="AD90" s="61" t="n">
        <f aca="false">IF(K90="y",Z90,0)</f>
        <v>0</v>
      </c>
      <c r="AE90" s="61" t="n">
        <f aca="false">IF($K90="",Z90,0)+IF($K90="n",Z90,0)</f>
        <v>0</v>
      </c>
      <c r="AF90" s="62" t="n">
        <f aca="false">IF($K90="y",AC90,0)</f>
        <v>0</v>
      </c>
      <c r="AG90" s="62" t="n">
        <f aca="false">IF($K90="",AC90,0)+IF($K90="n",AC90,0)</f>
        <v>184003</v>
      </c>
      <c r="AH90" s="8" t="n">
        <v>0</v>
      </c>
      <c r="AI90" s="8" t="n">
        <v>0</v>
      </c>
      <c r="AJ90" s="1" t="s">
        <v>51</v>
      </c>
      <c r="AK90" s="63" t="n">
        <v>27119</v>
      </c>
      <c r="AL90" s="9"/>
      <c r="AM90" s="9"/>
    </row>
    <row r="91" customFormat="false" ht="12.75" hidden="false" customHeight="false" outlineLevel="0" collapsed="false">
      <c r="A91" s="2" t="s">
        <v>44</v>
      </c>
      <c r="B91" s="2"/>
      <c r="C91" s="2" t="n">
        <v>8688</v>
      </c>
      <c r="D91" s="4" t="s">
        <v>272</v>
      </c>
      <c r="E91" s="4" t="s">
        <v>273</v>
      </c>
      <c r="F91" s="4" t="s">
        <v>75</v>
      </c>
      <c r="G91" s="4" t="s">
        <v>44</v>
      </c>
      <c r="H91" s="4" t="n">
        <v>1980</v>
      </c>
      <c r="I91" s="4"/>
      <c r="J91" s="4" t="s">
        <v>48</v>
      </c>
      <c r="K91" s="5"/>
      <c r="L91" s="58" t="s">
        <v>229</v>
      </c>
      <c r="M91" s="7" t="n">
        <v>112</v>
      </c>
      <c r="N91" s="59" t="n">
        <v>0.816</v>
      </c>
      <c r="O91" s="59" t="n">
        <v>0.831</v>
      </c>
      <c r="P91" s="59" t="n">
        <v>0.796</v>
      </c>
      <c r="Q91" s="59" t="n">
        <v>0.832</v>
      </c>
      <c r="R91" s="8" t="n">
        <v>829678</v>
      </c>
      <c r="S91" s="8" t="n">
        <v>805248</v>
      </c>
      <c r="T91" s="8" t="n">
        <f aca="false">IF(J91="regional",IF(R91&gt;0,R91*0.2975,S91*0.3484),S91*0.1939)</f>
        <v>246829.205</v>
      </c>
      <c r="U91" s="8" t="n">
        <v>568882</v>
      </c>
      <c r="V91" s="8" t="n">
        <f aca="false">S91-U91</f>
        <v>236366</v>
      </c>
      <c r="W91" s="8" t="n">
        <v>4890</v>
      </c>
      <c r="X91" s="60" t="n">
        <f aca="false">Y91+Z91</f>
        <v>0</v>
      </c>
      <c r="Y91" s="8" t="n">
        <f aca="false">IF(B91="y",T91,0)</f>
        <v>0</v>
      </c>
      <c r="Z91" s="8"/>
      <c r="AA91" s="8" t="n">
        <f aca="false">AB91+AC91</f>
        <v>1052077.205</v>
      </c>
      <c r="AB91" s="8" t="n">
        <f aca="false">IF(B91="y",0,T91)</f>
        <v>246829.205</v>
      </c>
      <c r="AC91" s="8" t="n">
        <f aca="false">S91-Z91</f>
        <v>805248</v>
      </c>
      <c r="AD91" s="61" t="n">
        <f aca="false">IF(K91="y",Z91,0)</f>
        <v>0</v>
      </c>
      <c r="AE91" s="61" t="n">
        <f aca="false">IF($K91="",Z91,0)+IF($K91="n",Z91,0)</f>
        <v>0</v>
      </c>
      <c r="AF91" s="62" t="n">
        <f aca="false">IF($K91="y",AC91,0)</f>
        <v>0</v>
      </c>
      <c r="AG91" s="62" t="n">
        <f aca="false">IF($K91="",AC91,0)+IF($K91="n",AC91,0)</f>
        <v>805248</v>
      </c>
      <c r="AH91" s="8" t="n">
        <v>0</v>
      </c>
      <c r="AI91" s="8" t="n">
        <v>0</v>
      </c>
      <c r="AJ91" s="1" t="s">
        <v>51</v>
      </c>
      <c r="AK91" s="63" t="n">
        <v>245502</v>
      </c>
      <c r="AL91" s="9"/>
      <c r="AM91" s="9"/>
    </row>
    <row r="92" customFormat="false" ht="12.75" hidden="false" customHeight="false" outlineLevel="0" collapsed="false">
      <c r="A92" s="2" t="s">
        <v>44</v>
      </c>
      <c r="B92" s="2"/>
      <c r="C92" s="2" t="n">
        <v>4824</v>
      </c>
      <c r="D92" s="67" t="s">
        <v>274</v>
      </c>
      <c r="E92" s="65" t="s">
        <v>275</v>
      </c>
      <c r="F92" s="4" t="s">
        <v>276</v>
      </c>
      <c r="G92" s="4" t="s">
        <v>49</v>
      </c>
      <c r="H92" s="4" t="n">
        <v>1984</v>
      </c>
      <c r="I92" s="4"/>
      <c r="J92" s="4" t="s">
        <v>48</v>
      </c>
      <c r="K92" s="5" t="s">
        <v>44</v>
      </c>
      <c r="L92" s="58" t="s">
        <v>277</v>
      </c>
      <c r="M92" s="7" t="n">
        <v>198</v>
      </c>
      <c r="N92" s="59" t="n">
        <v>0.914</v>
      </c>
      <c r="O92" s="59" t="n">
        <v>0.94</v>
      </c>
      <c r="P92" s="59" t="n">
        <v>0.925</v>
      </c>
      <c r="Q92" s="59" t="n">
        <v>0.952</v>
      </c>
      <c r="R92" s="8" t="n">
        <v>807096</v>
      </c>
      <c r="S92" s="8" t="n">
        <v>1240000</v>
      </c>
      <c r="T92" s="8" t="n">
        <f aca="false">IF(J92="regional",IF(R92&gt;0,R92*0.2975,S92*0.3484),S92*0.1939)</f>
        <v>240111.06</v>
      </c>
      <c r="U92" s="8" t="n">
        <v>807096</v>
      </c>
      <c r="V92" s="8" t="n">
        <f aca="false">S92-U92</f>
        <v>432904</v>
      </c>
      <c r="W92" s="8" t="n">
        <v>5900</v>
      </c>
      <c r="X92" s="60" t="n">
        <f aca="false">Y92+Z92</f>
        <v>0</v>
      </c>
      <c r="Y92" s="8" t="n">
        <f aca="false">IF(B92="y",T92,0)</f>
        <v>0</v>
      </c>
      <c r="Z92" s="8"/>
      <c r="AA92" s="8" t="n">
        <f aca="false">AB92+AC92</f>
        <v>1480111.06</v>
      </c>
      <c r="AB92" s="8" t="n">
        <f aca="false">IF(B92="y",0,T92)</f>
        <v>240111.06</v>
      </c>
      <c r="AC92" s="8" t="n">
        <f aca="false">S92-Z92</f>
        <v>1240000</v>
      </c>
      <c r="AD92" s="61" t="n">
        <f aca="false">IF(K92="y",Z92,0)</f>
        <v>0</v>
      </c>
      <c r="AE92" s="61" t="n">
        <f aca="false">IF($K92="",Z92,0)+IF($K92="n",Z92,0)</f>
        <v>0</v>
      </c>
      <c r="AF92" s="62" t="n">
        <f aca="false">IF($K92="y",AC92,0)</f>
        <v>1240000</v>
      </c>
      <c r="AG92" s="62" t="n">
        <f aca="false">IF($K92="",AC92,0)+IF($K92="n",AC92,0)</f>
        <v>0</v>
      </c>
      <c r="AH92" s="8" t="n">
        <v>1083000</v>
      </c>
      <c r="AI92" s="8" t="n">
        <v>965000</v>
      </c>
      <c r="AJ92" s="67"/>
      <c r="AK92" s="67"/>
      <c r="AL92" s="9"/>
      <c r="AM92" s="9"/>
    </row>
    <row r="93" customFormat="false" ht="12.75" hidden="false" customHeight="false" outlineLevel="0" collapsed="false">
      <c r="A93" s="2"/>
      <c r="B93" s="12" t="s">
        <v>44</v>
      </c>
      <c r="C93" s="12" t="n">
        <v>4825</v>
      </c>
      <c r="D93" s="65" t="s">
        <v>278</v>
      </c>
      <c r="E93" s="65" t="s">
        <v>279</v>
      </c>
      <c r="F93" s="68" t="s">
        <v>58</v>
      </c>
      <c r="G93" s="68" t="s">
        <v>44</v>
      </c>
      <c r="H93" s="68" t="n">
        <v>1980</v>
      </c>
      <c r="I93" s="68"/>
      <c r="J93" s="68" t="s">
        <v>48</v>
      </c>
      <c r="K93" s="70" t="s">
        <v>44</v>
      </c>
      <c r="L93" s="58" t="s">
        <v>280</v>
      </c>
      <c r="M93" s="71" t="n">
        <v>138</v>
      </c>
      <c r="N93" s="59" t="n">
        <v>0.963</v>
      </c>
      <c r="O93" s="59" t="n">
        <v>0.963</v>
      </c>
      <c r="P93" s="59" t="n">
        <v>0.925</v>
      </c>
      <c r="Q93" s="59" t="n">
        <v>0.952</v>
      </c>
      <c r="R93" s="8" t="n">
        <v>1332847</v>
      </c>
      <c r="S93" s="8" t="n">
        <v>1255000</v>
      </c>
      <c r="T93" s="8" t="n">
        <f aca="false">IF(J93="regional",IF(R93&gt;0,R93*0.2975,S93*0.3484),S93*0.1939)</f>
        <v>396521.9825</v>
      </c>
      <c r="U93" s="8" t="n">
        <v>887000</v>
      </c>
      <c r="V93" s="8" t="n">
        <f aca="false">S93-U93</f>
        <v>368000</v>
      </c>
      <c r="W93" s="8" t="n">
        <v>7000</v>
      </c>
      <c r="X93" s="60" t="n">
        <f aca="false">Y93+Z93</f>
        <v>856521.9825</v>
      </c>
      <c r="Y93" s="8" t="n">
        <f aca="false">IF(B93="y",T93,0)</f>
        <v>396521.9825</v>
      </c>
      <c r="Z93" s="8" t="n">
        <v>460000</v>
      </c>
      <c r="AA93" s="8" t="n">
        <f aca="false">AB93+AC93</f>
        <v>795000</v>
      </c>
      <c r="AB93" s="8" t="n">
        <f aca="false">IF(B93="y",0,T93)</f>
        <v>0</v>
      </c>
      <c r="AC93" s="8" t="n">
        <f aca="false">S93-Z93</f>
        <v>795000</v>
      </c>
      <c r="AD93" s="61" t="n">
        <f aca="false">IF(K93="y",Z93,0)</f>
        <v>460000</v>
      </c>
      <c r="AE93" s="61" t="n">
        <f aca="false">IF($K93="",Z93,0)+IF($K93="n",Z93,0)</f>
        <v>0</v>
      </c>
      <c r="AF93" s="62" t="n">
        <f aca="false">IF($K93="y",AC93,0)</f>
        <v>795000</v>
      </c>
      <c r="AG93" s="62" t="n">
        <f aca="false">IF($K93="",AC93,0)+IF($K93="n",AC93,0)</f>
        <v>0</v>
      </c>
      <c r="AH93" s="8" t="n">
        <v>812000</v>
      </c>
      <c r="AI93" s="8" t="n">
        <v>477000</v>
      </c>
      <c r="AJ93" s="65"/>
      <c r="AK93" s="65"/>
      <c r="AL93" s="9"/>
      <c r="AM93" s="9"/>
    </row>
    <row r="94" customFormat="false" ht="12.75" hidden="false" customHeight="false" outlineLevel="0" collapsed="false">
      <c r="A94" s="2" t="s">
        <v>44</v>
      </c>
      <c r="B94" s="2"/>
      <c r="C94" s="2" t="n">
        <v>1518</v>
      </c>
      <c r="D94" s="4" t="s">
        <v>281</v>
      </c>
      <c r="E94" s="4" t="s">
        <v>282</v>
      </c>
      <c r="F94" s="4" t="s">
        <v>208</v>
      </c>
      <c r="G94" s="4" t="s">
        <v>44</v>
      </c>
      <c r="H94" s="4" t="n">
        <v>1978</v>
      </c>
      <c r="I94" s="4"/>
      <c r="J94" s="4" t="s">
        <v>48</v>
      </c>
      <c r="K94" s="5" t="s">
        <v>44</v>
      </c>
      <c r="L94" s="58" t="s">
        <v>283</v>
      </c>
      <c r="M94" s="7" t="n">
        <v>78</v>
      </c>
      <c r="N94" s="59" t="n">
        <v>0.825</v>
      </c>
      <c r="O94" s="59" t="n">
        <v>0.867</v>
      </c>
      <c r="P94" s="59" t="n">
        <v>0.826</v>
      </c>
      <c r="Q94" s="59" t="n">
        <v>0.813</v>
      </c>
      <c r="R94" s="8" t="n">
        <v>652086</v>
      </c>
      <c r="S94" s="8" t="n">
        <v>628180</v>
      </c>
      <c r="T94" s="8" t="n">
        <f aca="false">IF(J94="regional",IF(R94&gt;0,R94*0.2975,S94*0.3484),S94*0.1939)</f>
        <v>193995.585</v>
      </c>
      <c r="U94" s="8" t="n">
        <v>382700</v>
      </c>
      <c r="V94" s="8" t="n">
        <f aca="false">S94-U94</f>
        <v>245480</v>
      </c>
      <c r="W94" s="8" t="n">
        <v>3500</v>
      </c>
      <c r="X94" s="60" t="n">
        <f aca="false">Y94+Z94</f>
        <v>0</v>
      </c>
      <c r="Y94" s="8" t="n">
        <f aca="false">IF(B94="y",T94,0)</f>
        <v>0</v>
      </c>
      <c r="Z94" s="8"/>
      <c r="AA94" s="8" t="n">
        <f aca="false">AB94+AC94</f>
        <v>822175.585</v>
      </c>
      <c r="AB94" s="8" t="n">
        <f aca="false">IF(B94="y",0,T94)</f>
        <v>193995.585</v>
      </c>
      <c r="AC94" s="8" t="n">
        <f aca="false">S94-Z94</f>
        <v>628180</v>
      </c>
      <c r="AD94" s="61" t="n">
        <f aca="false">IF(K94="y",Z94,0)</f>
        <v>0</v>
      </c>
      <c r="AE94" s="61" t="n">
        <f aca="false">IF($K94="",Z94,0)+IF($K94="n",Z94,0)</f>
        <v>0</v>
      </c>
      <c r="AF94" s="62" t="n">
        <f aca="false">IF($K94="y",AC94,0)</f>
        <v>628180</v>
      </c>
      <c r="AG94" s="62" t="n">
        <f aca="false">IF($K94="",AC94,0)+IF($K94="n",AC94,0)</f>
        <v>0</v>
      </c>
      <c r="AH94" s="8" t="n">
        <v>418000</v>
      </c>
      <c r="AI94" s="8" t="n">
        <v>378000</v>
      </c>
      <c r="AJ94" s="4"/>
      <c r="AK94" s="4"/>
      <c r="AL94" s="9"/>
      <c r="AM94" s="9"/>
    </row>
    <row r="95" customFormat="false" ht="12.75" hidden="false" customHeight="false" outlineLevel="0" collapsed="false">
      <c r="A95" s="2" t="s">
        <v>44</v>
      </c>
      <c r="B95" s="2"/>
      <c r="C95" s="2" t="n">
        <v>8735</v>
      </c>
      <c r="D95" s="4" t="s">
        <v>284</v>
      </c>
      <c r="E95" s="4" t="s">
        <v>228</v>
      </c>
      <c r="F95" s="4" t="s">
        <v>75</v>
      </c>
      <c r="G95" s="4" t="s">
        <v>44</v>
      </c>
      <c r="H95" s="4" t="n">
        <v>1991</v>
      </c>
      <c r="I95" s="4"/>
      <c r="J95" s="4" t="s">
        <v>62</v>
      </c>
      <c r="K95" s="5" t="s">
        <v>49</v>
      </c>
      <c r="L95" s="58" t="s">
        <v>229</v>
      </c>
      <c r="M95" s="7" t="n">
        <v>35</v>
      </c>
      <c r="N95" s="59" t="n">
        <v>0.996</v>
      </c>
      <c r="O95" s="59" t="n">
        <v>0.976</v>
      </c>
      <c r="P95" s="59" t="n">
        <v>0.992</v>
      </c>
      <c r="Q95" s="59" t="n">
        <v>0.826</v>
      </c>
      <c r="R95" s="8"/>
      <c r="S95" s="8" t="n">
        <v>431579</v>
      </c>
      <c r="T95" s="8" t="n">
        <f aca="false">IF(J95="regional",IF(R95&gt;0,R95*0.2975,S95*0.3484),S95*0.1939)</f>
        <v>83683.1681</v>
      </c>
      <c r="U95" s="8" t="n">
        <v>353962</v>
      </c>
      <c r="V95" s="8" t="n">
        <f aca="false">S95-U95</f>
        <v>77617</v>
      </c>
      <c r="W95" s="8" t="n">
        <v>2400</v>
      </c>
      <c r="X95" s="60" t="n">
        <f aca="false">Y95+Z95</f>
        <v>0</v>
      </c>
      <c r="Y95" s="8" t="n">
        <f aca="false">IF(B95="y",T95,0)</f>
        <v>0</v>
      </c>
      <c r="Z95" s="8"/>
      <c r="AA95" s="8" t="n">
        <f aca="false">AB95+AC95</f>
        <v>515262.1681</v>
      </c>
      <c r="AB95" s="8" t="n">
        <f aca="false">IF(B95="y",0,T95)</f>
        <v>83683.1681</v>
      </c>
      <c r="AC95" s="8" t="n">
        <f aca="false">S95-Z95</f>
        <v>431579</v>
      </c>
      <c r="AD95" s="61" t="n">
        <f aca="false">IF(K95="y",Z95,0)</f>
        <v>0</v>
      </c>
      <c r="AE95" s="61" t="n">
        <f aca="false">IF($K95="",Z95,0)+IF($K95="n",Z95,0)</f>
        <v>0</v>
      </c>
      <c r="AF95" s="62" t="n">
        <f aca="false">IF($K95="y",AC95,0)</f>
        <v>0</v>
      </c>
      <c r="AG95" s="62" t="n">
        <f aca="false">IF($K95="",AC95,0)+IF($K95="n",AC95,0)</f>
        <v>431579</v>
      </c>
      <c r="AH95" s="8" t="n">
        <v>0</v>
      </c>
      <c r="AI95" s="8" t="n">
        <v>0</v>
      </c>
      <c r="AJ95" s="4"/>
      <c r="AK95" s="4"/>
      <c r="AL95" s="9"/>
      <c r="AM95" s="9"/>
    </row>
    <row r="96" customFormat="false" ht="12.75" hidden="false" customHeight="false" outlineLevel="0" collapsed="false">
      <c r="A96" s="2"/>
      <c r="B96" s="2" t="s">
        <v>44</v>
      </c>
      <c r="C96" s="2" t="n">
        <v>4826</v>
      </c>
      <c r="D96" s="4" t="s">
        <v>285</v>
      </c>
      <c r="E96" s="4"/>
      <c r="F96" s="4"/>
      <c r="G96" s="4" t="s">
        <v>49</v>
      </c>
      <c r="H96" s="4"/>
      <c r="I96" s="4"/>
      <c r="J96" s="4"/>
      <c r="K96" s="5"/>
      <c r="L96" s="58"/>
      <c r="M96" s="7"/>
      <c r="N96" s="59"/>
      <c r="O96" s="59"/>
      <c r="P96" s="59"/>
      <c r="Q96" s="59"/>
      <c r="R96" s="8"/>
      <c r="S96" s="8"/>
      <c r="T96" s="8"/>
      <c r="U96" s="8"/>
      <c r="V96" s="8"/>
      <c r="W96" s="8"/>
      <c r="X96" s="60"/>
      <c r="Y96" s="8"/>
      <c r="Z96" s="8"/>
      <c r="AA96" s="8"/>
      <c r="AB96" s="8"/>
      <c r="AC96" s="8"/>
      <c r="AD96" s="61"/>
      <c r="AE96" s="61"/>
      <c r="AF96" s="62"/>
      <c r="AG96" s="62"/>
      <c r="AH96" s="8" t="n">
        <v>936000</v>
      </c>
      <c r="AI96" s="8" t="n">
        <v>708000</v>
      </c>
      <c r="AJ96" s="4"/>
      <c r="AK96" s="4"/>
      <c r="AL96" s="9"/>
      <c r="AM96" s="9"/>
    </row>
    <row r="97" customFormat="false" ht="12.75" hidden="false" customHeight="false" outlineLevel="0" collapsed="false">
      <c r="A97" s="2" t="s">
        <v>44</v>
      </c>
      <c r="B97" s="2"/>
      <c r="C97" s="2" t="n">
        <v>1552</v>
      </c>
      <c r="D97" s="4" t="s">
        <v>286</v>
      </c>
      <c r="E97" s="4" t="s">
        <v>287</v>
      </c>
      <c r="F97" s="4" t="s">
        <v>288</v>
      </c>
      <c r="G97" s="4" t="s">
        <v>44</v>
      </c>
      <c r="H97" s="4" t="n">
        <v>1985</v>
      </c>
      <c r="I97" s="4"/>
      <c r="J97" s="4" t="s">
        <v>48</v>
      </c>
      <c r="K97" s="5" t="s">
        <v>44</v>
      </c>
      <c r="L97" s="58" t="s">
        <v>289</v>
      </c>
      <c r="M97" s="7" t="n">
        <v>92</v>
      </c>
      <c r="N97" s="59" t="n">
        <v>0.735</v>
      </c>
      <c r="O97" s="59" t="n">
        <v>0.718</v>
      </c>
      <c r="P97" s="59" t="n">
        <v>0.706</v>
      </c>
      <c r="Q97" s="59" t="n">
        <v>0.743</v>
      </c>
      <c r="R97" s="8" t="n">
        <v>616089</v>
      </c>
      <c r="S97" s="8" t="n">
        <v>525771</v>
      </c>
      <c r="T97" s="8" t="n">
        <f aca="false">IF(J97="regional",IF(R97&gt;0,R97*0.2975,S97*0.3484),S97*0.1939)</f>
        <v>183286.4775</v>
      </c>
      <c r="U97" s="8" t="n">
        <v>277665</v>
      </c>
      <c r="V97" s="8" t="n">
        <f aca="false">S97-U97</f>
        <v>248106</v>
      </c>
      <c r="W97" s="8" t="n">
        <v>2472</v>
      </c>
      <c r="X97" s="60" t="n">
        <f aca="false">Y97+Z97</f>
        <v>0</v>
      </c>
      <c r="Y97" s="8" t="n">
        <f aca="false">IF(B97="y",T97,0)</f>
        <v>0</v>
      </c>
      <c r="Z97" s="8"/>
      <c r="AA97" s="8" t="n">
        <f aca="false">AB97+AC97</f>
        <v>709057.4775</v>
      </c>
      <c r="AB97" s="8" t="n">
        <f aca="false">IF(B97="y",0,T97)</f>
        <v>183286.4775</v>
      </c>
      <c r="AC97" s="8" t="n">
        <f aca="false">S97-Z97</f>
        <v>525771</v>
      </c>
      <c r="AD97" s="61" t="n">
        <f aca="false">IF(K97="y",Z97,0)</f>
        <v>0</v>
      </c>
      <c r="AE97" s="61" t="n">
        <f aca="false">IF($K97="",Z97,0)+IF($K97="n",Z97,0)</f>
        <v>0</v>
      </c>
      <c r="AF97" s="62" t="n">
        <f aca="false">IF($K97="y",AC97,0)</f>
        <v>525771</v>
      </c>
      <c r="AG97" s="62" t="n">
        <f aca="false">IF($K97="",AC97,0)+IF($K97="n",AC97,0)</f>
        <v>0</v>
      </c>
      <c r="AH97" s="8" t="n">
        <v>186000</v>
      </c>
      <c r="AI97" s="8" t="n">
        <v>221000</v>
      </c>
      <c r="AJ97" s="4"/>
      <c r="AK97" s="4"/>
      <c r="AL97" s="9"/>
      <c r="AM97" s="9"/>
    </row>
    <row r="98" customFormat="false" ht="12.75" hidden="false" customHeight="false" outlineLevel="0" collapsed="false">
      <c r="A98" s="2" t="s">
        <v>44</v>
      </c>
      <c r="B98" s="2" t="s">
        <v>44</v>
      </c>
      <c r="C98" s="2" t="n">
        <v>1704</v>
      </c>
      <c r="D98" s="64" t="s">
        <v>290</v>
      </c>
      <c r="E98" s="4" t="s">
        <v>291</v>
      </c>
      <c r="F98" s="4" t="s">
        <v>81</v>
      </c>
      <c r="G98" s="4" t="s">
        <v>44</v>
      </c>
      <c r="H98" s="4" t="n">
        <v>1994</v>
      </c>
      <c r="I98" s="4"/>
      <c r="J98" s="4" t="s">
        <v>48</v>
      </c>
      <c r="K98" s="5" t="s">
        <v>44</v>
      </c>
      <c r="L98" s="58" t="s">
        <v>292</v>
      </c>
      <c r="M98" s="7" t="n">
        <v>100</v>
      </c>
      <c r="N98" s="59" t="n">
        <v>0.856</v>
      </c>
      <c r="O98" s="59" t="n">
        <v>0.863</v>
      </c>
      <c r="P98" s="59" t="n">
        <v>0.724</v>
      </c>
      <c r="Q98" s="59" t="n">
        <v>0.769</v>
      </c>
      <c r="R98" s="8" t="n">
        <v>1347605</v>
      </c>
      <c r="S98" s="8" t="n">
        <v>862398</v>
      </c>
      <c r="T98" s="8" t="n">
        <f aca="false">IF(J98="regional",IF(R98&gt;0,R98*0.2975,S98*0.3484),S98*0.1939)</f>
        <v>400912.4875</v>
      </c>
      <c r="U98" s="8" t="n">
        <v>471463</v>
      </c>
      <c r="V98" s="8" t="n">
        <f aca="false">S98-U98</f>
        <v>390935</v>
      </c>
      <c r="W98" s="8" t="n">
        <v>4350</v>
      </c>
      <c r="X98" s="60" t="n">
        <f aca="false">Y98+Z98</f>
        <v>1188648.4875</v>
      </c>
      <c r="Y98" s="8" t="n">
        <f aca="false">IF(B98="y",T98,0)</f>
        <v>400912.4875</v>
      </c>
      <c r="Z98" s="8" t="n">
        <v>787736</v>
      </c>
      <c r="AA98" s="8" t="n">
        <f aca="false">AB98+AC98</f>
        <v>74662</v>
      </c>
      <c r="AB98" s="8" t="n">
        <f aca="false">IF(B98="y",0,T98)</f>
        <v>0</v>
      </c>
      <c r="AC98" s="8" t="n">
        <f aca="false">S98-Z98</f>
        <v>74662</v>
      </c>
      <c r="AD98" s="61" t="n">
        <f aca="false">IF(K98="y",Z98,0)</f>
        <v>787736</v>
      </c>
      <c r="AE98" s="61" t="n">
        <f aca="false">IF($K98="",Z98,0)+IF($K98="n",Z98,0)</f>
        <v>0</v>
      </c>
      <c r="AF98" s="62" t="n">
        <f aca="false">IF($K98="y",AC98,0)</f>
        <v>74662</v>
      </c>
      <c r="AG98" s="62" t="n">
        <f aca="false">IF($K98="",AC98,0)+IF($K98="n",AC98,0)</f>
        <v>0</v>
      </c>
      <c r="AH98" s="8" t="n">
        <v>779000</v>
      </c>
      <c r="AI98" s="8" t="n">
        <v>461000</v>
      </c>
      <c r="AJ98" s="1" t="s">
        <v>51</v>
      </c>
      <c r="AK98" s="63" t="n">
        <v>917210</v>
      </c>
      <c r="AL98" s="9"/>
      <c r="AM98" s="9"/>
    </row>
    <row r="99" customFormat="false" ht="12.75" hidden="false" customHeight="false" outlineLevel="0" collapsed="false">
      <c r="A99" s="2" t="s">
        <v>44</v>
      </c>
      <c r="B99" s="2"/>
      <c r="C99" s="2" t="n">
        <v>8807</v>
      </c>
      <c r="D99" s="4" t="s">
        <v>293</v>
      </c>
      <c r="E99" s="4" t="s">
        <v>294</v>
      </c>
      <c r="F99" s="4" t="s">
        <v>75</v>
      </c>
      <c r="G99" s="4" t="s">
        <v>49</v>
      </c>
      <c r="H99" s="4" t="n">
        <v>1997</v>
      </c>
      <c r="I99" s="4"/>
      <c r="J99" s="4" t="s">
        <v>62</v>
      </c>
      <c r="K99" s="5"/>
      <c r="L99" s="58" t="s">
        <v>295</v>
      </c>
      <c r="M99" s="7"/>
      <c r="N99" s="59" t="n">
        <v>0.984</v>
      </c>
      <c r="O99" s="59" t="n">
        <v>0.984</v>
      </c>
      <c r="P99" s="59" t="n">
        <v>0.97</v>
      </c>
      <c r="Q99" s="59" t="n">
        <v>0.826</v>
      </c>
      <c r="R99" s="8"/>
      <c r="S99" s="8" t="n">
        <v>263550</v>
      </c>
      <c r="T99" s="8" t="n">
        <f aca="false">IF(J99="regional",IF(R99&gt;0,R99*0.2975,S99*0.3484),S99*0.1939)</f>
        <v>51102.345</v>
      </c>
      <c r="U99" s="8" t="n">
        <v>253782</v>
      </c>
      <c r="V99" s="8" t="n">
        <f aca="false">S99-U99</f>
        <v>9768</v>
      </c>
      <c r="W99" s="8"/>
      <c r="X99" s="60" t="n">
        <f aca="false">Y99+Z99</f>
        <v>0</v>
      </c>
      <c r="Y99" s="8" t="n">
        <f aca="false">IF(B99="y",T99,0)</f>
        <v>0</v>
      </c>
      <c r="Z99" s="8"/>
      <c r="AA99" s="8" t="n">
        <f aca="false">AB99+AC99</f>
        <v>314652.345</v>
      </c>
      <c r="AB99" s="8" t="n">
        <f aca="false">IF(B99="y",0,T99)</f>
        <v>51102.345</v>
      </c>
      <c r="AC99" s="8" t="n">
        <f aca="false">S99-Z99</f>
        <v>263550</v>
      </c>
      <c r="AD99" s="61" t="n">
        <f aca="false">IF(K99="y",Z99,0)</f>
        <v>0</v>
      </c>
      <c r="AE99" s="61" t="n">
        <f aca="false">IF($K99="",Z99,0)+IF($K99="n",Z99,0)</f>
        <v>0</v>
      </c>
      <c r="AF99" s="62" t="n">
        <f aca="false">IF($K99="y",AC99,0)</f>
        <v>0</v>
      </c>
      <c r="AG99" s="62" t="n">
        <f aca="false">IF($K99="",AC99,0)+IF($K99="n",AC99,0)</f>
        <v>263550</v>
      </c>
      <c r="AH99" s="8" t="n">
        <v>0</v>
      </c>
      <c r="AI99" s="8" t="n">
        <v>0</v>
      </c>
      <c r="AJ99" s="4"/>
      <c r="AK99" s="4"/>
      <c r="AL99" s="9"/>
      <c r="AM99" s="9"/>
    </row>
    <row r="100" customFormat="false" ht="12.75" hidden="false" customHeight="false" outlineLevel="0" collapsed="false">
      <c r="A100" s="2" t="s">
        <v>44</v>
      </c>
      <c r="B100" s="2"/>
      <c r="C100" s="2" t="n">
        <v>8808</v>
      </c>
      <c r="D100" s="64" t="s">
        <v>296</v>
      </c>
      <c r="E100" s="4" t="s">
        <v>294</v>
      </c>
      <c r="F100" s="4" t="s">
        <v>75</v>
      </c>
      <c r="G100" s="4" t="s">
        <v>49</v>
      </c>
      <c r="H100" s="4" t="n">
        <v>1996</v>
      </c>
      <c r="I100" s="4"/>
      <c r="J100" s="4" t="s">
        <v>48</v>
      </c>
      <c r="K100" s="5" t="s">
        <v>44</v>
      </c>
      <c r="L100" s="58" t="s">
        <v>295</v>
      </c>
      <c r="M100" s="7" t="n">
        <v>106</v>
      </c>
      <c r="N100" s="59" t="n">
        <v>0.866</v>
      </c>
      <c r="O100" s="59" t="n">
        <v>0.866</v>
      </c>
      <c r="P100" s="59" t="n">
        <v>0.819</v>
      </c>
      <c r="Q100" s="59" t="n">
        <v>0.781</v>
      </c>
      <c r="R100" s="8" t="n">
        <v>701772</v>
      </c>
      <c r="S100" s="8" t="n">
        <v>750978</v>
      </c>
      <c r="T100" s="8" t="n">
        <f aca="false">IF(J100="regional",IF(R100&gt;0,R100*0.2975,S100*0.3484),S100*0.1939)</f>
        <v>208777.17</v>
      </c>
      <c r="U100" s="8" t="n">
        <v>447346</v>
      </c>
      <c r="V100" s="8" t="n">
        <f aca="false">S100-U100</f>
        <v>303632</v>
      </c>
      <c r="W100" s="8" t="n">
        <v>2758</v>
      </c>
      <c r="X100" s="60" t="n">
        <f aca="false">Y100+Z100</f>
        <v>0</v>
      </c>
      <c r="Y100" s="8" t="n">
        <f aca="false">IF(B100="y",T100,0)</f>
        <v>0</v>
      </c>
      <c r="Z100" s="8"/>
      <c r="AA100" s="8" t="n">
        <f aca="false">AB100+AC100</f>
        <v>959755.17</v>
      </c>
      <c r="AB100" s="8" t="n">
        <f aca="false">IF(B100="y",0,T100)</f>
        <v>208777.17</v>
      </c>
      <c r="AC100" s="8" t="n">
        <f aca="false">S100-Z100</f>
        <v>750978</v>
      </c>
      <c r="AD100" s="61" t="n">
        <f aca="false">IF(K100="y",Z100,0)</f>
        <v>0</v>
      </c>
      <c r="AE100" s="61" t="n">
        <f aca="false">IF($K100="",Z100,0)+IF($K100="n",Z100,0)</f>
        <v>0</v>
      </c>
      <c r="AF100" s="62" t="n">
        <f aca="false">IF($K100="y",AC100,0)</f>
        <v>750978</v>
      </c>
      <c r="AG100" s="62" t="n">
        <f aca="false">IF($K100="",AC100,0)+IF($K100="n",AC100,0)</f>
        <v>0</v>
      </c>
      <c r="AH100" s="8" t="n">
        <v>553000</v>
      </c>
      <c r="AI100" s="8" t="n">
        <v>583000</v>
      </c>
      <c r="AJ100" s="1" t="s">
        <v>51</v>
      </c>
      <c r="AK100" s="63" t="n">
        <v>608432</v>
      </c>
      <c r="AL100" s="9"/>
      <c r="AM100" s="9"/>
    </row>
    <row r="101" customFormat="false" ht="12.75" hidden="false" customHeight="false" outlineLevel="0" collapsed="false">
      <c r="A101" s="2" t="s">
        <v>44</v>
      </c>
      <c r="B101" s="2" t="s">
        <v>44</v>
      </c>
      <c r="C101" s="2" t="n">
        <v>1711</v>
      </c>
      <c r="D101" s="64" t="s">
        <v>297</v>
      </c>
      <c r="E101" s="4" t="s">
        <v>298</v>
      </c>
      <c r="F101" s="4" t="s">
        <v>54</v>
      </c>
      <c r="G101" s="4" t="s">
        <v>44</v>
      </c>
      <c r="H101" s="4" t="n">
        <v>1979</v>
      </c>
      <c r="I101" s="4"/>
      <c r="J101" s="4" t="s">
        <v>48</v>
      </c>
      <c r="K101" s="5" t="s">
        <v>44</v>
      </c>
      <c r="L101" s="58" t="s">
        <v>299</v>
      </c>
      <c r="M101" s="7" t="n">
        <v>159</v>
      </c>
      <c r="N101" s="59" t="n">
        <v>0.897</v>
      </c>
      <c r="O101" s="59" t="n">
        <v>0.912</v>
      </c>
      <c r="P101" s="59" t="n">
        <v>0.9</v>
      </c>
      <c r="Q101" s="59" t="n">
        <v>0.893</v>
      </c>
      <c r="R101" s="8" t="n">
        <v>1357308</v>
      </c>
      <c r="S101" s="8" t="n">
        <v>1127150</v>
      </c>
      <c r="T101" s="8" t="n">
        <f aca="false">IF(J101="regional",IF(R101&gt;0,R101*0.2975,S101*0.3484),S101*0.1939)</f>
        <v>403799.13</v>
      </c>
      <c r="U101" s="8" t="n">
        <v>751704</v>
      </c>
      <c r="V101" s="8" t="n">
        <f aca="false">S101-U101</f>
        <v>375446</v>
      </c>
      <c r="W101" s="8" t="n">
        <v>5000</v>
      </c>
      <c r="X101" s="60" t="n">
        <f aca="false">Y101+Z101</f>
        <v>950396.13</v>
      </c>
      <c r="Y101" s="8" t="n">
        <f aca="false">IF(B101="y",T101,0)</f>
        <v>403799.13</v>
      </c>
      <c r="Z101" s="8" t="n">
        <v>546597</v>
      </c>
      <c r="AA101" s="8" t="n">
        <f aca="false">AB101+AC101</f>
        <v>580553</v>
      </c>
      <c r="AB101" s="8" t="n">
        <f aca="false">IF(B101="y",0,T101)</f>
        <v>0</v>
      </c>
      <c r="AC101" s="8" t="n">
        <f aca="false">S101-Z101</f>
        <v>580553</v>
      </c>
      <c r="AD101" s="61" t="n">
        <f aca="false">IF(K101="y",Z101,0)</f>
        <v>546597</v>
      </c>
      <c r="AE101" s="61" t="n">
        <f aca="false">IF($K101="",Z101,0)+IF($K101="n",Z101,0)</f>
        <v>0</v>
      </c>
      <c r="AF101" s="62" t="n">
        <f aca="false">IF($K101="y",AC101,0)</f>
        <v>580553</v>
      </c>
      <c r="AG101" s="62" t="n">
        <f aca="false">IF($K101="",AC101,0)+IF($K101="n",AC101,0)</f>
        <v>0</v>
      </c>
      <c r="AH101" s="8" t="n">
        <v>621000</v>
      </c>
      <c r="AI101" s="8" t="n">
        <v>558000</v>
      </c>
      <c r="AJ101" s="1" t="s">
        <v>51</v>
      </c>
      <c r="AK101" s="63" t="n">
        <v>979997</v>
      </c>
      <c r="AL101" s="9"/>
      <c r="AM101" s="9"/>
    </row>
    <row r="102" customFormat="false" ht="12.75" hidden="false" customHeight="false" outlineLevel="0" collapsed="false">
      <c r="A102" s="2" t="s">
        <v>44</v>
      </c>
      <c r="B102" s="2"/>
      <c r="C102" s="2" t="n">
        <v>1712</v>
      </c>
      <c r="D102" s="4" t="s">
        <v>300</v>
      </c>
      <c r="E102" s="4" t="s">
        <v>298</v>
      </c>
      <c r="F102" s="4" t="s">
        <v>54</v>
      </c>
      <c r="G102" s="4" t="s">
        <v>44</v>
      </c>
      <c r="H102" s="4" t="n">
        <v>1980</v>
      </c>
      <c r="I102" s="4"/>
      <c r="J102" s="4" t="s">
        <v>62</v>
      </c>
      <c r="K102" s="5"/>
      <c r="L102" s="58" t="s">
        <v>299</v>
      </c>
      <c r="M102" s="7"/>
      <c r="N102" s="59" t="n">
        <v>1</v>
      </c>
      <c r="O102" s="59" t="n">
        <v>1</v>
      </c>
      <c r="P102" s="59" t="n">
        <v>1</v>
      </c>
      <c r="Q102" s="59" t="n">
        <v>1</v>
      </c>
      <c r="R102" s="8"/>
      <c r="S102" s="8" t="n">
        <v>111518</v>
      </c>
      <c r="T102" s="8" t="n">
        <f aca="false">IF(J102="regional",IF(R102&gt;0,R102*0.2975,S102*0.3484),S102*0.1939)</f>
        <v>21623.3402</v>
      </c>
      <c r="U102" s="8" t="n">
        <v>111518</v>
      </c>
      <c r="V102" s="8" t="n">
        <f aca="false">S102-U102</f>
        <v>0</v>
      </c>
      <c r="W102" s="8" t="n">
        <v>600</v>
      </c>
      <c r="X102" s="60" t="n">
        <f aca="false">Y102+Z102</f>
        <v>0</v>
      </c>
      <c r="Y102" s="8" t="n">
        <f aca="false">IF(B102="y",T102,0)</f>
        <v>0</v>
      </c>
      <c r="Z102" s="8"/>
      <c r="AA102" s="8" t="n">
        <f aca="false">AB102+AC102</f>
        <v>133141.3402</v>
      </c>
      <c r="AB102" s="8" t="n">
        <f aca="false">IF(B102="y",0,T102)</f>
        <v>21623.3402</v>
      </c>
      <c r="AC102" s="8" t="n">
        <f aca="false">S102-Z102</f>
        <v>111518</v>
      </c>
      <c r="AD102" s="61" t="n">
        <f aca="false">IF(K102="y",Z102,0)</f>
        <v>0</v>
      </c>
      <c r="AE102" s="61" t="n">
        <f aca="false">IF($K102="",Z102,0)+IF($K102="n",Z102,0)</f>
        <v>0</v>
      </c>
      <c r="AF102" s="62" t="n">
        <f aca="false">IF($K102="y",AC102,0)</f>
        <v>0</v>
      </c>
      <c r="AG102" s="62" t="n">
        <f aca="false">IF($K102="",AC102,0)+IF($K102="n",AC102,0)</f>
        <v>111518</v>
      </c>
      <c r="AH102" s="8" t="n">
        <v>0</v>
      </c>
      <c r="AI102" s="8" t="n">
        <v>0</v>
      </c>
      <c r="AJ102" s="1" t="s">
        <v>51</v>
      </c>
      <c r="AK102" s="63" t="n">
        <v>12512</v>
      </c>
      <c r="AL102" s="9"/>
      <c r="AM102" s="9"/>
    </row>
    <row r="103" customFormat="false" ht="12.75" hidden="false" customHeight="false" outlineLevel="0" collapsed="false">
      <c r="A103" s="2" t="s">
        <v>44</v>
      </c>
      <c r="B103" s="2"/>
      <c r="C103" s="2" t="n">
        <v>1731</v>
      </c>
      <c r="D103" s="66" t="s">
        <v>301</v>
      </c>
      <c r="E103" s="4" t="s">
        <v>302</v>
      </c>
      <c r="F103" s="4" t="s">
        <v>54</v>
      </c>
      <c r="G103" s="4" t="s">
        <v>44</v>
      </c>
      <c r="H103" s="4" t="n">
        <v>1971</v>
      </c>
      <c r="I103" s="4"/>
      <c r="J103" s="4" t="s">
        <v>48</v>
      </c>
      <c r="K103" s="5" t="s">
        <v>44</v>
      </c>
      <c r="L103" s="58" t="s">
        <v>303</v>
      </c>
      <c r="M103" s="7" t="n">
        <v>152</v>
      </c>
      <c r="N103" s="59" t="n">
        <v>0.869</v>
      </c>
      <c r="O103" s="59" t="n">
        <v>0.885</v>
      </c>
      <c r="P103" s="59" t="n">
        <v>0.842</v>
      </c>
      <c r="Q103" s="59" t="n">
        <v>0.939</v>
      </c>
      <c r="R103" s="8" t="n">
        <v>1215199</v>
      </c>
      <c r="S103" s="8" t="n">
        <v>1105235</v>
      </c>
      <c r="T103" s="8" t="n">
        <f aca="false">IF(J103="regional",IF(R103&gt;0,R103*0.2975,S103*0.3484),S103*0.1939)</f>
        <v>361521.7025</v>
      </c>
      <c r="U103" s="8" t="n">
        <v>740284</v>
      </c>
      <c r="V103" s="8" t="n">
        <f aca="false">S103-U103</f>
        <v>364951</v>
      </c>
      <c r="W103" s="8" t="n">
        <v>4144</v>
      </c>
      <c r="X103" s="60" t="n">
        <f aca="false">Y103+Z103</f>
        <v>0</v>
      </c>
      <c r="Y103" s="8" t="n">
        <f aca="false">IF(B103="y",T103,0)</f>
        <v>0</v>
      </c>
      <c r="Z103" s="8"/>
      <c r="AA103" s="8" t="n">
        <f aca="false">AB103+AC103</f>
        <v>1466756.7025</v>
      </c>
      <c r="AB103" s="8" t="n">
        <f aca="false">IF(B103="y",0,T103)</f>
        <v>361521.7025</v>
      </c>
      <c r="AC103" s="8" t="n">
        <f aca="false">S103-Z103</f>
        <v>1105235</v>
      </c>
      <c r="AD103" s="61" t="n">
        <f aca="false">IF(K103="y",Z103,0)</f>
        <v>0</v>
      </c>
      <c r="AE103" s="61" t="n">
        <f aca="false">IF($K103="",Z103,0)+IF($K103="n",Z103,0)</f>
        <v>0</v>
      </c>
      <c r="AF103" s="62" t="n">
        <f aca="false">IF($K103="y",AC103,0)</f>
        <v>1105235</v>
      </c>
      <c r="AG103" s="62" t="n">
        <f aca="false">IF($K103="",AC103,0)+IF($K103="n",AC103,0)</f>
        <v>0</v>
      </c>
      <c r="AH103" s="8" t="n">
        <v>813000</v>
      </c>
      <c r="AI103" s="8" t="n">
        <v>678000</v>
      </c>
      <c r="AJ103" s="1" t="s">
        <v>51</v>
      </c>
      <c r="AK103" s="63" t="n">
        <v>403984</v>
      </c>
      <c r="AL103" s="9"/>
      <c r="AM103" s="9"/>
    </row>
    <row r="104" customFormat="false" ht="12.75" hidden="false" customHeight="false" outlineLevel="0" collapsed="false">
      <c r="A104" s="2"/>
      <c r="B104" s="2" t="s">
        <v>44</v>
      </c>
      <c r="C104" s="2" t="n">
        <v>3811</v>
      </c>
      <c r="D104" s="64" t="s">
        <v>304</v>
      </c>
      <c r="E104" s="4" t="s">
        <v>305</v>
      </c>
      <c r="F104" s="4" t="s">
        <v>151</v>
      </c>
      <c r="G104" s="4" t="s">
        <v>44</v>
      </c>
      <c r="H104" s="4" t="n">
        <v>1983</v>
      </c>
      <c r="I104" s="4"/>
      <c r="J104" s="4" t="s">
        <v>48</v>
      </c>
      <c r="K104" s="5" t="s">
        <v>44</v>
      </c>
      <c r="L104" s="58" t="s">
        <v>306</v>
      </c>
      <c r="M104" s="7" t="n">
        <v>112</v>
      </c>
      <c r="N104" s="59" t="n">
        <v>0.934</v>
      </c>
      <c r="O104" s="59" t="n">
        <v>0.934</v>
      </c>
      <c r="P104" s="59" t="n">
        <v>0.941</v>
      </c>
      <c r="Q104" s="59" t="n">
        <v>0.905</v>
      </c>
      <c r="R104" s="8" t="n">
        <v>777054</v>
      </c>
      <c r="S104" s="8" t="n">
        <v>583605</v>
      </c>
      <c r="T104" s="8" t="n">
        <f aca="false">IF(J104="regional",IF(R104&gt;0,R104*0.2975,S104*0.3484),S104*0.1939)</f>
        <v>231173.565</v>
      </c>
      <c r="U104" s="8" t="n">
        <v>311865</v>
      </c>
      <c r="V104" s="8" t="n">
        <f aca="false">S104-U104</f>
        <v>271740</v>
      </c>
      <c r="W104" s="8" t="n">
        <v>2950</v>
      </c>
      <c r="X104" s="60" t="n">
        <f aca="false">Y104+Z104</f>
        <v>674821.565</v>
      </c>
      <c r="Y104" s="8" t="n">
        <f aca="false">IF(B104="y",T104,0)</f>
        <v>231173.565</v>
      </c>
      <c r="Z104" s="8" t="n">
        <v>443648</v>
      </c>
      <c r="AA104" s="8" t="n">
        <f aca="false">AB104+AC104</f>
        <v>139957</v>
      </c>
      <c r="AB104" s="8" t="n">
        <f aca="false">IF(B104="y",0,T104)</f>
        <v>0</v>
      </c>
      <c r="AC104" s="8" t="n">
        <f aca="false">S104-Z104</f>
        <v>139957</v>
      </c>
      <c r="AD104" s="61" t="n">
        <f aca="false">IF(K104="y",Z104,0)</f>
        <v>443648</v>
      </c>
      <c r="AE104" s="61" t="n">
        <f aca="false">IF($K104="",Z104,0)+IF($K104="n",Z104,0)</f>
        <v>0</v>
      </c>
      <c r="AF104" s="62" t="n">
        <f aca="false">IF($K104="y",AC104,0)</f>
        <v>139957</v>
      </c>
      <c r="AG104" s="62" t="n">
        <f aca="false">IF($K104="",AC104,0)+IF($K104="n",AC104,0)</f>
        <v>0</v>
      </c>
      <c r="AH104" s="8" t="n">
        <v>1144000</v>
      </c>
      <c r="AI104" s="8" t="n">
        <v>825000</v>
      </c>
      <c r="AJ104" s="1" t="s">
        <v>91</v>
      </c>
      <c r="AK104" s="63" t="n">
        <v>317577</v>
      </c>
      <c r="AL104" s="9"/>
      <c r="AM104" s="9"/>
    </row>
    <row r="105" customFormat="false" ht="12.75" hidden="false" customHeight="false" outlineLevel="0" collapsed="false">
      <c r="A105" s="2" t="s">
        <v>44</v>
      </c>
      <c r="B105" s="2"/>
      <c r="C105" s="12" t="n">
        <v>2110</v>
      </c>
      <c r="D105" s="68" t="s">
        <v>307</v>
      </c>
      <c r="E105" s="4"/>
      <c r="F105" s="4"/>
      <c r="G105" s="4" t="s">
        <v>49</v>
      </c>
      <c r="H105" s="4"/>
      <c r="I105" s="4"/>
      <c r="J105" s="4"/>
      <c r="K105" s="5"/>
      <c r="L105" s="58"/>
      <c r="M105" s="7"/>
      <c r="N105" s="59"/>
      <c r="O105" s="59"/>
      <c r="P105" s="59"/>
      <c r="Q105" s="59"/>
      <c r="R105" s="8"/>
      <c r="S105" s="8"/>
      <c r="T105" s="8"/>
      <c r="U105" s="8"/>
      <c r="V105" s="8"/>
      <c r="W105" s="8"/>
      <c r="X105" s="60"/>
      <c r="Y105" s="8"/>
      <c r="Z105" s="8"/>
      <c r="AA105" s="8"/>
      <c r="AB105" s="8"/>
      <c r="AC105" s="8"/>
      <c r="AD105" s="61"/>
      <c r="AE105" s="61"/>
      <c r="AF105" s="62"/>
      <c r="AG105" s="62"/>
      <c r="AH105" s="8" t="n">
        <v>0</v>
      </c>
      <c r="AI105" s="8" t="n">
        <v>0</v>
      </c>
      <c r="AK105" s="63"/>
      <c r="AL105" s="9"/>
      <c r="AM105" s="9"/>
    </row>
    <row r="106" customFormat="false" ht="12.75" hidden="false" customHeight="false" outlineLevel="0" collapsed="false">
      <c r="A106" s="2"/>
      <c r="B106" s="2"/>
      <c r="C106" s="12" t="n">
        <v>2111</v>
      </c>
      <c r="D106" s="68" t="s">
        <v>307</v>
      </c>
      <c r="E106" s="4"/>
      <c r="F106" s="4"/>
      <c r="G106" s="4" t="s">
        <v>49</v>
      </c>
      <c r="H106" s="4"/>
      <c r="I106" s="4"/>
      <c r="J106" s="4"/>
      <c r="K106" s="5"/>
      <c r="L106" s="58"/>
      <c r="M106" s="7"/>
      <c r="N106" s="59"/>
      <c r="O106" s="59"/>
      <c r="P106" s="59"/>
      <c r="Q106" s="59"/>
      <c r="R106" s="8"/>
      <c r="S106" s="8"/>
      <c r="T106" s="8"/>
      <c r="U106" s="8"/>
      <c r="V106" s="8"/>
      <c r="W106" s="8"/>
      <c r="X106" s="60"/>
      <c r="Y106" s="8"/>
      <c r="Z106" s="8"/>
      <c r="AA106" s="8"/>
      <c r="AB106" s="8"/>
      <c r="AC106" s="8"/>
      <c r="AD106" s="61"/>
      <c r="AE106" s="61"/>
      <c r="AF106" s="62"/>
      <c r="AG106" s="62"/>
      <c r="AH106" s="8"/>
      <c r="AI106" s="8"/>
      <c r="AK106" s="63"/>
      <c r="AL106" s="9"/>
      <c r="AM106" s="9"/>
    </row>
    <row r="107" customFormat="false" ht="12.75" hidden="false" customHeight="false" outlineLevel="0" collapsed="false">
      <c r="A107" s="2" t="s">
        <v>44</v>
      </c>
      <c r="B107" s="2"/>
      <c r="C107" s="2" t="n">
        <v>2114</v>
      </c>
      <c r="D107" s="4" t="s">
        <v>308</v>
      </c>
      <c r="E107" s="4" t="s">
        <v>113</v>
      </c>
      <c r="F107" s="4" t="s">
        <v>114</v>
      </c>
      <c r="G107" s="4" t="s">
        <v>44</v>
      </c>
      <c r="H107" s="4" t="n">
        <v>1997</v>
      </c>
      <c r="I107" s="4"/>
      <c r="J107" s="4" t="s">
        <v>62</v>
      </c>
      <c r="K107" s="5"/>
      <c r="L107" s="58" t="s">
        <v>115</v>
      </c>
      <c r="M107" s="7"/>
      <c r="R107" s="8"/>
      <c r="S107" s="8"/>
      <c r="T107" s="8" t="n">
        <f aca="false">IF(J107="regional",IF(R107&gt;0,R107*0.2975,S107*0.3484),S107*0.1939)</f>
        <v>0</v>
      </c>
      <c r="U107" s="8" t="n">
        <v>29140</v>
      </c>
      <c r="V107" s="8" t="n">
        <f aca="false">S107-U107</f>
        <v>-29140</v>
      </c>
      <c r="W107" s="8"/>
      <c r="X107" s="60" t="n">
        <f aca="false">Y107+Z107</f>
        <v>0</v>
      </c>
      <c r="Y107" s="8" t="n">
        <f aca="false">IF(B107="y",T107,0)</f>
        <v>0</v>
      </c>
      <c r="Z107" s="8"/>
      <c r="AA107" s="8" t="n">
        <f aca="false">AB107+AC107</f>
        <v>0</v>
      </c>
      <c r="AB107" s="8" t="n">
        <f aca="false">IF(B107="y",0,T107)</f>
        <v>0</v>
      </c>
      <c r="AC107" s="8" t="n">
        <f aca="false">S107-Z107</f>
        <v>0</v>
      </c>
      <c r="AD107" s="61" t="n">
        <f aca="false">IF(K107="y",Z107,0)</f>
        <v>0</v>
      </c>
      <c r="AE107" s="61" t="n">
        <f aca="false">IF($K107="",Z107,0)+IF($K107="n",Z107,0)</f>
        <v>0</v>
      </c>
      <c r="AF107" s="62" t="n">
        <f aca="false">IF($K107="y",AC107,0)</f>
        <v>0</v>
      </c>
      <c r="AG107" s="62" t="n">
        <f aca="false">IF($K107="",AC107,0)+IF($K107="n",AC107,0)</f>
        <v>0</v>
      </c>
      <c r="AH107" s="8" t="n">
        <v>0</v>
      </c>
      <c r="AI107" s="8" t="n">
        <v>0</v>
      </c>
      <c r="AJ107" s="4"/>
      <c r="AK107" s="4"/>
      <c r="AL107" s="9"/>
      <c r="AM107" s="9"/>
    </row>
    <row r="108" customFormat="false" ht="12.75" hidden="false" customHeight="false" outlineLevel="0" collapsed="false">
      <c r="A108" s="2"/>
      <c r="B108" s="2" t="s">
        <v>44</v>
      </c>
      <c r="C108" s="2" t="n">
        <v>906</v>
      </c>
      <c r="D108" s="64" t="s">
        <v>309</v>
      </c>
      <c r="E108" s="4" t="s">
        <v>310</v>
      </c>
      <c r="F108" s="4" t="s">
        <v>311</v>
      </c>
      <c r="G108" s="4" t="s">
        <v>44</v>
      </c>
      <c r="H108" s="4" t="n">
        <v>1984</v>
      </c>
      <c r="I108" s="4"/>
      <c r="J108" s="4" t="s">
        <v>48</v>
      </c>
      <c r="K108" s="5" t="s">
        <v>44</v>
      </c>
      <c r="L108" s="58" t="s">
        <v>312</v>
      </c>
      <c r="M108" s="7" t="n">
        <v>165</v>
      </c>
      <c r="N108" s="59" t="n">
        <v>0.815</v>
      </c>
      <c r="O108" s="59" t="n">
        <v>0.815</v>
      </c>
      <c r="P108" s="59" t="n">
        <v>0.871</v>
      </c>
      <c r="Q108" s="59" t="n">
        <v>0.812</v>
      </c>
      <c r="R108" s="8" t="n">
        <v>1238108</v>
      </c>
      <c r="S108" s="8" t="n">
        <v>983413</v>
      </c>
      <c r="T108" s="8" t="n">
        <f aca="false">IF(J108="regional",IF(R108&gt;0,R108*0.2975,S108*0.3484),S108*0.1939)</f>
        <v>368337.13</v>
      </c>
      <c r="U108" s="8" t="n">
        <v>597028</v>
      </c>
      <c r="V108" s="8" t="n">
        <f aca="false">S108-U108</f>
        <v>386385</v>
      </c>
      <c r="W108" s="8" t="n">
        <v>4846</v>
      </c>
      <c r="X108" s="60" t="n">
        <f aca="false">Y108+Z108</f>
        <v>917350.13</v>
      </c>
      <c r="Y108" s="8" t="n">
        <f aca="false">IF(B108="y",T108,0)</f>
        <v>368337.13</v>
      </c>
      <c r="Z108" s="8" t="n">
        <v>549013</v>
      </c>
      <c r="AA108" s="8" t="n">
        <f aca="false">AB108+AC108</f>
        <v>434400</v>
      </c>
      <c r="AB108" s="8" t="n">
        <f aca="false">IF(B108="y",0,T108)</f>
        <v>0</v>
      </c>
      <c r="AC108" s="8" t="n">
        <f aca="false">S108-Z108</f>
        <v>434400</v>
      </c>
      <c r="AD108" s="61" t="n">
        <f aca="false">IF(K108="y",Z108,0)</f>
        <v>549013</v>
      </c>
      <c r="AE108" s="61" t="n">
        <f aca="false">IF($K108="",Z108,0)+IF($K108="n",Z108,0)</f>
        <v>0</v>
      </c>
      <c r="AF108" s="62" t="n">
        <f aca="false">IF($K108="y",AC108,0)</f>
        <v>434400</v>
      </c>
      <c r="AG108" s="62" t="n">
        <f aca="false">IF($K108="",AC108,0)+IF($K108="n",AC108,0)</f>
        <v>0</v>
      </c>
      <c r="AH108" s="8" t="n">
        <v>581000</v>
      </c>
      <c r="AI108" s="8" t="n">
        <v>561000</v>
      </c>
      <c r="AJ108" s="1" t="s">
        <v>51</v>
      </c>
      <c r="AK108" s="63" t="n">
        <v>738949</v>
      </c>
      <c r="AL108" s="9"/>
      <c r="AM108" s="9"/>
    </row>
    <row r="109" customFormat="false" ht="12.75" hidden="false" customHeight="false" outlineLevel="0" collapsed="false">
      <c r="A109" s="2" t="s">
        <v>44</v>
      </c>
      <c r="B109" s="2"/>
      <c r="C109" s="2" t="n">
        <v>907</v>
      </c>
      <c r="D109" s="4" t="s">
        <v>313</v>
      </c>
      <c r="E109" s="4" t="s">
        <v>310</v>
      </c>
      <c r="F109" s="4" t="s">
        <v>311</v>
      </c>
      <c r="G109" s="4" t="s">
        <v>44</v>
      </c>
      <c r="H109" s="4" t="n">
        <v>1987</v>
      </c>
      <c r="I109" s="4"/>
      <c r="J109" s="4" t="s">
        <v>62</v>
      </c>
      <c r="K109" s="5"/>
      <c r="L109" s="58" t="s">
        <v>312</v>
      </c>
      <c r="M109" s="7"/>
      <c r="N109" s="59" t="n">
        <v>1</v>
      </c>
      <c r="O109" s="59" t="n">
        <v>1</v>
      </c>
      <c r="P109" s="59" t="n">
        <v>0.604</v>
      </c>
      <c r="Q109" s="59" t="n">
        <v>1</v>
      </c>
      <c r="R109" s="8"/>
      <c r="S109" s="8" t="n">
        <v>180310</v>
      </c>
      <c r="T109" s="8" t="n">
        <f aca="false">IF(J109="regional",IF(R109&gt;0,R109*0.2975,S109*0.3484),S109*0.1939)</f>
        <v>34962.109</v>
      </c>
      <c r="U109" s="8" t="n">
        <v>180355</v>
      </c>
      <c r="V109" s="8" t="n">
        <f aca="false">S109-U109</f>
        <v>-45</v>
      </c>
      <c r="W109" s="8" t="n">
        <v>700</v>
      </c>
      <c r="X109" s="60" t="n">
        <f aca="false">Y109+Z109</f>
        <v>0</v>
      </c>
      <c r="Y109" s="8" t="n">
        <f aca="false">IF(B109="y",T109,0)</f>
        <v>0</v>
      </c>
      <c r="Z109" s="8"/>
      <c r="AA109" s="8" t="n">
        <f aca="false">AB109+AC109</f>
        <v>215272.109</v>
      </c>
      <c r="AB109" s="8" t="n">
        <f aca="false">IF(B109="y",0,T109)</f>
        <v>34962.109</v>
      </c>
      <c r="AC109" s="8" t="n">
        <f aca="false">S109-Z109</f>
        <v>180310</v>
      </c>
      <c r="AD109" s="61" t="n">
        <f aca="false">IF(K109="y",Z109,0)</f>
        <v>0</v>
      </c>
      <c r="AE109" s="61" t="n">
        <f aca="false">IF($K109="",Z109,0)+IF($K109="n",Z109,0)</f>
        <v>0</v>
      </c>
      <c r="AF109" s="62" t="n">
        <f aca="false">IF($K109="y",AC109,0)</f>
        <v>0</v>
      </c>
      <c r="AG109" s="62" t="n">
        <f aca="false">IF($K109="",AC109,0)+IF($K109="n",AC109,0)</f>
        <v>180310</v>
      </c>
      <c r="AH109" s="8" t="n">
        <v>0</v>
      </c>
      <c r="AI109" s="8" t="n">
        <v>0</v>
      </c>
      <c r="AJ109" s="1" t="s">
        <v>51</v>
      </c>
      <c r="AK109" s="63" t="n">
        <v>5400</v>
      </c>
      <c r="AL109" s="9"/>
      <c r="AM109" s="9"/>
    </row>
    <row r="110" customFormat="false" ht="12.75" hidden="false" customHeight="false" outlineLevel="0" collapsed="false">
      <c r="A110" s="2" t="s">
        <v>44</v>
      </c>
      <c r="B110" s="2"/>
      <c r="C110" s="2" t="n">
        <v>2546</v>
      </c>
      <c r="D110" s="4" t="s">
        <v>314</v>
      </c>
      <c r="E110" s="4" t="s">
        <v>315</v>
      </c>
      <c r="F110" s="4" t="s">
        <v>54</v>
      </c>
      <c r="G110" s="4" t="s">
        <v>44</v>
      </c>
      <c r="H110" s="4" t="n">
        <v>1976</v>
      </c>
      <c r="I110" s="4"/>
      <c r="J110" s="4" t="s">
        <v>48</v>
      </c>
      <c r="K110" s="5" t="s">
        <v>44</v>
      </c>
      <c r="L110" s="58" t="s">
        <v>316</v>
      </c>
      <c r="M110" s="7" t="n">
        <v>114</v>
      </c>
      <c r="N110" s="59" t="n">
        <v>0.939</v>
      </c>
      <c r="O110" s="59" t="n">
        <v>0.992</v>
      </c>
      <c r="P110" s="59" t="n">
        <v>0.989</v>
      </c>
      <c r="Q110" s="59" t="n">
        <v>0.977</v>
      </c>
      <c r="R110" s="8" t="n">
        <v>1049405</v>
      </c>
      <c r="S110" s="8" t="n">
        <v>959100</v>
      </c>
      <c r="T110" s="8" t="n">
        <f aca="false">IF(J110="regional",IF(R110&gt;0,R110*0.2975,S110*0.3484),S110*0.1939)</f>
        <v>312197.9875</v>
      </c>
      <c r="U110" s="8" t="n">
        <v>639742</v>
      </c>
      <c r="V110" s="8" t="n">
        <f aca="false">S110-U110</f>
        <v>319358</v>
      </c>
      <c r="W110" s="8" t="n">
        <v>4100</v>
      </c>
      <c r="X110" s="60" t="n">
        <f aca="false">Y110+Z110</f>
        <v>0</v>
      </c>
      <c r="Y110" s="8" t="n">
        <f aca="false">IF(B110="y",T110,0)</f>
        <v>0</v>
      </c>
      <c r="Z110" s="8"/>
      <c r="AA110" s="8" t="n">
        <f aca="false">AB110+AC110</f>
        <v>1271297.9875</v>
      </c>
      <c r="AB110" s="8" t="n">
        <f aca="false">IF(B110="y",0,T110)</f>
        <v>312197.9875</v>
      </c>
      <c r="AC110" s="8" t="n">
        <f aca="false">S110-Z110</f>
        <v>959100</v>
      </c>
      <c r="AD110" s="61" t="n">
        <f aca="false">IF(K110="y",Z110,0)</f>
        <v>0</v>
      </c>
      <c r="AE110" s="61" t="n">
        <f aca="false">IF($K110="",Z110,0)+IF($K110="n",Z110,0)</f>
        <v>0</v>
      </c>
      <c r="AF110" s="62" t="n">
        <f aca="false">IF($K110="y",AC110,0)</f>
        <v>959100</v>
      </c>
      <c r="AG110" s="62" t="n">
        <f aca="false">IF($K110="",AC110,0)+IF($K110="n",AC110,0)</f>
        <v>0</v>
      </c>
      <c r="AH110" s="8" t="n">
        <v>1390000</v>
      </c>
      <c r="AI110" s="8" t="n">
        <v>1300000</v>
      </c>
      <c r="AJ110" s="1" t="s">
        <v>51</v>
      </c>
      <c r="AK110" s="63" t="n">
        <v>796491</v>
      </c>
      <c r="AL110" s="9"/>
      <c r="AM110" s="9"/>
    </row>
    <row r="111" customFormat="false" ht="12.75" hidden="false" customHeight="false" outlineLevel="0" collapsed="false">
      <c r="A111" s="2" t="s">
        <v>44</v>
      </c>
      <c r="B111" s="2"/>
      <c r="C111" s="2" t="n">
        <v>9060</v>
      </c>
      <c r="D111" s="4" t="s">
        <v>317</v>
      </c>
      <c r="E111" s="4" t="s">
        <v>113</v>
      </c>
      <c r="F111" s="4" t="s">
        <v>114</v>
      </c>
      <c r="G111" s="4" t="s">
        <v>44</v>
      </c>
      <c r="H111" s="4" t="n">
        <v>1968</v>
      </c>
      <c r="I111" s="4"/>
      <c r="J111" s="4" t="s">
        <v>48</v>
      </c>
      <c r="K111" s="5" t="s">
        <v>44</v>
      </c>
      <c r="L111" s="58" t="s">
        <v>115</v>
      </c>
      <c r="M111" s="7" t="n">
        <v>108</v>
      </c>
      <c r="N111" s="59" t="n">
        <v>0.909</v>
      </c>
      <c r="O111" s="59" t="n">
        <v>0.856</v>
      </c>
      <c r="P111" s="59" t="n">
        <v>0.873</v>
      </c>
      <c r="Q111" s="59" t="n">
        <v>0.809</v>
      </c>
      <c r="R111" s="8" t="n">
        <v>1342722</v>
      </c>
      <c r="S111" s="8" t="n">
        <v>1193308</v>
      </c>
      <c r="T111" s="8" t="n">
        <f aca="false">IF(J111="regional",IF(R111&gt;0,R111*0.2975,S111*0.3484),S111*0.1939)</f>
        <v>399459.795</v>
      </c>
      <c r="U111" s="8" t="n">
        <v>889002</v>
      </c>
      <c r="V111" s="8" t="n">
        <f aca="false">S111-U111</f>
        <v>304306</v>
      </c>
      <c r="W111" s="8" t="n">
        <v>6417</v>
      </c>
      <c r="X111" s="60" t="n">
        <f aca="false">Y111+Z111</f>
        <v>0</v>
      </c>
      <c r="Y111" s="8" t="n">
        <f aca="false">IF(B111="y",T111,0)</f>
        <v>0</v>
      </c>
      <c r="Z111" s="8"/>
      <c r="AA111" s="8" t="n">
        <f aca="false">AB111+AC111</f>
        <v>1592767.795</v>
      </c>
      <c r="AB111" s="8" t="n">
        <f aca="false">IF(B111="y",0,T111)</f>
        <v>399459.795</v>
      </c>
      <c r="AC111" s="8" t="n">
        <f aca="false">S111-Z111</f>
        <v>1193308</v>
      </c>
      <c r="AD111" s="61" t="n">
        <f aca="false">IF(K111="y",Z111,0)</f>
        <v>0</v>
      </c>
      <c r="AE111" s="61" t="n">
        <f aca="false">IF($K111="",Z111,0)+IF($K111="n",Z111,0)</f>
        <v>0</v>
      </c>
      <c r="AF111" s="62" t="n">
        <f aca="false">IF($K111="y",AC111,0)</f>
        <v>1193308</v>
      </c>
      <c r="AG111" s="62" t="n">
        <f aca="false">IF($K111="",AC111,0)+IF($K111="n",AC111,0)</f>
        <v>0</v>
      </c>
      <c r="AH111" s="8" t="n">
        <v>170000</v>
      </c>
      <c r="AI111" s="8" t="n">
        <v>165000</v>
      </c>
      <c r="AJ111" s="1" t="s">
        <v>51</v>
      </c>
      <c r="AK111" s="63" t="n">
        <v>842986</v>
      </c>
      <c r="AL111" s="9"/>
      <c r="AM111" s="9"/>
    </row>
    <row r="112" customFormat="false" ht="12.75" hidden="false" customHeight="false" outlineLevel="0" collapsed="false">
      <c r="A112" s="2" t="s">
        <v>44</v>
      </c>
      <c r="B112" s="2"/>
      <c r="C112" s="2" t="n">
        <v>4665</v>
      </c>
      <c r="D112" s="4" t="s">
        <v>318</v>
      </c>
      <c r="E112" s="4" t="s">
        <v>319</v>
      </c>
      <c r="F112" s="4" t="s">
        <v>108</v>
      </c>
      <c r="G112" s="4" t="s">
        <v>44</v>
      </c>
      <c r="H112" s="4" t="n">
        <v>1997</v>
      </c>
      <c r="I112" s="4"/>
      <c r="J112" s="4" t="s">
        <v>48</v>
      </c>
      <c r="K112" s="5" t="s">
        <v>44</v>
      </c>
      <c r="L112" s="58" t="s">
        <v>109</v>
      </c>
      <c r="M112" s="7" t="n">
        <v>170</v>
      </c>
      <c r="N112" s="59" t="n">
        <v>0.889</v>
      </c>
      <c r="O112" s="59" t="n">
        <v>0.893</v>
      </c>
      <c r="P112" s="59" t="n">
        <v>0.862</v>
      </c>
      <c r="Q112" s="59" t="n">
        <v>0.952</v>
      </c>
      <c r="R112" s="8" t="n">
        <v>879099</v>
      </c>
      <c r="S112" s="8" t="n">
        <v>748453</v>
      </c>
      <c r="T112" s="8" t="n">
        <f aca="false">IF(J112="regional",IF(R112&gt;0,R112*0.2975,S112*0.3484),S112*0.1939)</f>
        <v>261531.9525</v>
      </c>
      <c r="U112" s="8" t="n">
        <v>528914</v>
      </c>
      <c r="V112" s="8" t="n">
        <f aca="false">S112-U112</f>
        <v>219539</v>
      </c>
      <c r="W112" s="8" t="n">
        <v>4480</v>
      </c>
      <c r="X112" s="60" t="n">
        <f aca="false">Y112+Z112</f>
        <v>0</v>
      </c>
      <c r="Y112" s="8" t="n">
        <f aca="false">IF(B112="y",T112,0)</f>
        <v>0</v>
      </c>
      <c r="Z112" s="8"/>
      <c r="AA112" s="8" t="n">
        <f aca="false">AB112+AC112</f>
        <v>1009984.9525</v>
      </c>
      <c r="AB112" s="8" t="n">
        <f aca="false">IF(B112="y",0,T112)</f>
        <v>261531.9525</v>
      </c>
      <c r="AC112" s="8" t="n">
        <f aca="false">S112-Z112</f>
        <v>748453</v>
      </c>
      <c r="AD112" s="61" t="n">
        <f aca="false">IF(K112="y",Z112,0)</f>
        <v>0</v>
      </c>
      <c r="AE112" s="61" t="n">
        <f aca="false">IF($K112="",Z112,0)+IF($K112="n",Z112,0)</f>
        <v>0</v>
      </c>
      <c r="AF112" s="62" t="n">
        <f aca="false">IF($K112="y",AC112,0)</f>
        <v>748453</v>
      </c>
      <c r="AG112" s="62" t="n">
        <f aca="false">IF($K112="",AC112,0)+IF($K112="n",AC112,0)</f>
        <v>0</v>
      </c>
      <c r="AH112" s="8" t="n">
        <v>659000</v>
      </c>
      <c r="AI112" s="8" t="n">
        <v>746000</v>
      </c>
      <c r="AJ112" s="1" t="s">
        <v>51</v>
      </c>
      <c r="AK112" s="63" t="n">
        <v>169275</v>
      </c>
      <c r="AL112" s="9"/>
      <c r="AM112" s="9"/>
    </row>
    <row r="113" customFormat="false" ht="12.75" hidden="false" customHeight="false" outlineLevel="0" collapsed="false">
      <c r="A113" s="2" t="s">
        <v>44</v>
      </c>
      <c r="B113" s="2"/>
      <c r="C113" s="2" t="n">
        <v>4512</v>
      </c>
      <c r="D113" s="4" t="s">
        <v>320</v>
      </c>
      <c r="E113" s="4" t="s">
        <v>321</v>
      </c>
      <c r="F113" s="4" t="s">
        <v>47</v>
      </c>
      <c r="G113" s="4" t="s">
        <v>44</v>
      </c>
      <c r="H113" s="4" t="n">
        <v>1986</v>
      </c>
      <c r="I113" s="4"/>
      <c r="J113" s="4" t="s">
        <v>62</v>
      </c>
      <c r="K113" s="5"/>
      <c r="L113" s="58" t="s">
        <v>98</v>
      </c>
      <c r="M113" s="7" t="n">
        <v>15</v>
      </c>
      <c r="N113" s="59" t="n">
        <v>0.987</v>
      </c>
      <c r="O113" s="59" t="n">
        <v>0.984</v>
      </c>
      <c r="P113" s="59" t="n">
        <v>1</v>
      </c>
      <c r="Q113" s="59" t="n">
        <v>1</v>
      </c>
      <c r="R113" s="8"/>
      <c r="S113" s="8" t="n">
        <v>215498</v>
      </c>
      <c r="T113" s="8" t="n">
        <f aca="false">IF(J113="regional",IF(R113&gt;0,R113*0.2975,S113*0.3484),S113*0.1939)</f>
        <v>41785.0622</v>
      </c>
      <c r="U113" s="8" t="n">
        <v>170789</v>
      </c>
      <c r="V113" s="8" t="n">
        <f aca="false">S113-U113</f>
        <v>44709</v>
      </c>
      <c r="W113" s="8" t="n">
        <v>1075</v>
      </c>
      <c r="X113" s="60" t="n">
        <f aca="false">Y113+Z113</f>
        <v>0</v>
      </c>
      <c r="Y113" s="8" t="n">
        <f aca="false">IF(B113="y",T113,0)</f>
        <v>0</v>
      </c>
      <c r="Z113" s="8"/>
      <c r="AA113" s="8" t="n">
        <f aca="false">AB113+AC113</f>
        <v>257283.0622</v>
      </c>
      <c r="AB113" s="8" t="n">
        <f aca="false">IF(B113="y",0,T113)</f>
        <v>41785.0622</v>
      </c>
      <c r="AC113" s="8" t="n">
        <f aca="false">S113-Z113</f>
        <v>215498</v>
      </c>
      <c r="AD113" s="61" t="n">
        <f aca="false">IF(K113="y",Z113,0)</f>
        <v>0</v>
      </c>
      <c r="AE113" s="61" t="n">
        <f aca="false">IF($K113="",Z113,0)+IF($K113="n",Z113,0)</f>
        <v>0</v>
      </c>
      <c r="AF113" s="62" t="n">
        <f aca="false">IF($K113="y",AC113,0)</f>
        <v>0</v>
      </c>
      <c r="AG113" s="62" t="n">
        <f aca="false">IF($K113="",AC113,0)+IF($K113="n",AC113,0)</f>
        <v>215498</v>
      </c>
      <c r="AH113" s="8" t="n">
        <v>0</v>
      </c>
      <c r="AI113" s="8" t="n">
        <v>0</v>
      </c>
      <c r="AJ113" s="4"/>
      <c r="AK113" s="4"/>
      <c r="AL113" s="9"/>
      <c r="AM113" s="9"/>
    </row>
    <row r="114" customFormat="false" ht="12.75" hidden="false" customHeight="false" outlineLevel="0" collapsed="false">
      <c r="A114" s="2" t="s">
        <v>44</v>
      </c>
      <c r="B114" s="2"/>
      <c r="C114" s="2" t="n">
        <v>2952</v>
      </c>
      <c r="D114" s="4" t="s">
        <v>322</v>
      </c>
      <c r="E114" s="4" t="s">
        <v>323</v>
      </c>
      <c r="F114" s="4" t="s">
        <v>47</v>
      </c>
      <c r="G114" s="4" t="s">
        <v>44</v>
      </c>
      <c r="H114" s="4" t="n">
        <v>1986</v>
      </c>
      <c r="I114" s="4"/>
      <c r="J114" s="4" t="s">
        <v>62</v>
      </c>
      <c r="K114" s="5" t="s">
        <v>49</v>
      </c>
      <c r="L114" s="58" t="s">
        <v>98</v>
      </c>
      <c r="M114" s="7" t="n">
        <v>37</v>
      </c>
      <c r="N114" s="59" t="n">
        <v>0.893</v>
      </c>
      <c r="O114" s="59" t="n">
        <v>0.893</v>
      </c>
      <c r="P114" s="59" t="n">
        <v>0.909</v>
      </c>
      <c r="Q114" s="59" t="n">
        <v>0.897</v>
      </c>
      <c r="R114" s="8"/>
      <c r="S114" s="8" t="n">
        <v>381005</v>
      </c>
      <c r="T114" s="8" t="n">
        <f aca="false">IF(J114="regional",IF(R114&gt;0,R114*0.2975,S114*0.3484),S114*0.1939)</f>
        <v>73876.8695</v>
      </c>
      <c r="U114" s="8" t="n">
        <v>287355</v>
      </c>
      <c r="V114" s="8" t="n">
        <f aca="false">S114-U114</f>
        <v>93650</v>
      </c>
      <c r="W114" s="8" t="n">
        <v>2600</v>
      </c>
      <c r="X114" s="60" t="n">
        <f aca="false">Y114+Z114</f>
        <v>0</v>
      </c>
      <c r="Y114" s="8" t="n">
        <f aca="false">IF(B114="y",T114,0)</f>
        <v>0</v>
      </c>
      <c r="Z114" s="8"/>
      <c r="AA114" s="8" t="n">
        <f aca="false">AB114+AC114</f>
        <v>454881.8695</v>
      </c>
      <c r="AB114" s="8" t="n">
        <f aca="false">IF(B114="y",0,T114)</f>
        <v>73876.8695</v>
      </c>
      <c r="AC114" s="8" t="n">
        <f aca="false">S114-Z114</f>
        <v>381005</v>
      </c>
      <c r="AD114" s="61" t="n">
        <f aca="false">IF(K114="y",Z114,0)</f>
        <v>0</v>
      </c>
      <c r="AE114" s="61" t="n">
        <f aca="false">IF($K114="",Z114,0)+IF($K114="n",Z114,0)</f>
        <v>0</v>
      </c>
      <c r="AF114" s="62" t="n">
        <f aca="false">IF($K114="y",AC114,0)</f>
        <v>0</v>
      </c>
      <c r="AG114" s="62" t="n">
        <f aca="false">IF($K114="",AC114,0)+IF($K114="n",AC114,0)</f>
        <v>381005</v>
      </c>
      <c r="AH114" s="8" t="n">
        <v>0</v>
      </c>
      <c r="AI114" s="8" t="n">
        <v>0</v>
      </c>
      <c r="AJ114" s="4"/>
      <c r="AK114" s="4"/>
      <c r="AL114" s="9"/>
      <c r="AM114" s="9"/>
    </row>
    <row r="115" customFormat="false" ht="12.75" hidden="false" customHeight="false" outlineLevel="0" collapsed="false">
      <c r="A115" s="2" t="s">
        <v>44</v>
      </c>
      <c r="B115" s="2"/>
      <c r="C115" s="2" t="n">
        <v>9894</v>
      </c>
      <c r="D115" s="4" t="s">
        <v>324</v>
      </c>
      <c r="E115" s="4" t="s">
        <v>325</v>
      </c>
      <c r="F115" s="4" t="s">
        <v>75</v>
      </c>
      <c r="G115" s="4" t="s">
        <v>49</v>
      </c>
      <c r="H115" s="4" t="n">
        <v>1988</v>
      </c>
      <c r="I115" s="4"/>
      <c r="J115" s="4" t="s">
        <v>48</v>
      </c>
      <c r="K115" s="5" t="s">
        <v>49</v>
      </c>
      <c r="L115" s="58" t="s">
        <v>271</v>
      </c>
      <c r="M115" s="7" t="n">
        <v>143</v>
      </c>
      <c r="N115" s="59" t="n">
        <v>0.775</v>
      </c>
      <c r="O115" s="59" t="n">
        <v>0.846</v>
      </c>
      <c r="P115" s="59" t="n">
        <v>0.819</v>
      </c>
      <c r="Q115" s="59" t="n">
        <v>0.82</v>
      </c>
      <c r="R115" s="8" t="n">
        <v>1061914</v>
      </c>
      <c r="S115" s="8" t="n">
        <v>902169</v>
      </c>
      <c r="T115" s="8" t="n">
        <f aca="false">IF(J115="regional",IF(R115&gt;0,R115*0.2975,S115*0.3484),S115*0.1939)</f>
        <v>315919.415</v>
      </c>
      <c r="U115" s="8" t="n">
        <v>610038</v>
      </c>
      <c r="V115" s="8" t="n">
        <f aca="false">S115-U115</f>
        <v>292131</v>
      </c>
      <c r="W115" s="8" t="n">
        <v>4476</v>
      </c>
      <c r="X115" s="60" t="n">
        <f aca="false">Y115+Z115</f>
        <v>0</v>
      </c>
      <c r="Y115" s="8" t="n">
        <f aca="false">IF(B115="y",T115,0)</f>
        <v>0</v>
      </c>
      <c r="Z115" s="8"/>
      <c r="AA115" s="8" t="n">
        <f aca="false">AB115+AC115</f>
        <v>1218088.415</v>
      </c>
      <c r="AB115" s="8" t="n">
        <f aca="false">IF(B115="y",0,T115)</f>
        <v>315919.415</v>
      </c>
      <c r="AC115" s="8" t="n">
        <f aca="false">S115-Z115</f>
        <v>902169</v>
      </c>
      <c r="AD115" s="61" t="n">
        <f aca="false">IF(K115="y",Z115,0)</f>
        <v>0</v>
      </c>
      <c r="AE115" s="61" t="n">
        <f aca="false">IF($K115="",Z115,0)+IF($K115="n",Z115,0)</f>
        <v>0</v>
      </c>
      <c r="AF115" s="62" t="n">
        <f aca="false">IF($K115="y",AC115,0)</f>
        <v>0</v>
      </c>
      <c r="AG115" s="62" t="n">
        <f aca="false">IF($K115="",AC115,0)+IF($K115="n",AC115,0)</f>
        <v>902169</v>
      </c>
      <c r="AH115" s="8" t="n">
        <v>0</v>
      </c>
      <c r="AI115" s="8" t="n">
        <v>0</v>
      </c>
      <c r="AJ115" s="1" t="s">
        <v>51</v>
      </c>
      <c r="AK115" s="63" t="n">
        <v>402763</v>
      </c>
      <c r="AL115" s="9"/>
      <c r="AM115" s="9"/>
    </row>
    <row r="116" customFormat="false" ht="12.75" hidden="false" customHeight="false" outlineLevel="0" collapsed="false">
      <c r="A116" s="2" t="s">
        <v>44</v>
      </c>
      <c r="B116" s="2"/>
      <c r="C116" s="2" t="n">
        <v>2324</v>
      </c>
      <c r="D116" s="64" t="s">
        <v>326</v>
      </c>
      <c r="E116" s="4" t="s">
        <v>327</v>
      </c>
      <c r="F116" s="4" t="s">
        <v>54</v>
      </c>
      <c r="G116" s="4" t="s">
        <v>49</v>
      </c>
      <c r="H116" s="4" t="n">
        <v>1995</v>
      </c>
      <c r="I116" s="4"/>
      <c r="J116" s="4" t="s">
        <v>48</v>
      </c>
      <c r="K116" s="5" t="s">
        <v>44</v>
      </c>
      <c r="L116" s="58" t="s">
        <v>328</v>
      </c>
      <c r="M116" s="7" t="n">
        <v>120</v>
      </c>
      <c r="N116" s="59" t="n">
        <v>0.957</v>
      </c>
      <c r="O116" s="59" t="n">
        <v>0.949</v>
      </c>
      <c r="P116" s="59" t="n">
        <v>0.902</v>
      </c>
      <c r="Q116" s="59" t="n">
        <v>0.891</v>
      </c>
      <c r="R116" s="8" t="n">
        <v>1427795</v>
      </c>
      <c r="S116" s="8" t="n">
        <v>1102927</v>
      </c>
      <c r="T116" s="8" t="n">
        <f aca="false">IF(J116="regional",IF(R116&gt;0,R116*0.2975,S116*0.3484),S116*0.1939)</f>
        <v>424769.0125</v>
      </c>
      <c r="U116" s="8" t="n">
        <v>745179</v>
      </c>
      <c r="V116" s="8" t="n">
        <f aca="false">S116-U116</f>
        <v>357748</v>
      </c>
      <c r="W116" s="8" t="n">
        <v>5420</v>
      </c>
      <c r="X116" s="60" t="n">
        <f aca="false">Y116+Z116</f>
        <v>0</v>
      </c>
      <c r="Y116" s="8" t="n">
        <f aca="false">IF(B116="y",T116,0)</f>
        <v>0</v>
      </c>
      <c r="Z116" s="8"/>
      <c r="AA116" s="8" t="n">
        <f aca="false">AB116+AC116</f>
        <v>1527696.0125</v>
      </c>
      <c r="AB116" s="8" t="n">
        <f aca="false">IF(B116="y",0,T116)</f>
        <v>424769.0125</v>
      </c>
      <c r="AC116" s="8" t="n">
        <f aca="false">S116-Z116</f>
        <v>1102927</v>
      </c>
      <c r="AD116" s="61" t="n">
        <f aca="false">IF(K116="y",Z116,0)</f>
        <v>0</v>
      </c>
      <c r="AE116" s="61" t="n">
        <f aca="false">IF($K116="",Z116,0)+IF($K116="n",Z116,0)</f>
        <v>0</v>
      </c>
      <c r="AF116" s="62" t="n">
        <f aca="false">IF($K116="y",AC116,0)</f>
        <v>1102927</v>
      </c>
      <c r="AG116" s="62" t="n">
        <f aca="false">IF($K116="",AC116,0)+IF($K116="n",AC116,0)</f>
        <v>0</v>
      </c>
      <c r="AH116" s="8" t="n">
        <v>1075000</v>
      </c>
      <c r="AI116" s="8" t="n">
        <v>1022000</v>
      </c>
      <c r="AJ116" s="1" t="s">
        <v>51</v>
      </c>
      <c r="AK116" s="63" t="n">
        <v>1030783</v>
      </c>
      <c r="AL116" s="9"/>
      <c r="AM116" s="9"/>
    </row>
    <row r="117" customFormat="false" ht="12.75" hidden="false" customHeight="false" outlineLevel="0" collapsed="false">
      <c r="A117" s="2"/>
      <c r="B117" s="2" t="s">
        <v>44</v>
      </c>
      <c r="C117" s="2" t="n">
        <v>2325</v>
      </c>
      <c r="D117" s="4" t="s">
        <v>329</v>
      </c>
      <c r="E117" s="4" t="s">
        <v>61</v>
      </c>
      <c r="F117" s="4" t="s">
        <v>54</v>
      </c>
      <c r="G117" s="4" t="s">
        <v>44</v>
      </c>
      <c r="H117" s="4" t="n">
        <v>1998</v>
      </c>
      <c r="I117" s="4"/>
      <c r="J117" s="4" t="s">
        <v>62</v>
      </c>
      <c r="K117" s="5"/>
      <c r="L117" s="58" t="s">
        <v>328</v>
      </c>
      <c r="M117" s="7"/>
      <c r="N117" s="59" t="n">
        <v>0.837</v>
      </c>
      <c r="O117" s="59" t="n">
        <v>0.84</v>
      </c>
      <c r="P117" s="59" t="n">
        <v>0.902</v>
      </c>
      <c r="Q117" s="59" t="n">
        <v>0.891</v>
      </c>
      <c r="R117" s="8"/>
      <c r="S117" s="8" t="n">
        <v>381000</v>
      </c>
      <c r="T117" s="8" t="n">
        <f aca="false">IF(J117="regional",IF(R117&gt;0,R117*0.2975,S117*0.3484),S117*0.1939)</f>
        <v>73875.9</v>
      </c>
      <c r="U117" s="8" t="n">
        <v>293855</v>
      </c>
      <c r="V117" s="8" t="n">
        <f aca="false">S117-U117</f>
        <v>87145</v>
      </c>
      <c r="W117" s="8"/>
      <c r="X117" s="60" t="n">
        <f aca="false">Y117+Z117</f>
        <v>450125.9</v>
      </c>
      <c r="Y117" s="8" t="n">
        <f aca="false">IF(B117="y",T117,0)</f>
        <v>73875.9</v>
      </c>
      <c r="Z117" s="8" t="n">
        <v>376250</v>
      </c>
      <c r="AA117" s="8" t="n">
        <f aca="false">AB117+AC117</f>
        <v>4750</v>
      </c>
      <c r="AB117" s="8" t="n">
        <f aca="false">IF(B117="y",0,T117)</f>
        <v>0</v>
      </c>
      <c r="AC117" s="8" t="n">
        <f aca="false">S117-Z117</f>
        <v>4750</v>
      </c>
      <c r="AD117" s="61" t="n">
        <f aca="false">IF(K117="y",Z117,0)</f>
        <v>0</v>
      </c>
      <c r="AE117" s="61" t="n">
        <f aca="false">IF($K117="",Z117,0)+IF($K117="n",Z117,0)</f>
        <v>376250</v>
      </c>
      <c r="AF117" s="62" t="n">
        <f aca="false">IF($K117="y",AC117,0)</f>
        <v>0</v>
      </c>
      <c r="AG117" s="62" t="n">
        <f aca="false">IF($K117="",AC117,0)+IF($K117="n",AC117,0)</f>
        <v>4750</v>
      </c>
      <c r="AH117" s="8" t="n">
        <v>0</v>
      </c>
      <c r="AI117" s="8" t="n">
        <v>0</v>
      </c>
      <c r="AJ117" s="1" t="s">
        <v>51</v>
      </c>
      <c r="AK117" s="63" t="n">
        <v>44876.96</v>
      </c>
      <c r="AL117" s="9"/>
      <c r="AM117" s="9"/>
    </row>
    <row r="118" customFormat="false" ht="12.75" hidden="false" customHeight="false" outlineLevel="0" collapsed="false">
      <c r="A118" s="2" t="s">
        <v>44</v>
      </c>
      <c r="B118" s="2" t="s">
        <v>44</v>
      </c>
      <c r="C118" s="2" t="n">
        <v>4827</v>
      </c>
      <c r="D118" s="67" t="s">
        <v>330</v>
      </c>
      <c r="E118" s="65" t="s">
        <v>331</v>
      </c>
      <c r="F118" s="4" t="s">
        <v>276</v>
      </c>
      <c r="G118" s="4" t="s">
        <v>44</v>
      </c>
      <c r="H118" s="4" t="n">
        <v>1959</v>
      </c>
      <c r="I118" s="4"/>
      <c r="J118" s="4" t="s">
        <v>48</v>
      </c>
      <c r="K118" s="5" t="s">
        <v>49</v>
      </c>
      <c r="L118" s="58" t="s">
        <v>277</v>
      </c>
      <c r="M118" s="7" t="n">
        <v>260</v>
      </c>
      <c r="N118" s="59" t="n">
        <v>0.954</v>
      </c>
      <c r="O118" s="59" t="n">
        <v>0.962</v>
      </c>
      <c r="P118" s="59" t="n">
        <v>0.925</v>
      </c>
      <c r="Q118" s="59" t="n">
        <v>0.952</v>
      </c>
      <c r="R118" s="8" t="n">
        <v>2062167</v>
      </c>
      <c r="S118" s="8" t="n">
        <v>1450000</v>
      </c>
      <c r="T118" s="8" t="n">
        <f aca="false">IF(J118="regional",IF(R118&gt;0,R118*0.2975,S118*0.3484),S118*0.1939)</f>
        <v>613494.6825</v>
      </c>
      <c r="U118" s="8" t="n">
        <v>777000</v>
      </c>
      <c r="V118" s="8" t="n">
        <f aca="false">S118-U118</f>
        <v>673000</v>
      </c>
      <c r="W118" s="8" t="n">
        <v>7000</v>
      </c>
      <c r="X118" s="60" t="n">
        <f aca="false">Y118+Z118</f>
        <v>1454494.6825</v>
      </c>
      <c r="Y118" s="8" t="n">
        <f aca="false">IF(B118="y",T118,0)</f>
        <v>613494.6825</v>
      </c>
      <c r="Z118" s="8" t="n">
        <v>841000</v>
      </c>
      <c r="AA118" s="8" t="n">
        <f aca="false">AB118+AC118</f>
        <v>609000</v>
      </c>
      <c r="AB118" s="8" t="n">
        <f aca="false">IF(B118="y",0,T118)</f>
        <v>0</v>
      </c>
      <c r="AC118" s="8" t="n">
        <f aca="false">S118-Z118</f>
        <v>609000</v>
      </c>
      <c r="AD118" s="61" t="n">
        <f aca="false">IF(K118="y",Z118,0)</f>
        <v>0</v>
      </c>
      <c r="AE118" s="61" t="n">
        <f aca="false">IF($K118="",Z118,0)+IF($K118="n",Z118,0)</f>
        <v>841000</v>
      </c>
      <c r="AF118" s="62" t="n">
        <f aca="false">IF($K118="y",AC118,0)</f>
        <v>0</v>
      </c>
      <c r="AG118" s="62" t="n">
        <f aca="false">IF($K118="",AC118,0)+IF($K118="n",AC118,0)</f>
        <v>609000</v>
      </c>
      <c r="AH118" s="8" t="n">
        <v>0</v>
      </c>
      <c r="AI118" s="8" t="n">
        <v>0</v>
      </c>
      <c r="AJ118" s="1" t="s">
        <v>51</v>
      </c>
      <c r="AK118" s="63" t="n">
        <v>60655</v>
      </c>
      <c r="AL118" s="9"/>
      <c r="AM118" s="9"/>
    </row>
    <row r="119" customFormat="false" ht="12.75" hidden="false" customHeight="false" outlineLevel="0" collapsed="false">
      <c r="A119" s="2" t="s">
        <v>44</v>
      </c>
      <c r="B119" s="2"/>
      <c r="C119" s="2" t="n">
        <v>9080</v>
      </c>
      <c r="D119" s="4" t="s">
        <v>332</v>
      </c>
      <c r="E119" s="4" t="s">
        <v>333</v>
      </c>
      <c r="F119" s="4" t="s">
        <v>101</v>
      </c>
      <c r="G119" s="4" t="s">
        <v>44</v>
      </c>
      <c r="H119" s="4" t="n">
        <v>1978</v>
      </c>
      <c r="I119" s="4"/>
      <c r="J119" s="4" t="s">
        <v>62</v>
      </c>
      <c r="K119" s="5" t="s">
        <v>49</v>
      </c>
      <c r="L119" s="6" t="s">
        <v>334</v>
      </c>
      <c r="M119" s="7" t="n">
        <v>9</v>
      </c>
      <c r="N119" s="59" t="n">
        <v>0.986</v>
      </c>
      <c r="O119" s="59" t="n">
        <v>0.986</v>
      </c>
      <c r="P119" s="59" t="n">
        <v>0.956</v>
      </c>
      <c r="Q119" s="59" t="n">
        <v>0.868</v>
      </c>
      <c r="R119" s="8"/>
      <c r="S119" s="8" t="n">
        <v>201154</v>
      </c>
      <c r="T119" s="8" t="n">
        <f aca="false">IF(J119="regional",IF(R119&gt;0,R119*0.2975,S119*0.3484),S119*0.1939)</f>
        <v>39003.7606</v>
      </c>
      <c r="U119" s="8" t="n">
        <v>140860</v>
      </c>
      <c r="V119" s="8" t="n">
        <f aca="false">S119-U119</f>
        <v>60294</v>
      </c>
      <c r="W119" s="8" t="n">
        <v>1000</v>
      </c>
      <c r="X119" s="60" t="n">
        <f aca="false">Y119+Z119</f>
        <v>0</v>
      </c>
      <c r="Y119" s="8" t="n">
        <f aca="false">IF(B119="y",T119,0)</f>
        <v>0</v>
      </c>
      <c r="Z119" s="9"/>
      <c r="AA119" s="8" t="n">
        <f aca="false">AB119+AC119</f>
        <v>240157.7606</v>
      </c>
      <c r="AB119" s="8" t="n">
        <f aca="false">IF(B119="y",0,T119)</f>
        <v>39003.7606</v>
      </c>
      <c r="AC119" s="8" t="n">
        <f aca="false">S119-Z119</f>
        <v>201154</v>
      </c>
      <c r="AD119" s="61" t="n">
        <f aca="false">IF(K119="y",Z119,0)</f>
        <v>0</v>
      </c>
      <c r="AE119" s="61" t="n">
        <f aca="false">IF($K119="",Z119,0)+IF($K119="n",Z119,0)</f>
        <v>0</v>
      </c>
      <c r="AF119" s="62" t="n">
        <f aca="false">IF($K119="y",AC119,0)</f>
        <v>0</v>
      </c>
      <c r="AG119" s="62" t="n">
        <f aca="false">IF($K119="",AC119,0)+IF($K119="n",AC119,0)</f>
        <v>201154</v>
      </c>
      <c r="AH119" s="8" t="n">
        <v>0</v>
      </c>
      <c r="AI119" s="8" t="n">
        <v>0</v>
      </c>
      <c r="AJ119" s="4"/>
      <c r="AK119" s="4"/>
      <c r="AL119" s="9"/>
      <c r="AM119" s="9"/>
    </row>
    <row r="120" customFormat="false" ht="12.75" hidden="false" customHeight="false" outlineLevel="0" collapsed="false">
      <c r="A120" s="2" t="s">
        <v>44</v>
      </c>
      <c r="B120" s="2"/>
      <c r="C120" s="2" t="n">
        <v>9075</v>
      </c>
      <c r="D120" s="4" t="s">
        <v>335</v>
      </c>
      <c r="E120" s="4" t="s">
        <v>333</v>
      </c>
      <c r="F120" s="4" t="s">
        <v>101</v>
      </c>
      <c r="G120" s="4" t="s">
        <v>44</v>
      </c>
      <c r="H120" s="4" t="n">
        <v>1965</v>
      </c>
      <c r="I120" s="4"/>
      <c r="J120" s="4" t="s">
        <v>48</v>
      </c>
      <c r="K120" s="5" t="s">
        <v>49</v>
      </c>
      <c r="L120" s="6" t="s">
        <v>334</v>
      </c>
      <c r="M120" s="7" t="n">
        <v>65</v>
      </c>
      <c r="N120" s="59" t="n">
        <v>0.971</v>
      </c>
      <c r="O120" s="59" t="n">
        <v>0.969</v>
      </c>
      <c r="P120" s="59" t="n">
        <v>0.938</v>
      </c>
      <c r="Q120" s="59" t="n">
        <v>0.868</v>
      </c>
      <c r="R120" s="8" t="n">
        <v>878870</v>
      </c>
      <c r="S120" s="8" t="n">
        <v>748152</v>
      </c>
      <c r="T120" s="8" t="n">
        <f aca="false">IF(J120="regional",IF(R120&gt;0,R120*0.2975,S120*0.3484),S120*0.1939)</f>
        <v>261463.825</v>
      </c>
      <c r="U120" s="8" t="n">
        <v>748421</v>
      </c>
      <c r="V120" s="8" t="n">
        <f aca="false">S120-U120</f>
        <v>-269</v>
      </c>
      <c r="W120" s="8" t="n">
        <v>4477</v>
      </c>
      <c r="X120" s="60" t="n">
        <f aca="false">Y120+Z120</f>
        <v>0</v>
      </c>
      <c r="Y120" s="8" t="n">
        <f aca="false">IF(B120="y",T120,0)</f>
        <v>0</v>
      </c>
      <c r="Z120" s="9"/>
      <c r="AA120" s="8" t="n">
        <f aca="false">AB120+AC120</f>
        <v>1009615.825</v>
      </c>
      <c r="AB120" s="8" t="n">
        <f aca="false">IF(B120="y",0,T120)</f>
        <v>261463.825</v>
      </c>
      <c r="AC120" s="8" t="n">
        <f aca="false">S120-Z120</f>
        <v>748152</v>
      </c>
      <c r="AD120" s="61" t="n">
        <f aca="false">IF(K120="y",Z120,0)</f>
        <v>0</v>
      </c>
      <c r="AE120" s="61" t="n">
        <f aca="false">IF($K120="",Z120,0)+IF($K120="n",Z120,0)</f>
        <v>0</v>
      </c>
      <c r="AF120" s="62" t="n">
        <f aca="false">IF($K120="y",AC120,0)</f>
        <v>0</v>
      </c>
      <c r="AG120" s="62" t="n">
        <f aca="false">IF($K120="",AC120,0)+IF($K120="n",AC120,0)</f>
        <v>748152</v>
      </c>
      <c r="AH120" s="8" t="n">
        <v>0</v>
      </c>
      <c r="AI120" s="8" t="n">
        <v>0</v>
      </c>
      <c r="AJ120" s="4"/>
      <c r="AK120" s="4"/>
      <c r="AL120" s="9"/>
      <c r="AM120" s="9"/>
    </row>
    <row r="121" customFormat="false" ht="12.75" hidden="false" customHeight="false" outlineLevel="0" collapsed="false">
      <c r="A121" s="2" t="s">
        <v>44</v>
      </c>
      <c r="B121" s="2"/>
      <c r="C121" s="2" t="n">
        <v>2912</v>
      </c>
      <c r="D121" s="4" t="s">
        <v>336</v>
      </c>
      <c r="E121" s="4" t="s">
        <v>337</v>
      </c>
      <c r="F121" s="4" t="s">
        <v>47</v>
      </c>
      <c r="G121" s="4" t="s">
        <v>44</v>
      </c>
      <c r="H121" s="4" t="n">
        <v>1990</v>
      </c>
      <c r="I121" s="4"/>
      <c r="J121" s="4" t="s">
        <v>62</v>
      </c>
      <c r="K121" s="5" t="s">
        <v>49</v>
      </c>
      <c r="L121" s="6" t="s">
        <v>338</v>
      </c>
      <c r="M121" s="7" t="n">
        <v>10</v>
      </c>
      <c r="N121" s="59" t="n">
        <v>0.851</v>
      </c>
      <c r="O121" s="59" t="n">
        <v>1</v>
      </c>
      <c r="P121" s="59" t="n">
        <v>1</v>
      </c>
      <c r="Q121" s="59" t="n">
        <v>0.805</v>
      </c>
      <c r="R121" s="8"/>
      <c r="S121" s="8" t="n">
        <v>161348</v>
      </c>
      <c r="T121" s="8" t="n">
        <f aca="false">IF(J121="regional",IF(R121&gt;0,R121*0.2975,S121*0.3484),S121*0.1939)</f>
        <v>31285.3772</v>
      </c>
      <c r="U121" s="8" t="n">
        <v>134935</v>
      </c>
      <c r="V121" s="8" t="n">
        <f aca="false">S121-U121</f>
        <v>26413</v>
      </c>
      <c r="W121" s="8" t="n">
        <v>685</v>
      </c>
      <c r="X121" s="60" t="n">
        <f aca="false">Y121+Z121</f>
        <v>0</v>
      </c>
      <c r="Y121" s="8" t="n">
        <f aca="false">IF(B121="y",T121,0)</f>
        <v>0</v>
      </c>
      <c r="Z121" s="9"/>
      <c r="AA121" s="8" t="n">
        <f aca="false">AB121+AC121</f>
        <v>192633.3772</v>
      </c>
      <c r="AB121" s="8" t="n">
        <f aca="false">IF(B121="y",0,T121)</f>
        <v>31285.3772</v>
      </c>
      <c r="AC121" s="8" t="n">
        <f aca="false">S121-Z121</f>
        <v>161348</v>
      </c>
      <c r="AD121" s="61" t="n">
        <f aca="false">IF(K121="y",Z121,0)</f>
        <v>0</v>
      </c>
      <c r="AE121" s="61" t="n">
        <f aca="false">IF($K121="",Z121,0)+IF($K121="n",Z121,0)</f>
        <v>0</v>
      </c>
      <c r="AF121" s="62" t="n">
        <f aca="false">IF($K121="y",AC121,0)</f>
        <v>0</v>
      </c>
      <c r="AG121" s="62" t="n">
        <f aca="false">IF($K121="",AC121,0)+IF($K121="n",AC121,0)</f>
        <v>161348</v>
      </c>
      <c r="AH121" s="8" t="n">
        <v>0</v>
      </c>
      <c r="AI121" s="8" t="n">
        <v>0</v>
      </c>
      <c r="AJ121" s="1" t="s">
        <v>51</v>
      </c>
      <c r="AK121" s="63" t="n">
        <v>66385</v>
      </c>
      <c r="AL121" s="9"/>
      <c r="AM121" s="9"/>
    </row>
    <row r="122" customFormat="false" ht="12.75" hidden="false" customHeight="false" outlineLevel="0" collapsed="false">
      <c r="A122" s="2"/>
      <c r="B122" s="2" t="s">
        <v>44</v>
      </c>
      <c r="C122" s="2" t="n">
        <v>2340</v>
      </c>
      <c r="D122" s="64" t="s">
        <v>339</v>
      </c>
      <c r="E122" s="4" t="s">
        <v>340</v>
      </c>
      <c r="F122" s="4" t="s">
        <v>47</v>
      </c>
      <c r="G122" s="4" t="s">
        <v>44</v>
      </c>
      <c r="H122" s="4" t="n">
        <v>1990</v>
      </c>
      <c r="I122" s="4"/>
      <c r="J122" s="4" t="s">
        <v>48</v>
      </c>
      <c r="K122" s="5" t="s">
        <v>49</v>
      </c>
      <c r="L122" s="58" t="s">
        <v>341</v>
      </c>
      <c r="M122" s="7" t="n">
        <v>68</v>
      </c>
      <c r="N122" s="59" t="n">
        <v>0.93</v>
      </c>
      <c r="O122" s="59" t="n">
        <v>0.93</v>
      </c>
      <c r="P122" s="59" t="n">
        <v>0.939</v>
      </c>
      <c r="Q122" s="59" t="n">
        <v>0.946</v>
      </c>
      <c r="R122" s="8" t="n">
        <v>591387</v>
      </c>
      <c r="S122" s="8" t="n">
        <v>428639</v>
      </c>
      <c r="T122" s="8" t="n">
        <f aca="false">IF(J122="regional",IF(R122&gt;0,R122*0.2975,S122*0.3484),S122*0.1939)</f>
        <v>175937.6325</v>
      </c>
      <c r="U122" s="8" t="n">
        <v>220830</v>
      </c>
      <c r="V122" s="8" t="n">
        <f aca="false">S122-U122</f>
        <v>207809</v>
      </c>
      <c r="W122" s="8" t="n">
        <v>2000</v>
      </c>
      <c r="X122" s="60" t="n">
        <f aca="false">Y122+Z122</f>
        <v>724165.6325</v>
      </c>
      <c r="Y122" s="8" t="n">
        <f aca="false">IF(B122="y",T122,0)</f>
        <v>175937.6325</v>
      </c>
      <c r="Z122" s="8" t="n">
        <v>548228</v>
      </c>
      <c r="AA122" s="8" t="n">
        <f aca="false">AB122+AC122</f>
        <v>-119589</v>
      </c>
      <c r="AB122" s="8" t="n">
        <f aca="false">IF(B122="y",0,T122)</f>
        <v>0</v>
      </c>
      <c r="AC122" s="8" t="n">
        <f aca="false">S122-Z122</f>
        <v>-119589</v>
      </c>
      <c r="AD122" s="61" t="n">
        <f aca="false">IF(K122="y",Z122,0)</f>
        <v>0</v>
      </c>
      <c r="AE122" s="61" t="n">
        <f aca="false">IF($K122="",Z122,0)+IF($K122="n",Z122,0)</f>
        <v>548228</v>
      </c>
      <c r="AF122" s="62" t="n">
        <f aca="false">IF($K122="y",AC122,0)</f>
        <v>0</v>
      </c>
      <c r="AG122" s="62" t="n">
        <f aca="false">IF($K122="",AC122,0)+IF($K122="n",AC122,0)</f>
        <v>-119589</v>
      </c>
      <c r="AH122" s="8" t="n">
        <v>0</v>
      </c>
      <c r="AI122" s="8" t="n">
        <v>0</v>
      </c>
      <c r="AJ122" s="1" t="s">
        <v>51</v>
      </c>
      <c r="AK122" s="63" t="n">
        <v>826851</v>
      </c>
      <c r="AL122" s="9"/>
      <c r="AM122" s="9"/>
    </row>
    <row r="123" customFormat="false" ht="12.75" hidden="false" customHeight="false" outlineLevel="0" collapsed="false">
      <c r="A123" s="2" t="s">
        <v>44</v>
      </c>
      <c r="B123" s="2"/>
      <c r="C123" s="2" t="n">
        <v>4770</v>
      </c>
      <c r="D123" s="68" t="s">
        <v>342</v>
      </c>
      <c r="E123" s="4"/>
      <c r="F123" s="4"/>
      <c r="G123" s="4" t="s">
        <v>49</v>
      </c>
      <c r="H123" s="4"/>
      <c r="I123" s="4"/>
      <c r="J123" s="4"/>
      <c r="K123" s="5"/>
      <c r="L123" s="58"/>
      <c r="M123" s="7"/>
      <c r="N123" s="59"/>
      <c r="O123" s="59"/>
      <c r="P123" s="59"/>
      <c r="Q123" s="59"/>
      <c r="R123" s="8"/>
      <c r="S123" s="8"/>
      <c r="T123" s="8"/>
      <c r="U123" s="8"/>
      <c r="V123" s="8"/>
      <c r="W123" s="8"/>
      <c r="X123" s="60"/>
      <c r="Y123" s="8"/>
      <c r="Z123" s="8"/>
      <c r="AA123" s="8"/>
      <c r="AB123" s="8"/>
      <c r="AC123" s="8"/>
      <c r="AD123" s="61"/>
      <c r="AE123" s="61"/>
      <c r="AF123" s="62"/>
      <c r="AG123" s="62"/>
      <c r="AH123" s="8" t="n">
        <v>0</v>
      </c>
      <c r="AI123" s="8" t="n">
        <v>0</v>
      </c>
      <c r="AK123" s="63"/>
      <c r="AL123" s="9"/>
      <c r="AM123" s="9"/>
    </row>
    <row r="124" customFormat="false" ht="12.75" hidden="false" customHeight="false" outlineLevel="0" collapsed="false">
      <c r="A124" s="2" t="s">
        <v>44</v>
      </c>
      <c r="B124" s="2" t="s">
        <v>44</v>
      </c>
      <c r="C124" s="2" t="n">
        <v>4828</v>
      </c>
      <c r="D124" s="67" t="s">
        <v>343</v>
      </c>
      <c r="E124" s="65" t="s">
        <v>344</v>
      </c>
      <c r="F124" s="4"/>
      <c r="G124" s="4" t="s">
        <v>44</v>
      </c>
      <c r="H124" s="4" t="n">
        <v>1972</v>
      </c>
      <c r="I124" s="4"/>
      <c r="J124" s="4" t="s">
        <v>48</v>
      </c>
      <c r="K124" s="5" t="s">
        <v>44</v>
      </c>
      <c r="L124" s="58" t="s">
        <v>345</v>
      </c>
      <c r="M124" s="7" t="n">
        <v>131</v>
      </c>
      <c r="N124" s="59" t="n">
        <v>0.929</v>
      </c>
      <c r="O124" s="59" t="n">
        <v>0.952</v>
      </c>
      <c r="P124" s="59" t="n">
        <v>0.925</v>
      </c>
      <c r="Q124" s="59" t="n">
        <v>0.952</v>
      </c>
      <c r="R124" s="8" t="n">
        <v>1110031</v>
      </c>
      <c r="S124" s="8" t="n">
        <v>990000</v>
      </c>
      <c r="T124" s="8" t="n">
        <f aca="false">IF(J124="regional",IF(R124&gt;0,R124*0.2975,S124*0.3484),S124*0.1939)</f>
        <v>330234.2225</v>
      </c>
      <c r="U124" s="8" t="n">
        <v>578100</v>
      </c>
      <c r="V124" s="8" t="n">
        <f aca="false">S124-U124</f>
        <v>411900</v>
      </c>
      <c r="W124" s="8" t="n">
        <v>5774</v>
      </c>
      <c r="X124" s="60" t="n">
        <f aca="false">Y124+Z124</f>
        <v>843234.2225</v>
      </c>
      <c r="Y124" s="8" t="n">
        <f aca="false">IF(B124="y",T124,0)</f>
        <v>330234.2225</v>
      </c>
      <c r="Z124" s="8" t="n">
        <v>513000</v>
      </c>
      <c r="AA124" s="8" t="n">
        <f aca="false">AB124+AC124</f>
        <v>477000</v>
      </c>
      <c r="AB124" s="8" t="n">
        <f aca="false">IF(B124="y",0,T124)</f>
        <v>0</v>
      </c>
      <c r="AC124" s="8" t="n">
        <f aca="false">S124-Z124</f>
        <v>477000</v>
      </c>
      <c r="AD124" s="61" t="n">
        <f aca="false">IF(K124="y",Z124,0)</f>
        <v>513000</v>
      </c>
      <c r="AE124" s="61" t="n">
        <f aca="false">IF($K124="",Z124,0)+IF($K124="n",Z124,0)</f>
        <v>0</v>
      </c>
      <c r="AF124" s="62" t="n">
        <f aca="false">IF($K124="y",AC124,0)</f>
        <v>477000</v>
      </c>
      <c r="AG124" s="62" t="n">
        <f aca="false">IF($K124="",AC124,0)+IF($K124="n",AC124,0)</f>
        <v>0</v>
      </c>
      <c r="AH124" s="8" t="n">
        <v>1474000</v>
      </c>
      <c r="AI124" s="8" t="n">
        <v>779000</v>
      </c>
      <c r="AJ124" s="1" t="s">
        <v>91</v>
      </c>
      <c r="AK124" s="63" t="n">
        <v>315018</v>
      </c>
      <c r="AL124" s="9"/>
      <c r="AM124" s="9"/>
    </row>
    <row r="125" customFormat="false" ht="12.75" hidden="false" customHeight="false" outlineLevel="0" collapsed="false">
      <c r="A125" s="2" t="s">
        <v>44</v>
      </c>
      <c r="B125" s="2"/>
      <c r="C125" s="2" t="n">
        <v>2356</v>
      </c>
      <c r="D125" s="66" t="s">
        <v>346</v>
      </c>
      <c r="E125" s="4" t="s">
        <v>347</v>
      </c>
      <c r="F125" s="4" t="s">
        <v>54</v>
      </c>
      <c r="G125" s="4" t="s">
        <v>44</v>
      </c>
      <c r="H125" s="4" t="n">
        <v>1978</v>
      </c>
      <c r="I125" s="4"/>
      <c r="J125" s="4" t="s">
        <v>48</v>
      </c>
      <c r="K125" s="5" t="s">
        <v>44</v>
      </c>
      <c r="L125" s="6" t="s">
        <v>348</v>
      </c>
      <c r="M125" s="7" t="n">
        <v>81</v>
      </c>
      <c r="N125" s="59" t="n">
        <v>0.825</v>
      </c>
      <c r="O125" s="59" t="n">
        <v>0.886</v>
      </c>
      <c r="P125" s="59" t="n">
        <v>0.835</v>
      </c>
      <c r="Q125" s="59" t="n">
        <v>0.86</v>
      </c>
      <c r="R125" s="8" t="n">
        <v>720389</v>
      </c>
      <c r="S125" s="8" t="n">
        <v>647614</v>
      </c>
      <c r="T125" s="8" t="n">
        <f aca="false">IF(J125="regional",IF(R125&gt;0,R125*0.2975,S125*0.3484),S125*0.1939)</f>
        <v>214315.7275</v>
      </c>
      <c r="U125" s="8" t="n">
        <v>437360</v>
      </c>
      <c r="V125" s="8" t="n">
        <f aca="false">S125-U125</f>
        <v>210254</v>
      </c>
      <c r="W125" s="8" t="n">
        <v>3404</v>
      </c>
      <c r="X125" s="60" t="n">
        <f aca="false">Y125+Z125</f>
        <v>0</v>
      </c>
      <c r="Y125" s="8" t="n">
        <f aca="false">IF(B125="y",T125,0)</f>
        <v>0</v>
      </c>
      <c r="Z125" s="9"/>
      <c r="AA125" s="8" t="n">
        <f aca="false">AB125+AC125</f>
        <v>861929.7275</v>
      </c>
      <c r="AB125" s="8" t="n">
        <f aca="false">IF(B125="y",0,T125)</f>
        <v>214315.7275</v>
      </c>
      <c r="AC125" s="8" t="n">
        <f aca="false">S125-Z125</f>
        <v>647614</v>
      </c>
      <c r="AD125" s="61" t="n">
        <f aca="false">IF(K125="y",Z125,0)</f>
        <v>0</v>
      </c>
      <c r="AE125" s="61" t="n">
        <f aca="false">IF($K125="",Z125,0)+IF($K125="n",Z125,0)</f>
        <v>0</v>
      </c>
      <c r="AF125" s="62" t="n">
        <f aca="false">IF($K125="y",AC125,0)</f>
        <v>647614</v>
      </c>
      <c r="AG125" s="62" t="n">
        <f aca="false">IF($K125="",AC125,0)+IF($K125="n",AC125,0)</f>
        <v>0</v>
      </c>
      <c r="AH125" s="8" t="n">
        <v>335000</v>
      </c>
      <c r="AI125" s="8" t="n">
        <v>290000</v>
      </c>
      <c r="AJ125" s="1" t="s">
        <v>51</v>
      </c>
      <c r="AK125" s="63" t="n">
        <v>451295</v>
      </c>
      <c r="AL125" s="9"/>
      <c r="AM125" s="9"/>
    </row>
    <row r="126" customFormat="false" ht="12.75" hidden="false" customHeight="false" outlineLevel="0" collapsed="false">
      <c r="A126" s="2" t="s">
        <v>44</v>
      </c>
      <c r="B126" s="2" t="s">
        <v>44</v>
      </c>
      <c r="C126" s="2" t="n">
        <v>2380</v>
      </c>
      <c r="D126" s="67" t="s">
        <v>349</v>
      </c>
      <c r="E126" s="65" t="s">
        <v>350</v>
      </c>
      <c r="F126" s="4" t="s">
        <v>147</v>
      </c>
      <c r="G126" s="4" t="s">
        <v>49</v>
      </c>
      <c r="H126" s="4" t="n">
        <v>1981</v>
      </c>
      <c r="I126" s="4"/>
      <c r="J126" s="4" t="s">
        <v>48</v>
      </c>
      <c r="K126" s="5" t="s">
        <v>44</v>
      </c>
      <c r="L126" s="58" t="s">
        <v>351</v>
      </c>
      <c r="M126" s="7" t="n">
        <v>162</v>
      </c>
      <c r="N126" s="59" t="n">
        <v>0.835</v>
      </c>
      <c r="O126" s="59" t="n">
        <v>0.864</v>
      </c>
      <c r="P126" s="59" t="n">
        <v>0.934</v>
      </c>
      <c r="Q126" s="59" t="n">
        <v>0.926</v>
      </c>
      <c r="R126" s="8" t="n">
        <v>1118115</v>
      </c>
      <c r="S126" s="8" t="n">
        <v>1104248</v>
      </c>
      <c r="T126" s="8" t="n">
        <f aca="false">IF(J126="regional",IF(R126&gt;0,R126*0.2975,S126*0.3484),S126*0.1939)</f>
        <v>332639.2125</v>
      </c>
      <c r="U126" s="8" t="n">
        <v>690636</v>
      </c>
      <c r="V126" s="8" t="n">
        <f aca="false">S126-U126</f>
        <v>413612</v>
      </c>
      <c r="W126" s="8" t="n">
        <v>6500</v>
      </c>
      <c r="X126" s="60" t="n">
        <f aca="false">Y126+Z126</f>
        <v>970566.2125</v>
      </c>
      <c r="Y126" s="8" t="n">
        <f aca="false">IF(B126="y",T126,0)</f>
        <v>332639.2125</v>
      </c>
      <c r="Z126" s="8" t="n">
        <v>637927</v>
      </c>
      <c r="AA126" s="8" t="n">
        <f aca="false">AB126+AC126</f>
        <v>466321</v>
      </c>
      <c r="AB126" s="8" t="n">
        <f aca="false">IF(B126="y",0,T126)</f>
        <v>0</v>
      </c>
      <c r="AC126" s="8" t="n">
        <f aca="false">S126-Z126</f>
        <v>466321</v>
      </c>
      <c r="AD126" s="61" t="n">
        <f aca="false">IF(K126="y",Z126,0)</f>
        <v>637927</v>
      </c>
      <c r="AE126" s="61" t="n">
        <f aca="false">IF($K126="",Z126,0)+IF($K126="n",Z126,0)</f>
        <v>0</v>
      </c>
      <c r="AF126" s="62" t="n">
        <f aca="false">IF($K126="y",AC126,0)</f>
        <v>466321</v>
      </c>
      <c r="AG126" s="62" t="n">
        <f aca="false">IF($K126="",AC126,0)+IF($K126="n",AC126,0)</f>
        <v>0</v>
      </c>
      <c r="AH126" s="8" t="n">
        <v>749000</v>
      </c>
      <c r="AI126" s="8" t="n">
        <v>596000</v>
      </c>
      <c r="AJ126" s="67"/>
      <c r="AK126" s="67"/>
      <c r="AL126" s="9"/>
      <c r="AM126" s="9"/>
    </row>
    <row r="127" customFormat="false" ht="12.75" hidden="false" customHeight="false" outlineLevel="0" collapsed="false">
      <c r="A127" s="2" t="s">
        <v>44</v>
      </c>
      <c r="B127" s="2"/>
      <c r="C127" s="2" t="n">
        <v>2518</v>
      </c>
      <c r="D127" s="4" t="s">
        <v>352</v>
      </c>
      <c r="E127" s="4" t="s">
        <v>234</v>
      </c>
      <c r="F127" s="4" t="s">
        <v>47</v>
      </c>
      <c r="G127" s="4" t="s">
        <v>44</v>
      </c>
      <c r="H127" s="4" t="n">
        <v>1979</v>
      </c>
      <c r="I127" s="4"/>
      <c r="J127" s="4" t="s">
        <v>48</v>
      </c>
      <c r="K127" s="5" t="s">
        <v>44</v>
      </c>
      <c r="L127" s="6" t="s">
        <v>98</v>
      </c>
      <c r="M127" s="7" t="n">
        <v>93</v>
      </c>
      <c r="N127" s="59" t="n">
        <v>0.756</v>
      </c>
      <c r="O127" s="59" t="n">
        <v>0.748</v>
      </c>
      <c r="P127" s="59" t="n">
        <v>0.763</v>
      </c>
      <c r="Q127" s="59" t="n">
        <v>0.818</v>
      </c>
      <c r="R127" s="8" t="n">
        <v>665063</v>
      </c>
      <c r="S127" s="8" t="n">
        <v>550360</v>
      </c>
      <c r="T127" s="8" t="n">
        <f aca="false">IF(J127="regional",IF(R127&gt;0,R127*0.2975,S127*0.3484),S127*0.1939)</f>
        <v>197856.2425</v>
      </c>
      <c r="U127" s="8" t="n">
        <v>312920</v>
      </c>
      <c r="V127" s="8" t="n">
        <f aca="false">S127-U127</f>
        <v>237440</v>
      </c>
      <c r="W127" s="8" t="n">
        <v>3600</v>
      </c>
      <c r="X127" s="60" t="n">
        <f aca="false">Y127+Z127</f>
        <v>0</v>
      </c>
      <c r="Y127" s="8" t="n">
        <f aca="false">IF(B127="y",T127,0)</f>
        <v>0</v>
      </c>
      <c r="Z127" s="9"/>
      <c r="AA127" s="8" t="n">
        <f aca="false">AB127+AC127</f>
        <v>748216.2425</v>
      </c>
      <c r="AB127" s="8" t="n">
        <f aca="false">IF(B127="y",0,T127)</f>
        <v>197856.2425</v>
      </c>
      <c r="AC127" s="8" t="n">
        <f aca="false">S127-Z127</f>
        <v>550360</v>
      </c>
      <c r="AD127" s="61" t="n">
        <f aca="false">IF(K127="y",Z127,0)</f>
        <v>0</v>
      </c>
      <c r="AE127" s="61" t="n">
        <f aca="false">IF($K127="",Z127,0)+IF($K127="n",Z127,0)</f>
        <v>0</v>
      </c>
      <c r="AF127" s="62" t="n">
        <f aca="false">IF($K127="y",AC127,0)</f>
        <v>550360</v>
      </c>
      <c r="AG127" s="62" t="n">
        <f aca="false">IF($K127="",AC127,0)+IF($K127="n",AC127,0)</f>
        <v>0</v>
      </c>
      <c r="AH127" s="8" t="n">
        <v>358000</v>
      </c>
      <c r="AI127" s="8" t="n">
        <v>382000</v>
      </c>
      <c r="AJ127" s="4"/>
      <c r="AK127" s="4"/>
      <c r="AL127" s="9"/>
      <c r="AM127" s="9"/>
    </row>
    <row r="128" customFormat="false" ht="12.75" hidden="false" customHeight="false" outlineLevel="0" collapsed="false">
      <c r="A128" s="2" t="s">
        <v>44</v>
      </c>
      <c r="B128" s="2"/>
      <c r="C128" s="2" t="n">
        <v>9605</v>
      </c>
      <c r="D128" s="4" t="s">
        <v>353</v>
      </c>
      <c r="E128" s="4" t="s">
        <v>354</v>
      </c>
      <c r="F128" s="4" t="s">
        <v>54</v>
      </c>
      <c r="G128" s="4" t="s">
        <v>44</v>
      </c>
      <c r="H128" s="4" t="n">
        <v>1991</v>
      </c>
      <c r="I128" s="4"/>
      <c r="J128" s="4" t="s">
        <v>62</v>
      </c>
      <c r="K128" s="5" t="s">
        <v>44</v>
      </c>
      <c r="L128" s="6" t="s">
        <v>355</v>
      </c>
      <c r="M128" s="7" t="n">
        <v>26</v>
      </c>
      <c r="N128" s="59" t="n">
        <v>0.765</v>
      </c>
      <c r="O128" s="59" t="n">
        <v>0.765</v>
      </c>
      <c r="P128" s="59" t="n">
        <v>0.772</v>
      </c>
      <c r="Q128" s="59" t="n">
        <v>0.388</v>
      </c>
      <c r="R128" s="8"/>
      <c r="S128" s="8" t="n">
        <v>390986</v>
      </c>
      <c r="T128" s="8" t="n">
        <f aca="false">IF(J128="regional",IF(R128&gt;0,R128*0.2975,S128*0.3484),S128*0.1939)</f>
        <v>75812.1854</v>
      </c>
      <c r="U128" s="8" t="n">
        <v>306158</v>
      </c>
      <c r="V128" s="8" t="n">
        <f aca="false">S128-U128</f>
        <v>84828</v>
      </c>
      <c r="W128" s="8" t="n">
        <v>2000</v>
      </c>
      <c r="X128" s="60" t="n">
        <f aca="false">Y128+Z128</f>
        <v>0</v>
      </c>
      <c r="Y128" s="8" t="n">
        <f aca="false">IF(B128="y",T128,0)</f>
        <v>0</v>
      </c>
      <c r="Z128" s="9"/>
      <c r="AA128" s="8" t="n">
        <f aca="false">AB128+AC128</f>
        <v>466798.1854</v>
      </c>
      <c r="AB128" s="8" t="n">
        <f aca="false">IF(B128="y",0,T128)</f>
        <v>75812.1854</v>
      </c>
      <c r="AC128" s="8" t="n">
        <f aca="false">S128-Z128</f>
        <v>390986</v>
      </c>
      <c r="AD128" s="61" t="n">
        <f aca="false">IF(K128="y",Z128,0)</f>
        <v>0</v>
      </c>
      <c r="AE128" s="61" t="n">
        <f aca="false">IF($K128="",Z128,0)+IF($K128="n",Z128,0)</f>
        <v>0</v>
      </c>
      <c r="AF128" s="62" t="n">
        <f aca="false">IF($K128="y",AC128,0)</f>
        <v>390986</v>
      </c>
      <c r="AG128" s="62" t="n">
        <f aca="false">IF($K128="",AC128,0)+IF($K128="n",AC128,0)</f>
        <v>0</v>
      </c>
      <c r="AH128" s="8" t="n">
        <v>100000</v>
      </c>
      <c r="AI128" s="8" t="n">
        <v>123000</v>
      </c>
      <c r="AJ128" s="1" t="s">
        <v>51</v>
      </c>
      <c r="AK128" s="63" t="n">
        <v>33206</v>
      </c>
      <c r="AL128" s="9"/>
      <c r="AM128" s="9"/>
    </row>
    <row r="129" customFormat="false" ht="12.75" hidden="false" customHeight="false" outlineLevel="0" collapsed="false">
      <c r="A129" s="2" t="s">
        <v>44</v>
      </c>
      <c r="B129" s="2" t="s">
        <v>44</v>
      </c>
      <c r="C129" s="2" t="n">
        <v>2631</v>
      </c>
      <c r="D129" s="67" t="s">
        <v>356</v>
      </c>
      <c r="E129" s="65" t="s">
        <v>169</v>
      </c>
      <c r="F129" s="4"/>
      <c r="G129" s="4" t="s">
        <v>49</v>
      </c>
      <c r="H129" s="4" t="n">
        <v>1992</v>
      </c>
      <c r="I129" s="4"/>
      <c r="J129" s="4" t="s">
        <v>48</v>
      </c>
      <c r="K129" s="5" t="s">
        <v>44</v>
      </c>
      <c r="L129" s="58" t="s">
        <v>357</v>
      </c>
      <c r="M129" s="7" t="n">
        <v>333</v>
      </c>
      <c r="N129" s="59" t="n">
        <v>0.948</v>
      </c>
      <c r="O129" s="59" t="n">
        <v>0.949</v>
      </c>
      <c r="P129" s="59" t="n">
        <v>0.92</v>
      </c>
      <c r="Q129" s="59" t="n">
        <v>0.868</v>
      </c>
      <c r="R129" s="8"/>
      <c r="S129" s="8" t="n">
        <v>2574525</v>
      </c>
      <c r="T129" s="8" t="n">
        <f aca="false">IF(R129="",S129*0.3484,R129*0.2975)</f>
        <v>896964.51</v>
      </c>
      <c r="U129" s="8" t="n">
        <v>884036</v>
      </c>
      <c r="V129" s="8" t="n">
        <f aca="false">S129-U129</f>
        <v>1690489</v>
      </c>
      <c r="W129" s="8" t="n">
        <v>12500</v>
      </c>
      <c r="X129" s="8" t="n">
        <v>2215000</v>
      </c>
      <c r="Y129" s="8"/>
      <c r="Z129" s="8"/>
      <c r="AA129" s="8" t="n">
        <f aca="false">IF(A129="y",((S129-U129)+T129),"")</f>
        <v>2587453.51</v>
      </c>
      <c r="AB129" s="8"/>
      <c r="AC129" s="8"/>
      <c r="AD129" s="61" t="n">
        <f aca="false">IF(K129="y",X129,0)</f>
        <v>2215000</v>
      </c>
      <c r="AE129" s="61" t="n">
        <f aca="false">IF($K129="",X129,0)</f>
        <v>0</v>
      </c>
      <c r="AF129" s="62" t="n">
        <f aca="false">IF($K129="y",AA129,0)</f>
        <v>2587453.51</v>
      </c>
      <c r="AG129" s="62" t="n">
        <f aca="false">IF($K129="",AA129,0)</f>
        <v>0</v>
      </c>
      <c r="AK129" s="63"/>
      <c r="AL129" s="9"/>
      <c r="AM129" s="9"/>
    </row>
    <row r="130" customFormat="false" ht="12.75" hidden="false" customHeight="false" outlineLevel="0" collapsed="false">
      <c r="A130" s="2"/>
      <c r="B130" s="2" t="s">
        <v>44</v>
      </c>
      <c r="C130" s="2" t="n">
        <v>3878</v>
      </c>
      <c r="D130" s="67" t="s">
        <v>358</v>
      </c>
      <c r="E130" s="65" t="s">
        <v>359</v>
      </c>
      <c r="F130" s="4"/>
      <c r="G130" s="4" t="s">
        <v>49</v>
      </c>
      <c r="H130" s="4" t="n">
        <v>1989</v>
      </c>
      <c r="I130" s="4"/>
      <c r="J130" s="4" t="s">
        <v>48</v>
      </c>
      <c r="K130" s="5" t="s">
        <v>44</v>
      </c>
      <c r="L130" s="58" t="s">
        <v>306</v>
      </c>
      <c r="M130" s="7" t="n">
        <v>117</v>
      </c>
      <c r="N130" s="59" t="n">
        <v>0.815</v>
      </c>
      <c r="O130" s="59" t="n">
        <v>0.815</v>
      </c>
      <c r="P130" s="59" t="n">
        <v>0.802</v>
      </c>
      <c r="Q130" s="59" t="n">
        <v>0.787</v>
      </c>
      <c r="R130" s="8" t="n">
        <v>664223</v>
      </c>
      <c r="S130" s="8" t="n">
        <v>494960</v>
      </c>
      <c r="T130" s="8" t="n">
        <f aca="false">IF(J130="regional",IF(R130&gt;0,R130*0.2975,S130*0.3484),S130*0.1939)</f>
        <v>197606.3425</v>
      </c>
      <c r="U130" s="8" t="n">
        <v>309087</v>
      </c>
      <c r="V130" s="8" t="n">
        <f aca="false">S130-U130</f>
        <v>185873</v>
      </c>
      <c r="W130" s="8"/>
      <c r="X130" s="60" t="n">
        <f aca="false">Y130+Z130</f>
        <v>1266798.3425</v>
      </c>
      <c r="Y130" s="8" t="n">
        <f aca="false">IF(B130="y",T130,0)</f>
        <v>197606.3425</v>
      </c>
      <c r="Z130" s="8" t="n">
        <v>1069192</v>
      </c>
      <c r="AA130" s="8" t="n">
        <f aca="false">AB130+AC130</f>
        <v>-574232</v>
      </c>
      <c r="AB130" s="8" t="n">
        <f aca="false">IF(B130="y",0,T130)</f>
        <v>0</v>
      </c>
      <c r="AC130" s="8" t="n">
        <f aca="false">S130-Z130</f>
        <v>-574232</v>
      </c>
      <c r="AD130" s="61" t="n">
        <f aca="false">IF(K130="y",Z130,0)</f>
        <v>1069192</v>
      </c>
      <c r="AE130" s="61" t="n">
        <f aca="false">IF($K130="",Z130,0)+IF($K130="n",Z130,0)</f>
        <v>0</v>
      </c>
      <c r="AF130" s="62" t="n">
        <f aca="false">IF($K130="y",AC130,0)</f>
        <v>-574232</v>
      </c>
      <c r="AG130" s="62" t="n">
        <f aca="false">IF($K130="",AC130,0)+IF($K130="n",AC130,0)</f>
        <v>0</v>
      </c>
      <c r="AH130" s="8" t="n">
        <v>1308000</v>
      </c>
      <c r="AI130" s="8" t="n">
        <v>1262000</v>
      </c>
      <c r="AJ130" s="67"/>
      <c r="AK130" s="67"/>
      <c r="AL130" s="9"/>
      <c r="AM130" s="9"/>
    </row>
    <row r="131" customFormat="false" ht="12.75" hidden="false" customHeight="false" outlineLevel="0" collapsed="false">
      <c r="A131" s="2" t="s">
        <v>44</v>
      </c>
      <c r="B131" s="2"/>
      <c r="C131" s="2" t="n">
        <v>2530</v>
      </c>
      <c r="D131" s="4" t="s">
        <v>360</v>
      </c>
      <c r="E131" s="4" t="s">
        <v>189</v>
      </c>
      <c r="F131" s="4" t="s">
        <v>190</v>
      </c>
      <c r="G131" s="4" t="s">
        <v>44</v>
      </c>
      <c r="H131" s="4" t="n">
        <v>1970</v>
      </c>
      <c r="I131" s="4"/>
      <c r="J131" s="4" t="s">
        <v>62</v>
      </c>
      <c r="K131" s="5"/>
      <c r="L131" s="6" t="s">
        <v>191</v>
      </c>
      <c r="M131" s="7" t="n">
        <v>12</v>
      </c>
      <c r="N131" s="59" t="n">
        <v>0.941</v>
      </c>
      <c r="O131" s="59" t="n">
        <v>0.941</v>
      </c>
      <c r="P131" s="59" t="n">
        <v>0.941</v>
      </c>
      <c r="Q131" s="59" t="n">
        <v>0.808</v>
      </c>
      <c r="R131" s="8"/>
      <c r="S131" s="8" t="n">
        <v>123789</v>
      </c>
      <c r="T131" s="8" t="n">
        <f aca="false">IF(J131="regional",IF(R131&gt;0,R131*0.2975,S131*0.3484),S131*0.1939)</f>
        <v>24002.6871</v>
      </c>
      <c r="U131" s="8" t="n">
        <v>112714</v>
      </c>
      <c r="V131" s="8" t="n">
        <f aca="false">S131-U131</f>
        <v>11075</v>
      </c>
      <c r="W131" s="8" t="n">
        <v>751</v>
      </c>
      <c r="X131" s="60" t="n">
        <f aca="false">Y131+Z131</f>
        <v>0</v>
      </c>
      <c r="Y131" s="8" t="n">
        <f aca="false">IF(B131="y",T131,0)</f>
        <v>0</v>
      </c>
      <c r="Z131" s="9"/>
      <c r="AA131" s="8" t="n">
        <f aca="false">AB131+AC131</f>
        <v>147791.6871</v>
      </c>
      <c r="AB131" s="8" t="n">
        <f aca="false">IF(B131="y",0,T131)</f>
        <v>24002.6871</v>
      </c>
      <c r="AC131" s="8" t="n">
        <f aca="false">S131-Z131</f>
        <v>123789</v>
      </c>
      <c r="AD131" s="61" t="n">
        <f aca="false">IF(K131="y",Z131,0)</f>
        <v>0</v>
      </c>
      <c r="AE131" s="61" t="n">
        <f aca="false">IF($K131="",Z131,0)+IF($K131="n",Z131,0)</f>
        <v>0</v>
      </c>
      <c r="AF131" s="62" t="n">
        <f aca="false">IF($K131="y",AC131,0)</f>
        <v>0</v>
      </c>
      <c r="AG131" s="62" t="n">
        <f aca="false">IF($K131="",AC131,0)+IF($K131="n",AC131,0)</f>
        <v>123789</v>
      </c>
      <c r="AH131" s="8" t="n">
        <v>0</v>
      </c>
      <c r="AI131" s="8" t="n">
        <v>0</v>
      </c>
      <c r="AJ131" s="4"/>
      <c r="AK131" s="4"/>
      <c r="AL131" s="9"/>
      <c r="AM131" s="9"/>
    </row>
    <row r="132" customFormat="false" ht="12.75" hidden="false" customHeight="false" outlineLevel="0" collapsed="false">
      <c r="A132" s="2" t="s">
        <v>44</v>
      </c>
      <c r="B132" s="2" t="s">
        <v>44</v>
      </c>
      <c r="C132" s="2" t="n">
        <v>1506</v>
      </c>
      <c r="D132" s="4" t="s">
        <v>361</v>
      </c>
      <c r="E132" s="4" t="s">
        <v>362</v>
      </c>
      <c r="F132" s="4" t="s">
        <v>47</v>
      </c>
      <c r="G132" s="4" t="s">
        <v>44</v>
      </c>
      <c r="H132" s="4" t="n">
        <v>1968</v>
      </c>
      <c r="I132" s="4"/>
      <c r="J132" s="4" t="s">
        <v>48</v>
      </c>
      <c r="K132" s="5" t="s">
        <v>49</v>
      </c>
      <c r="L132" s="58" t="s">
        <v>170</v>
      </c>
      <c r="M132" s="7" t="n">
        <v>50</v>
      </c>
      <c r="N132" s="59" t="n">
        <v>0.779</v>
      </c>
      <c r="O132" s="59" t="n">
        <v>0.779</v>
      </c>
      <c r="P132" s="59" t="n">
        <v>0.86</v>
      </c>
      <c r="Q132" s="59" t="n">
        <v>0.882</v>
      </c>
      <c r="R132" s="8" t="n">
        <v>442056</v>
      </c>
      <c r="S132" s="8" t="n">
        <v>385257</v>
      </c>
      <c r="T132" s="8" t="n">
        <f aca="false">IF(J132="regional",IF(R132&gt;0,R132*0.2975,S132*0.3484),S132*0.1939)</f>
        <v>131511.66</v>
      </c>
      <c r="U132" s="8" t="n">
        <v>252444</v>
      </c>
      <c r="V132" s="8" t="n">
        <f aca="false">S132-U132</f>
        <v>132813</v>
      </c>
      <c r="W132" s="8" t="n">
        <v>1926</v>
      </c>
      <c r="X132" s="60" t="n">
        <f aca="false">Y132+Z132</f>
        <v>559634.66</v>
      </c>
      <c r="Y132" s="8" t="n">
        <f aca="false">IF(B132="y",T132,0)</f>
        <v>131511.66</v>
      </c>
      <c r="Z132" s="8" t="n">
        <v>428123</v>
      </c>
      <c r="AA132" s="8" t="n">
        <f aca="false">AB132+AC132</f>
        <v>-42866</v>
      </c>
      <c r="AB132" s="8" t="n">
        <f aca="false">IF(B132="y",0,T132)</f>
        <v>0</v>
      </c>
      <c r="AC132" s="8" t="n">
        <f aca="false">S132-Z132</f>
        <v>-42866</v>
      </c>
      <c r="AD132" s="61" t="n">
        <f aca="false">IF(K132="y",Z132,0)</f>
        <v>0</v>
      </c>
      <c r="AE132" s="61" t="n">
        <f aca="false">IF($K132="",Z132,0)+IF($K132="n",Z132,0)</f>
        <v>428123</v>
      </c>
      <c r="AF132" s="62" t="n">
        <f aca="false">IF($K132="y",AC132,0)</f>
        <v>0</v>
      </c>
      <c r="AG132" s="62" t="n">
        <f aca="false">IF($K132="",AC132,0)+IF($K132="n",AC132,0)</f>
        <v>-42866</v>
      </c>
      <c r="AH132" s="8" t="n">
        <v>0</v>
      </c>
      <c r="AI132" s="8" t="n">
        <v>0</v>
      </c>
      <c r="AJ132" s="1" t="s">
        <v>70</v>
      </c>
      <c r="AK132" s="63" t="n">
        <v>73853</v>
      </c>
      <c r="AL132" s="9"/>
      <c r="AM132" s="9"/>
    </row>
    <row r="133" customFormat="false" ht="12.75" hidden="false" customHeight="false" outlineLevel="0" collapsed="false">
      <c r="A133" s="2" t="s">
        <v>44</v>
      </c>
      <c r="B133" s="2"/>
      <c r="C133" s="2" t="n">
        <v>2531</v>
      </c>
      <c r="D133" s="4" t="s">
        <v>363</v>
      </c>
      <c r="E133" s="4" t="s">
        <v>362</v>
      </c>
      <c r="F133" s="4" t="s">
        <v>114</v>
      </c>
      <c r="G133" s="4" t="s">
        <v>44</v>
      </c>
      <c r="H133" s="4" t="n">
        <v>1974</v>
      </c>
      <c r="I133" s="4"/>
      <c r="J133" s="4" t="s">
        <v>62</v>
      </c>
      <c r="K133" s="5"/>
      <c r="L133" s="58" t="s">
        <v>170</v>
      </c>
      <c r="M133" s="7" t="n">
        <v>9</v>
      </c>
      <c r="N133" s="59" t="n">
        <v>1</v>
      </c>
      <c r="O133" s="59" t="n">
        <v>1</v>
      </c>
      <c r="P133" s="59" t="n">
        <v>1</v>
      </c>
      <c r="Q133" s="59" t="n">
        <v>1</v>
      </c>
      <c r="R133" s="8"/>
      <c r="S133" s="8" t="n">
        <v>99029</v>
      </c>
      <c r="T133" s="8" t="n">
        <f aca="false">IF(J133="regional",IF(R133&gt;0,R133*0.2975,S133*0.3484),S133*0.1939)</f>
        <v>19201.7231</v>
      </c>
      <c r="U133" s="8" t="n">
        <v>72104</v>
      </c>
      <c r="V133" s="8" t="n">
        <f aca="false">S133-U133</f>
        <v>26925</v>
      </c>
      <c r="W133" s="8" t="n">
        <v>600</v>
      </c>
      <c r="X133" s="60" t="n">
        <f aca="false">Y133+Z133</f>
        <v>0</v>
      </c>
      <c r="Y133" s="8" t="n">
        <f aca="false">IF(B133="y",T133,0)</f>
        <v>0</v>
      </c>
      <c r="Z133" s="8"/>
      <c r="AA133" s="8" t="n">
        <f aca="false">AB133+AC133</f>
        <v>118230.7231</v>
      </c>
      <c r="AB133" s="8" t="n">
        <f aca="false">IF(B133="y",0,T133)</f>
        <v>19201.7231</v>
      </c>
      <c r="AC133" s="8" t="n">
        <f aca="false">S133-Z133</f>
        <v>99029</v>
      </c>
      <c r="AD133" s="61" t="n">
        <f aca="false">IF(K133="y",Z133,0)</f>
        <v>0</v>
      </c>
      <c r="AE133" s="61" t="n">
        <f aca="false">IF($K133="",Z133,0)+IF($K133="n",Z133,0)</f>
        <v>0</v>
      </c>
      <c r="AF133" s="62" t="n">
        <f aca="false">IF($K133="y",AC133,0)</f>
        <v>0</v>
      </c>
      <c r="AG133" s="62" t="n">
        <f aca="false">IF($K133="",AC133,0)+IF($K133="n",AC133,0)</f>
        <v>99029</v>
      </c>
      <c r="AH133" s="8" t="n">
        <v>0</v>
      </c>
      <c r="AI133" s="8" t="n">
        <v>0</v>
      </c>
      <c r="AJ133" s="1" t="s">
        <v>70</v>
      </c>
      <c r="AK133" s="63" t="n">
        <v>17869.96</v>
      </c>
      <c r="AL133" s="9"/>
      <c r="AM133" s="9"/>
    </row>
    <row r="134" customFormat="false" ht="12.75" hidden="false" customHeight="false" outlineLevel="0" collapsed="false">
      <c r="A134" s="2" t="s">
        <v>44</v>
      </c>
      <c r="B134" s="2"/>
      <c r="C134" s="2" t="n">
        <v>2544</v>
      </c>
      <c r="D134" s="4" t="s">
        <v>364</v>
      </c>
      <c r="E134" s="4" t="s">
        <v>365</v>
      </c>
      <c r="F134" s="4" t="s">
        <v>147</v>
      </c>
      <c r="G134" s="4" t="s">
        <v>44</v>
      </c>
      <c r="H134" s="4" t="n">
        <v>1967</v>
      </c>
      <c r="I134" s="4"/>
      <c r="J134" s="4" t="s">
        <v>62</v>
      </c>
      <c r="K134" s="5"/>
      <c r="L134" s="58" t="s">
        <v>334</v>
      </c>
      <c r="M134" s="7" t="n">
        <v>3</v>
      </c>
      <c r="N134" s="59" t="n">
        <v>0.971</v>
      </c>
      <c r="O134" s="59" t="n">
        <v>0.971</v>
      </c>
      <c r="P134" s="59" t="n">
        <v>0.971</v>
      </c>
      <c r="Q134" s="59" t="n">
        <v>0.971</v>
      </c>
      <c r="R134" s="8"/>
      <c r="S134" s="8" t="n">
        <v>94759</v>
      </c>
      <c r="T134" s="8" t="n">
        <f aca="false">IF(J134="regional",IF(R134&gt;0,R134*0.2975,S134*0.3484),S134*0.1939)</f>
        <v>18373.7701</v>
      </c>
      <c r="U134" s="8" t="n">
        <v>88470</v>
      </c>
      <c r="V134" s="8" t="n">
        <f aca="false">S134-U134</f>
        <v>6289</v>
      </c>
      <c r="W134" s="8" t="n">
        <v>584</v>
      </c>
      <c r="X134" s="60" t="n">
        <f aca="false">Y134+Z134</f>
        <v>0</v>
      </c>
      <c r="Y134" s="8" t="n">
        <f aca="false">IF(B134="y",T134,0)</f>
        <v>0</v>
      </c>
      <c r="Z134" s="8"/>
      <c r="AA134" s="8" t="n">
        <f aca="false">AB134+AC134</f>
        <v>113132.7701</v>
      </c>
      <c r="AB134" s="8" t="n">
        <f aca="false">IF(B134="y",0,T134)</f>
        <v>18373.7701</v>
      </c>
      <c r="AC134" s="8" t="n">
        <f aca="false">S134-Z134</f>
        <v>94759</v>
      </c>
      <c r="AD134" s="61" t="n">
        <f aca="false">IF(K134="y",Z134,0)</f>
        <v>0</v>
      </c>
      <c r="AE134" s="61" t="n">
        <f aca="false">IF($K134="",Z134,0)+IF($K134="n",Z134,0)</f>
        <v>0</v>
      </c>
      <c r="AF134" s="62" t="n">
        <f aca="false">IF($K134="y",AC134,0)</f>
        <v>0</v>
      </c>
      <c r="AG134" s="62" t="n">
        <f aca="false">IF($K134="",AC134,0)+IF($K134="n",AC134,0)</f>
        <v>94759</v>
      </c>
      <c r="AH134" s="8" t="n">
        <v>0</v>
      </c>
      <c r="AI134" s="8" t="n">
        <v>0</v>
      </c>
      <c r="AJ134" s="4"/>
      <c r="AK134" s="4"/>
      <c r="AL134" s="9"/>
      <c r="AM134" s="9"/>
    </row>
    <row r="135" customFormat="false" ht="12.75" hidden="false" customHeight="false" outlineLevel="0" collapsed="false">
      <c r="A135" s="2" t="s">
        <v>44</v>
      </c>
      <c r="B135" s="2"/>
      <c r="C135" s="2" t="n">
        <v>1583</v>
      </c>
      <c r="D135" s="4" t="s">
        <v>366</v>
      </c>
      <c r="E135" s="4" t="s">
        <v>113</v>
      </c>
      <c r="F135" s="4" t="s">
        <v>114</v>
      </c>
      <c r="G135" s="4" t="s">
        <v>44</v>
      </c>
      <c r="H135" s="4" t="n">
        <v>1962</v>
      </c>
      <c r="I135" s="4"/>
      <c r="J135" s="4" t="s">
        <v>62</v>
      </c>
      <c r="K135" s="5"/>
      <c r="L135" s="58" t="s">
        <v>115</v>
      </c>
      <c r="M135" s="7" t="n">
        <v>11</v>
      </c>
      <c r="N135" s="59" t="n">
        <v>0.876</v>
      </c>
      <c r="O135" s="59" t="n">
        <v>0.876</v>
      </c>
      <c r="P135" s="59" t="n">
        <v>0.876</v>
      </c>
      <c r="Q135" s="59" t="n">
        <v>1</v>
      </c>
      <c r="R135" s="8"/>
      <c r="S135" s="8" t="n">
        <v>102451</v>
      </c>
      <c r="T135" s="8" t="n">
        <f aca="false">IF(J135="regional",IF(R135&gt;0,R135*0.2975,S135*0.3484),S135*0.1939)</f>
        <v>19865.2489</v>
      </c>
      <c r="U135" s="8" t="n">
        <v>45427</v>
      </c>
      <c r="V135" s="8" t="n">
        <f aca="false">S135-U135</f>
        <v>57024</v>
      </c>
      <c r="W135" s="8" t="n">
        <v>590</v>
      </c>
      <c r="X135" s="60" t="n">
        <f aca="false">Y135+Z135</f>
        <v>0</v>
      </c>
      <c r="Y135" s="8" t="n">
        <f aca="false">IF(B135="y",T135,0)</f>
        <v>0</v>
      </c>
      <c r="Z135" s="8"/>
      <c r="AA135" s="8" t="n">
        <f aca="false">AB135+AC135</f>
        <v>122316.2489</v>
      </c>
      <c r="AB135" s="8" t="n">
        <f aca="false">IF(B135="y",0,T135)</f>
        <v>19865.2489</v>
      </c>
      <c r="AC135" s="8" t="n">
        <f aca="false">S135-Z135</f>
        <v>102451</v>
      </c>
      <c r="AD135" s="61" t="n">
        <f aca="false">IF(K135="y",Z135,0)</f>
        <v>0</v>
      </c>
      <c r="AE135" s="61" t="n">
        <f aca="false">IF($K135="",Z135,0)+IF($K135="n",Z135,0)</f>
        <v>0</v>
      </c>
      <c r="AF135" s="62" t="n">
        <f aca="false">IF($K135="y",AC135,0)</f>
        <v>0</v>
      </c>
      <c r="AG135" s="62" t="n">
        <f aca="false">IF($K135="",AC135,0)+IF($K135="n",AC135,0)</f>
        <v>102451</v>
      </c>
      <c r="AH135" s="8" t="n">
        <v>0</v>
      </c>
      <c r="AI135" s="8" t="n">
        <v>0</v>
      </c>
      <c r="AJ135" s="4"/>
      <c r="AK135" s="4"/>
      <c r="AL135" s="9"/>
      <c r="AM135" s="9"/>
    </row>
    <row r="136" customFormat="false" ht="12.75" hidden="false" customHeight="false" outlineLevel="0" collapsed="false">
      <c r="A136" s="2" t="s">
        <v>44</v>
      </c>
      <c r="B136" s="2"/>
      <c r="C136" s="2" t="n">
        <v>2614</v>
      </c>
      <c r="D136" s="4" t="s">
        <v>367</v>
      </c>
      <c r="E136" s="4" t="s">
        <v>368</v>
      </c>
      <c r="F136" s="4" t="s">
        <v>47</v>
      </c>
      <c r="G136" s="4" t="s">
        <v>44</v>
      </c>
      <c r="H136" s="4" t="n">
        <v>1988</v>
      </c>
      <c r="I136" s="4"/>
      <c r="J136" s="4" t="s">
        <v>62</v>
      </c>
      <c r="K136" s="5"/>
      <c r="L136" s="58" t="s">
        <v>98</v>
      </c>
      <c r="M136" s="7" t="n">
        <v>14</v>
      </c>
      <c r="N136" s="59" t="n">
        <v>0.886</v>
      </c>
      <c r="O136" s="59" t="n">
        <v>0.86</v>
      </c>
      <c r="P136" s="59" t="n">
        <v>0.86</v>
      </c>
      <c r="Q136" s="59" t="n">
        <v>0.864</v>
      </c>
      <c r="R136" s="8"/>
      <c r="S136" s="8" t="n">
        <v>267455</v>
      </c>
      <c r="T136" s="8" t="n">
        <f aca="false">IF(J136="regional",IF(R136&gt;0,R136*0.2975,S136*0.3484),S136*0.1939)</f>
        <v>51859.5245</v>
      </c>
      <c r="U136" s="8" t="n">
        <v>230855</v>
      </c>
      <c r="V136" s="8" t="n">
        <f aca="false">S136-U136</f>
        <v>36600</v>
      </c>
      <c r="W136" s="8" t="n">
        <v>1232</v>
      </c>
      <c r="X136" s="60" t="n">
        <f aca="false">Y136+Z136</f>
        <v>0</v>
      </c>
      <c r="Y136" s="8" t="n">
        <f aca="false">IF(B136="y",T136,0)</f>
        <v>0</v>
      </c>
      <c r="Z136" s="8"/>
      <c r="AA136" s="8" t="n">
        <f aca="false">AB136+AC136</f>
        <v>319314.5245</v>
      </c>
      <c r="AB136" s="8" t="n">
        <f aca="false">IF(B136="y",0,T136)</f>
        <v>51859.5245</v>
      </c>
      <c r="AC136" s="8" t="n">
        <f aca="false">S136-Z136</f>
        <v>267455</v>
      </c>
      <c r="AD136" s="61" t="n">
        <f aca="false">IF(K136="y",Z136,0)</f>
        <v>0</v>
      </c>
      <c r="AE136" s="61" t="n">
        <f aca="false">IF($K136="",Z136,0)+IF($K136="n",Z136,0)</f>
        <v>0</v>
      </c>
      <c r="AF136" s="62" t="n">
        <f aca="false">IF($K136="y",AC136,0)</f>
        <v>0</v>
      </c>
      <c r="AG136" s="62" t="n">
        <f aca="false">IF($K136="",AC136,0)+IF($K136="n",AC136,0)</f>
        <v>267455</v>
      </c>
      <c r="AH136" s="8" t="n">
        <v>0</v>
      </c>
      <c r="AI136" s="8" t="n">
        <v>0</v>
      </c>
      <c r="AJ136" s="4"/>
      <c r="AK136" s="4"/>
      <c r="AL136" s="9"/>
      <c r="AM136" s="9"/>
    </row>
    <row r="137" customFormat="false" ht="12.75" hidden="false" customHeight="false" outlineLevel="0" collapsed="false">
      <c r="A137" s="2" t="s">
        <v>44</v>
      </c>
      <c r="B137" s="2" t="s">
        <v>44</v>
      </c>
      <c r="C137" s="2" t="n">
        <v>2547</v>
      </c>
      <c r="D137" s="64" t="s">
        <v>369</v>
      </c>
      <c r="E137" s="4" t="s">
        <v>370</v>
      </c>
      <c r="F137" s="4" t="s">
        <v>371</v>
      </c>
      <c r="G137" s="4" t="s">
        <v>44</v>
      </c>
      <c r="H137" s="4" t="n">
        <v>1973</v>
      </c>
      <c r="I137" s="4"/>
      <c r="J137" s="4" t="s">
        <v>48</v>
      </c>
      <c r="K137" s="5" t="s">
        <v>49</v>
      </c>
      <c r="L137" s="58" t="s">
        <v>372</v>
      </c>
      <c r="M137" s="7" t="n">
        <v>83</v>
      </c>
      <c r="N137" s="59" t="n">
        <v>0.864</v>
      </c>
      <c r="O137" s="59" t="n">
        <v>0.964</v>
      </c>
      <c r="P137" s="59" t="n">
        <v>0.951</v>
      </c>
      <c r="Q137" s="59" t="n">
        <v>0.954</v>
      </c>
      <c r="R137" s="8" t="n">
        <v>862393</v>
      </c>
      <c r="S137" s="8" t="n">
        <v>761685</v>
      </c>
      <c r="T137" s="8" t="n">
        <f aca="false">IF(J137="regional",IF(R137&gt;0,R137*0.2975,S137*0.3484),S137*0.1939)</f>
        <v>256561.9175</v>
      </c>
      <c r="U137" s="8" t="n">
        <v>554156</v>
      </c>
      <c r="V137" s="8" t="n">
        <f aca="false">S137-U137</f>
        <v>207529</v>
      </c>
      <c r="W137" s="8" t="n">
        <v>3815</v>
      </c>
      <c r="X137" s="60" t="n">
        <f aca="false">Y137+Z137</f>
        <v>532908.9175</v>
      </c>
      <c r="Y137" s="8" t="n">
        <f aca="false">IF(B137="y",T137,0)</f>
        <v>256561.9175</v>
      </c>
      <c r="Z137" s="8" t="n">
        <v>276347</v>
      </c>
      <c r="AA137" s="8" t="n">
        <f aca="false">AB137+AC137</f>
        <v>485338</v>
      </c>
      <c r="AB137" s="8" t="n">
        <f aca="false">IF(B137="y",0,T137)</f>
        <v>0</v>
      </c>
      <c r="AC137" s="8" t="n">
        <f aca="false">S137-Z137</f>
        <v>485338</v>
      </c>
      <c r="AD137" s="61" t="n">
        <f aca="false">IF(K137="y",Z137,0)</f>
        <v>0</v>
      </c>
      <c r="AE137" s="61" t="n">
        <f aca="false">IF($K137="",Z137,0)+IF($K137="n",Z137,0)</f>
        <v>276347</v>
      </c>
      <c r="AF137" s="62" t="n">
        <f aca="false">IF($K137="y",AC137,0)</f>
        <v>0</v>
      </c>
      <c r="AG137" s="62" t="n">
        <f aca="false">IF($K137="",AC137,0)+IF($K137="n",AC137,0)</f>
        <v>485338</v>
      </c>
      <c r="AH137" s="8" t="n">
        <v>0</v>
      </c>
      <c r="AI137" s="8" t="n">
        <v>0</v>
      </c>
      <c r="AJ137" s="1" t="s">
        <v>51</v>
      </c>
      <c r="AK137" s="63" t="n">
        <v>470038</v>
      </c>
      <c r="AL137" s="9"/>
      <c r="AM137" s="9"/>
    </row>
    <row r="138" customFormat="false" ht="12.75" hidden="false" customHeight="false" outlineLevel="0" collapsed="false">
      <c r="A138" s="2" t="s">
        <v>44</v>
      </c>
      <c r="B138" s="2"/>
      <c r="C138" s="2" t="n">
        <v>9133</v>
      </c>
      <c r="D138" s="4" t="s">
        <v>373</v>
      </c>
      <c r="E138" s="4" t="s">
        <v>374</v>
      </c>
      <c r="F138" s="4" t="s">
        <v>75</v>
      </c>
      <c r="G138" s="4" t="s">
        <v>44</v>
      </c>
      <c r="H138" s="4" t="n">
        <v>1982</v>
      </c>
      <c r="I138" s="4"/>
      <c r="J138" s="4" t="s">
        <v>48</v>
      </c>
      <c r="K138" s="5"/>
      <c r="L138" s="6" t="s">
        <v>105</v>
      </c>
      <c r="M138" s="7" t="n">
        <v>141</v>
      </c>
      <c r="N138" s="59" t="n">
        <v>0.851</v>
      </c>
      <c r="O138" s="59" t="n">
        <v>0.856</v>
      </c>
      <c r="P138" s="59" t="n">
        <v>0.806</v>
      </c>
      <c r="Q138" s="59" t="n">
        <v>0.815</v>
      </c>
      <c r="R138" s="8" t="n">
        <v>771233</v>
      </c>
      <c r="S138" s="8" t="n">
        <v>740219</v>
      </c>
      <c r="T138" s="8" t="n">
        <f aca="false">IF(J138="regional",IF(R138&gt;0,R138*0.2975,S138*0.3484),S138*0.1939)</f>
        <v>229441.8175</v>
      </c>
      <c r="U138" s="8" t="n">
        <v>472605</v>
      </c>
      <c r="V138" s="8" t="n">
        <f aca="false">S138-U138</f>
        <v>267614</v>
      </c>
      <c r="W138" s="8" t="n">
        <v>3892</v>
      </c>
      <c r="X138" s="60" t="n">
        <f aca="false">Y138+Z138</f>
        <v>0</v>
      </c>
      <c r="Y138" s="8" t="n">
        <f aca="false">IF(B138="y",T138,0)</f>
        <v>0</v>
      </c>
      <c r="Z138" s="9"/>
      <c r="AA138" s="8" t="n">
        <f aca="false">AB138+AC138</f>
        <v>969660.8175</v>
      </c>
      <c r="AB138" s="8" t="n">
        <f aca="false">IF(B138="y",0,T138)</f>
        <v>229441.8175</v>
      </c>
      <c r="AC138" s="8" t="n">
        <f aca="false">S138-Z138</f>
        <v>740219</v>
      </c>
      <c r="AD138" s="61" t="n">
        <f aca="false">IF(K138="y",Z138,0)</f>
        <v>0</v>
      </c>
      <c r="AE138" s="61" t="n">
        <f aca="false">IF($K138="",Z138,0)+IF($K138="n",Z138,0)</f>
        <v>0</v>
      </c>
      <c r="AF138" s="62" t="n">
        <f aca="false">IF($K138="y",AC138,0)</f>
        <v>0</v>
      </c>
      <c r="AG138" s="62" t="n">
        <f aca="false">IF($K138="",AC138,0)+IF($K138="n",AC138,0)</f>
        <v>740219</v>
      </c>
      <c r="AH138" s="8" t="n">
        <v>0</v>
      </c>
      <c r="AI138" s="8" t="n">
        <v>0</v>
      </c>
      <c r="AJ138" s="1" t="s">
        <v>51</v>
      </c>
      <c r="AK138" s="63" t="n">
        <v>729997</v>
      </c>
      <c r="AL138" s="9"/>
      <c r="AM138" s="9"/>
    </row>
    <row r="139" customFormat="false" ht="12.75" hidden="false" customHeight="false" outlineLevel="0" collapsed="false">
      <c r="A139" s="2" t="s">
        <v>44</v>
      </c>
      <c r="B139" s="2"/>
      <c r="C139" s="2" t="n">
        <v>1509</v>
      </c>
      <c r="D139" s="4" t="s">
        <v>375</v>
      </c>
      <c r="E139" s="4" t="s">
        <v>376</v>
      </c>
      <c r="F139" s="4" t="s">
        <v>85</v>
      </c>
      <c r="G139" s="4" t="s">
        <v>44</v>
      </c>
      <c r="H139" s="4" t="n">
        <v>1969</v>
      </c>
      <c r="I139" s="4"/>
      <c r="J139" s="4" t="s">
        <v>48</v>
      </c>
      <c r="K139" s="5" t="s">
        <v>49</v>
      </c>
      <c r="L139" s="6" t="s">
        <v>232</v>
      </c>
      <c r="M139" s="7" t="n">
        <v>43</v>
      </c>
      <c r="N139" s="59" t="n">
        <v>0.999</v>
      </c>
      <c r="O139" s="59" t="n">
        <v>1</v>
      </c>
      <c r="P139" s="59" t="n">
        <v>1</v>
      </c>
      <c r="Q139" s="59" t="n">
        <v>0.897</v>
      </c>
      <c r="R139" s="8" t="n">
        <v>458455</v>
      </c>
      <c r="S139" s="8" t="n">
        <v>422618</v>
      </c>
      <c r="T139" s="8" t="n">
        <f aca="false">IF(J139="regional",IF(R139&gt;0,R139*0.2975,S139*0.3484),S139*0.1939)</f>
        <v>136390.3625</v>
      </c>
      <c r="U139" s="8" t="n">
        <v>307884</v>
      </c>
      <c r="V139" s="8" t="n">
        <f aca="false">S139-U139</f>
        <v>114734</v>
      </c>
      <c r="W139" s="8" t="n">
        <v>1868</v>
      </c>
      <c r="X139" s="60" t="n">
        <f aca="false">Y139+Z139</f>
        <v>0</v>
      </c>
      <c r="Y139" s="8" t="n">
        <f aca="false">IF(B139="y",T139,0)</f>
        <v>0</v>
      </c>
      <c r="Z139" s="9"/>
      <c r="AA139" s="8" t="n">
        <f aca="false">AB139+AC139</f>
        <v>559008.3625</v>
      </c>
      <c r="AB139" s="8" t="n">
        <f aca="false">IF(B139="y",0,T139)</f>
        <v>136390.3625</v>
      </c>
      <c r="AC139" s="8" t="n">
        <f aca="false">S139-Z139</f>
        <v>422618</v>
      </c>
      <c r="AD139" s="61" t="n">
        <f aca="false">IF(K139="y",Z139,0)</f>
        <v>0</v>
      </c>
      <c r="AE139" s="61" t="n">
        <f aca="false">IF($K139="",Z139,0)+IF($K139="n",Z139,0)</f>
        <v>0</v>
      </c>
      <c r="AF139" s="62" t="n">
        <f aca="false">IF($K139="y",AC139,0)</f>
        <v>0</v>
      </c>
      <c r="AG139" s="62" t="n">
        <f aca="false">IF($K139="",AC139,0)+IF($K139="n",AC139,0)</f>
        <v>422618</v>
      </c>
      <c r="AH139" s="8" t="n">
        <v>0</v>
      </c>
      <c r="AI139" s="8" t="n">
        <v>0</v>
      </c>
      <c r="AJ139" s="1" t="s">
        <v>130</v>
      </c>
      <c r="AK139" s="63" t="n">
        <v>65723.94</v>
      </c>
      <c r="AL139" s="9"/>
      <c r="AM139" s="9"/>
    </row>
    <row r="140" customFormat="false" ht="12.75" hidden="false" customHeight="false" outlineLevel="0" collapsed="false">
      <c r="A140" s="2" t="s">
        <v>44</v>
      </c>
      <c r="B140" s="2"/>
      <c r="C140" s="2" t="n">
        <v>3724</v>
      </c>
      <c r="D140" s="4" t="s">
        <v>377</v>
      </c>
      <c r="E140" s="4" t="s">
        <v>376</v>
      </c>
      <c r="F140" s="4" t="s">
        <v>85</v>
      </c>
      <c r="G140" s="4" t="s">
        <v>44</v>
      </c>
      <c r="H140" s="4" t="n">
        <v>1966</v>
      </c>
      <c r="I140" s="4"/>
      <c r="J140" s="4" t="s">
        <v>62</v>
      </c>
      <c r="K140" s="5"/>
      <c r="L140" s="6" t="s">
        <v>232</v>
      </c>
      <c r="M140" s="7" t="n">
        <v>2</v>
      </c>
      <c r="N140" s="59" t="n">
        <v>0.482</v>
      </c>
      <c r="O140" s="59" t="n">
        <v>0.492</v>
      </c>
      <c r="P140" s="59" t="n">
        <v>0.492</v>
      </c>
      <c r="Q140" s="59" t="n">
        <v>0.24</v>
      </c>
      <c r="R140" s="8"/>
      <c r="S140" s="8" t="n">
        <v>88463</v>
      </c>
      <c r="T140" s="8" t="n">
        <f aca="false">IF(J140="regional",IF(R140&gt;0,R140*0.2975,S140*0.3484),S140*0.1939)</f>
        <v>17152.9757</v>
      </c>
      <c r="U140" s="8" t="n">
        <v>58820</v>
      </c>
      <c r="V140" s="8" t="n">
        <f aca="false">S140-U140</f>
        <v>29643</v>
      </c>
      <c r="W140" s="8" t="n">
        <v>460</v>
      </c>
      <c r="X140" s="60" t="n">
        <f aca="false">Y140+Z140</f>
        <v>0</v>
      </c>
      <c r="Y140" s="8" t="n">
        <f aca="false">IF(B140="y",T140,0)</f>
        <v>0</v>
      </c>
      <c r="Z140" s="9"/>
      <c r="AA140" s="8" t="n">
        <f aca="false">AB140+AC140</f>
        <v>105615.9757</v>
      </c>
      <c r="AB140" s="8" t="n">
        <f aca="false">IF(B140="y",0,T140)</f>
        <v>17152.9757</v>
      </c>
      <c r="AC140" s="8" t="n">
        <f aca="false">S140-Z140</f>
        <v>88463</v>
      </c>
      <c r="AD140" s="61" t="n">
        <f aca="false">IF(K140="y",Z140,0)</f>
        <v>0</v>
      </c>
      <c r="AE140" s="61" t="n">
        <f aca="false">IF($K140="",Z140,0)+IF($K140="n",Z140,0)</f>
        <v>0</v>
      </c>
      <c r="AF140" s="62" t="n">
        <f aca="false">IF($K140="y",AC140,0)</f>
        <v>0</v>
      </c>
      <c r="AG140" s="62" t="n">
        <f aca="false">IF($K140="",AC140,0)+IF($K140="n",AC140,0)</f>
        <v>88463</v>
      </c>
      <c r="AH140" s="8" t="n">
        <v>0</v>
      </c>
      <c r="AI140" s="8" t="n">
        <v>0</v>
      </c>
      <c r="AJ140" s="1" t="s">
        <v>130</v>
      </c>
      <c r="AK140" s="63" t="n">
        <v>3751.42</v>
      </c>
      <c r="AL140" s="9"/>
      <c r="AM140" s="9"/>
    </row>
    <row r="141" customFormat="false" ht="12.75" hidden="false" customHeight="false" outlineLevel="0" collapsed="false">
      <c r="A141" s="2" t="s">
        <v>44</v>
      </c>
      <c r="B141" s="2"/>
      <c r="C141" s="2" t="n">
        <v>4666</v>
      </c>
      <c r="D141" s="66" t="s">
        <v>378</v>
      </c>
      <c r="E141" s="4" t="s">
        <v>379</v>
      </c>
      <c r="F141" s="4" t="s">
        <v>89</v>
      </c>
      <c r="G141" s="4" t="s">
        <v>44</v>
      </c>
      <c r="H141" s="4" t="n">
        <v>1997</v>
      </c>
      <c r="I141" s="4"/>
      <c r="J141" s="4" t="s">
        <v>48</v>
      </c>
      <c r="K141" s="5" t="s">
        <v>49</v>
      </c>
      <c r="L141" s="6" t="s">
        <v>380</v>
      </c>
      <c r="M141" s="7" t="n">
        <v>170</v>
      </c>
      <c r="N141" s="59" t="n">
        <v>0.927</v>
      </c>
      <c r="O141" s="59" t="n">
        <v>0.965</v>
      </c>
      <c r="P141" s="59" t="n">
        <v>0.932</v>
      </c>
      <c r="Q141" s="59" t="n">
        <v>0.952</v>
      </c>
      <c r="R141" s="8" t="n">
        <v>1421049</v>
      </c>
      <c r="S141" s="8" t="n">
        <v>1222180</v>
      </c>
      <c r="T141" s="8" t="n">
        <f aca="false">IF(J141="regional",IF(R141&gt;0,R141*0.2975,S141*0.3484),S141*0.1939)</f>
        <v>422762.0775</v>
      </c>
      <c r="U141" s="8" t="n">
        <v>587591</v>
      </c>
      <c r="V141" s="8" t="n">
        <f aca="false">S141-U141</f>
        <v>634589</v>
      </c>
      <c r="W141" s="8" t="n">
        <v>6700</v>
      </c>
      <c r="X141" s="60" t="n">
        <f aca="false">Y141+Z141</f>
        <v>0</v>
      </c>
      <c r="Y141" s="8" t="n">
        <f aca="false">IF(B141="y",T141,0)</f>
        <v>0</v>
      </c>
      <c r="Z141" s="9"/>
      <c r="AA141" s="8" t="n">
        <f aca="false">AB141+AC141</f>
        <v>1644942.0775</v>
      </c>
      <c r="AB141" s="8" t="n">
        <f aca="false">IF(B141="y",0,T141)</f>
        <v>422762.0775</v>
      </c>
      <c r="AC141" s="8" t="n">
        <f aca="false">S141-Z141</f>
        <v>1222180</v>
      </c>
      <c r="AD141" s="61" t="n">
        <f aca="false">IF(K141="y",Z141,0)</f>
        <v>0</v>
      </c>
      <c r="AE141" s="61" t="n">
        <f aca="false">IF($K141="",Z141,0)+IF($K141="n",Z141,0)</f>
        <v>0</v>
      </c>
      <c r="AF141" s="62" t="n">
        <f aca="false">IF($K141="y",AC141,0)</f>
        <v>0</v>
      </c>
      <c r="AG141" s="62" t="n">
        <f aca="false">IF($K141="",AC141,0)+IF($K141="n",AC141,0)</f>
        <v>1222180</v>
      </c>
      <c r="AH141" s="8" t="n">
        <v>0</v>
      </c>
      <c r="AI141" s="8" t="n">
        <v>0</v>
      </c>
      <c r="AJ141" s="66"/>
      <c r="AK141" s="66"/>
      <c r="AL141" s="9"/>
      <c r="AM141" s="9"/>
    </row>
    <row r="142" customFormat="false" ht="12.75" hidden="false" customHeight="false" outlineLevel="0" collapsed="false">
      <c r="A142" s="2" t="s">
        <v>44</v>
      </c>
      <c r="B142" s="2"/>
      <c r="C142" s="2" t="n">
        <v>4779</v>
      </c>
      <c r="D142" s="68" t="s">
        <v>381</v>
      </c>
      <c r="E142" s="4"/>
      <c r="F142" s="4"/>
      <c r="G142" s="4" t="s">
        <v>49</v>
      </c>
      <c r="H142" s="4"/>
      <c r="I142" s="4"/>
      <c r="J142" s="4"/>
      <c r="K142" s="5"/>
      <c r="L142" s="6"/>
      <c r="M142" s="7"/>
      <c r="N142" s="59"/>
      <c r="O142" s="59"/>
      <c r="P142" s="59"/>
      <c r="Q142" s="59"/>
      <c r="R142" s="8"/>
      <c r="S142" s="8"/>
      <c r="T142" s="8"/>
      <c r="U142" s="8"/>
      <c r="V142" s="8"/>
      <c r="W142" s="8"/>
      <c r="X142" s="60"/>
      <c r="Y142" s="8"/>
      <c r="Z142" s="9"/>
      <c r="AA142" s="8"/>
      <c r="AB142" s="8"/>
      <c r="AC142" s="8"/>
      <c r="AD142" s="61"/>
      <c r="AE142" s="61"/>
      <c r="AF142" s="62"/>
      <c r="AG142" s="62"/>
      <c r="AH142" s="8" t="n">
        <v>393000</v>
      </c>
      <c r="AI142" s="8" t="n">
        <v>539000</v>
      </c>
      <c r="AJ142" s="66"/>
      <c r="AK142" s="66"/>
      <c r="AL142" s="9"/>
      <c r="AM142" s="9"/>
    </row>
    <row r="143" customFormat="false" ht="12.75" hidden="false" customHeight="false" outlineLevel="0" collapsed="false">
      <c r="A143" s="2" t="s">
        <v>44</v>
      </c>
      <c r="B143" s="2"/>
      <c r="C143" s="2" t="n">
        <v>9780</v>
      </c>
      <c r="D143" s="4" t="s">
        <v>382</v>
      </c>
      <c r="E143" s="4" t="s">
        <v>198</v>
      </c>
      <c r="F143" s="4" t="s">
        <v>75</v>
      </c>
      <c r="G143" s="4" t="s">
        <v>49</v>
      </c>
      <c r="H143" s="4" t="n">
        <v>1982</v>
      </c>
      <c r="I143" s="4"/>
      <c r="J143" s="4" t="s">
        <v>48</v>
      </c>
      <c r="K143" s="5" t="s">
        <v>49</v>
      </c>
      <c r="L143" s="58" t="s">
        <v>105</v>
      </c>
      <c r="M143" s="7" t="n">
        <v>141</v>
      </c>
      <c r="N143" s="59" t="n">
        <v>0.918</v>
      </c>
      <c r="O143" s="59" t="n">
        <v>0.919</v>
      </c>
      <c r="P143" s="59" t="n">
        <v>0.957</v>
      </c>
      <c r="Q143" s="59" t="n">
        <v>0.945</v>
      </c>
      <c r="R143" s="8" t="n">
        <v>1030690</v>
      </c>
      <c r="S143" s="8" t="n">
        <v>872429</v>
      </c>
      <c r="T143" s="8" t="n">
        <f aca="false">IF(J143="regional",IF(R143&gt;0,R143*0.2975,S143*0.3484),S143*0.1939)</f>
        <v>306630.275</v>
      </c>
      <c r="U143" s="8" t="n">
        <v>683308</v>
      </c>
      <c r="V143" s="8" t="n">
        <f aca="false">S143-U143</f>
        <v>189121</v>
      </c>
      <c r="W143" s="8" t="n">
        <v>4984</v>
      </c>
      <c r="X143" s="60" t="n">
        <f aca="false">Y143+Z143</f>
        <v>0</v>
      </c>
      <c r="Y143" s="8" t="n">
        <f aca="false">IF(B143="y",T143,0)</f>
        <v>0</v>
      </c>
      <c r="Z143" s="8"/>
      <c r="AA143" s="8" t="n">
        <f aca="false">AB143+AC143</f>
        <v>1179059.275</v>
      </c>
      <c r="AB143" s="8" t="n">
        <f aca="false">IF(B143="y",0,T143)</f>
        <v>306630.275</v>
      </c>
      <c r="AC143" s="8" t="n">
        <f aca="false">S143-Z143</f>
        <v>872429</v>
      </c>
      <c r="AD143" s="61" t="n">
        <f aca="false">IF(K143="y",Z143,0)</f>
        <v>0</v>
      </c>
      <c r="AE143" s="61" t="n">
        <f aca="false">IF($K143="",Z143,0)+IF($K143="n",Z143,0)</f>
        <v>0</v>
      </c>
      <c r="AF143" s="62" t="n">
        <f aca="false">IF($K143="y",AC143,0)</f>
        <v>0</v>
      </c>
      <c r="AG143" s="62" t="n">
        <f aca="false">IF($K143="",AC143,0)+IF($K143="n",AC143,0)</f>
        <v>872429</v>
      </c>
      <c r="AH143" s="8" t="n">
        <v>0</v>
      </c>
      <c r="AI143" s="8" t="n">
        <v>0</v>
      </c>
      <c r="AJ143" s="1" t="s">
        <v>51</v>
      </c>
      <c r="AK143" s="63" t="n">
        <v>1234680</v>
      </c>
      <c r="AL143" s="9"/>
      <c r="AM143" s="9"/>
    </row>
    <row r="144" customFormat="false" ht="12.75" hidden="false" customHeight="false" outlineLevel="0" collapsed="false">
      <c r="A144" s="2" t="s">
        <v>44</v>
      </c>
      <c r="B144" s="2"/>
      <c r="C144" s="2" t="n">
        <v>2580</v>
      </c>
      <c r="D144" s="66" t="s">
        <v>383</v>
      </c>
      <c r="E144" s="4" t="s">
        <v>384</v>
      </c>
      <c r="F144" s="4" t="s">
        <v>54</v>
      </c>
      <c r="G144" s="4" t="s">
        <v>44</v>
      </c>
      <c r="H144" s="4" t="n">
        <v>1980</v>
      </c>
      <c r="I144" s="4"/>
      <c r="J144" s="4" t="s">
        <v>48</v>
      </c>
      <c r="K144" s="5" t="s">
        <v>44</v>
      </c>
      <c r="L144" s="58" t="s">
        <v>118</v>
      </c>
      <c r="M144" s="7" t="n">
        <v>104</v>
      </c>
      <c r="N144" s="59" t="n">
        <v>0.829</v>
      </c>
      <c r="O144" s="59" t="n">
        <v>0.832</v>
      </c>
      <c r="P144" s="59" t="n">
        <v>0.89</v>
      </c>
      <c r="Q144" s="59" t="n">
        <v>0.787</v>
      </c>
      <c r="R144" s="8" t="n">
        <v>767081</v>
      </c>
      <c r="S144" s="8" t="n">
        <v>630482</v>
      </c>
      <c r="T144" s="8" t="n">
        <f aca="false">IF(J144="regional",IF(R144&gt;0,R144*0.2975,S144*0.3484),S144*0.1939)</f>
        <v>228206.5975</v>
      </c>
      <c r="U144" s="8" t="n">
        <v>376198</v>
      </c>
      <c r="V144" s="8" t="n">
        <f aca="false">S144-U144</f>
        <v>254284</v>
      </c>
      <c r="W144" s="8" t="n">
        <v>3600</v>
      </c>
      <c r="X144" s="60" t="n">
        <f aca="false">Y144+Z144</f>
        <v>0</v>
      </c>
      <c r="Y144" s="8" t="n">
        <f aca="false">IF(B144="y",T144,0)</f>
        <v>0</v>
      </c>
      <c r="Z144" s="8"/>
      <c r="AA144" s="8" t="n">
        <f aca="false">AB144+AC144</f>
        <v>858688.5975</v>
      </c>
      <c r="AB144" s="8" t="n">
        <f aca="false">IF(B144="y",0,T144)</f>
        <v>228206.5975</v>
      </c>
      <c r="AC144" s="8" t="n">
        <f aca="false">S144-Z144</f>
        <v>630482</v>
      </c>
      <c r="AD144" s="61" t="n">
        <f aca="false">IF(K144="y",Z144,0)</f>
        <v>0</v>
      </c>
      <c r="AE144" s="61" t="n">
        <f aca="false">IF($K144="",Z144,0)+IF($K144="n",Z144,0)</f>
        <v>0</v>
      </c>
      <c r="AF144" s="62" t="n">
        <f aca="false">IF($K144="y",AC144,0)</f>
        <v>630482</v>
      </c>
      <c r="AG144" s="62" t="n">
        <f aca="false">IF($K144="",AC144,0)+IF($K144="n",AC144,0)</f>
        <v>0</v>
      </c>
      <c r="AH144" s="8" t="n">
        <v>586000</v>
      </c>
      <c r="AI144" s="8" t="n">
        <v>484000</v>
      </c>
      <c r="AJ144" s="1" t="s">
        <v>51</v>
      </c>
      <c r="AK144" s="63" t="n">
        <v>373577</v>
      </c>
      <c r="AL144" s="9"/>
      <c r="AM144" s="9"/>
    </row>
    <row r="145" customFormat="false" ht="12.75" hidden="false" customHeight="false" outlineLevel="0" collapsed="false">
      <c r="A145" s="2"/>
      <c r="B145" s="2" t="s">
        <v>44</v>
      </c>
      <c r="C145" s="2" t="n">
        <v>3854</v>
      </c>
      <c r="D145" s="68" t="s">
        <v>385</v>
      </c>
      <c r="E145" s="4"/>
      <c r="F145" s="4"/>
      <c r="G145" s="4" t="s">
        <v>49</v>
      </c>
      <c r="H145" s="4"/>
      <c r="I145" s="4"/>
      <c r="J145" s="4"/>
      <c r="K145" s="5"/>
      <c r="L145" s="58"/>
      <c r="M145" s="7"/>
      <c r="N145" s="59"/>
      <c r="O145" s="59"/>
      <c r="P145" s="59"/>
      <c r="Q145" s="59"/>
      <c r="R145" s="8"/>
      <c r="S145" s="8"/>
      <c r="T145" s="8"/>
      <c r="U145" s="8"/>
      <c r="V145" s="8"/>
      <c r="W145" s="8"/>
      <c r="X145" s="60"/>
      <c r="Y145" s="8"/>
      <c r="Z145" s="8"/>
      <c r="AA145" s="8"/>
      <c r="AB145" s="8"/>
      <c r="AC145" s="8"/>
      <c r="AD145" s="61"/>
      <c r="AE145" s="61"/>
      <c r="AF145" s="62"/>
      <c r="AG145" s="62"/>
      <c r="AH145" s="8" t="n">
        <v>364000</v>
      </c>
      <c r="AI145" s="8" t="n">
        <v>360000</v>
      </c>
      <c r="AK145" s="63"/>
      <c r="AL145" s="9"/>
      <c r="AM145" s="9"/>
    </row>
    <row r="146" customFormat="false" ht="12.75" hidden="false" customHeight="false" outlineLevel="0" collapsed="false">
      <c r="A146" s="2" t="s">
        <v>44</v>
      </c>
      <c r="B146" s="2"/>
      <c r="C146" s="2" t="n">
        <v>732</v>
      </c>
      <c r="D146" s="4" t="s">
        <v>386</v>
      </c>
      <c r="E146" s="4" t="s">
        <v>275</v>
      </c>
      <c r="F146" s="4" t="s">
        <v>387</v>
      </c>
      <c r="G146" s="4" t="s">
        <v>44</v>
      </c>
      <c r="H146" s="4" t="n">
        <v>1973</v>
      </c>
      <c r="I146" s="4"/>
      <c r="J146" s="4" t="s">
        <v>48</v>
      </c>
      <c r="K146" s="5" t="s">
        <v>44</v>
      </c>
      <c r="L146" s="58" t="s">
        <v>388</v>
      </c>
      <c r="M146" s="7" t="n">
        <v>108</v>
      </c>
      <c r="N146" s="59" t="n">
        <v>0.955</v>
      </c>
      <c r="O146" s="59" t="n">
        <v>0.962</v>
      </c>
      <c r="P146" s="59" t="n">
        <v>0.913</v>
      </c>
      <c r="Q146" s="59" t="n">
        <v>0.91</v>
      </c>
      <c r="R146" s="8" t="n">
        <v>913969</v>
      </c>
      <c r="S146" s="8" t="n">
        <v>588509</v>
      </c>
      <c r="T146" s="8" t="n">
        <f aca="false">IF(J146="regional",IF(R146&gt;0,R146*0.2975,S146*0.3484),S146*0.1939)</f>
        <v>271905.7775</v>
      </c>
      <c r="U146" s="8" t="n">
        <v>545891</v>
      </c>
      <c r="V146" s="8" t="n">
        <f aca="false">S146-U146</f>
        <v>42618</v>
      </c>
      <c r="W146" s="8" t="n">
        <v>3442</v>
      </c>
      <c r="X146" s="60" t="n">
        <f aca="false">Y146+Z146</f>
        <v>0</v>
      </c>
      <c r="Y146" s="8" t="n">
        <f aca="false">IF(B146="y",T146,0)</f>
        <v>0</v>
      </c>
      <c r="Z146" s="8"/>
      <c r="AA146" s="8" t="n">
        <f aca="false">AB146+AC146</f>
        <v>860414.7775</v>
      </c>
      <c r="AB146" s="8" t="n">
        <f aca="false">IF(B146="y",0,T146)</f>
        <v>271905.7775</v>
      </c>
      <c r="AC146" s="8" t="n">
        <f aca="false">S146-Z146</f>
        <v>588509</v>
      </c>
      <c r="AD146" s="61" t="n">
        <f aca="false">IF(K146="y",Z146,0)</f>
        <v>0</v>
      </c>
      <c r="AE146" s="61" t="n">
        <f aca="false">IF($K146="",Z146,0)+IF($K146="n",Z146,0)</f>
        <v>0</v>
      </c>
      <c r="AF146" s="62" t="n">
        <f aca="false">IF($K146="y",AC146,0)</f>
        <v>588509</v>
      </c>
      <c r="AG146" s="62" t="n">
        <f aca="false">IF($K146="",AC146,0)+IF($K146="n",AC146,0)</f>
        <v>0</v>
      </c>
      <c r="AH146" s="8" t="n">
        <v>1079000</v>
      </c>
      <c r="AI146" s="8" t="n">
        <v>876000</v>
      </c>
      <c r="AJ146" s="1" t="s">
        <v>130</v>
      </c>
      <c r="AK146" s="63" t="n">
        <v>209189.24</v>
      </c>
      <c r="AL146" s="9"/>
      <c r="AM146" s="9"/>
    </row>
    <row r="147" customFormat="false" ht="12.75" hidden="false" customHeight="false" outlineLevel="0" collapsed="false">
      <c r="A147" s="2" t="s">
        <v>44</v>
      </c>
      <c r="B147" s="2"/>
      <c r="C147" s="2" t="n">
        <v>9180</v>
      </c>
      <c r="D147" s="64" t="s">
        <v>389</v>
      </c>
      <c r="E147" s="4" t="s">
        <v>390</v>
      </c>
      <c r="F147" s="4" t="s">
        <v>108</v>
      </c>
      <c r="G147" s="4" t="s">
        <v>44</v>
      </c>
      <c r="H147" s="4" t="n">
        <v>1979</v>
      </c>
      <c r="I147" s="4"/>
      <c r="J147" s="4" t="s">
        <v>48</v>
      </c>
      <c r="K147" s="5" t="s">
        <v>49</v>
      </c>
      <c r="L147" s="58" t="s">
        <v>391</v>
      </c>
      <c r="M147" s="7" t="n">
        <v>137</v>
      </c>
      <c r="N147" s="59" t="n">
        <v>0.356</v>
      </c>
      <c r="O147" s="59" t="n">
        <v>0.386</v>
      </c>
      <c r="P147" s="59" t="n">
        <v>0.488</v>
      </c>
      <c r="Q147" s="59" t="n">
        <v>0.638</v>
      </c>
      <c r="R147" s="8" t="n">
        <v>987234</v>
      </c>
      <c r="S147" s="8" t="n">
        <v>818169</v>
      </c>
      <c r="T147" s="8" t="n">
        <f aca="false">IF(J147="regional",IF(R147&gt;0,R147*0.2975,S147*0.3484),S147*0.1939)</f>
        <v>293702.115</v>
      </c>
      <c r="U147" s="8" t="n">
        <v>519434</v>
      </c>
      <c r="V147" s="8" t="n">
        <f aca="false">S147-U147</f>
        <v>298735</v>
      </c>
      <c r="W147" s="8" t="n">
        <v>5040</v>
      </c>
      <c r="X147" s="60" t="n">
        <f aca="false">Y147+Z147</f>
        <v>0</v>
      </c>
      <c r="Y147" s="8" t="n">
        <f aca="false">IF(B147="y",T147,0)</f>
        <v>0</v>
      </c>
      <c r="Z147" s="8"/>
      <c r="AA147" s="8" t="n">
        <f aca="false">AB147+AC147</f>
        <v>1111871.115</v>
      </c>
      <c r="AB147" s="8" t="n">
        <f aca="false">IF(B147="y",0,T147)</f>
        <v>293702.115</v>
      </c>
      <c r="AC147" s="8" t="n">
        <f aca="false">S147-Z147</f>
        <v>818169</v>
      </c>
      <c r="AD147" s="61" t="n">
        <f aca="false">IF(K147="y",Z147,0)</f>
        <v>0</v>
      </c>
      <c r="AE147" s="61" t="n">
        <f aca="false">IF($K147="",Z147,0)+IF($K147="n",Z147,0)</f>
        <v>0</v>
      </c>
      <c r="AF147" s="62" t="n">
        <f aca="false">IF($K147="y",AC147,0)</f>
        <v>0</v>
      </c>
      <c r="AG147" s="62" t="n">
        <f aca="false">IF($K147="",AC147,0)+IF($K147="n",AC147,0)</f>
        <v>818169</v>
      </c>
      <c r="AH147" s="8" t="n">
        <v>0</v>
      </c>
      <c r="AI147" s="8" t="n">
        <v>0</v>
      </c>
      <c r="AJ147" s="1" t="s">
        <v>51</v>
      </c>
      <c r="AK147" s="63" t="n">
        <v>530497</v>
      </c>
      <c r="AL147" s="9"/>
      <c r="AM147" s="9"/>
    </row>
    <row r="148" customFormat="false" ht="12.75" hidden="false" customHeight="false" outlineLevel="0" collapsed="false">
      <c r="A148" s="2" t="s">
        <v>44</v>
      </c>
      <c r="B148" s="2"/>
      <c r="C148" s="2" t="n">
        <v>2568</v>
      </c>
      <c r="D148" s="4" t="s">
        <v>392</v>
      </c>
      <c r="E148" s="4" t="s">
        <v>57</v>
      </c>
      <c r="F148" s="4" t="s">
        <v>114</v>
      </c>
      <c r="G148" s="4" t="s">
        <v>44</v>
      </c>
      <c r="H148" s="4" t="n">
        <v>1965</v>
      </c>
      <c r="I148" s="4"/>
      <c r="J148" s="4" t="s">
        <v>48</v>
      </c>
      <c r="K148" s="5" t="s">
        <v>49</v>
      </c>
      <c r="L148" s="58" t="s">
        <v>393</v>
      </c>
      <c r="M148" s="7" t="n">
        <v>38</v>
      </c>
      <c r="N148" s="59" t="n">
        <v>0.771</v>
      </c>
      <c r="O148" s="59" t="n">
        <v>0.771</v>
      </c>
      <c r="P148" s="59" t="n">
        <v>0.874</v>
      </c>
      <c r="Q148" s="59" t="n">
        <v>0.84</v>
      </c>
      <c r="R148" s="8" t="n">
        <v>447368</v>
      </c>
      <c r="S148" s="8" t="n">
        <v>395274</v>
      </c>
      <c r="T148" s="8" t="n">
        <f aca="false">IF(J148="regional",IF(R148&gt;0,R148*0.2975,S148*0.3484),S148*0.1939)</f>
        <v>133091.98</v>
      </c>
      <c r="U148" s="8" t="n">
        <v>292256</v>
      </c>
      <c r="V148" s="8" t="n">
        <f aca="false">S148-U148</f>
        <v>103018</v>
      </c>
      <c r="W148" s="8" t="n">
        <v>2565</v>
      </c>
      <c r="X148" s="60" t="n">
        <f aca="false">Y148+Z148</f>
        <v>0</v>
      </c>
      <c r="Y148" s="8" t="n">
        <f aca="false">IF(B148="y",T148,0)</f>
        <v>0</v>
      </c>
      <c r="Z148" s="8"/>
      <c r="AA148" s="8" t="n">
        <f aca="false">AB148+AC148</f>
        <v>528365.98</v>
      </c>
      <c r="AB148" s="8" t="n">
        <f aca="false">IF(B148="y",0,T148)</f>
        <v>133091.98</v>
      </c>
      <c r="AC148" s="8" t="n">
        <f aca="false">S148-Z148</f>
        <v>395274</v>
      </c>
      <c r="AD148" s="61" t="n">
        <f aca="false">IF(K148="y",Z148,0)</f>
        <v>0</v>
      </c>
      <c r="AE148" s="61" t="n">
        <f aca="false">IF($K148="",Z148,0)+IF($K148="n",Z148,0)</f>
        <v>0</v>
      </c>
      <c r="AF148" s="62" t="n">
        <f aca="false">IF($K148="y",AC148,0)</f>
        <v>0</v>
      </c>
      <c r="AG148" s="62" t="n">
        <f aca="false">IF($K148="",AC148,0)+IF($K148="n",AC148,0)</f>
        <v>395274</v>
      </c>
      <c r="AH148" s="8" t="n">
        <v>0</v>
      </c>
      <c r="AI148" s="8" t="n">
        <v>0</v>
      </c>
      <c r="AJ148" s="1" t="s">
        <v>70</v>
      </c>
      <c r="AK148" s="63" t="n">
        <v>97268</v>
      </c>
      <c r="AL148" s="9"/>
      <c r="AM148" s="9"/>
    </row>
    <row r="149" customFormat="false" ht="12.75" hidden="false" customHeight="false" outlineLevel="0" collapsed="false">
      <c r="A149" s="2" t="s">
        <v>44</v>
      </c>
      <c r="B149" s="2"/>
      <c r="C149" s="2" t="n">
        <v>520</v>
      </c>
      <c r="D149" s="4" t="s">
        <v>392</v>
      </c>
      <c r="E149" s="4" t="s">
        <v>57</v>
      </c>
      <c r="F149" s="4" t="s">
        <v>114</v>
      </c>
      <c r="G149" s="4" t="s">
        <v>44</v>
      </c>
      <c r="H149" s="4" t="n">
        <v>1974</v>
      </c>
      <c r="I149" s="4"/>
      <c r="J149" s="4" t="s">
        <v>62</v>
      </c>
      <c r="K149" s="5"/>
      <c r="L149" s="58" t="s">
        <v>393</v>
      </c>
      <c r="M149" s="7" t="n">
        <v>1</v>
      </c>
      <c r="N149" s="59" t="n">
        <v>1</v>
      </c>
      <c r="O149" s="59" t="n">
        <v>1</v>
      </c>
      <c r="P149" s="59" t="n">
        <v>1</v>
      </c>
      <c r="Q149" s="59" t="n">
        <v>1</v>
      </c>
      <c r="R149" s="8"/>
      <c r="S149" s="8" t="n">
        <v>7500</v>
      </c>
      <c r="T149" s="8" t="n">
        <f aca="false">IF(J149="regional",IF(R149&gt;0,R149*0.2975,S149*0.3484),S149*0.1939)</f>
        <v>1454.25</v>
      </c>
      <c r="U149" s="8" t="n">
        <v>7500</v>
      </c>
      <c r="V149" s="8" t="n">
        <f aca="false">S149-U149</f>
        <v>0</v>
      </c>
      <c r="W149" s="8"/>
      <c r="X149" s="60" t="n">
        <f aca="false">Y149+Z149</f>
        <v>0</v>
      </c>
      <c r="Y149" s="8" t="n">
        <f aca="false">IF(B149="y",T149,0)</f>
        <v>0</v>
      </c>
      <c r="Z149" s="8"/>
      <c r="AA149" s="8" t="n">
        <f aca="false">AB149+AC149</f>
        <v>8954.25</v>
      </c>
      <c r="AB149" s="8" t="n">
        <f aca="false">IF(B149="y",0,T149)</f>
        <v>1454.25</v>
      </c>
      <c r="AC149" s="8" t="n">
        <f aca="false">S149-Z149</f>
        <v>7500</v>
      </c>
      <c r="AD149" s="61" t="n">
        <f aca="false">IF(K149="y",Z149,0)</f>
        <v>0</v>
      </c>
      <c r="AE149" s="61" t="n">
        <f aca="false">IF($K149="",Z149,0)+IF($K149="n",Z149,0)</f>
        <v>0</v>
      </c>
      <c r="AF149" s="62" t="n">
        <f aca="false">IF($K149="y",AC149,0)</f>
        <v>0</v>
      </c>
      <c r="AG149" s="62" t="n">
        <f aca="false">IF($K149="",AC149,0)+IF($K149="n",AC149,0)</f>
        <v>7500</v>
      </c>
      <c r="AH149" s="8" t="n">
        <v>0</v>
      </c>
      <c r="AI149" s="8" t="n">
        <v>0</v>
      </c>
      <c r="AJ149" s="4"/>
      <c r="AK149" s="4"/>
      <c r="AL149" s="9"/>
      <c r="AM149" s="9"/>
    </row>
    <row r="150" customFormat="false" ht="12.75" hidden="false" customHeight="false" outlineLevel="0" collapsed="false">
      <c r="A150" s="2" t="s">
        <v>44</v>
      </c>
      <c r="B150" s="2"/>
      <c r="C150" s="2" t="n">
        <v>1584</v>
      </c>
      <c r="D150" s="4" t="s">
        <v>394</v>
      </c>
      <c r="E150" s="4" t="s">
        <v>395</v>
      </c>
      <c r="F150" s="4" t="s">
        <v>114</v>
      </c>
      <c r="G150" s="4" t="s">
        <v>44</v>
      </c>
      <c r="H150" s="4" t="n">
        <v>1970</v>
      </c>
      <c r="I150" s="4"/>
      <c r="J150" s="4" t="s">
        <v>48</v>
      </c>
      <c r="K150" s="5" t="s">
        <v>49</v>
      </c>
      <c r="L150" s="58" t="s">
        <v>334</v>
      </c>
      <c r="M150" s="7" t="n">
        <v>61</v>
      </c>
      <c r="N150" s="59" t="n">
        <v>0.901</v>
      </c>
      <c r="O150" s="59" t="n">
        <v>0.92</v>
      </c>
      <c r="P150" s="59" t="n">
        <v>0.898</v>
      </c>
      <c r="Q150" s="59" t="n">
        <v>0.854</v>
      </c>
      <c r="R150" s="8" t="n">
        <v>705862</v>
      </c>
      <c r="S150" s="8" t="n">
        <v>655567</v>
      </c>
      <c r="T150" s="8" t="n">
        <f aca="false">IF(J150="regional",IF(R150&gt;0,R150*0.2975,S150*0.3484),S150*0.1939)</f>
        <v>209993.945</v>
      </c>
      <c r="U150" s="8" t="n">
        <v>435956</v>
      </c>
      <c r="V150" s="8" t="n">
        <f aca="false">S150-U150</f>
        <v>219611</v>
      </c>
      <c r="W150" s="8" t="n">
        <v>3222</v>
      </c>
      <c r="X150" s="60" t="n">
        <f aca="false">Y150+Z150</f>
        <v>0</v>
      </c>
      <c r="Y150" s="8" t="n">
        <f aca="false">IF(B150="y",T150,0)</f>
        <v>0</v>
      </c>
      <c r="Z150" s="8"/>
      <c r="AA150" s="8" t="n">
        <f aca="false">AB150+AC150</f>
        <v>865560.945</v>
      </c>
      <c r="AB150" s="8" t="n">
        <f aca="false">IF(B150="y",0,T150)</f>
        <v>209993.945</v>
      </c>
      <c r="AC150" s="8" t="n">
        <f aca="false">S150-Z150</f>
        <v>655567</v>
      </c>
      <c r="AD150" s="61" t="n">
        <f aca="false">IF(K150="y",Z150,0)</f>
        <v>0</v>
      </c>
      <c r="AE150" s="61" t="n">
        <f aca="false">IF($K150="",Z150,0)+IF($K150="n",Z150,0)</f>
        <v>0</v>
      </c>
      <c r="AF150" s="62" t="n">
        <f aca="false">IF($K150="y",AC150,0)</f>
        <v>0</v>
      </c>
      <c r="AG150" s="62" t="n">
        <f aca="false">IF($K150="",AC150,0)+IF($K150="n",AC150,0)</f>
        <v>655567</v>
      </c>
      <c r="AH150" s="8" t="n">
        <v>0</v>
      </c>
      <c r="AI150" s="8" t="n">
        <v>0</v>
      </c>
      <c r="AJ150" s="1" t="s">
        <v>51</v>
      </c>
      <c r="AK150" s="63" t="n">
        <v>509720</v>
      </c>
      <c r="AL150" s="9"/>
      <c r="AM150" s="9"/>
    </row>
    <row r="151" customFormat="false" ht="12.75" hidden="false" customHeight="false" outlineLevel="0" collapsed="false">
      <c r="A151" s="2" t="s">
        <v>44</v>
      </c>
      <c r="B151" s="2"/>
      <c r="C151" s="2" t="n">
        <v>2654</v>
      </c>
      <c r="D151" s="4" t="s">
        <v>396</v>
      </c>
      <c r="E151" s="4" t="s">
        <v>395</v>
      </c>
      <c r="F151" s="4" t="s">
        <v>114</v>
      </c>
      <c r="G151" s="4" t="s">
        <v>44</v>
      </c>
      <c r="H151" s="4" t="n">
        <v>1998</v>
      </c>
      <c r="I151" s="4"/>
      <c r="J151" s="4" t="s">
        <v>62</v>
      </c>
      <c r="K151" s="5"/>
      <c r="L151" s="6" t="s">
        <v>334</v>
      </c>
      <c r="M151" s="7"/>
      <c r="N151" s="59" t="n">
        <v>0.946</v>
      </c>
      <c r="O151" s="59" t="n">
        <v>0.899</v>
      </c>
      <c r="P151" s="59" t="n">
        <v>1</v>
      </c>
      <c r="Q151" s="59" t="n">
        <v>0.868</v>
      </c>
      <c r="R151" s="8"/>
      <c r="S151" s="8" t="n">
        <v>153496</v>
      </c>
      <c r="T151" s="8" t="n">
        <f aca="false">IF(J151="regional",IF(R151&gt;0,R151*0.2975,S151*0.3484),S151*0.1939)</f>
        <v>29762.8744</v>
      </c>
      <c r="U151" s="8" t="n">
        <v>153496</v>
      </c>
      <c r="V151" s="8" t="n">
        <f aca="false">S151-U151</f>
        <v>0</v>
      </c>
      <c r="W151" s="8"/>
      <c r="X151" s="60" t="n">
        <f aca="false">Y151+Z151</f>
        <v>0</v>
      </c>
      <c r="Y151" s="8" t="n">
        <f aca="false">IF(B151="y",T151,0)</f>
        <v>0</v>
      </c>
      <c r="Z151" s="9"/>
      <c r="AA151" s="8" t="n">
        <f aca="false">AB151+AC151</f>
        <v>183258.8744</v>
      </c>
      <c r="AB151" s="8" t="n">
        <f aca="false">IF(B151="y",0,T151)</f>
        <v>29762.8744</v>
      </c>
      <c r="AC151" s="8" t="n">
        <f aca="false">S151-Z151</f>
        <v>153496</v>
      </c>
      <c r="AD151" s="61" t="n">
        <f aca="false">IF(K151="y",Z151,0)</f>
        <v>0</v>
      </c>
      <c r="AE151" s="61" t="n">
        <f aca="false">IF($K151="",Z151,0)+IF($K151="n",Z151,0)</f>
        <v>0</v>
      </c>
      <c r="AF151" s="62" t="n">
        <f aca="false">IF($K151="y",AC151,0)</f>
        <v>0</v>
      </c>
      <c r="AG151" s="62" t="n">
        <f aca="false">IF($K151="",AC151,0)+IF($K151="n",AC151,0)</f>
        <v>153496</v>
      </c>
      <c r="AH151" s="8" t="n">
        <v>0</v>
      </c>
      <c r="AI151" s="8" t="n">
        <v>0</v>
      </c>
      <c r="AJ151" s="1" t="s">
        <v>51</v>
      </c>
      <c r="AK151" s="63" t="n">
        <v>78710</v>
      </c>
      <c r="AL151" s="9"/>
      <c r="AM151" s="9"/>
    </row>
    <row r="152" customFormat="false" ht="12.75" hidden="false" customHeight="false" outlineLevel="0" collapsed="false">
      <c r="A152" s="2" t="s">
        <v>44</v>
      </c>
      <c r="B152" s="2" t="s">
        <v>44</v>
      </c>
      <c r="C152" s="2" t="n">
        <v>4830</v>
      </c>
      <c r="D152" s="67" t="s">
        <v>397</v>
      </c>
      <c r="E152" s="65" t="s">
        <v>398</v>
      </c>
      <c r="F152" s="4"/>
      <c r="G152" s="4" t="s">
        <v>44</v>
      </c>
      <c r="H152" s="4" t="n">
        <v>1969</v>
      </c>
      <c r="I152" s="4"/>
      <c r="J152" s="4" t="s">
        <v>48</v>
      </c>
      <c r="K152" s="5" t="s">
        <v>49</v>
      </c>
      <c r="L152" s="58" t="s">
        <v>399</v>
      </c>
      <c r="M152" s="7" t="n">
        <v>24</v>
      </c>
      <c r="N152" s="59" t="n">
        <v>0.904</v>
      </c>
      <c r="O152" s="59" t="n">
        <v>0.931</v>
      </c>
      <c r="P152" s="59" t="n">
        <v>0.925</v>
      </c>
      <c r="Q152" s="59" t="n">
        <v>0.952</v>
      </c>
      <c r="R152" s="8" t="n">
        <v>980009</v>
      </c>
      <c r="S152" s="8" t="n">
        <v>910000</v>
      </c>
      <c r="T152" s="8" t="n">
        <f aca="false">IF(J152="regional",IF(R152&gt;0,R152*0.2975,S152*0.3484),S152*0.1939)</f>
        <v>291552.6775</v>
      </c>
      <c r="U152" s="8" t="n">
        <v>592700</v>
      </c>
      <c r="V152" s="8" t="n">
        <f aca="false">S152-U152</f>
        <v>317300</v>
      </c>
      <c r="W152" s="8" t="n">
        <v>4000</v>
      </c>
      <c r="X152" s="60" t="n">
        <f aca="false">Y152+Z152</f>
        <v>687552.6775</v>
      </c>
      <c r="Y152" s="8" t="n">
        <f aca="false">IF(B152="y",T152,0)</f>
        <v>291552.6775</v>
      </c>
      <c r="Z152" s="8" t="n">
        <v>396000</v>
      </c>
      <c r="AA152" s="8" t="n">
        <f aca="false">AB152+AC152</f>
        <v>514000</v>
      </c>
      <c r="AB152" s="8" t="n">
        <f aca="false">IF(B152="y",0,T152)</f>
        <v>0</v>
      </c>
      <c r="AC152" s="8" t="n">
        <f aca="false">S152-Z152</f>
        <v>514000</v>
      </c>
      <c r="AD152" s="61" t="n">
        <f aca="false">IF(K152="y",Z152,0)</f>
        <v>0</v>
      </c>
      <c r="AE152" s="61" t="n">
        <f aca="false">IF($K152="",Z152,0)+IF($K152="n",Z152,0)</f>
        <v>396000</v>
      </c>
      <c r="AF152" s="62" t="n">
        <f aca="false">IF($K152="y",AC152,0)</f>
        <v>0</v>
      </c>
      <c r="AG152" s="62" t="n">
        <f aca="false">IF($K152="",AC152,0)+IF($K152="n",AC152,0)</f>
        <v>514000</v>
      </c>
      <c r="AH152" s="8" t="n">
        <v>275000</v>
      </c>
      <c r="AI152" s="8" t="n">
        <v>593000</v>
      </c>
      <c r="AJ152" s="1" t="s">
        <v>91</v>
      </c>
      <c r="AK152" s="63" t="n">
        <v>79439</v>
      </c>
      <c r="AL152" s="9"/>
      <c r="AM152" s="9"/>
    </row>
    <row r="153" customFormat="false" ht="12.75" hidden="false" customHeight="false" outlineLevel="0" collapsed="false">
      <c r="A153" s="2" t="s">
        <v>44</v>
      </c>
      <c r="B153" s="2"/>
      <c r="C153" s="2" t="n">
        <v>1585</v>
      </c>
      <c r="D153" s="4" t="s">
        <v>400</v>
      </c>
      <c r="E153" s="4" t="s">
        <v>401</v>
      </c>
      <c r="F153" s="4" t="s">
        <v>114</v>
      </c>
      <c r="G153" s="4" t="s">
        <v>44</v>
      </c>
      <c r="H153" s="4" t="n">
        <v>1966</v>
      </c>
      <c r="I153" s="4"/>
      <c r="J153" s="4" t="s">
        <v>62</v>
      </c>
      <c r="K153" s="5"/>
      <c r="L153" s="58" t="s">
        <v>170</v>
      </c>
      <c r="M153" s="7" t="n">
        <v>7</v>
      </c>
      <c r="N153" s="59" t="n">
        <v>1</v>
      </c>
      <c r="O153" s="59" t="n">
        <v>1</v>
      </c>
      <c r="P153" s="59" t="n">
        <v>1</v>
      </c>
      <c r="Q153" s="59" t="n">
        <v>1</v>
      </c>
      <c r="R153" s="8"/>
      <c r="S153" s="8" t="n">
        <v>91650</v>
      </c>
      <c r="T153" s="8" t="n">
        <f aca="false">IF(J153="regional",IF(R153&gt;0,R153*0.2975,S153*0.3484),S153*0.1939)</f>
        <v>17770.935</v>
      </c>
      <c r="U153" s="8" t="n">
        <v>24912</v>
      </c>
      <c r="V153" s="8" t="n">
        <f aca="false">S153-U153</f>
        <v>66738</v>
      </c>
      <c r="W153" s="8" t="n">
        <v>502</v>
      </c>
      <c r="X153" s="60" t="n">
        <f aca="false">Y153+Z153</f>
        <v>0</v>
      </c>
      <c r="Y153" s="8" t="n">
        <f aca="false">IF(B153="y",T153,0)</f>
        <v>0</v>
      </c>
      <c r="Z153" s="8"/>
      <c r="AA153" s="8" t="n">
        <f aca="false">AB153+AC153</f>
        <v>109420.935</v>
      </c>
      <c r="AB153" s="8" t="n">
        <f aca="false">IF(B153="y",0,T153)</f>
        <v>17770.935</v>
      </c>
      <c r="AC153" s="8" t="n">
        <f aca="false">S153-Z153</f>
        <v>91650</v>
      </c>
      <c r="AD153" s="61" t="n">
        <f aca="false">IF(K153="y",Z153,0)</f>
        <v>0</v>
      </c>
      <c r="AE153" s="61" t="n">
        <f aca="false">IF($K153="",Z153,0)+IF($K153="n",Z153,0)</f>
        <v>0</v>
      </c>
      <c r="AF153" s="62" t="n">
        <f aca="false">IF($K153="y",AC153,0)</f>
        <v>0</v>
      </c>
      <c r="AG153" s="62" t="n">
        <f aca="false">IF($K153="",AC153,0)+IF($K153="n",AC153,0)</f>
        <v>91650</v>
      </c>
      <c r="AH153" s="8" t="n">
        <v>0</v>
      </c>
      <c r="AI153" s="8" t="n">
        <v>0</v>
      </c>
      <c r="AJ153" s="4"/>
      <c r="AK153" s="4"/>
      <c r="AL153" s="9"/>
      <c r="AM153" s="9"/>
    </row>
    <row r="154" customFormat="false" ht="12.75" hidden="false" customHeight="false" outlineLevel="0" collapsed="false">
      <c r="A154" s="2" t="s">
        <v>44</v>
      </c>
      <c r="B154" s="2"/>
      <c r="C154" s="2" t="n">
        <v>9397</v>
      </c>
      <c r="D154" s="64" t="s">
        <v>402</v>
      </c>
      <c r="E154" s="4" t="s">
        <v>403</v>
      </c>
      <c r="F154" s="4" t="s">
        <v>404</v>
      </c>
      <c r="G154" s="4" t="s">
        <v>44</v>
      </c>
      <c r="H154" s="4" t="n">
        <v>1988</v>
      </c>
      <c r="I154" s="4"/>
      <c r="J154" s="4" t="s">
        <v>405</v>
      </c>
      <c r="K154" s="5" t="s">
        <v>49</v>
      </c>
      <c r="L154" s="58" t="s">
        <v>406</v>
      </c>
      <c r="M154" s="7" t="n">
        <v>115</v>
      </c>
      <c r="N154" s="59" t="n">
        <v>0.637</v>
      </c>
      <c r="O154" s="59" t="n">
        <v>0.619</v>
      </c>
      <c r="P154" s="59" t="n">
        <v>0.552</v>
      </c>
      <c r="Q154" s="59" t="n">
        <v>0.537</v>
      </c>
      <c r="R154" s="8" t="n">
        <v>640416</v>
      </c>
      <c r="S154" s="8" t="n">
        <v>536930</v>
      </c>
      <c r="T154" s="8" t="n">
        <f aca="false">IF(J154="regional",IF(R154&gt;0,R154*0.2975,S154*0.3484),S154*0.1939)</f>
        <v>104110.727</v>
      </c>
      <c r="U154" s="8" t="n">
        <v>331831</v>
      </c>
      <c r="V154" s="8" t="n">
        <f aca="false">S154-U154</f>
        <v>205099</v>
      </c>
      <c r="W154" s="8" t="n">
        <v>3610</v>
      </c>
      <c r="X154" s="60" t="n">
        <f aca="false">Y154+Z154</f>
        <v>0</v>
      </c>
      <c r="Y154" s="8" t="n">
        <f aca="false">IF(B154="y",T154,0)</f>
        <v>0</v>
      </c>
      <c r="Z154" s="8"/>
      <c r="AA154" s="8" t="n">
        <f aca="false">AB154+AC154</f>
        <v>641040.727</v>
      </c>
      <c r="AB154" s="8" t="n">
        <f aca="false">IF(B154="y",0,T154)</f>
        <v>104110.727</v>
      </c>
      <c r="AC154" s="8" t="n">
        <f aca="false">S154-Z154</f>
        <v>536930</v>
      </c>
      <c r="AD154" s="61" t="n">
        <f aca="false">IF(K154="y",Z154,0)</f>
        <v>0</v>
      </c>
      <c r="AE154" s="61" t="n">
        <f aca="false">IF($K154="",Z154,0)+IF($K154="n",Z154,0)</f>
        <v>0</v>
      </c>
      <c r="AF154" s="62" t="n">
        <f aca="false">IF($K154="y",AC154,0)</f>
        <v>0</v>
      </c>
      <c r="AG154" s="62" t="n">
        <f aca="false">IF($K154="",AC154,0)+IF($K154="n",AC154,0)</f>
        <v>536930</v>
      </c>
      <c r="AH154" s="8" t="n">
        <v>0</v>
      </c>
      <c r="AI154" s="8" t="n">
        <v>0</v>
      </c>
      <c r="AJ154" s="1" t="s">
        <v>51</v>
      </c>
      <c r="AK154" s="63" t="n">
        <v>759244</v>
      </c>
      <c r="AL154" s="9"/>
      <c r="AM154" s="9"/>
    </row>
    <row r="155" customFormat="false" ht="12.75" hidden="false" customHeight="false" outlineLevel="0" collapsed="false">
      <c r="A155" s="2" t="s">
        <v>44</v>
      </c>
      <c r="B155" s="2" t="s">
        <v>44</v>
      </c>
      <c r="C155" s="2" t="n">
        <v>2810</v>
      </c>
      <c r="D155" s="67" t="s">
        <v>407</v>
      </c>
      <c r="E155" s="65" t="s">
        <v>408</v>
      </c>
      <c r="F155" s="4" t="s">
        <v>89</v>
      </c>
      <c r="G155" s="4" t="s">
        <v>49</v>
      </c>
      <c r="H155" s="4" t="n">
        <v>1987</v>
      </c>
      <c r="I155" s="4"/>
      <c r="J155" s="4" t="s">
        <v>48</v>
      </c>
      <c r="K155" s="5" t="s">
        <v>44</v>
      </c>
      <c r="L155" s="58" t="s">
        <v>409</v>
      </c>
      <c r="M155" s="7" t="n">
        <v>126</v>
      </c>
      <c r="N155" s="59" t="n">
        <v>0.939</v>
      </c>
      <c r="O155" s="59" t="n">
        <v>0.932</v>
      </c>
      <c r="P155" s="59" t="n">
        <v>0.929</v>
      </c>
      <c r="Q155" s="59" t="n">
        <v>0.927</v>
      </c>
      <c r="R155" s="8" t="n">
        <v>1400573</v>
      </c>
      <c r="S155" s="8" t="n">
        <v>920709</v>
      </c>
      <c r="T155" s="8" t="n">
        <f aca="false">IF(J155="regional",IF(R155&gt;0,R155*0.2975,S155*0.3484),S155*0.1939)</f>
        <v>416670.4675</v>
      </c>
      <c r="U155" s="8" t="n">
        <v>530971</v>
      </c>
      <c r="V155" s="8" t="n">
        <f aca="false">S155-U155</f>
        <v>389738</v>
      </c>
      <c r="W155" s="8" t="n">
        <v>4500</v>
      </c>
      <c r="X155" s="60" t="n">
        <f aca="false">Y155+Z155</f>
        <v>1115833.4675</v>
      </c>
      <c r="Y155" s="8" t="n">
        <f aca="false">IF(B155="y",T155,0)</f>
        <v>416670.4675</v>
      </c>
      <c r="Z155" s="8" t="n">
        <v>699163</v>
      </c>
      <c r="AA155" s="8" t="n">
        <f aca="false">AB155+AC155</f>
        <v>221546</v>
      </c>
      <c r="AB155" s="8" t="n">
        <f aca="false">IF(B155="y",0,T155)</f>
        <v>0</v>
      </c>
      <c r="AC155" s="8" t="n">
        <f aca="false">S155-Z155</f>
        <v>221546</v>
      </c>
      <c r="AD155" s="61" t="n">
        <f aca="false">IF(K155="y",Z155,0)</f>
        <v>699163</v>
      </c>
      <c r="AE155" s="61" t="n">
        <f aca="false">IF($K155="",Z155,0)+IF($K155="n",Z155,0)</f>
        <v>0</v>
      </c>
      <c r="AF155" s="62" t="n">
        <f aca="false">IF($K155="y",AC155,0)</f>
        <v>221546</v>
      </c>
      <c r="AG155" s="62" t="n">
        <f aca="false">IF($K155="",AC155,0)+IF($K155="n",AC155,0)</f>
        <v>0</v>
      </c>
      <c r="AH155" s="8" t="n">
        <v>1021000</v>
      </c>
      <c r="AI155" s="8" t="n">
        <v>969000</v>
      </c>
      <c r="AJ155" s="1" t="s">
        <v>91</v>
      </c>
      <c r="AK155" s="63" t="n">
        <v>220214</v>
      </c>
      <c r="AL155" s="9"/>
      <c r="AM155" s="9"/>
    </row>
    <row r="156" customFormat="false" ht="12.75" hidden="false" customHeight="false" outlineLevel="0" collapsed="false">
      <c r="A156" s="2" t="s">
        <v>44</v>
      </c>
      <c r="B156" s="2"/>
      <c r="C156" s="2" t="n">
        <v>1540</v>
      </c>
      <c r="D156" s="4" t="s">
        <v>410</v>
      </c>
      <c r="E156" s="4" t="s">
        <v>411</v>
      </c>
      <c r="F156" s="4" t="s">
        <v>54</v>
      </c>
      <c r="G156" s="4" t="s">
        <v>44</v>
      </c>
      <c r="H156" s="4" t="n">
        <v>1971</v>
      </c>
      <c r="I156" s="4"/>
      <c r="J156" s="4" t="s">
        <v>48</v>
      </c>
      <c r="K156" s="5" t="s">
        <v>49</v>
      </c>
      <c r="L156" s="58" t="s">
        <v>118</v>
      </c>
      <c r="M156" s="7" t="n">
        <v>113</v>
      </c>
      <c r="N156" s="59" t="n">
        <v>0.744</v>
      </c>
      <c r="O156" s="59" t="n">
        <v>0.879</v>
      </c>
      <c r="P156" s="59" t="n">
        <v>0.884</v>
      </c>
      <c r="Q156" s="59" t="n">
        <v>0.865</v>
      </c>
      <c r="R156" s="8" t="n">
        <v>1288322</v>
      </c>
      <c r="S156" s="8" t="n">
        <v>1141556</v>
      </c>
      <c r="T156" s="8" t="n">
        <f aca="false">IF(J156="regional",IF(R156&gt;0,R156*0.2975,S156*0.3484),S156*0.1939)</f>
        <v>383275.795</v>
      </c>
      <c r="U156" s="8" t="n">
        <v>839873</v>
      </c>
      <c r="V156" s="8" t="n">
        <f aca="false">S156-U156</f>
        <v>301683</v>
      </c>
      <c r="W156" s="8" t="n">
        <v>6055</v>
      </c>
      <c r="X156" s="60" t="n">
        <f aca="false">Y156+Z156</f>
        <v>0</v>
      </c>
      <c r="Y156" s="8" t="n">
        <f aca="false">IF(B156="y",T156,0)</f>
        <v>0</v>
      </c>
      <c r="Z156" s="8"/>
      <c r="AA156" s="8" t="n">
        <f aca="false">AB156+AC156</f>
        <v>1524831.795</v>
      </c>
      <c r="AB156" s="8" t="n">
        <f aca="false">IF(B156="y",0,T156)</f>
        <v>383275.795</v>
      </c>
      <c r="AC156" s="8" t="n">
        <f aca="false">S156-Z156</f>
        <v>1141556</v>
      </c>
      <c r="AD156" s="61" t="n">
        <f aca="false">IF(K156="y",Z156,0)</f>
        <v>0</v>
      </c>
      <c r="AE156" s="61" t="n">
        <f aca="false">IF($K156="",Z156,0)+IF($K156="n",Z156,0)</f>
        <v>0</v>
      </c>
      <c r="AF156" s="62" t="n">
        <f aca="false">IF($K156="y",AC156,0)</f>
        <v>0</v>
      </c>
      <c r="AG156" s="62" t="n">
        <f aca="false">IF($K156="",AC156,0)+IF($K156="n",AC156,0)</f>
        <v>1141556</v>
      </c>
      <c r="AH156" s="8" t="n">
        <v>0</v>
      </c>
      <c r="AI156" s="8" t="n">
        <v>0</v>
      </c>
      <c r="AJ156" s="1" t="s">
        <v>51</v>
      </c>
      <c r="AK156" s="63" t="n">
        <v>371338</v>
      </c>
      <c r="AL156" s="9"/>
      <c r="AM156" s="9"/>
    </row>
    <row r="157" customFormat="false" ht="12.75" hidden="false" customHeight="false" outlineLevel="0" collapsed="false">
      <c r="A157" s="2" t="s">
        <v>44</v>
      </c>
      <c r="B157" s="2" t="s">
        <v>44</v>
      </c>
      <c r="C157" s="2" t="n">
        <v>4771</v>
      </c>
      <c r="D157" s="65" t="s">
        <v>412</v>
      </c>
      <c r="E157" s="65" t="s">
        <v>413</v>
      </c>
      <c r="F157" s="4"/>
      <c r="G157" s="4" t="s">
        <v>49</v>
      </c>
      <c r="H157" s="4" t="n">
        <v>1973</v>
      </c>
      <c r="I157" s="4" t="n">
        <v>1997</v>
      </c>
      <c r="J157" s="4" t="s">
        <v>48</v>
      </c>
      <c r="K157" s="5" t="s">
        <v>44</v>
      </c>
      <c r="L157" s="58" t="s">
        <v>414</v>
      </c>
      <c r="M157" s="7" t="n">
        <v>120</v>
      </c>
      <c r="N157" s="59" t="n">
        <v>0.85</v>
      </c>
      <c r="O157" s="59" t="n">
        <v>0.866</v>
      </c>
      <c r="P157" s="59" t="n">
        <v>0.925</v>
      </c>
      <c r="Q157" s="59" t="n">
        <v>0.952</v>
      </c>
      <c r="R157" s="8" t="n">
        <v>1133987</v>
      </c>
      <c r="S157" s="8" t="n">
        <v>992959</v>
      </c>
      <c r="T157" s="8" t="n">
        <f aca="false">IF(J157="regional",IF(R157&gt;0,R157*0.2975,S157*0.3484),S157*0.1939)</f>
        <v>337361.1325</v>
      </c>
      <c r="U157" s="8" t="n">
        <v>651533</v>
      </c>
      <c r="V157" s="8" t="n">
        <f aca="false">S157-U157</f>
        <v>341426</v>
      </c>
      <c r="W157" s="8" t="n">
        <v>5829</v>
      </c>
      <c r="X157" s="60" t="n">
        <f aca="false">Y157+Z157</f>
        <v>763361.1325</v>
      </c>
      <c r="Y157" s="8" t="n">
        <f aca="false">IF(B157="y",T157,0)</f>
        <v>337361.1325</v>
      </c>
      <c r="Z157" s="8" t="n">
        <v>426000</v>
      </c>
      <c r="AA157" s="8" t="n">
        <f aca="false">AB157+AC157</f>
        <v>566959</v>
      </c>
      <c r="AB157" s="8" t="n">
        <f aca="false">IF(B157="y",0,T157)</f>
        <v>0</v>
      </c>
      <c r="AC157" s="8" t="n">
        <f aca="false">S157-Z157</f>
        <v>566959</v>
      </c>
      <c r="AD157" s="61" t="n">
        <f aca="false">IF(K157="y",Z157,0)</f>
        <v>426000</v>
      </c>
      <c r="AE157" s="61" t="n">
        <f aca="false">IF($K157="",Z157,0)+IF($K157="n",Z157,0)</f>
        <v>0</v>
      </c>
      <c r="AF157" s="62" t="n">
        <f aca="false">IF($K157="y",AC157,0)</f>
        <v>566959</v>
      </c>
      <c r="AG157" s="62" t="n">
        <f aca="false">IF($K157="",AC157,0)+IF($K157="n",AC157,0)</f>
        <v>0</v>
      </c>
      <c r="AH157" s="8" t="n">
        <v>373000</v>
      </c>
      <c r="AI157" s="8" t="n">
        <v>185000</v>
      </c>
      <c r="AJ157" s="1" t="s">
        <v>70</v>
      </c>
      <c r="AK157" s="63" t="n">
        <v>289219</v>
      </c>
      <c r="AL157" s="9"/>
      <c r="AM157" s="9"/>
    </row>
    <row r="158" customFormat="false" ht="12.75" hidden="false" customHeight="false" outlineLevel="0" collapsed="false">
      <c r="A158" s="2" t="s">
        <v>44</v>
      </c>
      <c r="B158" s="2"/>
      <c r="C158" s="2" t="n">
        <v>1926</v>
      </c>
      <c r="D158" s="4" t="s">
        <v>415</v>
      </c>
      <c r="E158" s="4" t="s">
        <v>416</v>
      </c>
      <c r="F158" s="4" t="s">
        <v>47</v>
      </c>
      <c r="G158" s="4" t="s">
        <v>44</v>
      </c>
      <c r="H158" s="4" t="n">
        <v>1985</v>
      </c>
      <c r="I158" s="4"/>
      <c r="J158" s="4" t="s">
        <v>62</v>
      </c>
      <c r="K158" s="5"/>
      <c r="L158" s="58" t="s">
        <v>98</v>
      </c>
      <c r="M158" s="7" t="n">
        <v>11</v>
      </c>
      <c r="N158" s="59" t="n">
        <v>0.98</v>
      </c>
      <c r="O158" s="59" t="n">
        <v>0.98</v>
      </c>
      <c r="P158" s="59" t="n">
        <v>1</v>
      </c>
      <c r="Q158" s="59" t="n">
        <v>1</v>
      </c>
      <c r="R158" s="8"/>
      <c r="S158" s="8" t="n">
        <v>245808</v>
      </c>
      <c r="T158" s="8" t="n">
        <f aca="false">IF(J158="regional",IF(R158&gt;0,R158*0.2975,S158*0.3484),S158*0.1939)</f>
        <v>47662.1712</v>
      </c>
      <c r="U158" s="8" t="n">
        <v>208925</v>
      </c>
      <c r="V158" s="8" t="n">
        <f aca="false">S158-U158</f>
        <v>36883</v>
      </c>
      <c r="W158" s="8" t="n">
        <v>1600</v>
      </c>
      <c r="X158" s="60" t="n">
        <f aca="false">Y158+Z158</f>
        <v>0</v>
      </c>
      <c r="Y158" s="8" t="n">
        <f aca="false">IF(B158="y",T158,0)</f>
        <v>0</v>
      </c>
      <c r="Z158" s="8"/>
      <c r="AA158" s="8" t="n">
        <f aca="false">AB158+AC158</f>
        <v>293470.1712</v>
      </c>
      <c r="AB158" s="8" t="n">
        <f aca="false">IF(B158="y",0,T158)</f>
        <v>47662.1712</v>
      </c>
      <c r="AC158" s="8" t="n">
        <f aca="false">S158-Z158</f>
        <v>245808</v>
      </c>
      <c r="AD158" s="61" t="n">
        <f aca="false">IF(K158="y",Z158,0)</f>
        <v>0</v>
      </c>
      <c r="AE158" s="61" t="n">
        <f aca="false">IF($K158="",Z158,0)+IF($K158="n",Z158,0)</f>
        <v>0</v>
      </c>
      <c r="AF158" s="62" t="n">
        <f aca="false">IF($K158="y",AC158,0)</f>
        <v>0</v>
      </c>
      <c r="AG158" s="62" t="n">
        <f aca="false">IF($K158="",AC158,0)+IF($K158="n",AC158,0)</f>
        <v>245808</v>
      </c>
      <c r="AH158" s="8" t="n">
        <v>0</v>
      </c>
      <c r="AI158" s="8" t="n">
        <v>0</v>
      </c>
      <c r="AJ158" s="4"/>
      <c r="AK158" s="4"/>
      <c r="AL158" s="9"/>
      <c r="AM158" s="9"/>
    </row>
    <row r="159" customFormat="false" ht="12.75" hidden="false" customHeight="false" outlineLevel="0" collapsed="false">
      <c r="A159" s="2" t="s">
        <v>44</v>
      </c>
      <c r="B159" s="2"/>
      <c r="C159" s="2" t="n">
        <v>3527</v>
      </c>
      <c r="D159" s="4" t="s">
        <v>417</v>
      </c>
      <c r="E159" s="4" t="s">
        <v>418</v>
      </c>
      <c r="F159" s="4" t="s">
        <v>47</v>
      </c>
      <c r="G159" s="4" t="s">
        <v>44</v>
      </c>
      <c r="H159" s="4" t="n">
        <v>1977</v>
      </c>
      <c r="I159" s="4"/>
      <c r="J159" s="4" t="s">
        <v>62</v>
      </c>
      <c r="K159" s="5" t="s">
        <v>49</v>
      </c>
      <c r="L159" s="58" t="s">
        <v>98</v>
      </c>
      <c r="M159" s="7" t="n">
        <v>20</v>
      </c>
      <c r="N159" s="59" t="n">
        <v>0.955</v>
      </c>
      <c r="O159" s="59" t="n">
        <v>0.955</v>
      </c>
      <c r="P159" s="59" t="n">
        <v>0.91</v>
      </c>
      <c r="Q159" s="59" t="n">
        <v>0.955</v>
      </c>
      <c r="R159" s="8"/>
      <c r="S159" s="8" t="n">
        <v>114051</v>
      </c>
      <c r="T159" s="8" t="n">
        <f aca="false">IF(J159="regional",IF(R159&gt;0,R159*0.2975,S159*0.3484),S159*0.1939)</f>
        <v>22114.4889</v>
      </c>
      <c r="U159" s="8" t="n">
        <v>78587</v>
      </c>
      <c r="V159" s="8" t="n">
        <f aca="false">S159-U159</f>
        <v>35464</v>
      </c>
      <c r="W159" s="8" t="n">
        <v>548</v>
      </c>
      <c r="X159" s="60" t="n">
        <f aca="false">Y159+Z159</f>
        <v>0</v>
      </c>
      <c r="Y159" s="8" t="n">
        <f aca="false">IF(B159="y",T159,0)</f>
        <v>0</v>
      </c>
      <c r="Z159" s="8"/>
      <c r="AA159" s="8" t="n">
        <f aca="false">AB159+AC159</f>
        <v>136165.4889</v>
      </c>
      <c r="AB159" s="8" t="n">
        <f aca="false">IF(B159="y",0,T159)</f>
        <v>22114.4889</v>
      </c>
      <c r="AC159" s="8" t="n">
        <f aca="false">S159-Z159</f>
        <v>114051</v>
      </c>
      <c r="AD159" s="61" t="n">
        <f aca="false">IF(K159="y",Z159,0)</f>
        <v>0</v>
      </c>
      <c r="AE159" s="61" t="n">
        <f aca="false">IF($K159="",Z159,0)+IF($K159="n",Z159,0)</f>
        <v>0</v>
      </c>
      <c r="AF159" s="62" t="n">
        <f aca="false">IF($K159="y",AC159,0)</f>
        <v>0</v>
      </c>
      <c r="AG159" s="62" t="n">
        <f aca="false">IF($K159="",AC159,0)+IF($K159="n",AC159,0)</f>
        <v>114051</v>
      </c>
      <c r="AH159" s="8" t="n">
        <v>0</v>
      </c>
      <c r="AI159" s="8" t="n">
        <v>0</v>
      </c>
      <c r="AJ159" s="4"/>
      <c r="AK159" s="4"/>
      <c r="AL159" s="9"/>
      <c r="AM159" s="9"/>
    </row>
    <row r="160" customFormat="false" ht="12.75" hidden="false" customHeight="false" outlineLevel="0" collapsed="false">
      <c r="A160" s="2" t="s">
        <v>44</v>
      </c>
      <c r="B160" s="2"/>
      <c r="C160" s="2" t="n">
        <v>2717</v>
      </c>
      <c r="D160" s="4" t="s">
        <v>419</v>
      </c>
      <c r="E160" s="4" t="s">
        <v>420</v>
      </c>
      <c r="F160" s="4" t="s">
        <v>101</v>
      </c>
      <c r="G160" s="4" t="s">
        <v>44</v>
      </c>
      <c r="H160" s="4" t="n">
        <v>1980</v>
      </c>
      <c r="I160" s="4"/>
      <c r="J160" s="4" t="s">
        <v>48</v>
      </c>
      <c r="K160" s="5" t="s">
        <v>44</v>
      </c>
      <c r="L160" s="58" t="s">
        <v>421</v>
      </c>
      <c r="M160" s="7" t="n">
        <v>101</v>
      </c>
      <c r="N160" s="59" t="n">
        <v>0.685</v>
      </c>
      <c r="O160" s="59" t="n">
        <v>0.706</v>
      </c>
      <c r="P160" s="59" t="n">
        <v>0.728</v>
      </c>
      <c r="Q160" s="59" t="n">
        <v>0.786</v>
      </c>
      <c r="R160" s="8" t="n">
        <v>861645</v>
      </c>
      <c r="S160" s="8" t="n">
        <v>758176</v>
      </c>
      <c r="T160" s="8" t="n">
        <f aca="false">IF(J160="regional",IF(R160&gt;0,R160*0.2975,S160*0.3484),S160*0.1939)</f>
        <v>256339.3875</v>
      </c>
      <c r="U160" s="8" t="n">
        <v>480230</v>
      </c>
      <c r="V160" s="8" t="n">
        <f aca="false">S160-U160</f>
        <v>277946</v>
      </c>
      <c r="W160" s="8" t="n">
        <v>4200</v>
      </c>
      <c r="X160" s="60" t="n">
        <f aca="false">Y160+Z160</f>
        <v>0</v>
      </c>
      <c r="Y160" s="8" t="n">
        <f aca="false">IF(B160="y",T160,0)</f>
        <v>0</v>
      </c>
      <c r="Z160" s="8"/>
      <c r="AA160" s="8" t="n">
        <f aca="false">AB160+AC160</f>
        <v>1014515.3875</v>
      </c>
      <c r="AB160" s="8" t="n">
        <f aca="false">IF(B160="y",0,T160)</f>
        <v>256339.3875</v>
      </c>
      <c r="AC160" s="8" t="n">
        <f aca="false">S160-Z160</f>
        <v>758176</v>
      </c>
      <c r="AD160" s="61" t="n">
        <f aca="false">IF(K160="y",Z160,0)</f>
        <v>0</v>
      </c>
      <c r="AE160" s="61" t="n">
        <f aca="false">IF($K160="",Z160,0)+IF($K160="n",Z160,0)</f>
        <v>0</v>
      </c>
      <c r="AF160" s="62" t="n">
        <f aca="false">IF($K160="y",AC160,0)</f>
        <v>758176</v>
      </c>
      <c r="AG160" s="62" t="n">
        <f aca="false">IF($K160="",AC160,0)+IF($K160="n",AC160,0)</f>
        <v>0</v>
      </c>
      <c r="AH160" s="8" t="n">
        <v>593000</v>
      </c>
      <c r="AI160" s="8" t="n">
        <v>683000</v>
      </c>
      <c r="AJ160" s="1" t="s">
        <v>51</v>
      </c>
      <c r="AK160" s="63" t="n">
        <v>556433</v>
      </c>
      <c r="AL160" s="9"/>
      <c r="AM160" s="9"/>
    </row>
    <row r="161" customFormat="false" ht="12.75" hidden="false" customHeight="false" outlineLevel="0" collapsed="false">
      <c r="A161" s="2" t="s">
        <v>44</v>
      </c>
      <c r="B161" s="2"/>
      <c r="C161" s="2" t="n">
        <v>9245</v>
      </c>
      <c r="D161" s="4" t="s">
        <v>422</v>
      </c>
      <c r="E161" s="4" t="s">
        <v>423</v>
      </c>
      <c r="F161" s="4" t="s">
        <v>47</v>
      </c>
      <c r="G161" s="4" t="s">
        <v>44</v>
      </c>
      <c r="H161" s="4" t="n">
        <v>1990</v>
      </c>
      <c r="I161" s="4"/>
      <c r="J161" s="4" t="s">
        <v>48</v>
      </c>
      <c r="K161" s="5" t="s">
        <v>49</v>
      </c>
      <c r="L161" s="58" t="s">
        <v>98</v>
      </c>
      <c r="M161" s="7" t="n">
        <v>112</v>
      </c>
      <c r="N161" s="59" t="n">
        <v>0.786</v>
      </c>
      <c r="O161" s="59" t="n">
        <v>0.786</v>
      </c>
      <c r="P161" s="59" t="n">
        <v>0.755</v>
      </c>
      <c r="Q161" s="59" t="n">
        <v>0.706</v>
      </c>
      <c r="R161" s="8" t="n">
        <v>695498</v>
      </c>
      <c r="S161" s="8" t="n">
        <v>559188</v>
      </c>
      <c r="T161" s="8" t="n">
        <f aca="false">IF(J161="regional",IF(R161&gt;0,R161*0.2975,S161*0.3484),S161*0.1939)</f>
        <v>206910.655</v>
      </c>
      <c r="U161" s="8" t="n">
        <v>310994</v>
      </c>
      <c r="V161" s="8" t="n">
        <f aca="false">S161-U161</f>
        <v>248194</v>
      </c>
      <c r="W161" s="8" t="n">
        <v>3155</v>
      </c>
      <c r="X161" s="60" t="n">
        <f aca="false">Y161+Z161</f>
        <v>0</v>
      </c>
      <c r="Y161" s="8" t="n">
        <f aca="false">IF(B161="y",T161,0)</f>
        <v>0</v>
      </c>
      <c r="Z161" s="8"/>
      <c r="AA161" s="8" t="n">
        <f aca="false">AB161+AC161</f>
        <v>766098.655</v>
      </c>
      <c r="AB161" s="8" t="n">
        <f aca="false">IF(B161="y",0,T161)</f>
        <v>206910.655</v>
      </c>
      <c r="AC161" s="8" t="n">
        <f aca="false">S161-Z161</f>
        <v>559188</v>
      </c>
      <c r="AD161" s="61" t="n">
        <f aca="false">IF(K161="y",Z161,0)</f>
        <v>0</v>
      </c>
      <c r="AE161" s="61" t="n">
        <f aca="false">IF($K161="",Z161,0)+IF($K161="n",Z161,0)</f>
        <v>0</v>
      </c>
      <c r="AF161" s="62" t="n">
        <f aca="false">IF($K161="y",AC161,0)</f>
        <v>0</v>
      </c>
      <c r="AG161" s="62" t="n">
        <f aca="false">IF($K161="",AC161,0)+IF($K161="n",AC161,0)</f>
        <v>559188</v>
      </c>
      <c r="AH161" s="8" t="n">
        <v>0</v>
      </c>
      <c r="AI161" s="8" t="n">
        <v>0</v>
      </c>
      <c r="AJ161" s="4"/>
      <c r="AK161" s="4"/>
      <c r="AL161" s="9"/>
      <c r="AM161" s="9"/>
    </row>
    <row r="162" customFormat="false" ht="12.75" hidden="false" customHeight="false" outlineLevel="0" collapsed="false">
      <c r="A162" s="2" t="s">
        <v>44</v>
      </c>
      <c r="B162" s="2"/>
      <c r="C162" s="2" t="n">
        <v>9250</v>
      </c>
      <c r="D162" s="66" t="s">
        <v>424</v>
      </c>
      <c r="E162" s="4" t="s">
        <v>425</v>
      </c>
      <c r="F162" s="4" t="s">
        <v>173</v>
      </c>
      <c r="G162" s="4" t="s">
        <v>44</v>
      </c>
      <c r="H162" s="4" t="n">
        <v>1987</v>
      </c>
      <c r="I162" s="4"/>
      <c r="J162" s="4" t="s">
        <v>48</v>
      </c>
      <c r="K162" s="5" t="s">
        <v>49</v>
      </c>
      <c r="L162" s="58" t="s">
        <v>426</v>
      </c>
      <c r="M162" s="7" t="n">
        <v>112</v>
      </c>
      <c r="N162" s="59" t="n">
        <v>0.903</v>
      </c>
      <c r="O162" s="59" t="n">
        <v>0.931</v>
      </c>
      <c r="P162" s="59" t="n">
        <v>0.865</v>
      </c>
      <c r="Q162" s="59" t="n">
        <v>0.919</v>
      </c>
      <c r="R162" s="8" t="n">
        <v>1197680</v>
      </c>
      <c r="S162" s="8" t="n">
        <v>1105795</v>
      </c>
      <c r="T162" s="8" t="n">
        <f aca="false">IF(J162="regional",IF(R162&gt;0,R162*0.2975,S162*0.3484),S162*0.1939)</f>
        <v>356309.8</v>
      </c>
      <c r="U162" s="8" t="n">
        <v>680555</v>
      </c>
      <c r="V162" s="8" t="n">
        <f aca="false">S162-U162</f>
        <v>425240</v>
      </c>
      <c r="W162" s="8" t="n">
        <v>7000</v>
      </c>
      <c r="X162" s="60" t="n">
        <f aca="false">Y162+Z162</f>
        <v>0</v>
      </c>
      <c r="Y162" s="8" t="n">
        <f aca="false">IF(B162="y",T162,0)</f>
        <v>0</v>
      </c>
      <c r="Z162" s="8"/>
      <c r="AA162" s="8" t="n">
        <f aca="false">AB162+AC162</f>
        <v>1462104.8</v>
      </c>
      <c r="AB162" s="8" t="n">
        <f aca="false">IF(B162="y",0,T162)</f>
        <v>356309.8</v>
      </c>
      <c r="AC162" s="8" t="n">
        <f aca="false">S162-Z162</f>
        <v>1105795</v>
      </c>
      <c r="AD162" s="61" t="n">
        <f aca="false">IF(K162="y",Z162,0)</f>
        <v>0</v>
      </c>
      <c r="AE162" s="61" t="n">
        <f aca="false">IF($K162="",Z162,0)+IF($K162="n",Z162,0)</f>
        <v>0</v>
      </c>
      <c r="AF162" s="62" t="n">
        <f aca="false">IF($K162="y",AC162,0)</f>
        <v>0</v>
      </c>
      <c r="AG162" s="62" t="n">
        <f aca="false">IF($K162="",AC162,0)+IF($K162="n",AC162,0)</f>
        <v>1105795</v>
      </c>
      <c r="AH162" s="8" t="n">
        <v>0</v>
      </c>
      <c r="AI162" s="8" t="n">
        <v>0</v>
      </c>
      <c r="AJ162" s="1" t="s">
        <v>51</v>
      </c>
      <c r="AK162" s="63" t="n">
        <v>822693</v>
      </c>
      <c r="AL162" s="9"/>
      <c r="AM162" s="9"/>
    </row>
    <row r="163" customFormat="false" ht="12.75" hidden="false" customHeight="false" outlineLevel="0" collapsed="false">
      <c r="A163" s="2"/>
      <c r="B163" s="2" t="s">
        <v>44</v>
      </c>
      <c r="C163" s="2" t="n">
        <v>4831</v>
      </c>
      <c r="D163" s="67" t="s">
        <v>427</v>
      </c>
      <c r="E163" s="65" t="s">
        <v>331</v>
      </c>
      <c r="F163" s="4" t="s">
        <v>276</v>
      </c>
      <c r="G163" s="4" t="s">
        <v>44</v>
      </c>
      <c r="H163" s="4" t="n">
        <v>1971</v>
      </c>
      <c r="I163" s="4"/>
      <c r="J163" s="4" t="s">
        <v>48</v>
      </c>
      <c r="K163" s="5" t="s">
        <v>49</v>
      </c>
      <c r="L163" s="58" t="s">
        <v>277</v>
      </c>
      <c r="M163" s="7" t="n">
        <v>126</v>
      </c>
      <c r="N163" s="59" t="n">
        <v>0.927</v>
      </c>
      <c r="O163" s="59" t="n">
        <v>0.938</v>
      </c>
      <c r="P163" s="59" t="n">
        <v>0.925</v>
      </c>
      <c r="Q163" s="59" t="n">
        <v>0.952</v>
      </c>
      <c r="R163" s="8" t="n">
        <v>1151275</v>
      </c>
      <c r="S163" s="8" t="n">
        <v>950000</v>
      </c>
      <c r="T163" s="8" t="n">
        <f aca="false">IF(J163="regional",IF(R163&gt;0,R163*0.2975,S163*0.3484),S163*0.1939)</f>
        <v>342504.3125</v>
      </c>
      <c r="U163" s="8" t="n">
        <v>665100</v>
      </c>
      <c r="V163" s="8" t="n">
        <f aca="false">S163-U163</f>
        <v>284900</v>
      </c>
      <c r="W163" s="8" t="n">
        <v>5000</v>
      </c>
      <c r="X163" s="60" t="n">
        <f aca="false">Y163+Z163</f>
        <v>698504.3125</v>
      </c>
      <c r="Y163" s="8" t="n">
        <f aca="false">IF(B163="y",T163,0)</f>
        <v>342504.3125</v>
      </c>
      <c r="Z163" s="8" t="n">
        <v>356000</v>
      </c>
      <c r="AA163" s="8" t="n">
        <f aca="false">AB163+AC163</f>
        <v>594000</v>
      </c>
      <c r="AB163" s="8" t="n">
        <f aca="false">IF(B163="y",0,T163)</f>
        <v>0</v>
      </c>
      <c r="AC163" s="8" t="n">
        <f aca="false">S163-Z163</f>
        <v>594000</v>
      </c>
      <c r="AD163" s="61" t="n">
        <f aca="false">IF(K163="y",Z163,0)</f>
        <v>0</v>
      </c>
      <c r="AE163" s="61" t="n">
        <f aca="false">IF($K163="",Z163,0)+IF($K163="n",Z163,0)</f>
        <v>356000</v>
      </c>
      <c r="AF163" s="62" t="n">
        <f aca="false">IF($K163="y",AC163,0)</f>
        <v>0</v>
      </c>
      <c r="AG163" s="62" t="n">
        <f aca="false">IF($K163="",AC163,0)+IF($K163="n",AC163,0)</f>
        <v>594000</v>
      </c>
      <c r="AH163" s="8" t="n">
        <v>0</v>
      </c>
      <c r="AI163" s="8" t="n">
        <v>0</v>
      </c>
      <c r="AJ163" s="1" t="s">
        <v>51</v>
      </c>
      <c r="AK163" s="63" t="n">
        <v>28050</v>
      </c>
      <c r="AL163" s="9"/>
      <c r="AM163" s="9"/>
    </row>
    <row r="164" customFormat="false" ht="12.75" hidden="false" customHeight="false" outlineLevel="0" collapsed="false">
      <c r="A164" s="2" t="s">
        <v>44</v>
      </c>
      <c r="B164" s="2"/>
      <c r="C164" s="2" t="n">
        <v>544</v>
      </c>
      <c r="D164" s="4" t="s">
        <v>428</v>
      </c>
      <c r="E164" s="4" t="s">
        <v>429</v>
      </c>
      <c r="F164" s="4" t="s">
        <v>101</v>
      </c>
      <c r="G164" s="4" t="s">
        <v>44</v>
      </c>
      <c r="H164" s="4" t="n">
        <v>1988</v>
      </c>
      <c r="I164" s="4"/>
      <c r="J164" s="4" t="s">
        <v>62</v>
      </c>
      <c r="K164" s="5"/>
      <c r="L164" s="58" t="s">
        <v>334</v>
      </c>
      <c r="M164" s="7" t="n">
        <v>22</v>
      </c>
      <c r="N164" s="59" t="n">
        <v>0.915</v>
      </c>
      <c r="O164" s="59" t="n">
        <v>0.915</v>
      </c>
      <c r="P164" s="59" t="n">
        <v>0.979</v>
      </c>
      <c r="Q164" s="59" t="n">
        <v>0.921</v>
      </c>
      <c r="R164" s="8"/>
      <c r="S164" s="8" t="n">
        <v>198133</v>
      </c>
      <c r="T164" s="8" t="n">
        <f aca="false">IF(J164="regional",IF(R164&gt;0,R164*0.2975,S164*0.3484),S164*0.1939)</f>
        <v>38417.9887</v>
      </c>
      <c r="U164" s="8" t="n">
        <v>118304</v>
      </c>
      <c r="V164" s="8" t="n">
        <f aca="false">S164-U164</f>
        <v>79829</v>
      </c>
      <c r="W164" s="8" t="n">
        <v>991</v>
      </c>
      <c r="X164" s="60" t="n">
        <f aca="false">Y164+Z164</f>
        <v>0</v>
      </c>
      <c r="Y164" s="8" t="n">
        <f aca="false">IF(B164="y",T164,0)</f>
        <v>0</v>
      </c>
      <c r="Z164" s="8"/>
      <c r="AA164" s="8" t="n">
        <f aca="false">AB164+AC164</f>
        <v>236550.9887</v>
      </c>
      <c r="AB164" s="8" t="n">
        <f aca="false">IF(B164="y",0,T164)</f>
        <v>38417.9887</v>
      </c>
      <c r="AC164" s="8" t="n">
        <f aca="false">S164-Z164</f>
        <v>198133</v>
      </c>
      <c r="AD164" s="61" t="n">
        <f aca="false">IF(K164="y",Z164,0)</f>
        <v>0</v>
      </c>
      <c r="AE164" s="61" t="n">
        <f aca="false">IF($K164="",Z164,0)+IF($K164="n",Z164,0)</f>
        <v>0</v>
      </c>
      <c r="AF164" s="62" t="n">
        <f aca="false">IF($K164="y",AC164,0)</f>
        <v>0</v>
      </c>
      <c r="AG164" s="62" t="n">
        <f aca="false">IF($K164="",AC164,0)+IF($K164="n",AC164,0)</f>
        <v>198133</v>
      </c>
      <c r="AH164" s="8" t="n">
        <v>0</v>
      </c>
      <c r="AI164" s="8" t="n">
        <v>0</v>
      </c>
      <c r="AJ164" s="4"/>
      <c r="AK164" s="4"/>
      <c r="AL164" s="9"/>
      <c r="AM164" s="9"/>
    </row>
    <row r="165" customFormat="false" ht="12.75" hidden="false" customHeight="false" outlineLevel="0" collapsed="false">
      <c r="A165" s="2" t="s">
        <v>44</v>
      </c>
      <c r="B165" s="2"/>
      <c r="C165" s="2" t="n">
        <v>2525</v>
      </c>
      <c r="D165" s="4" t="s">
        <v>430</v>
      </c>
      <c r="E165" s="4" t="s">
        <v>431</v>
      </c>
      <c r="F165" s="4" t="s">
        <v>47</v>
      </c>
      <c r="G165" s="4" t="s">
        <v>44</v>
      </c>
      <c r="H165" s="4" t="n">
        <v>1974</v>
      </c>
      <c r="I165" s="4"/>
      <c r="J165" s="4" t="s">
        <v>62</v>
      </c>
      <c r="K165" s="5" t="s">
        <v>49</v>
      </c>
      <c r="L165" s="58" t="s">
        <v>334</v>
      </c>
      <c r="M165" s="7" t="n">
        <v>18</v>
      </c>
      <c r="N165" s="59" t="n">
        <v>0.797</v>
      </c>
      <c r="O165" s="59" t="n">
        <v>0.955</v>
      </c>
      <c r="P165" s="59" t="n">
        <v>0.899</v>
      </c>
      <c r="Q165" s="59" t="n">
        <v>1</v>
      </c>
      <c r="R165" s="8"/>
      <c r="S165" s="8" t="n">
        <v>182666</v>
      </c>
      <c r="T165" s="8" t="n">
        <f aca="false">IF(J165="regional",IF(R165&gt;0,R165*0.2975,S165*0.3484),S165*0.1939)</f>
        <v>35418.9374</v>
      </c>
      <c r="U165" s="8" t="n">
        <v>124028</v>
      </c>
      <c r="V165" s="8" t="n">
        <f aca="false">S165-U165</f>
        <v>58638</v>
      </c>
      <c r="W165" s="8" t="n">
        <v>1077</v>
      </c>
      <c r="X165" s="60" t="n">
        <f aca="false">Y165+Z165</f>
        <v>0</v>
      </c>
      <c r="Y165" s="8" t="n">
        <f aca="false">IF(B165="y",T165,0)</f>
        <v>0</v>
      </c>
      <c r="Z165" s="8"/>
      <c r="AA165" s="8" t="n">
        <f aca="false">AB165+AC165</f>
        <v>218084.9374</v>
      </c>
      <c r="AB165" s="8" t="n">
        <f aca="false">IF(B165="y",0,T165)</f>
        <v>35418.9374</v>
      </c>
      <c r="AC165" s="8" t="n">
        <f aca="false">S165-Z165</f>
        <v>182666</v>
      </c>
      <c r="AD165" s="61" t="n">
        <f aca="false">IF(K165="y",Z165,0)</f>
        <v>0</v>
      </c>
      <c r="AE165" s="61" t="n">
        <f aca="false">IF($K165="",Z165,0)+IF($K165="n",Z165,0)</f>
        <v>0</v>
      </c>
      <c r="AF165" s="62" t="n">
        <f aca="false">IF($K165="y",AC165,0)</f>
        <v>0</v>
      </c>
      <c r="AG165" s="62" t="n">
        <f aca="false">IF($K165="",AC165,0)+IF($K165="n",AC165,0)</f>
        <v>182666</v>
      </c>
      <c r="AH165" s="8" t="n">
        <v>0</v>
      </c>
      <c r="AI165" s="8" t="n">
        <v>0</v>
      </c>
      <c r="AJ165" s="4"/>
      <c r="AK165" s="4"/>
      <c r="AL165" s="9"/>
      <c r="AM165" s="9"/>
    </row>
    <row r="166" customFormat="false" ht="12.75" hidden="false" customHeight="false" outlineLevel="0" collapsed="false">
      <c r="A166" s="2"/>
      <c r="B166" s="2" t="s">
        <v>44</v>
      </c>
      <c r="C166" s="2" t="n">
        <v>2743</v>
      </c>
      <c r="D166" s="64" t="s">
        <v>432</v>
      </c>
      <c r="E166" s="4" t="s">
        <v>433</v>
      </c>
      <c r="F166" s="4" t="s">
        <v>47</v>
      </c>
      <c r="G166" s="4" t="s">
        <v>44</v>
      </c>
      <c r="H166" s="4" t="n">
        <v>1983</v>
      </c>
      <c r="I166" s="4"/>
      <c r="J166" s="4" t="s">
        <v>48</v>
      </c>
      <c r="K166" s="5" t="s">
        <v>44</v>
      </c>
      <c r="L166" s="58" t="s">
        <v>434</v>
      </c>
      <c r="M166" s="7" t="n">
        <v>106</v>
      </c>
      <c r="N166" s="59" t="n">
        <v>0.909</v>
      </c>
      <c r="O166" s="59" t="n">
        <v>0.912</v>
      </c>
      <c r="P166" s="59" t="n">
        <v>0.949</v>
      </c>
      <c r="Q166" s="59" t="n">
        <v>0.928</v>
      </c>
      <c r="R166" s="8" t="n">
        <v>748702</v>
      </c>
      <c r="S166" s="8" t="n">
        <v>664092</v>
      </c>
      <c r="T166" s="8" t="n">
        <f aca="false">IF(J166="regional",IF(R166&gt;0,R166*0.2975,S166*0.3484),S166*0.1939)</f>
        <v>222738.845</v>
      </c>
      <c r="U166" s="8" t="n">
        <v>445389</v>
      </c>
      <c r="V166" s="8" t="n">
        <f aca="false">S166-U166</f>
        <v>218703</v>
      </c>
      <c r="W166" s="8" t="n">
        <v>3270</v>
      </c>
      <c r="X166" s="60" t="n">
        <f aca="false">Y166+Z166</f>
        <v>677872.845</v>
      </c>
      <c r="Y166" s="8" t="n">
        <f aca="false">IF(B166="y",T166,0)</f>
        <v>222738.845</v>
      </c>
      <c r="Z166" s="8" t="n">
        <v>455134</v>
      </c>
      <c r="AA166" s="8" t="n">
        <f aca="false">AB166+AC166</f>
        <v>208958</v>
      </c>
      <c r="AB166" s="8" t="n">
        <f aca="false">IF(B166="y",0,T166)</f>
        <v>0</v>
      </c>
      <c r="AC166" s="8" t="n">
        <f aca="false">S166-Z166</f>
        <v>208958</v>
      </c>
      <c r="AD166" s="61" t="n">
        <f aca="false">IF(K166="y",Z166,0)</f>
        <v>455134</v>
      </c>
      <c r="AE166" s="61" t="n">
        <f aca="false">IF($K166="",Z166,0)+IF($K166="n",Z166,0)</f>
        <v>0</v>
      </c>
      <c r="AF166" s="62" t="n">
        <f aca="false">IF($K166="y",AC166,0)</f>
        <v>208958</v>
      </c>
      <c r="AG166" s="62" t="n">
        <f aca="false">IF($K166="",AC166,0)+IF($K166="n",AC166,0)</f>
        <v>0</v>
      </c>
      <c r="AH166" s="8" t="n">
        <v>326000</v>
      </c>
      <c r="AI166" s="8" t="n">
        <v>281000</v>
      </c>
      <c r="AJ166" s="1" t="s">
        <v>51</v>
      </c>
      <c r="AK166" s="63" t="n">
        <v>861468</v>
      </c>
      <c r="AL166" s="9"/>
      <c r="AM166" s="9"/>
    </row>
    <row r="167" customFormat="false" ht="12.75" hidden="false" customHeight="false" outlineLevel="0" collapsed="false">
      <c r="A167" s="2" t="s">
        <v>44</v>
      </c>
      <c r="B167" s="2"/>
      <c r="C167" s="2" t="n">
        <v>4668</v>
      </c>
      <c r="D167" s="4" t="s">
        <v>435</v>
      </c>
      <c r="E167" s="4" t="s">
        <v>436</v>
      </c>
      <c r="F167" s="4" t="s">
        <v>311</v>
      </c>
      <c r="G167" s="4" t="s">
        <v>44</v>
      </c>
      <c r="H167" s="4" t="n">
        <v>1997</v>
      </c>
      <c r="I167" s="4"/>
      <c r="J167" s="4" t="s">
        <v>48</v>
      </c>
      <c r="K167" s="5" t="s">
        <v>49</v>
      </c>
      <c r="L167" s="58" t="s">
        <v>437</v>
      </c>
      <c r="M167" s="7" t="n">
        <v>76</v>
      </c>
      <c r="N167" s="59" t="n">
        <v>0.821</v>
      </c>
      <c r="O167" s="59" t="n">
        <v>0.847</v>
      </c>
      <c r="P167" s="59" t="n">
        <v>0.9</v>
      </c>
      <c r="Q167" s="59" t="n">
        <v>0.952</v>
      </c>
      <c r="R167" s="8" t="n">
        <v>877189</v>
      </c>
      <c r="S167" s="8" t="n">
        <v>721715</v>
      </c>
      <c r="T167" s="8" t="n">
        <f aca="false">IF(J167="regional",IF(R167&gt;0,R167*0.2975,S167*0.3484),S167*0.1939)</f>
        <v>260963.7275</v>
      </c>
      <c r="U167" s="8" t="n">
        <v>535500</v>
      </c>
      <c r="V167" s="8" t="n">
        <f aca="false">S167-U167</f>
        <v>186215</v>
      </c>
      <c r="W167" s="8" t="n">
        <v>2000</v>
      </c>
      <c r="X167" s="60" t="n">
        <f aca="false">Y167+Z167</f>
        <v>0</v>
      </c>
      <c r="Y167" s="8" t="n">
        <f aca="false">IF(B167="y",T167,0)</f>
        <v>0</v>
      </c>
      <c r="Z167" s="8"/>
      <c r="AA167" s="8" t="n">
        <f aca="false">AB167+AC167</f>
        <v>982678.7275</v>
      </c>
      <c r="AB167" s="8" t="n">
        <f aca="false">IF(B167="y",0,T167)</f>
        <v>260963.7275</v>
      </c>
      <c r="AC167" s="8" t="n">
        <f aca="false">S167-Z167</f>
        <v>721715</v>
      </c>
      <c r="AD167" s="61" t="n">
        <f aca="false">IF(K167="y",Z167,0)</f>
        <v>0</v>
      </c>
      <c r="AE167" s="61" t="n">
        <f aca="false">IF($K167="",Z167,0)+IF($K167="n",Z167,0)</f>
        <v>0</v>
      </c>
      <c r="AF167" s="62" t="n">
        <f aca="false">IF($K167="y",AC167,0)</f>
        <v>0</v>
      </c>
      <c r="AG167" s="62" t="n">
        <f aca="false">IF($K167="",AC167,0)+IF($K167="n",AC167,0)</f>
        <v>721715</v>
      </c>
      <c r="AH167" s="8" t="n">
        <v>0</v>
      </c>
      <c r="AI167" s="8" t="n">
        <v>0</v>
      </c>
      <c r="AJ167" s="1" t="s">
        <v>51</v>
      </c>
      <c r="AK167" s="63" t="n">
        <v>747373</v>
      </c>
      <c r="AL167" s="9"/>
      <c r="AM167" s="9"/>
    </row>
    <row r="168" customFormat="false" ht="12.75" hidden="false" customHeight="false" outlineLevel="0" collapsed="false">
      <c r="A168" s="2"/>
      <c r="B168" s="2" t="s">
        <v>44</v>
      </c>
      <c r="C168" s="2" t="n">
        <v>2905</v>
      </c>
      <c r="D168" s="4" t="s">
        <v>438</v>
      </c>
      <c r="E168" s="4"/>
      <c r="F168" s="4"/>
      <c r="G168" s="4" t="s">
        <v>49</v>
      </c>
      <c r="H168" s="4"/>
      <c r="I168" s="4"/>
      <c r="J168" s="4"/>
      <c r="K168" s="5"/>
      <c r="L168" s="58"/>
      <c r="M168" s="7"/>
      <c r="N168" s="59"/>
      <c r="O168" s="59"/>
      <c r="P168" s="59"/>
      <c r="Q168" s="59"/>
      <c r="R168" s="8"/>
      <c r="S168" s="8"/>
      <c r="T168" s="8"/>
      <c r="U168" s="8"/>
      <c r="V168" s="8"/>
      <c r="W168" s="8"/>
      <c r="X168" s="60"/>
      <c r="Y168" s="8"/>
      <c r="Z168" s="8"/>
      <c r="AA168" s="8"/>
      <c r="AB168" s="8"/>
      <c r="AC168" s="8"/>
      <c r="AD168" s="61"/>
      <c r="AE168" s="61"/>
      <c r="AF168" s="62"/>
      <c r="AG168" s="62"/>
      <c r="AH168" s="8" t="n">
        <v>308000</v>
      </c>
      <c r="AI168" s="8" t="n">
        <v>314000</v>
      </c>
      <c r="AJ168" s="1" t="s">
        <v>51</v>
      </c>
      <c r="AK168" s="63" t="n">
        <v>144386</v>
      </c>
      <c r="AL168" s="9"/>
      <c r="AM168" s="9"/>
    </row>
    <row r="169" customFormat="false" ht="12.75" hidden="false" customHeight="false" outlineLevel="0" collapsed="false">
      <c r="A169" s="2" t="s">
        <v>44</v>
      </c>
      <c r="B169" s="2"/>
      <c r="C169" s="2" t="n">
        <v>4832</v>
      </c>
      <c r="D169" s="65" t="s">
        <v>439</v>
      </c>
      <c r="E169" s="65" t="s">
        <v>440</v>
      </c>
      <c r="F169" s="4" t="s">
        <v>89</v>
      </c>
      <c r="G169" s="4" t="s">
        <v>44</v>
      </c>
      <c r="H169" s="4" t="n">
        <v>1976</v>
      </c>
      <c r="I169" s="4"/>
      <c r="J169" s="4" t="s">
        <v>48</v>
      </c>
      <c r="K169" s="5" t="s">
        <v>49</v>
      </c>
      <c r="L169" s="58" t="s">
        <v>345</v>
      </c>
      <c r="M169" s="7" t="n">
        <v>113</v>
      </c>
      <c r="N169" s="59" t="n">
        <v>0.971</v>
      </c>
      <c r="O169" s="59" t="n">
        <v>0.96</v>
      </c>
      <c r="P169" s="59" t="n">
        <v>0.925</v>
      </c>
      <c r="Q169" s="59" t="n">
        <v>0.952</v>
      </c>
      <c r="R169" s="8" t="n">
        <v>999838</v>
      </c>
      <c r="S169" s="8" t="n">
        <v>870000</v>
      </c>
      <c r="T169" s="8" t="n">
        <f aca="false">IF(J169="regional",IF(R169&gt;0,R169*0.2975,S169*0.3484),S169*0.1939)</f>
        <v>297451.805</v>
      </c>
      <c r="U169" s="8" t="n">
        <v>596500</v>
      </c>
      <c r="V169" s="8" t="n">
        <f aca="false">S169-U169</f>
        <v>273500</v>
      </c>
      <c r="W169" s="8" t="n">
        <v>4700</v>
      </c>
      <c r="X169" s="60" t="n">
        <f aca="false">Y169+Z169</f>
        <v>0</v>
      </c>
      <c r="Y169" s="8" t="n">
        <f aca="false">IF(B169="y",T169,0)</f>
        <v>0</v>
      </c>
      <c r="Z169" s="8"/>
      <c r="AA169" s="8" t="n">
        <f aca="false">AB169+AC169</f>
        <v>1167451.805</v>
      </c>
      <c r="AB169" s="8" t="n">
        <f aca="false">IF(B169="y",0,T169)</f>
        <v>297451.805</v>
      </c>
      <c r="AC169" s="8" t="n">
        <f aca="false">S169-Z169</f>
        <v>870000</v>
      </c>
      <c r="AD169" s="61" t="n">
        <f aca="false">IF(K169="y",Z169,0)</f>
        <v>0</v>
      </c>
      <c r="AE169" s="61" t="n">
        <f aca="false">IF($K169="",Z169,0)+IF($K169="n",Z169,0)</f>
        <v>0</v>
      </c>
      <c r="AF169" s="62" t="n">
        <f aca="false">IF($K169="y",AC169,0)</f>
        <v>0</v>
      </c>
      <c r="AG169" s="62" t="n">
        <f aca="false">IF($K169="",AC169,0)+IF($K169="n",AC169,0)</f>
        <v>870000</v>
      </c>
      <c r="AH169" s="8" t="n">
        <v>0</v>
      </c>
      <c r="AI169" s="8" t="n">
        <v>0</v>
      </c>
      <c r="AJ169" s="1" t="s">
        <v>91</v>
      </c>
      <c r="AK169" s="63" t="n">
        <v>26383</v>
      </c>
      <c r="AL169" s="9"/>
      <c r="AM169" s="9"/>
    </row>
    <row r="170" customFormat="false" ht="12.75" hidden="false" customHeight="false" outlineLevel="0" collapsed="false">
      <c r="A170" s="2" t="s">
        <v>44</v>
      </c>
      <c r="B170" s="2"/>
      <c r="C170" s="2" t="n">
        <v>1625</v>
      </c>
      <c r="D170" s="66" t="s">
        <v>441</v>
      </c>
      <c r="E170" s="4" t="s">
        <v>442</v>
      </c>
      <c r="F170" s="4" t="s">
        <v>47</v>
      </c>
      <c r="G170" s="4" t="s">
        <v>49</v>
      </c>
      <c r="H170" s="4" t="n">
        <v>1988</v>
      </c>
      <c r="I170" s="4"/>
      <c r="J170" s="4" t="s">
        <v>405</v>
      </c>
      <c r="K170" s="5"/>
      <c r="L170" s="58"/>
      <c r="M170" s="7"/>
      <c r="R170" s="8"/>
      <c r="S170" s="8" t="n">
        <v>496058</v>
      </c>
      <c r="T170" s="8" t="n">
        <f aca="false">IF(J170="regional",IF(R170&gt;0,R170*0.2975,S170*0.3484),S170*0.1939)</f>
        <v>96185.6462</v>
      </c>
      <c r="U170" s="8"/>
      <c r="V170" s="8" t="n">
        <f aca="false">S170-U170</f>
        <v>496058</v>
      </c>
      <c r="W170" s="8"/>
      <c r="X170" s="60" t="n">
        <f aca="false">Y170+Z170</f>
        <v>0</v>
      </c>
      <c r="Y170" s="8" t="n">
        <f aca="false">IF(B170="y",T170,0)</f>
        <v>0</v>
      </c>
      <c r="Z170" s="8"/>
      <c r="AA170" s="8" t="n">
        <f aca="false">AB170+AC170</f>
        <v>592243.6462</v>
      </c>
      <c r="AB170" s="8" t="n">
        <f aca="false">IF(B170="y",0,T170)</f>
        <v>96185.6462</v>
      </c>
      <c r="AC170" s="8" t="n">
        <f aca="false">S170-Z170</f>
        <v>496058</v>
      </c>
      <c r="AD170" s="61" t="n">
        <f aca="false">IF(K170="y",Z170,0)</f>
        <v>0</v>
      </c>
      <c r="AE170" s="61" t="n">
        <f aca="false">IF($K170="",Z170,0)+IF($K170="n",Z170,0)</f>
        <v>0</v>
      </c>
      <c r="AF170" s="62" t="n">
        <f aca="false">IF($K170="y",AC170,0)</f>
        <v>0</v>
      </c>
      <c r="AG170" s="62" t="n">
        <f aca="false">IF($K170="",AC170,0)+IF($K170="n",AC170,0)</f>
        <v>496058</v>
      </c>
      <c r="AH170" s="8" t="n">
        <v>0</v>
      </c>
      <c r="AI170" s="8" t="n">
        <v>0</v>
      </c>
      <c r="AJ170" s="66"/>
      <c r="AK170" s="66"/>
      <c r="AL170" s="9"/>
      <c r="AM170" s="9"/>
    </row>
    <row r="171" customFormat="false" ht="12.75" hidden="false" customHeight="false" outlineLevel="0" collapsed="false">
      <c r="A171" s="2" t="s">
        <v>44</v>
      </c>
      <c r="B171" s="2"/>
      <c r="C171" s="2" t="n">
        <v>2924</v>
      </c>
      <c r="D171" s="4" t="s">
        <v>443</v>
      </c>
      <c r="E171" s="4" t="s">
        <v>74</v>
      </c>
      <c r="F171" s="4" t="s">
        <v>75</v>
      </c>
      <c r="G171" s="4" t="s">
        <v>44</v>
      </c>
      <c r="H171" s="4" t="n">
        <v>1994</v>
      </c>
      <c r="I171" s="4"/>
      <c r="J171" s="4" t="s">
        <v>48</v>
      </c>
      <c r="K171" s="5" t="s">
        <v>49</v>
      </c>
      <c r="L171" s="58" t="s">
        <v>444</v>
      </c>
      <c r="M171" s="7" t="n">
        <v>100</v>
      </c>
      <c r="N171" s="59" t="n">
        <v>0.936</v>
      </c>
      <c r="O171" s="59" t="n">
        <v>0.946</v>
      </c>
      <c r="P171" s="59" t="n">
        <v>0.909</v>
      </c>
      <c r="Q171" s="59" t="n">
        <v>0.902</v>
      </c>
      <c r="R171" s="8" t="n">
        <v>1132074</v>
      </c>
      <c r="S171" s="8" t="n">
        <v>915836</v>
      </c>
      <c r="T171" s="8" t="n">
        <f aca="false">IF(J171="regional",IF(R171&gt;0,R171*0.2975,S171*0.3484),S171*0.1939)</f>
        <v>336792.015</v>
      </c>
      <c r="U171" s="8" t="n">
        <v>534180</v>
      </c>
      <c r="V171" s="8" t="n">
        <f aca="false">S171-U171</f>
        <v>381656</v>
      </c>
      <c r="W171" s="8" t="n">
        <v>4280</v>
      </c>
      <c r="X171" s="60" t="n">
        <f aca="false">Y171+Z171</f>
        <v>0</v>
      </c>
      <c r="Y171" s="8" t="n">
        <f aca="false">IF(B171="y",T171,0)</f>
        <v>0</v>
      </c>
      <c r="Z171" s="8"/>
      <c r="AA171" s="8" t="n">
        <f aca="false">AB171+AC171</f>
        <v>1252628.015</v>
      </c>
      <c r="AB171" s="8" t="n">
        <f aca="false">IF(B171="y",0,T171)</f>
        <v>336792.015</v>
      </c>
      <c r="AC171" s="8" t="n">
        <f aca="false">S171-Z171</f>
        <v>915836</v>
      </c>
      <c r="AD171" s="61" t="n">
        <f aca="false">IF(K171="y",Z171,0)</f>
        <v>0</v>
      </c>
      <c r="AE171" s="61" t="n">
        <f aca="false">IF($K171="",Z171,0)+IF($K171="n",Z171,0)</f>
        <v>0</v>
      </c>
      <c r="AF171" s="62" t="n">
        <f aca="false">IF($K171="y",AC171,0)</f>
        <v>0</v>
      </c>
      <c r="AG171" s="62" t="n">
        <f aca="false">IF($K171="",AC171,0)+IF($K171="n",AC171,0)</f>
        <v>915836</v>
      </c>
      <c r="AH171" s="8" t="n">
        <v>0</v>
      </c>
      <c r="AI171" s="8" t="n">
        <v>0</v>
      </c>
      <c r="AJ171" s="1" t="s">
        <v>51</v>
      </c>
      <c r="AK171" s="63" t="n">
        <v>694800</v>
      </c>
      <c r="AL171" s="9"/>
      <c r="AM171" s="9"/>
    </row>
    <row r="172" customFormat="false" ht="12.75" hidden="false" customHeight="false" outlineLevel="0" collapsed="false">
      <c r="A172" s="2"/>
      <c r="B172" s="2" t="s">
        <v>44</v>
      </c>
      <c r="C172" s="2" t="n">
        <v>4670</v>
      </c>
      <c r="D172" s="4" t="s">
        <v>445</v>
      </c>
      <c r="E172" s="4" t="s">
        <v>323</v>
      </c>
      <c r="F172" s="4" t="s">
        <v>47</v>
      </c>
      <c r="G172" s="4" t="s">
        <v>44</v>
      </c>
      <c r="H172" s="4" t="n">
        <v>1997</v>
      </c>
      <c r="I172" s="4"/>
      <c r="J172" s="4" t="s">
        <v>48</v>
      </c>
      <c r="K172" s="5" t="s">
        <v>49</v>
      </c>
      <c r="L172" s="58" t="s">
        <v>98</v>
      </c>
      <c r="M172" s="7" t="n">
        <v>155</v>
      </c>
      <c r="N172" s="59" t="n">
        <v>0.911</v>
      </c>
      <c r="O172" s="59" t="n">
        <v>0.917</v>
      </c>
      <c r="P172" s="59" t="n">
        <v>0.963</v>
      </c>
      <c r="Q172" s="59" t="n">
        <v>0.952</v>
      </c>
      <c r="R172" s="8" t="n">
        <v>1456971</v>
      </c>
      <c r="S172" s="8" t="n">
        <v>1201464</v>
      </c>
      <c r="T172" s="8" t="n">
        <f aca="false">IF(J172="regional",IF(R172&gt;0,R172*0.2975,S172*0.3484),S172*0.1939)</f>
        <v>433448.8725</v>
      </c>
      <c r="U172" s="8" t="n">
        <v>735737</v>
      </c>
      <c r="V172" s="8" t="n">
        <f aca="false">S172-U172</f>
        <v>465727</v>
      </c>
      <c r="W172" s="8" t="n">
        <v>6800</v>
      </c>
      <c r="X172" s="60" t="n">
        <f aca="false">Y172+Z172</f>
        <v>995448.8725</v>
      </c>
      <c r="Y172" s="8" t="n">
        <f aca="false">IF(B172="y",T172,0)</f>
        <v>433448.8725</v>
      </c>
      <c r="Z172" s="8" t="n">
        <v>562000</v>
      </c>
      <c r="AA172" s="8" t="n">
        <f aca="false">AB172+AC172</f>
        <v>639464</v>
      </c>
      <c r="AB172" s="8" t="n">
        <f aca="false">IF(B172="y",0,T172)</f>
        <v>0</v>
      </c>
      <c r="AC172" s="8" t="n">
        <f aca="false">S172-Z172</f>
        <v>639464</v>
      </c>
      <c r="AD172" s="61" t="n">
        <f aca="false">IF(K172="y",Z172,0)</f>
        <v>0</v>
      </c>
      <c r="AE172" s="61" t="n">
        <f aca="false">IF($K172="",Z172,0)+IF($K172="n",Z172,0)</f>
        <v>562000</v>
      </c>
      <c r="AF172" s="62" t="n">
        <f aca="false">IF($K172="y",AC172,0)</f>
        <v>0</v>
      </c>
      <c r="AG172" s="62" t="n">
        <f aca="false">IF($K172="",AC172,0)+IF($K172="n",AC172,0)</f>
        <v>639464</v>
      </c>
      <c r="AH172" s="8" t="n">
        <v>0</v>
      </c>
      <c r="AI172" s="8" t="n">
        <v>0</v>
      </c>
      <c r="AJ172" s="4"/>
      <c r="AK172" s="4"/>
      <c r="AL172" s="9"/>
      <c r="AM172" s="9"/>
    </row>
    <row r="173" customFormat="false" ht="12.75" hidden="false" customHeight="false" outlineLevel="0" collapsed="false">
      <c r="A173" s="2" t="s">
        <v>44</v>
      </c>
      <c r="B173" s="2"/>
      <c r="C173" s="2" t="n">
        <v>4508</v>
      </c>
      <c r="D173" s="4" t="s">
        <v>446</v>
      </c>
      <c r="E173" s="4" t="s">
        <v>249</v>
      </c>
      <c r="F173" s="4" t="s">
        <v>75</v>
      </c>
      <c r="G173" s="4" t="s">
        <v>44</v>
      </c>
      <c r="H173" s="4" t="n">
        <v>1980</v>
      </c>
      <c r="I173" s="4"/>
      <c r="J173" s="4" t="s">
        <v>48</v>
      </c>
      <c r="K173" s="5"/>
      <c r="L173" s="6" t="s">
        <v>250</v>
      </c>
      <c r="M173" s="7" t="n">
        <v>91</v>
      </c>
      <c r="N173" s="59" t="n">
        <v>0.979</v>
      </c>
      <c r="O173" s="59" t="n">
        <v>0.988</v>
      </c>
      <c r="P173" s="59" t="n">
        <v>1</v>
      </c>
      <c r="Q173" s="59" t="n">
        <v>0.964</v>
      </c>
      <c r="R173" s="8" t="n">
        <v>661436</v>
      </c>
      <c r="S173" s="8" t="n">
        <v>560032</v>
      </c>
      <c r="T173" s="8" t="n">
        <f aca="false">IF(J173="regional",IF(R173&gt;0,R173*0.2975,S173*0.3484),S173*0.1939)</f>
        <v>196777.21</v>
      </c>
      <c r="U173" s="8" t="n">
        <v>387378</v>
      </c>
      <c r="V173" s="8" t="n">
        <f aca="false">S173-U173</f>
        <v>172654</v>
      </c>
      <c r="W173" s="8" t="n">
        <v>3045</v>
      </c>
      <c r="X173" s="60" t="n">
        <f aca="false">Y173+Z173</f>
        <v>0</v>
      </c>
      <c r="Y173" s="8" t="n">
        <f aca="false">IF(B173="y",T173,0)</f>
        <v>0</v>
      </c>
      <c r="Z173" s="9"/>
      <c r="AA173" s="8" t="n">
        <f aca="false">AB173+AC173</f>
        <v>756809.21</v>
      </c>
      <c r="AB173" s="8" t="n">
        <f aca="false">IF(B173="y",0,T173)</f>
        <v>196777.21</v>
      </c>
      <c r="AC173" s="8" t="n">
        <f aca="false">S173-Z173</f>
        <v>560032</v>
      </c>
      <c r="AD173" s="61" t="n">
        <f aca="false">IF(K173="y",Z173,0)</f>
        <v>0</v>
      </c>
      <c r="AE173" s="61" t="n">
        <f aca="false">IF($K173="",Z173,0)+IF($K173="n",Z173,0)</f>
        <v>0</v>
      </c>
      <c r="AF173" s="62" t="n">
        <f aca="false">IF($K173="y",AC173,0)</f>
        <v>0</v>
      </c>
      <c r="AG173" s="62" t="n">
        <f aca="false">IF($K173="",AC173,0)+IF($K173="n",AC173,0)</f>
        <v>560032</v>
      </c>
      <c r="AH173" s="8" t="n">
        <v>0</v>
      </c>
      <c r="AI173" s="8" t="n">
        <v>0</v>
      </c>
      <c r="AJ173" s="4"/>
      <c r="AK173" s="4"/>
      <c r="AL173" s="9"/>
      <c r="AM173" s="9"/>
    </row>
    <row r="174" customFormat="false" ht="12.75" hidden="false" customHeight="false" outlineLevel="0" collapsed="false">
      <c r="A174" s="2" t="s">
        <v>44</v>
      </c>
      <c r="B174" s="2"/>
      <c r="C174" s="2" t="n">
        <v>9363</v>
      </c>
      <c r="D174" s="4" t="s">
        <v>447</v>
      </c>
      <c r="E174" s="4" t="s">
        <v>448</v>
      </c>
      <c r="F174" s="4" t="s">
        <v>75</v>
      </c>
      <c r="G174" s="4" t="s">
        <v>49</v>
      </c>
      <c r="H174" s="4" t="n">
        <v>1967</v>
      </c>
      <c r="I174" s="4"/>
      <c r="J174" s="4" t="s">
        <v>48</v>
      </c>
      <c r="K174" s="5" t="s">
        <v>49</v>
      </c>
      <c r="L174" s="58" t="s">
        <v>449</v>
      </c>
      <c r="M174" s="7" t="n">
        <v>135</v>
      </c>
      <c r="N174" s="59" t="n">
        <v>0.938</v>
      </c>
      <c r="O174" s="59" t="n">
        <v>0.938</v>
      </c>
      <c r="P174" s="59" t="n">
        <v>0.907</v>
      </c>
      <c r="Q174" s="59" t="n">
        <v>0.915</v>
      </c>
      <c r="R174" s="8" t="n">
        <v>1280382</v>
      </c>
      <c r="S174" s="8" t="n">
        <v>1263212</v>
      </c>
      <c r="T174" s="8" t="n">
        <f aca="false">IF(J174="regional",IF(R174&gt;0,R174*0.2975,S174*0.3484),S174*0.1939)</f>
        <v>380913.645</v>
      </c>
      <c r="U174" s="8" t="n">
        <v>904288</v>
      </c>
      <c r="V174" s="8" t="n">
        <f aca="false">S174-U174</f>
        <v>358924</v>
      </c>
      <c r="W174" s="8" t="n">
        <v>3168</v>
      </c>
      <c r="X174" s="60" t="n">
        <f aca="false">Y174+Z174</f>
        <v>0</v>
      </c>
      <c r="Y174" s="8" t="n">
        <f aca="false">IF(B174="y",T174,0)</f>
        <v>0</v>
      </c>
      <c r="Z174" s="8"/>
      <c r="AA174" s="8" t="n">
        <f aca="false">AB174+AC174</f>
        <v>1644125.645</v>
      </c>
      <c r="AB174" s="8" t="n">
        <f aca="false">IF(B174="y",0,T174)</f>
        <v>380913.645</v>
      </c>
      <c r="AC174" s="8" t="n">
        <f aca="false">S174-Z174</f>
        <v>1263212</v>
      </c>
      <c r="AD174" s="61" t="n">
        <f aca="false">IF(K174="y",Z174,0)</f>
        <v>0</v>
      </c>
      <c r="AE174" s="61" t="n">
        <f aca="false">IF($K174="",Z174,0)+IF($K174="n",Z174,0)</f>
        <v>0</v>
      </c>
      <c r="AF174" s="62" t="n">
        <f aca="false">IF($K174="y",AC174,0)</f>
        <v>0</v>
      </c>
      <c r="AG174" s="62" t="n">
        <f aca="false">IF($K174="",AC174,0)+IF($K174="n",AC174,0)</f>
        <v>1263212</v>
      </c>
      <c r="AH174" s="8" t="n">
        <v>0</v>
      </c>
      <c r="AI174" s="8" t="n">
        <v>0</v>
      </c>
      <c r="AJ174" s="1" t="s">
        <v>51</v>
      </c>
      <c r="AK174" s="63" t="n">
        <v>1024041</v>
      </c>
      <c r="AL174" s="9"/>
      <c r="AM174" s="9"/>
    </row>
    <row r="175" customFormat="false" ht="12.75" hidden="false" customHeight="false" outlineLevel="0" collapsed="false">
      <c r="A175" s="2" t="s">
        <v>44</v>
      </c>
      <c r="B175" s="2"/>
      <c r="C175" s="2" t="n">
        <v>1536</v>
      </c>
      <c r="D175" s="4" t="s">
        <v>450</v>
      </c>
      <c r="E175" s="4" t="s">
        <v>451</v>
      </c>
      <c r="F175" s="4" t="s">
        <v>452</v>
      </c>
      <c r="G175" s="4" t="s">
        <v>44</v>
      </c>
      <c r="H175" s="4" t="n">
        <v>1968</v>
      </c>
      <c r="I175" s="4"/>
      <c r="J175" s="4" t="s">
        <v>62</v>
      </c>
      <c r="K175" s="5"/>
      <c r="L175" s="58" t="s">
        <v>453</v>
      </c>
      <c r="M175" s="7" t="n">
        <v>4</v>
      </c>
      <c r="N175" s="59" t="n">
        <v>1</v>
      </c>
      <c r="O175" s="59" t="n">
        <v>1</v>
      </c>
      <c r="P175" s="59" t="n">
        <v>1</v>
      </c>
      <c r="Q175" s="59" t="n">
        <v>1</v>
      </c>
      <c r="R175" s="8"/>
      <c r="S175" s="8" t="n">
        <v>111101</v>
      </c>
      <c r="T175" s="8" t="n">
        <f aca="false">IF(J175="regional",IF(R175&gt;0,R175*0.2975,S175*0.3484),S175*0.1939)</f>
        <v>21542.4839</v>
      </c>
      <c r="U175" s="8" t="n">
        <v>82398</v>
      </c>
      <c r="V175" s="8" t="n">
        <f aca="false">S175-U175</f>
        <v>28703</v>
      </c>
      <c r="W175" s="8" t="n">
        <v>752</v>
      </c>
      <c r="X175" s="60" t="n">
        <f aca="false">Y175+Z175</f>
        <v>0</v>
      </c>
      <c r="Y175" s="8" t="n">
        <f aca="false">IF(B175="y",T175,0)</f>
        <v>0</v>
      </c>
      <c r="Z175" s="8"/>
      <c r="AA175" s="8" t="n">
        <f aca="false">AB175+AC175</f>
        <v>132643.4839</v>
      </c>
      <c r="AB175" s="8" t="n">
        <f aca="false">IF(B175="y",0,T175)</f>
        <v>21542.4839</v>
      </c>
      <c r="AC175" s="8" t="n">
        <f aca="false">S175-Z175</f>
        <v>111101</v>
      </c>
      <c r="AD175" s="61" t="n">
        <f aca="false">IF(K175="y",Z175,0)</f>
        <v>0</v>
      </c>
      <c r="AE175" s="61" t="n">
        <f aca="false">IF($K175="",Z175,0)+IF($K175="n",Z175,0)</f>
        <v>0</v>
      </c>
      <c r="AF175" s="62" t="n">
        <f aca="false">IF($K175="y",AC175,0)</f>
        <v>0</v>
      </c>
      <c r="AG175" s="62" t="n">
        <f aca="false">IF($K175="",AC175,0)+IF($K175="n",AC175,0)</f>
        <v>111101</v>
      </c>
      <c r="AH175" s="8" t="n">
        <v>0</v>
      </c>
      <c r="AI175" s="8" t="n">
        <v>0</v>
      </c>
      <c r="AJ175" s="4"/>
      <c r="AK175" s="4"/>
      <c r="AL175" s="9"/>
      <c r="AM175" s="9"/>
    </row>
    <row r="176" customFormat="false" ht="12.75" hidden="false" customHeight="false" outlineLevel="0" collapsed="false">
      <c r="A176" s="2"/>
      <c r="B176" s="2" t="s">
        <v>44</v>
      </c>
      <c r="C176" s="2" t="n">
        <v>4834</v>
      </c>
      <c r="D176" s="67" t="s">
        <v>454</v>
      </c>
      <c r="E176" s="65" t="s">
        <v>331</v>
      </c>
      <c r="F176" s="4"/>
      <c r="G176" s="4" t="s">
        <v>44</v>
      </c>
      <c r="H176" s="4" t="n">
        <v>1968</v>
      </c>
      <c r="I176" s="4"/>
      <c r="J176" s="4" t="s">
        <v>48</v>
      </c>
      <c r="K176" s="5" t="s">
        <v>44</v>
      </c>
      <c r="L176" s="58" t="s">
        <v>277</v>
      </c>
      <c r="M176" s="7" t="n">
        <v>110</v>
      </c>
      <c r="N176" s="59" t="n">
        <v>0.864</v>
      </c>
      <c r="O176" s="59" t="n">
        <v>0.867</v>
      </c>
      <c r="P176" s="59" t="n">
        <v>0.925</v>
      </c>
      <c r="Q176" s="59" t="n">
        <v>0.952</v>
      </c>
      <c r="R176" s="8" t="n">
        <v>1008030</v>
      </c>
      <c r="S176" s="8" t="n">
        <v>820000</v>
      </c>
      <c r="T176" s="8" t="n">
        <f aca="false">IF(J176="regional",IF(R176&gt;0,R176*0.2975,S176*0.3484),S176*0.1939)</f>
        <v>299888.925</v>
      </c>
      <c r="U176" s="8" t="n">
        <v>427000</v>
      </c>
      <c r="V176" s="8" t="n">
        <f aca="false">S176-U176</f>
        <v>393000</v>
      </c>
      <c r="W176" s="8" t="n">
        <v>4100</v>
      </c>
      <c r="X176" s="60" t="n">
        <f aca="false">Y176+Z176</f>
        <v>790888.925</v>
      </c>
      <c r="Y176" s="8" t="n">
        <f aca="false">IF(B176="y",T176,0)</f>
        <v>299888.925</v>
      </c>
      <c r="Z176" s="8" t="n">
        <v>491000</v>
      </c>
      <c r="AA176" s="8" t="n">
        <f aca="false">AB176+AC176</f>
        <v>329000</v>
      </c>
      <c r="AB176" s="8" t="n">
        <f aca="false">IF(B176="y",0,T176)</f>
        <v>0</v>
      </c>
      <c r="AC176" s="8" t="n">
        <f aca="false">S176-Z176</f>
        <v>329000</v>
      </c>
      <c r="AD176" s="61" t="n">
        <f aca="false">IF(K176="y",Z176,0)</f>
        <v>491000</v>
      </c>
      <c r="AE176" s="61" t="n">
        <f aca="false">IF($K176="",Z176,0)+IF($K176="n",Z176,0)</f>
        <v>0</v>
      </c>
      <c r="AF176" s="62" t="n">
        <f aca="false">IF($K176="y",AC176,0)</f>
        <v>329000</v>
      </c>
      <c r="AG176" s="62" t="n">
        <f aca="false">IF($K176="",AC176,0)+IF($K176="n",AC176,0)</f>
        <v>0</v>
      </c>
      <c r="AH176" s="8" t="n">
        <v>566000</v>
      </c>
      <c r="AI176" s="8" t="n">
        <v>540000</v>
      </c>
      <c r="AJ176" s="1" t="s">
        <v>51</v>
      </c>
      <c r="AK176" s="63" t="n">
        <v>1512</v>
      </c>
      <c r="AL176" s="9"/>
      <c r="AM176" s="9"/>
    </row>
    <row r="177" customFormat="false" ht="12.75" hidden="false" customHeight="false" outlineLevel="0" collapsed="false">
      <c r="A177" s="2" t="s">
        <v>44</v>
      </c>
      <c r="B177" s="2"/>
      <c r="C177" s="2" t="n">
        <v>728</v>
      </c>
      <c r="D177" s="4" t="s">
        <v>455</v>
      </c>
      <c r="E177" s="4" t="s">
        <v>456</v>
      </c>
      <c r="F177" s="4" t="s">
        <v>457</v>
      </c>
      <c r="G177" s="4" t="s">
        <v>49</v>
      </c>
      <c r="H177" s="4" t="n">
        <v>1993</v>
      </c>
      <c r="I177" s="4"/>
      <c r="J177" s="4" t="s">
        <v>62</v>
      </c>
      <c r="K177" s="5"/>
      <c r="L177" s="58" t="s">
        <v>458</v>
      </c>
      <c r="M177" s="7" t="n">
        <v>25</v>
      </c>
      <c r="N177" s="59" t="n">
        <v>0.933</v>
      </c>
      <c r="O177" s="59" t="n">
        <v>0.941</v>
      </c>
      <c r="P177" s="59" t="n">
        <v>0.656</v>
      </c>
      <c r="Q177" s="59" t="n">
        <v>0.944</v>
      </c>
      <c r="R177" s="8"/>
      <c r="S177" s="8" t="n">
        <v>308434</v>
      </c>
      <c r="T177" s="8" t="n">
        <f aca="false">IF(J177="regional",IF(R177&gt;0,R177*0.2975,S177*0.3484),S177*0.1939)</f>
        <v>59805.3526</v>
      </c>
      <c r="U177" s="8" t="n">
        <v>250749</v>
      </c>
      <c r="V177" s="8" t="n">
        <f aca="false">S177-U177</f>
        <v>57685</v>
      </c>
      <c r="W177" s="8" t="n">
        <v>2854</v>
      </c>
      <c r="X177" s="60" t="n">
        <f aca="false">Y177+Z177</f>
        <v>0</v>
      </c>
      <c r="Y177" s="8" t="n">
        <f aca="false">IF(B177="y",T177,0)</f>
        <v>0</v>
      </c>
      <c r="Z177" s="8"/>
      <c r="AA177" s="8" t="n">
        <f aca="false">AB177+AC177</f>
        <v>368239.3526</v>
      </c>
      <c r="AB177" s="8" t="n">
        <f aca="false">IF(B177="y",0,T177)</f>
        <v>59805.3526</v>
      </c>
      <c r="AC177" s="8" t="n">
        <f aca="false">S177-Z177</f>
        <v>308434</v>
      </c>
      <c r="AD177" s="61" t="n">
        <f aca="false">IF(K177="y",Z177,0)</f>
        <v>0</v>
      </c>
      <c r="AE177" s="61" t="n">
        <f aca="false">IF($K177="",Z177,0)+IF($K177="n",Z177,0)</f>
        <v>0</v>
      </c>
      <c r="AF177" s="62" t="n">
        <f aca="false">IF($K177="y",AC177,0)</f>
        <v>0</v>
      </c>
      <c r="AG177" s="62" t="n">
        <f aca="false">IF($K177="",AC177,0)+IF($K177="n",AC177,0)</f>
        <v>308434</v>
      </c>
      <c r="AH177" s="8" t="n">
        <v>0</v>
      </c>
      <c r="AI177" s="8" t="n">
        <v>0</v>
      </c>
      <c r="AJ177" s="4"/>
      <c r="AK177" s="4"/>
      <c r="AL177" s="9"/>
      <c r="AM177" s="9"/>
    </row>
    <row r="178" customFormat="false" ht="12.75" hidden="false" customHeight="false" outlineLevel="0" collapsed="false">
      <c r="A178" s="2" t="s">
        <v>44</v>
      </c>
      <c r="B178" s="2"/>
      <c r="C178" s="2" t="n">
        <v>9903</v>
      </c>
      <c r="D178" s="4" t="s">
        <v>459</v>
      </c>
      <c r="E178" s="4" t="s">
        <v>460</v>
      </c>
      <c r="F178" s="4" t="s">
        <v>75</v>
      </c>
      <c r="G178" s="4" t="s">
        <v>49</v>
      </c>
      <c r="H178" s="4" t="n">
        <v>1989</v>
      </c>
      <c r="I178" s="4"/>
      <c r="J178" s="4" t="s">
        <v>48</v>
      </c>
      <c r="K178" s="5" t="s">
        <v>49</v>
      </c>
      <c r="L178" s="58" t="s">
        <v>449</v>
      </c>
      <c r="M178" s="7" t="n">
        <v>132</v>
      </c>
      <c r="N178" s="59" t="n">
        <v>0.705</v>
      </c>
      <c r="O178" s="59" t="n">
        <v>0.717</v>
      </c>
      <c r="P178" s="59" t="n">
        <v>0.746</v>
      </c>
      <c r="Q178" s="59" t="n">
        <v>0.736</v>
      </c>
      <c r="R178" s="8" t="n">
        <v>944410</v>
      </c>
      <c r="S178" s="8" t="n">
        <v>782383</v>
      </c>
      <c r="T178" s="8" t="n">
        <f aca="false">IF(J178="regional",IF(R178&gt;0,R178*0.2975,S178*0.3484),S178*0.1939)</f>
        <v>280961.975</v>
      </c>
      <c r="U178" s="8" t="n">
        <v>458554</v>
      </c>
      <c r="V178" s="8" t="n">
        <f aca="false">S178-U178</f>
        <v>323829</v>
      </c>
      <c r="W178" s="8" t="n">
        <v>3671</v>
      </c>
      <c r="X178" s="60" t="n">
        <f aca="false">Y178+Z178</f>
        <v>0</v>
      </c>
      <c r="Y178" s="8" t="n">
        <f aca="false">IF(B178="y",T178,0)</f>
        <v>0</v>
      </c>
      <c r="Z178" s="8"/>
      <c r="AA178" s="8" t="n">
        <f aca="false">AB178+AC178</f>
        <v>1063344.975</v>
      </c>
      <c r="AB178" s="8" t="n">
        <f aca="false">IF(B178="y",0,T178)</f>
        <v>280961.975</v>
      </c>
      <c r="AC178" s="8" t="n">
        <f aca="false">S178-Z178</f>
        <v>782383</v>
      </c>
      <c r="AD178" s="61" t="n">
        <f aca="false">IF(K178="y",Z178,0)</f>
        <v>0</v>
      </c>
      <c r="AE178" s="61" t="n">
        <f aca="false">IF($K178="",Z178,0)+IF($K178="n",Z178,0)</f>
        <v>0</v>
      </c>
      <c r="AF178" s="62" t="n">
        <f aca="false">IF($K178="y",AC178,0)</f>
        <v>0</v>
      </c>
      <c r="AG178" s="62" t="n">
        <f aca="false">IF($K178="",AC178,0)+IF($K178="n",AC178,0)</f>
        <v>782383</v>
      </c>
      <c r="AH178" s="8" t="n">
        <v>0</v>
      </c>
      <c r="AI178" s="8" t="n">
        <v>0</v>
      </c>
      <c r="AJ178" s="1" t="s">
        <v>51</v>
      </c>
      <c r="AK178" s="63" t="n">
        <v>617746</v>
      </c>
      <c r="AL178" s="9"/>
      <c r="AM178" s="9"/>
    </row>
    <row r="179" customFormat="false" ht="12.75" hidden="false" customHeight="false" outlineLevel="0" collapsed="false">
      <c r="A179" s="2" t="s">
        <v>44</v>
      </c>
      <c r="B179" s="2"/>
      <c r="C179" s="2" t="n">
        <v>2318</v>
      </c>
      <c r="D179" s="4" t="s">
        <v>461</v>
      </c>
      <c r="E179" s="4" t="s">
        <v>462</v>
      </c>
      <c r="F179" s="4" t="s">
        <v>404</v>
      </c>
      <c r="G179" s="4" t="s">
        <v>44</v>
      </c>
      <c r="H179" s="4" t="n">
        <v>1972</v>
      </c>
      <c r="I179" s="4"/>
      <c r="J179" s="4" t="s">
        <v>48</v>
      </c>
      <c r="K179" s="5" t="s">
        <v>44</v>
      </c>
      <c r="L179" s="58" t="s">
        <v>406</v>
      </c>
      <c r="M179" s="7" t="n">
        <v>53</v>
      </c>
      <c r="N179" s="59" t="n">
        <v>0.93</v>
      </c>
      <c r="O179" s="59" t="n">
        <v>0.923</v>
      </c>
      <c r="P179" s="59" t="n">
        <v>0.919</v>
      </c>
      <c r="Q179" s="59" t="n">
        <v>0.944</v>
      </c>
      <c r="R179" s="8" t="n">
        <v>804218</v>
      </c>
      <c r="S179" s="8" t="n">
        <v>782000</v>
      </c>
      <c r="T179" s="8" t="n">
        <f aca="false">IF(J179="regional",IF(R179&gt;0,R179*0.2975,S179*0.3484),S179*0.1939)</f>
        <v>239254.855</v>
      </c>
      <c r="U179" s="8" t="n">
        <v>600982</v>
      </c>
      <c r="V179" s="8" t="n">
        <f aca="false">S179-U179</f>
        <v>181018</v>
      </c>
      <c r="W179" s="8" t="n">
        <v>2352</v>
      </c>
      <c r="X179" s="60" t="n">
        <f aca="false">Y179+Z179</f>
        <v>0</v>
      </c>
      <c r="Y179" s="8" t="n">
        <f aca="false">IF(B179="y",T179,0)</f>
        <v>0</v>
      </c>
      <c r="Z179" s="8"/>
      <c r="AA179" s="8" t="n">
        <f aca="false">AB179+AC179</f>
        <v>1021254.855</v>
      </c>
      <c r="AB179" s="8" t="n">
        <f aca="false">IF(B179="y",0,T179)</f>
        <v>239254.855</v>
      </c>
      <c r="AC179" s="8" t="n">
        <f aca="false">S179-Z179</f>
        <v>782000</v>
      </c>
      <c r="AD179" s="61" t="n">
        <f aca="false">IF(K179="y",Z179,0)</f>
        <v>0</v>
      </c>
      <c r="AE179" s="61" t="n">
        <f aca="false">IF($K179="",Z179,0)+IF($K179="n",Z179,0)</f>
        <v>0</v>
      </c>
      <c r="AF179" s="62" t="n">
        <f aca="false">IF($K179="y",AC179,0)</f>
        <v>782000</v>
      </c>
      <c r="AG179" s="62" t="n">
        <f aca="false">IF($K179="",AC179,0)+IF($K179="n",AC179,0)</f>
        <v>0</v>
      </c>
      <c r="AH179" s="8" t="n">
        <v>60000</v>
      </c>
      <c r="AI179" s="8" t="n">
        <v>61000</v>
      </c>
      <c r="AJ179" s="1" t="s">
        <v>51</v>
      </c>
      <c r="AK179" s="63" t="n">
        <v>352425</v>
      </c>
      <c r="AL179" s="9"/>
      <c r="AM179" s="9"/>
    </row>
    <row r="180" customFormat="false" ht="12.75" hidden="false" customHeight="false" outlineLevel="0" collapsed="false">
      <c r="A180" s="2" t="s">
        <v>44</v>
      </c>
      <c r="B180" s="2"/>
      <c r="C180" s="2" t="n">
        <v>9419</v>
      </c>
      <c r="D180" s="4" t="s">
        <v>463</v>
      </c>
      <c r="E180" s="4" t="s">
        <v>436</v>
      </c>
      <c r="F180" s="4" t="s">
        <v>311</v>
      </c>
      <c r="G180" s="4" t="s">
        <v>44</v>
      </c>
      <c r="H180" s="4" t="n">
        <v>1979</v>
      </c>
      <c r="I180" s="4"/>
      <c r="J180" s="4" t="s">
        <v>48</v>
      </c>
      <c r="K180" s="5" t="s">
        <v>49</v>
      </c>
      <c r="L180" s="58" t="s">
        <v>464</v>
      </c>
      <c r="M180" s="7" t="n">
        <v>73</v>
      </c>
      <c r="N180" s="59" t="n">
        <v>0.657</v>
      </c>
      <c r="O180" s="59" t="n">
        <v>0.698</v>
      </c>
      <c r="P180" s="59" t="n">
        <v>0.692</v>
      </c>
      <c r="Q180" s="59" t="n">
        <v>0.68</v>
      </c>
      <c r="R180" s="8" t="n">
        <v>974410</v>
      </c>
      <c r="S180" s="8" t="n">
        <v>904777</v>
      </c>
      <c r="T180" s="8" t="n">
        <f aca="false">IF(J180="regional",IF(R180&gt;0,R180*0.2975,S180*0.3484),S180*0.1939)</f>
        <v>289886.975</v>
      </c>
      <c r="U180" s="8" t="n">
        <v>691230</v>
      </c>
      <c r="V180" s="8" t="n">
        <f aca="false">S180-U180</f>
        <v>213547</v>
      </c>
      <c r="W180" s="8" t="n">
        <v>4584</v>
      </c>
      <c r="X180" s="60" t="n">
        <f aca="false">Y180+Z180</f>
        <v>0</v>
      </c>
      <c r="Y180" s="8" t="n">
        <f aca="false">IF(B180="y",T180,0)</f>
        <v>0</v>
      </c>
      <c r="Z180" s="8"/>
      <c r="AA180" s="8" t="n">
        <f aca="false">AB180+AC180</f>
        <v>1194663.975</v>
      </c>
      <c r="AB180" s="8" t="n">
        <f aca="false">IF(B180="y",0,T180)</f>
        <v>289886.975</v>
      </c>
      <c r="AC180" s="8" t="n">
        <f aca="false">S180-Z180</f>
        <v>904777</v>
      </c>
      <c r="AD180" s="61" t="n">
        <f aca="false">IF(K180="y",Z180,0)</f>
        <v>0</v>
      </c>
      <c r="AE180" s="61" t="n">
        <f aca="false">IF($K180="",Z180,0)+IF($K180="n",Z180,0)</f>
        <v>0</v>
      </c>
      <c r="AF180" s="62" t="n">
        <f aca="false">IF($K180="y",AC180,0)</f>
        <v>0</v>
      </c>
      <c r="AG180" s="62" t="n">
        <f aca="false">IF($K180="",AC180,0)+IF($K180="n",AC180,0)</f>
        <v>904777</v>
      </c>
      <c r="AH180" s="8" t="n">
        <v>0</v>
      </c>
      <c r="AI180" s="8" t="n">
        <v>0</v>
      </c>
      <c r="AJ180" s="1" t="s">
        <v>51</v>
      </c>
      <c r="AK180" s="63" t="n">
        <v>430564</v>
      </c>
      <c r="AL180" s="9"/>
      <c r="AM180" s="9"/>
    </row>
    <row r="181" customFormat="false" ht="12.75" hidden="false" customHeight="false" outlineLevel="0" collapsed="false">
      <c r="A181" s="2" t="s">
        <v>44</v>
      </c>
      <c r="B181" s="2"/>
      <c r="C181" s="2" t="n">
        <v>9421</v>
      </c>
      <c r="D181" s="4" t="s">
        <v>465</v>
      </c>
      <c r="E181" s="4" t="s">
        <v>466</v>
      </c>
      <c r="F181" s="4"/>
      <c r="G181" s="4" t="s">
        <v>44</v>
      </c>
      <c r="H181" s="4" t="n">
        <v>1976</v>
      </c>
      <c r="I181" s="4"/>
      <c r="J181" s="4" t="s">
        <v>48</v>
      </c>
      <c r="K181" s="5"/>
      <c r="L181" s="58" t="s">
        <v>260</v>
      </c>
      <c r="M181" s="7" t="n">
        <v>174</v>
      </c>
      <c r="N181" s="59" t="n">
        <v>0.662</v>
      </c>
      <c r="O181" s="59" t="n">
        <v>0.651</v>
      </c>
      <c r="P181" s="59" t="n">
        <v>0.648</v>
      </c>
      <c r="Q181" s="59" t="n">
        <v>0.649</v>
      </c>
      <c r="R181" s="8" t="n">
        <v>205220</v>
      </c>
      <c r="S181" s="8" t="n">
        <v>1583427</v>
      </c>
      <c r="T181" s="8" t="n">
        <f aca="false">IF(J181="regional",IF(R181&gt;0,R181*0.2975,S181*0.3484),S181*0.1939)</f>
        <v>61052.95</v>
      </c>
      <c r="U181" s="8" t="n">
        <v>1126240</v>
      </c>
      <c r="V181" s="8" t="n">
        <f aca="false">S181-U181</f>
        <v>457187</v>
      </c>
      <c r="W181" s="8" t="n">
        <v>8016</v>
      </c>
      <c r="X181" s="60" t="n">
        <f aca="false">Y181+Z181</f>
        <v>0</v>
      </c>
      <c r="Y181" s="8" t="n">
        <f aca="false">IF(B181="y",T181,0)</f>
        <v>0</v>
      </c>
      <c r="Z181" s="8"/>
      <c r="AA181" s="8" t="n">
        <f aca="false">AB181+AC181</f>
        <v>1644479.95</v>
      </c>
      <c r="AB181" s="8" t="n">
        <f aca="false">IF(B181="y",0,T181)</f>
        <v>61052.95</v>
      </c>
      <c r="AC181" s="8" t="n">
        <f aca="false">S181-Z181</f>
        <v>1583427</v>
      </c>
      <c r="AD181" s="61" t="n">
        <f aca="false">IF(K181="y",Z181,0)</f>
        <v>0</v>
      </c>
      <c r="AE181" s="61" t="n">
        <f aca="false">IF($K181="",Z181,0)+IF($K181="n",Z181,0)</f>
        <v>0</v>
      </c>
      <c r="AF181" s="62" t="n">
        <f aca="false">IF($K181="y",AC181,0)</f>
        <v>0</v>
      </c>
      <c r="AG181" s="62" t="n">
        <f aca="false">IF($K181="",AC181,0)+IF($K181="n",AC181,0)</f>
        <v>1583427</v>
      </c>
      <c r="AH181" s="8" t="n">
        <v>0</v>
      </c>
      <c r="AI181" s="8" t="n">
        <v>0</v>
      </c>
      <c r="AJ181" s="1" t="s">
        <v>51</v>
      </c>
      <c r="AK181" s="63" t="n">
        <v>972717</v>
      </c>
      <c r="AL181" s="9"/>
      <c r="AM181" s="9"/>
    </row>
    <row r="182" customFormat="false" ht="12.75" hidden="false" customHeight="false" outlineLevel="0" collapsed="false">
      <c r="A182" s="2" t="s">
        <v>44</v>
      </c>
      <c r="B182" s="2"/>
      <c r="C182" s="2" t="n">
        <v>3518</v>
      </c>
      <c r="D182" s="4" t="s">
        <v>467</v>
      </c>
      <c r="E182" s="4" t="s">
        <v>468</v>
      </c>
      <c r="F182" s="4" t="s">
        <v>81</v>
      </c>
      <c r="G182" s="4" t="s">
        <v>44</v>
      </c>
      <c r="H182" s="4" t="n">
        <v>1988</v>
      </c>
      <c r="I182" s="4"/>
      <c r="J182" s="4" t="s">
        <v>62</v>
      </c>
      <c r="K182" s="5"/>
      <c r="L182" s="58" t="s">
        <v>50</v>
      </c>
      <c r="M182" s="7" t="n">
        <v>10</v>
      </c>
      <c r="N182" s="59" t="n">
        <v>1</v>
      </c>
      <c r="O182" s="59" t="n">
        <v>1</v>
      </c>
      <c r="P182" s="59" t="n">
        <v>1</v>
      </c>
      <c r="Q182" s="59" t="n">
        <v>1</v>
      </c>
      <c r="R182" s="8"/>
      <c r="S182" s="8" t="n">
        <v>277187</v>
      </c>
      <c r="T182" s="8" t="n">
        <f aca="false">IF(J182="regional",IF(R182&gt;0,R182*0.2975,S182*0.3484),S182*0.1939)</f>
        <v>53746.5593</v>
      </c>
      <c r="U182" s="8" t="n">
        <v>210627</v>
      </c>
      <c r="V182" s="8" t="n">
        <f aca="false">S182-U182</f>
        <v>66560</v>
      </c>
      <c r="W182" s="8" t="n">
        <v>1262</v>
      </c>
      <c r="X182" s="60" t="n">
        <f aca="false">Y182+Z182</f>
        <v>0</v>
      </c>
      <c r="Y182" s="8" t="n">
        <f aca="false">IF(B182="y",T182,0)</f>
        <v>0</v>
      </c>
      <c r="Z182" s="8"/>
      <c r="AA182" s="8" t="n">
        <f aca="false">AB182+AC182</f>
        <v>330933.5593</v>
      </c>
      <c r="AB182" s="8" t="n">
        <f aca="false">IF(B182="y",0,T182)</f>
        <v>53746.5593</v>
      </c>
      <c r="AC182" s="8" t="n">
        <f aca="false">S182-Z182</f>
        <v>277187</v>
      </c>
      <c r="AD182" s="61" t="n">
        <f aca="false">IF(K182="y",Z182,0)</f>
        <v>0</v>
      </c>
      <c r="AE182" s="61" t="n">
        <f aca="false">IF($K182="",Z182,0)+IF($K182="n",Z182,0)</f>
        <v>0</v>
      </c>
      <c r="AF182" s="62" t="n">
        <f aca="false">IF($K182="y",AC182,0)</f>
        <v>0</v>
      </c>
      <c r="AG182" s="62" t="n">
        <f aca="false">IF($K182="",AC182,0)+IF($K182="n",AC182,0)</f>
        <v>277187</v>
      </c>
      <c r="AH182" s="8" t="n">
        <v>0</v>
      </c>
      <c r="AI182" s="8" t="n">
        <v>0</v>
      </c>
      <c r="AJ182" s="1" t="s">
        <v>51</v>
      </c>
      <c r="AK182" s="63" t="n">
        <v>75404</v>
      </c>
      <c r="AL182" s="9"/>
      <c r="AM182" s="9"/>
    </row>
    <row r="183" customFormat="false" ht="12.75" hidden="false" customHeight="false" outlineLevel="0" collapsed="false">
      <c r="A183" s="2" t="s">
        <v>44</v>
      </c>
      <c r="B183" s="2"/>
      <c r="C183" s="2" t="n">
        <v>9555</v>
      </c>
      <c r="D183" s="4" t="s">
        <v>469</v>
      </c>
      <c r="E183" s="4" t="s">
        <v>470</v>
      </c>
      <c r="F183" s="4" t="s">
        <v>54</v>
      </c>
      <c r="G183" s="4" t="s">
        <v>44</v>
      </c>
      <c r="H183" s="4" t="n">
        <v>1977</v>
      </c>
      <c r="I183" s="4"/>
      <c r="J183" s="4" t="s">
        <v>48</v>
      </c>
      <c r="K183" s="5"/>
      <c r="L183" s="58" t="s">
        <v>118</v>
      </c>
      <c r="M183" s="7" t="n">
        <v>106</v>
      </c>
      <c r="N183" s="59" t="n">
        <v>0.774</v>
      </c>
      <c r="O183" s="59" t="n">
        <v>0.785</v>
      </c>
      <c r="P183" s="59" t="n">
        <v>0.612</v>
      </c>
      <c r="Q183" s="59" t="n">
        <v>0.515</v>
      </c>
      <c r="R183" s="8" t="n">
        <v>890408</v>
      </c>
      <c r="S183" s="8" t="n">
        <v>860358</v>
      </c>
      <c r="T183" s="8" t="n">
        <f aca="false">IF(J183="regional",IF(R183&gt;0,R183*0.2975,S183*0.3484),S183*0.1939)</f>
        <v>264896.38</v>
      </c>
      <c r="U183" s="8" t="n">
        <v>598255</v>
      </c>
      <c r="V183" s="8" t="n">
        <f aca="false">S183-U183</f>
        <v>262103</v>
      </c>
      <c r="W183" s="8" t="n">
        <v>4721</v>
      </c>
      <c r="X183" s="60" t="n">
        <f aca="false">Y183+Z183</f>
        <v>0</v>
      </c>
      <c r="Y183" s="8" t="n">
        <f aca="false">IF(B183="y",T183,0)</f>
        <v>0</v>
      </c>
      <c r="Z183" s="8"/>
      <c r="AA183" s="8" t="n">
        <f aca="false">AB183+AC183</f>
        <v>1125254.38</v>
      </c>
      <c r="AB183" s="8" t="n">
        <f aca="false">IF(B183="y",0,T183)</f>
        <v>264896.38</v>
      </c>
      <c r="AC183" s="8" t="n">
        <f aca="false">S183-Z183</f>
        <v>860358</v>
      </c>
      <c r="AD183" s="61" t="n">
        <f aca="false">IF(K183="y",Z183,0)</f>
        <v>0</v>
      </c>
      <c r="AE183" s="61" t="n">
        <f aca="false">IF($K183="",Z183,0)+IF($K183="n",Z183,0)</f>
        <v>0</v>
      </c>
      <c r="AF183" s="62" t="n">
        <f aca="false">IF($K183="y",AC183,0)</f>
        <v>0</v>
      </c>
      <c r="AG183" s="62" t="n">
        <f aca="false">IF($K183="",AC183,0)+IF($K183="n",AC183,0)</f>
        <v>860358</v>
      </c>
      <c r="AH183" s="8" t="n">
        <v>0</v>
      </c>
      <c r="AI183" s="8" t="n">
        <v>0</v>
      </c>
      <c r="AJ183" s="1" t="s">
        <v>51</v>
      </c>
      <c r="AK183" s="63" t="n">
        <v>459312</v>
      </c>
      <c r="AL183" s="9"/>
      <c r="AM183" s="9"/>
    </row>
    <row r="184" customFormat="false" ht="12.75" hidden="false" customHeight="false" outlineLevel="0" collapsed="false">
      <c r="A184" s="2" t="s">
        <v>44</v>
      </c>
      <c r="B184" s="2"/>
      <c r="C184" s="2" t="n">
        <v>9448</v>
      </c>
      <c r="D184" s="4" t="s">
        <v>471</v>
      </c>
      <c r="E184" s="4" t="s">
        <v>472</v>
      </c>
      <c r="F184" s="4" t="s">
        <v>114</v>
      </c>
      <c r="G184" s="4" t="s">
        <v>44</v>
      </c>
      <c r="H184" s="4" t="n">
        <v>1966</v>
      </c>
      <c r="I184" s="4"/>
      <c r="J184" s="4" t="s">
        <v>48</v>
      </c>
      <c r="K184" s="5" t="s">
        <v>49</v>
      </c>
      <c r="L184" s="58" t="s">
        <v>473</v>
      </c>
      <c r="M184" s="7" t="n">
        <v>45</v>
      </c>
      <c r="N184" s="59" t="n">
        <v>0.899</v>
      </c>
      <c r="O184" s="59" t="n">
        <v>0.868</v>
      </c>
      <c r="P184" s="59" t="n">
        <v>0.806</v>
      </c>
      <c r="Q184" s="59" t="n">
        <v>0.776</v>
      </c>
      <c r="R184" s="8" t="n">
        <v>457256</v>
      </c>
      <c r="S184" s="8" t="n">
        <v>392395</v>
      </c>
      <c r="T184" s="8" t="n">
        <f aca="false">IF(J184="regional",IF(R184&gt;0,R184*0.2975,S184*0.3484),S184*0.1939)</f>
        <v>136033.66</v>
      </c>
      <c r="U184" s="8" t="n">
        <v>283103</v>
      </c>
      <c r="V184" s="8" t="n">
        <f aca="false">S184-U184</f>
        <v>109292</v>
      </c>
      <c r="W184" s="8" t="n">
        <v>2000</v>
      </c>
      <c r="X184" s="60" t="n">
        <f aca="false">Y184+Z184</f>
        <v>0</v>
      </c>
      <c r="Y184" s="8" t="n">
        <f aca="false">IF(B184="y",T184,0)</f>
        <v>0</v>
      </c>
      <c r="Z184" s="8"/>
      <c r="AA184" s="8" t="n">
        <f aca="false">AB184+AC184</f>
        <v>528428.66</v>
      </c>
      <c r="AB184" s="8" t="n">
        <f aca="false">IF(B184="y",0,T184)</f>
        <v>136033.66</v>
      </c>
      <c r="AC184" s="8" t="n">
        <f aca="false">S184-Z184</f>
        <v>392395</v>
      </c>
      <c r="AD184" s="61" t="n">
        <f aca="false">IF(K184="y",Z184,0)</f>
        <v>0</v>
      </c>
      <c r="AE184" s="61" t="n">
        <f aca="false">IF($K184="",Z184,0)+IF($K184="n",Z184,0)</f>
        <v>0</v>
      </c>
      <c r="AF184" s="62" t="n">
        <f aca="false">IF($K184="y",AC184,0)</f>
        <v>0</v>
      </c>
      <c r="AG184" s="62" t="n">
        <f aca="false">IF($K184="",AC184,0)+IF($K184="n",AC184,0)</f>
        <v>392395</v>
      </c>
      <c r="AH184" s="8" t="n">
        <v>0</v>
      </c>
      <c r="AI184" s="8" t="n">
        <v>0</v>
      </c>
      <c r="AJ184" s="1" t="s">
        <v>51</v>
      </c>
      <c r="AK184" s="63" t="n">
        <v>237598</v>
      </c>
      <c r="AL184" s="9"/>
      <c r="AM184" s="9"/>
    </row>
    <row r="185" customFormat="false" ht="12.75" hidden="false" customHeight="false" outlineLevel="0" collapsed="false">
      <c r="A185" s="2" t="s">
        <v>44</v>
      </c>
      <c r="B185" s="2"/>
      <c r="C185" s="2" t="n">
        <v>9445</v>
      </c>
      <c r="D185" s="4" t="s">
        <v>474</v>
      </c>
      <c r="E185" s="4" t="s">
        <v>259</v>
      </c>
      <c r="F185" s="4" t="s">
        <v>101</v>
      </c>
      <c r="G185" s="4" t="s">
        <v>44</v>
      </c>
      <c r="H185" s="4" t="n">
        <v>1966</v>
      </c>
      <c r="I185" s="4"/>
      <c r="J185" s="4" t="s">
        <v>48</v>
      </c>
      <c r="K185" s="5" t="s">
        <v>49</v>
      </c>
      <c r="L185" s="58" t="s">
        <v>260</v>
      </c>
      <c r="M185" s="7" t="n">
        <v>94</v>
      </c>
      <c r="N185" s="59" t="n">
        <v>0.383</v>
      </c>
      <c r="O185" s="59" t="n">
        <v>0.431</v>
      </c>
      <c r="P185" s="59" t="n">
        <v>0.648</v>
      </c>
      <c r="Q185" s="59" t="n">
        <v>0.649</v>
      </c>
      <c r="R185" s="8" t="n">
        <v>898374</v>
      </c>
      <c r="S185" s="8" t="n">
        <v>873142</v>
      </c>
      <c r="T185" s="8" t="n">
        <f aca="false">IF(J185="regional",IF(R185&gt;0,R185*0.2975,S185*0.3484),S185*0.1939)</f>
        <v>267266.265</v>
      </c>
      <c r="U185" s="8" t="n">
        <v>587036</v>
      </c>
      <c r="V185" s="8" t="n">
        <f aca="false">S185-U185</f>
        <v>286106</v>
      </c>
      <c r="W185" s="8" t="n">
        <v>4865</v>
      </c>
      <c r="X185" s="60" t="n">
        <f aca="false">Y185+Z185</f>
        <v>0</v>
      </c>
      <c r="Y185" s="8" t="n">
        <f aca="false">IF(B185="y",T185,0)</f>
        <v>0</v>
      </c>
      <c r="Z185" s="8"/>
      <c r="AA185" s="8" t="n">
        <f aca="false">AB185+AC185</f>
        <v>1140408.265</v>
      </c>
      <c r="AB185" s="8" t="n">
        <f aca="false">IF(B185="y",0,T185)</f>
        <v>267266.265</v>
      </c>
      <c r="AC185" s="8" t="n">
        <f aca="false">S185-Z185</f>
        <v>873142</v>
      </c>
      <c r="AD185" s="61" t="n">
        <f aca="false">IF(K185="y",Z185,0)</f>
        <v>0</v>
      </c>
      <c r="AE185" s="61" t="n">
        <f aca="false">IF($K185="",Z185,0)+IF($K185="n",Z185,0)</f>
        <v>0</v>
      </c>
      <c r="AF185" s="62" t="n">
        <f aca="false">IF($K185="y",AC185,0)</f>
        <v>0</v>
      </c>
      <c r="AG185" s="62" t="n">
        <f aca="false">IF($K185="",AC185,0)+IF($K185="n",AC185,0)</f>
        <v>873142</v>
      </c>
      <c r="AH185" s="8" t="n">
        <v>0</v>
      </c>
      <c r="AI185" s="8" t="n">
        <v>0</v>
      </c>
      <c r="AJ185" s="1" t="s">
        <v>51</v>
      </c>
      <c r="AK185" s="63" t="n">
        <v>303220</v>
      </c>
      <c r="AL185" s="9"/>
      <c r="AM185" s="9"/>
    </row>
    <row r="186" customFormat="false" ht="12.75" hidden="false" customHeight="false" outlineLevel="0" collapsed="false">
      <c r="A186" s="2" t="s">
        <v>44</v>
      </c>
      <c r="B186" s="2"/>
      <c r="C186" s="2" t="n">
        <v>7314</v>
      </c>
      <c r="D186" s="4" t="s">
        <v>475</v>
      </c>
      <c r="E186" s="4" t="s">
        <v>476</v>
      </c>
      <c r="F186" s="4" t="s">
        <v>54</v>
      </c>
      <c r="G186" s="4" t="s">
        <v>49</v>
      </c>
      <c r="H186" s="4"/>
      <c r="I186" s="4" t="n">
        <v>1992</v>
      </c>
      <c r="J186" s="4" t="s">
        <v>62</v>
      </c>
      <c r="L186" s="58" t="s">
        <v>98</v>
      </c>
      <c r="M186" s="7" t="n">
        <v>28</v>
      </c>
      <c r="N186" s="59" t="n">
        <v>0.797</v>
      </c>
      <c r="O186" s="59" t="n">
        <v>0.802</v>
      </c>
      <c r="P186" s="59" t="n">
        <v>0.812</v>
      </c>
      <c r="Q186" s="59" t="n">
        <v>0.855</v>
      </c>
      <c r="R186" s="8"/>
      <c r="S186" s="8" t="n">
        <v>176728</v>
      </c>
      <c r="T186" s="8" t="n">
        <f aca="false">IF(J186="regional",IF(R186&gt;0,R186*0.2975,S186*0.3484),S186*0.1939)</f>
        <v>34267.5592</v>
      </c>
      <c r="U186" s="8" t="n">
        <v>93667</v>
      </c>
      <c r="V186" s="8" t="n">
        <f aca="false">S186-U186</f>
        <v>83061</v>
      </c>
      <c r="W186" s="8" t="n">
        <v>1100</v>
      </c>
      <c r="X186" s="60" t="n">
        <f aca="false">Y186+Z186</f>
        <v>0</v>
      </c>
      <c r="Y186" s="8" t="n">
        <f aca="false">IF(B186="y",T186,0)</f>
        <v>0</v>
      </c>
      <c r="Z186" s="8"/>
      <c r="AA186" s="8" t="n">
        <f aca="false">AB186+AC186</f>
        <v>210995.5592</v>
      </c>
      <c r="AB186" s="8" t="n">
        <f aca="false">IF(B186="y",0,T186)</f>
        <v>34267.5592</v>
      </c>
      <c r="AC186" s="8" t="n">
        <f aca="false">S186-Z186</f>
        <v>176728</v>
      </c>
      <c r="AD186" s="61" t="n">
        <f aca="false">IF(K186="y",Z186,0)</f>
        <v>0</v>
      </c>
      <c r="AE186" s="61" t="n">
        <f aca="false">IF($K186="",Z186,0)+IF($K186="n",Z186,0)</f>
        <v>0</v>
      </c>
      <c r="AF186" s="62" t="n">
        <f aca="false">IF($K186="y",AC186,0)</f>
        <v>0</v>
      </c>
      <c r="AG186" s="62" t="n">
        <f aca="false">IF($K186="",AC186,0)+IF($K186="n",AC186,0)</f>
        <v>176728</v>
      </c>
      <c r="AH186" s="8" t="n">
        <v>0</v>
      </c>
      <c r="AI186" s="8" t="n">
        <v>0</v>
      </c>
      <c r="AJ186" s="4"/>
      <c r="AK186" s="4"/>
      <c r="AL186" s="9"/>
      <c r="AM186" s="9"/>
    </row>
    <row r="187" customFormat="false" ht="12.75" hidden="false" customHeight="false" outlineLevel="0" collapsed="false">
      <c r="A187" s="2" t="s">
        <v>44</v>
      </c>
      <c r="B187" s="2"/>
      <c r="C187" s="2" t="n">
        <v>1904</v>
      </c>
      <c r="D187" s="4" t="s">
        <v>477</v>
      </c>
      <c r="E187" s="4" t="s">
        <v>478</v>
      </c>
      <c r="F187" s="4" t="s">
        <v>479</v>
      </c>
      <c r="G187" s="4" t="s">
        <v>49</v>
      </c>
      <c r="H187" s="4" t="n">
        <v>1993</v>
      </c>
      <c r="I187" s="4"/>
      <c r="J187" s="4" t="s">
        <v>62</v>
      </c>
      <c r="K187" s="5"/>
      <c r="L187" s="58" t="s">
        <v>406</v>
      </c>
      <c r="M187" s="7" t="n">
        <v>20</v>
      </c>
      <c r="N187" s="59" t="n">
        <v>0.861</v>
      </c>
      <c r="O187" s="59" t="n">
        <v>0.861</v>
      </c>
      <c r="P187" s="59" t="n">
        <v>0.869</v>
      </c>
      <c r="Q187" s="59" t="n">
        <v>1</v>
      </c>
      <c r="R187" s="8"/>
      <c r="S187" s="8" t="n">
        <v>240843</v>
      </c>
      <c r="T187" s="8" t="n">
        <f aca="false">IF(J187="regional",IF(R187&gt;0,R187*0.2975,S187*0.3484),S187*0.1939)</f>
        <v>46699.4577</v>
      </c>
      <c r="U187" s="8" t="n">
        <v>186175</v>
      </c>
      <c r="V187" s="8" t="n">
        <f aca="false">S187-U187</f>
        <v>54668</v>
      </c>
      <c r="W187" s="8" t="n">
        <v>1666</v>
      </c>
      <c r="X187" s="60" t="n">
        <f aca="false">Y187+Z187</f>
        <v>0</v>
      </c>
      <c r="Y187" s="8" t="n">
        <f aca="false">IF(B187="y",T187,0)</f>
        <v>0</v>
      </c>
      <c r="Z187" s="8"/>
      <c r="AA187" s="8" t="n">
        <f aca="false">AB187+AC187</f>
        <v>287542.4577</v>
      </c>
      <c r="AB187" s="8" t="n">
        <f aca="false">IF(B187="y",0,T187)</f>
        <v>46699.4577</v>
      </c>
      <c r="AC187" s="8" t="n">
        <f aca="false">S187-Z187</f>
        <v>240843</v>
      </c>
      <c r="AD187" s="61" t="n">
        <f aca="false">IF(K187="y",Z187,0)</f>
        <v>0</v>
      </c>
      <c r="AE187" s="61" t="n">
        <f aca="false">IF($K187="",Z187,0)+IF($K187="n",Z187,0)</f>
        <v>0</v>
      </c>
      <c r="AF187" s="62" t="n">
        <f aca="false">IF($K187="y",AC187,0)</f>
        <v>0</v>
      </c>
      <c r="AG187" s="62" t="n">
        <f aca="false">IF($K187="",AC187,0)+IF($K187="n",AC187,0)</f>
        <v>240843</v>
      </c>
      <c r="AH187" s="8" t="n">
        <v>0</v>
      </c>
      <c r="AI187" s="8" t="n">
        <v>0</v>
      </c>
      <c r="AJ187" s="4"/>
      <c r="AK187" s="4"/>
      <c r="AL187" s="9"/>
      <c r="AM187" s="9"/>
    </row>
    <row r="188" customFormat="false" ht="12.75" hidden="false" customHeight="false" outlineLevel="0" collapsed="false">
      <c r="A188" s="2"/>
      <c r="B188" s="2" t="s">
        <v>44</v>
      </c>
      <c r="C188" s="2" t="n">
        <v>4671</v>
      </c>
      <c r="D188" s="64" t="s">
        <v>480</v>
      </c>
      <c r="E188" s="4" t="s">
        <v>481</v>
      </c>
      <c r="F188" s="4" t="s">
        <v>47</v>
      </c>
      <c r="G188" s="4" t="s">
        <v>44</v>
      </c>
      <c r="H188" s="4" t="n">
        <v>1997</v>
      </c>
      <c r="I188" s="4"/>
      <c r="J188" s="4" t="s">
        <v>48</v>
      </c>
      <c r="K188" s="5" t="s">
        <v>49</v>
      </c>
      <c r="L188" s="58"/>
      <c r="M188" s="7" t="n">
        <v>100</v>
      </c>
      <c r="N188" s="59" t="n">
        <v>0.947</v>
      </c>
      <c r="O188" s="59" t="n">
        <v>0.949</v>
      </c>
      <c r="P188" s="59" t="n">
        <v>0.917</v>
      </c>
      <c r="Q188" s="59" t="n">
        <v>0.952</v>
      </c>
      <c r="R188" s="8" t="n">
        <v>1443739</v>
      </c>
      <c r="S188" s="8" t="n">
        <v>1242503</v>
      </c>
      <c r="T188" s="8" t="n">
        <f aca="false">IF(J188="regional",IF(R188&gt;0,R188*0.2975,S188*0.3484),S188*0.1939)</f>
        <v>429512.3525</v>
      </c>
      <c r="U188" s="8" t="n">
        <v>825706</v>
      </c>
      <c r="V188" s="8" t="n">
        <f aca="false">S188-U188</f>
        <v>416797</v>
      </c>
      <c r="W188" s="8" t="n">
        <v>6605</v>
      </c>
      <c r="X188" s="60" t="n">
        <f aca="false">Y188+Z188</f>
        <v>856512.3525</v>
      </c>
      <c r="Y188" s="8" t="n">
        <f aca="false">IF(B188="y",T188,0)</f>
        <v>429512.3525</v>
      </c>
      <c r="Z188" s="8" t="n">
        <v>427000</v>
      </c>
      <c r="AA188" s="8" t="n">
        <f aca="false">AB188+AC188</f>
        <v>815503</v>
      </c>
      <c r="AB188" s="8" t="n">
        <f aca="false">IF(B188="y",0,T188)</f>
        <v>0</v>
      </c>
      <c r="AC188" s="8" t="n">
        <f aca="false">S188-Z188</f>
        <v>815503</v>
      </c>
      <c r="AD188" s="61" t="n">
        <f aca="false">IF(K188="y",Z188,0)</f>
        <v>0</v>
      </c>
      <c r="AE188" s="61" t="n">
        <f aca="false">IF($K188="",Z188,0)+IF($K188="n",Z188,0)</f>
        <v>427000</v>
      </c>
      <c r="AF188" s="62" t="n">
        <f aca="false">IF($K188="y",AC188,0)</f>
        <v>0</v>
      </c>
      <c r="AG188" s="62" t="n">
        <f aca="false">IF($K188="",AC188,0)+IF($K188="n",AC188,0)</f>
        <v>815503</v>
      </c>
      <c r="AH188" s="8" t="n">
        <v>0</v>
      </c>
      <c r="AI188" s="8" t="n">
        <v>0</v>
      </c>
      <c r="AJ188" s="64"/>
      <c r="AK188" s="64"/>
      <c r="AL188" s="9"/>
      <c r="AM188" s="9"/>
    </row>
    <row r="189" customFormat="false" ht="12.75" hidden="false" customHeight="false" outlineLevel="0" collapsed="false">
      <c r="A189" s="2" t="s">
        <v>44</v>
      </c>
      <c r="B189" s="2"/>
      <c r="C189" s="2"/>
      <c r="D189" s="4" t="s">
        <v>482</v>
      </c>
      <c r="E189" s="4" t="s">
        <v>442</v>
      </c>
      <c r="F189" s="4" t="s">
        <v>47</v>
      </c>
      <c r="G189" s="4" t="s">
        <v>49</v>
      </c>
      <c r="H189" s="4" t="n">
        <v>1991</v>
      </c>
      <c r="I189" s="4"/>
      <c r="J189" s="4" t="s">
        <v>405</v>
      </c>
      <c r="K189" s="5"/>
      <c r="L189" s="6" t="s">
        <v>98</v>
      </c>
      <c r="M189" s="7"/>
      <c r="R189" s="8"/>
      <c r="S189" s="8" t="n">
        <v>818278</v>
      </c>
      <c r="T189" s="8" t="n">
        <f aca="false">IF(J189="regional",IF(R189&gt;0,R189*0.2975,S189*0.3484),S189*0.1939)</f>
        <v>158664.1042</v>
      </c>
      <c r="U189" s="8" t="n">
        <v>780000</v>
      </c>
      <c r="V189" s="8" t="n">
        <f aca="false">S189-U189</f>
        <v>38278</v>
      </c>
      <c r="W189" s="8"/>
      <c r="X189" s="60" t="n">
        <f aca="false">Y189+Z189</f>
        <v>0</v>
      </c>
      <c r="Y189" s="8" t="n">
        <f aca="false">IF(B189="y",T189,0)</f>
        <v>0</v>
      </c>
      <c r="Z189" s="9"/>
      <c r="AA189" s="8" t="n">
        <f aca="false">AB189+AC189</f>
        <v>976942.1042</v>
      </c>
      <c r="AB189" s="8" t="n">
        <f aca="false">IF(B189="y",0,T189)</f>
        <v>158664.1042</v>
      </c>
      <c r="AC189" s="8" t="n">
        <f aca="false">S189-Z189</f>
        <v>818278</v>
      </c>
      <c r="AD189" s="61" t="n">
        <f aca="false">IF(K189="y",Z189,0)</f>
        <v>0</v>
      </c>
      <c r="AE189" s="61" t="n">
        <f aca="false">IF($K189="",Z189,0)+IF($K189="n",Z189,0)</f>
        <v>0</v>
      </c>
      <c r="AF189" s="62" t="n">
        <f aca="false">IF($K189="y",AC189,0)</f>
        <v>0</v>
      </c>
      <c r="AG189" s="62" t="n">
        <f aca="false">IF($K189="",AC189,0)+IF($K189="n",AC189,0)</f>
        <v>818278</v>
      </c>
      <c r="AH189" s="8" t="n">
        <v>0</v>
      </c>
      <c r="AI189" s="8" t="n">
        <v>0</v>
      </c>
      <c r="AJ189" s="4"/>
      <c r="AK189" s="4"/>
      <c r="AL189" s="9"/>
      <c r="AM189" s="9"/>
    </row>
    <row r="190" customFormat="false" ht="12.75" hidden="false" customHeight="false" outlineLevel="0" collapsed="false">
      <c r="A190" s="2" t="s">
        <v>44</v>
      </c>
      <c r="B190" s="2" t="s">
        <v>44</v>
      </c>
      <c r="C190" s="2" t="n">
        <v>4835</v>
      </c>
      <c r="D190" s="67" t="s">
        <v>483</v>
      </c>
      <c r="E190" s="65" t="s">
        <v>484</v>
      </c>
      <c r="F190" s="4"/>
      <c r="G190" s="4" t="s">
        <v>44</v>
      </c>
      <c r="H190" s="4" t="n">
        <v>1977</v>
      </c>
      <c r="I190" s="4"/>
      <c r="J190" s="4" t="s">
        <v>48</v>
      </c>
      <c r="K190" s="5" t="s">
        <v>44</v>
      </c>
      <c r="L190" s="58" t="s">
        <v>345</v>
      </c>
      <c r="M190" s="7" t="n">
        <v>205</v>
      </c>
      <c r="N190" s="59" t="n">
        <v>0.921</v>
      </c>
      <c r="O190" s="59" t="n">
        <v>0.946</v>
      </c>
      <c r="P190" s="59" t="n">
        <v>0.925</v>
      </c>
      <c r="Q190" s="59" t="n">
        <v>0.952</v>
      </c>
      <c r="R190" s="8" t="n">
        <v>127293</v>
      </c>
      <c r="S190" s="8" t="n">
        <v>1210000</v>
      </c>
      <c r="T190" s="8" t="n">
        <f aca="false">IF(J190="regional",IF(R190&gt;0,R190*0.2975,S190*0.3484),S190*0.1939)</f>
        <v>37869.6675</v>
      </c>
      <c r="U190" s="8" t="n">
        <v>763000</v>
      </c>
      <c r="V190" s="8" t="n">
        <f aca="false">S190-U190</f>
        <v>447000</v>
      </c>
      <c r="W190" s="8" t="n">
        <v>7200</v>
      </c>
      <c r="X190" s="60" t="n">
        <f aca="false">Y190+Z190</f>
        <v>595869.6675</v>
      </c>
      <c r="Y190" s="8" t="n">
        <f aca="false">IF(B190="y",T190,0)</f>
        <v>37869.6675</v>
      </c>
      <c r="Z190" s="8" t="n">
        <v>558000</v>
      </c>
      <c r="AA190" s="8" t="n">
        <f aca="false">AB190+AC190</f>
        <v>652000</v>
      </c>
      <c r="AB190" s="8" t="n">
        <f aca="false">IF(B190="y",0,T190)</f>
        <v>0</v>
      </c>
      <c r="AC190" s="8" t="n">
        <f aca="false">S190-Z190</f>
        <v>652000</v>
      </c>
      <c r="AD190" s="61" t="n">
        <f aca="false">IF(K190="y",Z190,0)</f>
        <v>558000</v>
      </c>
      <c r="AE190" s="61" t="n">
        <f aca="false">IF($K190="",Z190,0)+IF($K190="n",Z190,0)</f>
        <v>0</v>
      </c>
      <c r="AF190" s="62" t="n">
        <f aca="false">IF($K190="y",AC190,0)</f>
        <v>652000</v>
      </c>
      <c r="AG190" s="62" t="n">
        <f aca="false">IF($K190="",AC190,0)+IF($K190="n",AC190,0)</f>
        <v>0</v>
      </c>
      <c r="AH190" s="8" t="n">
        <v>1840000</v>
      </c>
      <c r="AI190" s="8" t="n">
        <v>1072000</v>
      </c>
      <c r="AJ190" s="1" t="s">
        <v>91</v>
      </c>
      <c r="AK190" s="63" t="n">
        <v>143493</v>
      </c>
      <c r="AL190" s="9"/>
      <c r="AM190" s="9"/>
    </row>
    <row r="191" customFormat="false" ht="12.75" hidden="false" customHeight="false" outlineLevel="0" collapsed="false">
      <c r="A191" s="2" t="s">
        <v>44</v>
      </c>
      <c r="B191" s="2" t="s">
        <v>44</v>
      </c>
      <c r="C191" s="2" t="n">
        <v>3805</v>
      </c>
      <c r="D191" s="64" t="s">
        <v>485</v>
      </c>
      <c r="E191" s="4" t="s">
        <v>486</v>
      </c>
      <c r="F191" s="4" t="s">
        <v>54</v>
      </c>
      <c r="G191" s="4" t="s">
        <v>49</v>
      </c>
      <c r="H191" s="4" t="n">
        <v>1988</v>
      </c>
      <c r="I191" s="4"/>
      <c r="J191" s="4" t="s">
        <v>48</v>
      </c>
      <c r="K191" s="5" t="s">
        <v>44</v>
      </c>
      <c r="L191" s="58" t="s">
        <v>487</v>
      </c>
      <c r="M191" s="7" t="n">
        <v>132</v>
      </c>
      <c r="N191" s="59" t="n">
        <v>0.597</v>
      </c>
      <c r="O191" s="59" t="n">
        <v>0.644</v>
      </c>
      <c r="P191" s="59" t="n">
        <v>0.662</v>
      </c>
      <c r="Q191" s="59" t="n">
        <v>0.685</v>
      </c>
      <c r="R191" s="8" t="n">
        <v>970198</v>
      </c>
      <c r="S191" s="8" t="n">
        <v>756838</v>
      </c>
      <c r="T191" s="8" t="n">
        <f aca="false">IF(J191="regional",IF(R191&gt;0,R191*0.2975,S191*0.3484),S191*0.1939)</f>
        <v>288633.905</v>
      </c>
      <c r="U191" s="8" t="n">
        <v>460857</v>
      </c>
      <c r="V191" s="8" t="n">
        <f aca="false">S191-U191</f>
        <v>295981</v>
      </c>
      <c r="W191" s="8" t="n">
        <v>6518</v>
      </c>
      <c r="X191" s="60" t="n">
        <f aca="false">Y191+Z191</f>
        <v>696354.905</v>
      </c>
      <c r="Y191" s="8" t="n">
        <f aca="false">IF(B191="y",T191,0)</f>
        <v>288633.905</v>
      </c>
      <c r="Z191" s="8" t="n">
        <v>407721</v>
      </c>
      <c r="AA191" s="8" t="n">
        <f aca="false">AB191+AC191</f>
        <v>349117</v>
      </c>
      <c r="AB191" s="8" t="n">
        <f aca="false">IF(B191="y",0,T191)</f>
        <v>0</v>
      </c>
      <c r="AC191" s="8" t="n">
        <f aca="false">S191-Z191</f>
        <v>349117</v>
      </c>
      <c r="AD191" s="61" t="n">
        <f aca="false">IF(K191="y",Z191,0)</f>
        <v>407721</v>
      </c>
      <c r="AE191" s="61" t="n">
        <f aca="false">IF($K191="",Z191,0)+IF($K191="n",Z191,0)</f>
        <v>0</v>
      </c>
      <c r="AF191" s="62" t="n">
        <f aca="false">IF($K191="y",AC191,0)</f>
        <v>349117</v>
      </c>
      <c r="AG191" s="62" t="n">
        <f aca="false">IF($K191="",AC191,0)+IF($K191="n",AC191,0)</f>
        <v>0</v>
      </c>
      <c r="AH191" s="8" t="n">
        <v>339000</v>
      </c>
      <c r="AI191" s="8" t="n">
        <v>261000</v>
      </c>
      <c r="AJ191" s="1" t="s">
        <v>51</v>
      </c>
      <c r="AK191" s="63" t="n">
        <v>814510</v>
      </c>
      <c r="AL191" s="9"/>
      <c r="AM191" s="9"/>
    </row>
    <row r="192" customFormat="false" ht="12.75" hidden="false" customHeight="false" outlineLevel="0" collapsed="false">
      <c r="A192" s="2" t="s">
        <v>44</v>
      </c>
      <c r="B192" s="2"/>
      <c r="C192" s="2" t="n">
        <v>4836</v>
      </c>
      <c r="D192" s="65" t="s">
        <v>488</v>
      </c>
      <c r="E192" s="65" t="s">
        <v>489</v>
      </c>
      <c r="F192" s="4" t="s">
        <v>151</v>
      </c>
      <c r="G192" s="4" t="s">
        <v>44</v>
      </c>
      <c r="H192" s="4" t="n">
        <v>1958</v>
      </c>
      <c r="I192" s="4"/>
      <c r="J192" s="4" t="s">
        <v>48</v>
      </c>
      <c r="L192" s="58" t="s">
        <v>490</v>
      </c>
      <c r="M192" s="7" t="n">
        <v>205</v>
      </c>
      <c r="N192" s="59" t="n">
        <v>0.932</v>
      </c>
      <c r="O192" s="59" t="n">
        <v>0.969</v>
      </c>
      <c r="P192" s="59" t="n">
        <v>0.925</v>
      </c>
      <c r="Q192" s="59" t="n">
        <v>0.952</v>
      </c>
      <c r="R192" s="8" t="n">
        <v>2881095</v>
      </c>
      <c r="S192" s="8" t="n">
        <v>2260000</v>
      </c>
      <c r="T192" s="8" t="n">
        <f aca="false">IF(J192="regional",IF(R192&gt;0,R192*0.2975,S192*0.3484),S192*0.1939)</f>
        <v>857125.7625</v>
      </c>
      <c r="U192" s="8" t="n">
        <v>1440000</v>
      </c>
      <c r="V192" s="8" t="n">
        <f aca="false">S192-U192</f>
        <v>820000</v>
      </c>
      <c r="W192" s="8" t="n">
        <v>9143</v>
      </c>
      <c r="X192" s="60" t="n">
        <f aca="false">Y192+Z192</f>
        <v>0</v>
      </c>
      <c r="Y192" s="8" t="n">
        <f aca="false">IF(B192="y",T192,0)</f>
        <v>0</v>
      </c>
      <c r="Z192" s="8"/>
      <c r="AA192" s="8" t="n">
        <f aca="false">AB192+AC192</f>
        <v>3117125.7625</v>
      </c>
      <c r="AB192" s="8" t="n">
        <f aca="false">IF(B192="y",0,T192)</f>
        <v>857125.7625</v>
      </c>
      <c r="AC192" s="8" t="n">
        <f aca="false">S192-Z192</f>
        <v>2260000</v>
      </c>
      <c r="AD192" s="61" t="n">
        <f aca="false">IF(K192="y",Z192,0)</f>
        <v>0</v>
      </c>
      <c r="AE192" s="61" t="n">
        <f aca="false">IF($K192="",Z192,0)+IF($K192="n",Z192,0)</f>
        <v>0</v>
      </c>
      <c r="AF192" s="62" t="n">
        <f aca="false">IF($K192="y",AC192,0)</f>
        <v>0</v>
      </c>
      <c r="AG192" s="62" t="n">
        <f aca="false">IF($K192="",AC192,0)+IF($K192="n",AC192,0)</f>
        <v>2260000</v>
      </c>
      <c r="AH192" s="8" t="n">
        <v>0</v>
      </c>
      <c r="AI192" s="8" t="n">
        <v>0</v>
      </c>
      <c r="AJ192" s="65"/>
      <c r="AK192" s="65"/>
      <c r="AL192" s="9"/>
      <c r="AM192" s="9"/>
    </row>
    <row r="193" customFormat="false" ht="12.75" hidden="false" customHeight="false" outlineLevel="0" collapsed="false">
      <c r="A193" s="2" t="s">
        <v>44</v>
      </c>
      <c r="B193" s="2" t="s">
        <v>44</v>
      </c>
      <c r="C193" s="2" t="n">
        <v>3107</v>
      </c>
      <c r="D193" s="64" t="s">
        <v>491</v>
      </c>
      <c r="E193" s="4" t="s">
        <v>136</v>
      </c>
      <c r="F193" s="4" t="s">
        <v>137</v>
      </c>
      <c r="G193" s="4" t="s">
        <v>44</v>
      </c>
      <c r="H193" s="4" t="n">
        <v>1986</v>
      </c>
      <c r="I193" s="4"/>
      <c r="J193" s="4" t="s">
        <v>48</v>
      </c>
      <c r="K193" s="5" t="s">
        <v>44</v>
      </c>
      <c r="L193" s="58" t="s">
        <v>492</v>
      </c>
      <c r="M193" s="7" t="n">
        <v>191</v>
      </c>
      <c r="N193" s="59" t="n">
        <v>0.905</v>
      </c>
      <c r="O193" s="59" t="n">
        <v>0.919</v>
      </c>
      <c r="P193" s="59" t="n">
        <v>0.942</v>
      </c>
      <c r="Q193" s="59" t="n">
        <v>0.924</v>
      </c>
      <c r="R193" s="8" t="n">
        <v>1480272</v>
      </c>
      <c r="S193" s="8" t="n">
        <v>1202049</v>
      </c>
      <c r="T193" s="8" t="n">
        <f aca="false">IF(J193="regional",IF(R193&gt;0,R193*0.2975,S193*0.3484),S193*0.1939)</f>
        <v>440380.92</v>
      </c>
      <c r="U193" s="8" t="n">
        <v>823347</v>
      </c>
      <c r="V193" s="8" t="n">
        <f aca="false">S193-U193</f>
        <v>378702</v>
      </c>
      <c r="W193" s="8" t="n">
        <v>5616</v>
      </c>
      <c r="X193" s="60" t="n">
        <f aca="false">Y193+Z193</f>
        <v>1100373.92</v>
      </c>
      <c r="Y193" s="8" t="n">
        <f aca="false">IF(B193="y",T193,0)</f>
        <v>440380.92</v>
      </c>
      <c r="Z193" s="8" t="n">
        <v>659993</v>
      </c>
      <c r="AA193" s="8" t="n">
        <f aca="false">AB193+AC193</f>
        <v>542056</v>
      </c>
      <c r="AB193" s="8" t="n">
        <f aca="false">IF(B193="y",0,T193)</f>
        <v>0</v>
      </c>
      <c r="AC193" s="8" t="n">
        <f aca="false">S193-Z193</f>
        <v>542056</v>
      </c>
      <c r="AD193" s="61" t="n">
        <f aca="false">IF(K193="y",Z193,0)</f>
        <v>659993</v>
      </c>
      <c r="AE193" s="61" t="n">
        <f aca="false">IF($K193="",Z193,0)+IF($K193="n",Z193,0)</f>
        <v>0</v>
      </c>
      <c r="AF193" s="62" t="n">
        <f aca="false">IF($K193="y",AC193,0)</f>
        <v>542056</v>
      </c>
      <c r="AG193" s="62" t="n">
        <f aca="false">IF($K193="",AC193,0)+IF($K193="n",AC193,0)</f>
        <v>0</v>
      </c>
      <c r="AH193" s="8" t="n">
        <v>778000</v>
      </c>
      <c r="AI193" s="8" t="n">
        <v>632000</v>
      </c>
      <c r="AJ193" s="1" t="s">
        <v>51</v>
      </c>
      <c r="AK193" s="63" t="n">
        <v>1427621</v>
      </c>
      <c r="AL193" s="9"/>
      <c r="AM193" s="9"/>
    </row>
    <row r="194" customFormat="false" ht="12.75" hidden="false" customHeight="false" outlineLevel="0" collapsed="false">
      <c r="A194" s="2" t="s">
        <v>44</v>
      </c>
      <c r="B194" s="2"/>
      <c r="C194" s="2" t="n">
        <v>546</v>
      </c>
      <c r="D194" s="4" t="s">
        <v>493</v>
      </c>
      <c r="E194" s="4" t="s">
        <v>176</v>
      </c>
      <c r="F194" s="4" t="s">
        <v>75</v>
      </c>
      <c r="G194" s="4" t="s">
        <v>49</v>
      </c>
      <c r="H194" s="4" t="n">
        <v>1989</v>
      </c>
      <c r="I194" s="4"/>
      <c r="J194" s="4" t="s">
        <v>62</v>
      </c>
      <c r="K194" s="5"/>
      <c r="L194" s="58" t="s">
        <v>449</v>
      </c>
      <c r="M194" s="7" t="n">
        <v>24</v>
      </c>
      <c r="N194" s="59" t="n">
        <v>0.964</v>
      </c>
      <c r="O194" s="59" t="n">
        <v>0.964</v>
      </c>
      <c r="P194" s="59" t="n">
        <v>0.959</v>
      </c>
      <c r="Q194" s="59" t="n">
        <v>0.979</v>
      </c>
      <c r="R194" s="8"/>
      <c r="S194" s="8" t="n">
        <v>192081</v>
      </c>
      <c r="T194" s="8" t="n">
        <f aca="false">IF(J194="regional",IF(R194&gt;0,R194*0.2975,S194*0.3484),S194*0.1939)</f>
        <v>37244.5059</v>
      </c>
      <c r="U194" s="8" t="n">
        <v>124479</v>
      </c>
      <c r="V194" s="8" t="n">
        <f aca="false">S194-U194</f>
        <v>67602</v>
      </c>
      <c r="W194" s="8" t="n">
        <v>960</v>
      </c>
      <c r="X194" s="60" t="n">
        <f aca="false">Y194+Z194</f>
        <v>0</v>
      </c>
      <c r="Y194" s="8" t="n">
        <f aca="false">IF(B194="y",T194,0)</f>
        <v>0</v>
      </c>
      <c r="Z194" s="8"/>
      <c r="AA194" s="8" t="n">
        <f aca="false">AB194+AC194</f>
        <v>229325.5059</v>
      </c>
      <c r="AB194" s="8" t="n">
        <f aca="false">IF(B194="y",0,T194)</f>
        <v>37244.5059</v>
      </c>
      <c r="AC194" s="8" t="n">
        <f aca="false">S194-Z194</f>
        <v>192081</v>
      </c>
      <c r="AD194" s="61" t="n">
        <f aca="false">IF(K194="y",Z194,0)</f>
        <v>0</v>
      </c>
      <c r="AE194" s="61" t="n">
        <f aca="false">IF($K194="",Z194,0)+IF($K194="n",Z194,0)</f>
        <v>0</v>
      </c>
      <c r="AF194" s="62" t="n">
        <f aca="false">IF($K194="y",AC194,0)</f>
        <v>0</v>
      </c>
      <c r="AG194" s="62" t="n">
        <f aca="false">IF($K194="",AC194,0)+IF($K194="n",AC194,0)</f>
        <v>192081</v>
      </c>
      <c r="AH194" s="8" t="n">
        <v>0</v>
      </c>
      <c r="AI194" s="8" t="n">
        <v>0</v>
      </c>
      <c r="AJ194" s="4"/>
      <c r="AK194" s="4"/>
      <c r="AL194" s="9"/>
      <c r="AM194" s="9"/>
    </row>
    <row r="195" customFormat="false" ht="12.75" hidden="false" customHeight="false" outlineLevel="0" collapsed="false">
      <c r="A195" s="2" t="s">
        <v>44</v>
      </c>
      <c r="B195" s="2"/>
      <c r="C195" s="2" t="n">
        <v>4780</v>
      </c>
      <c r="D195" s="4" t="s">
        <v>494</v>
      </c>
      <c r="E195" s="4"/>
      <c r="F195" s="4"/>
      <c r="G195" s="4" t="s">
        <v>49</v>
      </c>
      <c r="H195" s="4"/>
      <c r="I195" s="4"/>
      <c r="J195" s="4"/>
      <c r="K195" s="5"/>
      <c r="L195" s="58"/>
      <c r="M195" s="7"/>
      <c r="N195" s="59"/>
      <c r="O195" s="59"/>
      <c r="P195" s="59"/>
      <c r="Q195" s="59"/>
      <c r="R195" s="8"/>
      <c r="S195" s="8"/>
      <c r="T195" s="8"/>
      <c r="U195" s="8"/>
      <c r="V195" s="8"/>
      <c r="W195" s="8"/>
      <c r="X195" s="60"/>
      <c r="Y195" s="8"/>
      <c r="Z195" s="8"/>
      <c r="AA195" s="8"/>
      <c r="AB195" s="8"/>
      <c r="AC195" s="8"/>
      <c r="AD195" s="61"/>
      <c r="AE195" s="61"/>
      <c r="AF195" s="62"/>
      <c r="AG195" s="62"/>
      <c r="AH195" s="8" t="n">
        <v>560000</v>
      </c>
      <c r="AI195" s="8" t="n">
        <v>577000</v>
      </c>
      <c r="AJ195" s="4"/>
      <c r="AK195" s="4"/>
      <c r="AL195" s="9"/>
      <c r="AM195" s="9"/>
    </row>
    <row r="196" customFormat="false" ht="12.75" hidden="false" customHeight="false" outlineLevel="0" collapsed="false">
      <c r="A196" s="2" t="s">
        <v>44</v>
      </c>
      <c r="B196" s="2"/>
      <c r="C196" s="2" t="n">
        <v>4837</v>
      </c>
      <c r="D196" s="67" t="s">
        <v>495</v>
      </c>
      <c r="E196" s="65" t="s">
        <v>496</v>
      </c>
      <c r="F196" s="4" t="s">
        <v>108</v>
      </c>
      <c r="G196" s="4" t="s">
        <v>44</v>
      </c>
      <c r="H196" s="4" t="n">
        <v>1982</v>
      </c>
      <c r="I196" s="4"/>
      <c r="J196" s="4" t="s">
        <v>48</v>
      </c>
      <c r="K196" s="5" t="s">
        <v>49</v>
      </c>
      <c r="L196" s="58" t="s">
        <v>497</v>
      </c>
      <c r="M196" s="7" t="n">
        <v>126</v>
      </c>
      <c r="N196" s="59" t="n">
        <v>0.816</v>
      </c>
      <c r="O196" s="59" t="n">
        <v>0.845</v>
      </c>
      <c r="P196" s="59" t="n">
        <v>0.925</v>
      </c>
      <c r="Q196" s="59" t="n">
        <v>0.952</v>
      </c>
      <c r="R196" s="8" t="n">
        <v>809359</v>
      </c>
      <c r="S196" s="8" t="n">
        <v>695000</v>
      </c>
      <c r="T196" s="8" t="n">
        <f aca="false">IF(J196="regional",IF(R196&gt;0,R196*0.2975,S196*0.3484),S196*0.1939)</f>
        <v>240784.3025</v>
      </c>
      <c r="U196" s="8" t="n">
        <v>426400</v>
      </c>
      <c r="V196" s="8" t="n">
        <f aca="false">S196-U196</f>
        <v>268600</v>
      </c>
      <c r="W196" s="8" t="n">
        <v>3150</v>
      </c>
      <c r="X196" s="60" t="n">
        <f aca="false">Y196+Z196</f>
        <v>0</v>
      </c>
      <c r="Y196" s="8" t="n">
        <f aca="false">IF(B196="y",T196,0)</f>
        <v>0</v>
      </c>
      <c r="Z196" s="8"/>
      <c r="AA196" s="8" t="n">
        <f aca="false">AB196+AC196</f>
        <v>935784.3025</v>
      </c>
      <c r="AB196" s="8" t="n">
        <f aca="false">IF(B196="y",0,T196)</f>
        <v>240784.3025</v>
      </c>
      <c r="AC196" s="8" t="n">
        <f aca="false">S196-Z196</f>
        <v>695000</v>
      </c>
      <c r="AD196" s="61" t="n">
        <f aca="false">IF(K196="y",Z196,0)</f>
        <v>0</v>
      </c>
      <c r="AE196" s="61" t="n">
        <f aca="false">IF($K196="",Z196,0)+IF($K196="n",Z196,0)</f>
        <v>0</v>
      </c>
      <c r="AF196" s="62" t="n">
        <f aca="false">IF($K196="y",AC196,0)</f>
        <v>0</v>
      </c>
      <c r="AG196" s="62" t="n">
        <f aca="false">IF($K196="",AC196,0)+IF($K196="n",AC196,0)</f>
        <v>695000</v>
      </c>
      <c r="AH196" s="8" t="n">
        <v>0</v>
      </c>
      <c r="AI196" s="8" t="n">
        <v>0</v>
      </c>
      <c r="AJ196" s="67"/>
      <c r="AK196" s="67"/>
      <c r="AL196" s="9"/>
      <c r="AM196" s="9"/>
    </row>
    <row r="197" customFormat="false" ht="12.75" hidden="false" customHeight="false" outlineLevel="0" collapsed="false">
      <c r="A197" s="2" t="s">
        <v>44</v>
      </c>
      <c r="B197" s="2"/>
      <c r="C197" s="2" t="n">
        <v>3625</v>
      </c>
      <c r="D197" s="64" t="s">
        <v>498</v>
      </c>
      <c r="E197" s="4" t="s">
        <v>499</v>
      </c>
      <c r="F197" s="4" t="s">
        <v>75</v>
      </c>
      <c r="G197" s="4" t="s">
        <v>49</v>
      </c>
      <c r="H197" s="4" t="n">
        <v>1995</v>
      </c>
      <c r="I197" s="4"/>
      <c r="J197" s="4" t="s">
        <v>48</v>
      </c>
      <c r="K197" s="5" t="s">
        <v>44</v>
      </c>
      <c r="L197" s="58" t="s">
        <v>449</v>
      </c>
      <c r="M197" s="7" t="n">
        <v>139</v>
      </c>
      <c r="N197" s="59" t="n">
        <v>0.838</v>
      </c>
      <c r="O197" s="59" t="n">
        <v>0.837</v>
      </c>
      <c r="P197" s="59" t="n">
        <v>0.822</v>
      </c>
      <c r="Q197" s="59" t="n">
        <v>0.834</v>
      </c>
      <c r="R197" s="8" t="n">
        <v>1384706</v>
      </c>
      <c r="S197" s="8" t="n">
        <v>1139034</v>
      </c>
      <c r="T197" s="8" t="n">
        <f aca="false">IF(J197="regional",IF(R197&gt;0,R197*0.2975,S197*0.3484),S197*0.1939)</f>
        <v>411950.035</v>
      </c>
      <c r="U197" s="8" t="n">
        <v>768798</v>
      </c>
      <c r="V197" s="8" t="n">
        <f aca="false">S197-U197</f>
        <v>370236</v>
      </c>
      <c r="W197" s="8" t="n">
        <v>5600</v>
      </c>
      <c r="X197" s="60" t="n">
        <f aca="false">Y197+Z197</f>
        <v>0</v>
      </c>
      <c r="Y197" s="8" t="n">
        <f aca="false">IF(B197="y",T197,0)</f>
        <v>0</v>
      </c>
      <c r="Z197" s="8"/>
      <c r="AA197" s="8" t="n">
        <f aca="false">AB197+AC197</f>
        <v>1550984.035</v>
      </c>
      <c r="AB197" s="8" t="n">
        <f aca="false">IF(B197="y",0,T197)</f>
        <v>411950.035</v>
      </c>
      <c r="AC197" s="8" t="n">
        <f aca="false">S197-Z197</f>
        <v>1139034</v>
      </c>
      <c r="AD197" s="61" t="n">
        <f aca="false">IF(K197="y",Z197,0)</f>
        <v>0</v>
      </c>
      <c r="AE197" s="61" t="n">
        <f aca="false">IF($K197="",Z197,0)+IF($K197="n",Z197,0)</f>
        <v>0</v>
      </c>
      <c r="AF197" s="62" t="n">
        <f aca="false">IF($K197="y",AC197,0)</f>
        <v>1139034</v>
      </c>
      <c r="AG197" s="62" t="n">
        <f aca="false">IF($K197="",AC197,0)+IF($K197="n",AC197,0)</f>
        <v>0</v>
      </c>
      <c r="AH197" s="8" t="n">
        <v>792000</v>
      </c>
      <c r="AI197" s="8" t="n">
        <v>646000</v>
      </c>
      <c r="AJ197" s="1" t="s">
        <v>51</v>
      </c>
      <c r="AK197" s="63" t="n">
        <v>805815</v>
      </c>
      <c r="AL197" s="9"/>
      <c r="AM197" s="9"/>
    </row>
    <row r="198" customFormat="false" ht="12.75" hidden="false" customHeight="false" outlineLevel="0" collapsed="false">
      <c r="A198" s="2" t="s">
        <v>44</v>
      </c>
      <c r="B198" s="2"/>
      <c r="C198" s="2" t="n">
        <v>1</v>
      </c>
      <c r="D198" s="4" t="s">
        <v>500</v>
      </c>
      <c r="E198" s="4" t="s">
        <v>198</v>
      </c>
      <c r="F198" s="4" t="s">
        <v>75</v>
      </c>
      <c r="G198" s="4" t="s">
        <v>49</v>
      </c>
      <c r="H198" s="4" t="n">
        <v>1998</v>
      </c>
      <c r="I198" s="4"/>
      <c r="J198" s="4" t="s">
        <v>501</v>
      </c>
      <c r="K198" s="5" t="s">
        <v>44</v>
      </c>
      <c r="L198" s="58" t="s">
        <v>187</v>
      </c>
      <c r="M198" s="7"/>
      <c r="R198" s="8"/>
      <c r="S198" s="8" t="n">
        <v>510000</v>
      </c>
      <c r="T198" s="8" t="n">
        <f aca="false">IF(J198="regional",IF(R198&gt;0,R198*0.2975,S198*0.3484),S198*0.1939)</f>
        <v>98889</v>
      </c>
      <c r="U198" s="8" t="n">
        <v>280181</v>
      </c>
      <c r="V198" s="8" t="n">
        <f aca="false">S198-U198</f>
        <v>229819</v>
      </c>
      <c r="W198" s="8"/>
      <c r="X198" s="60" t="n">
        <f aca="false">Y198+Z198</f>
        <v>0</v>
      </c>
      <c r="Y198" s="8" t="n">
        <f aca="false">IF(B198="y",T198,0)</f>
        <v>0</v>
      </c>
      <c r="Z198" s="8"/>
      <c r="AA198" s="8" t="n">
        <f aca="false">AB198+AC198</f>
        <v>608889</v>
      </c>
      <c r="AB198" s="8" t="n">
        <f aca="false">IF(B198="y",0,T198)</f>
        <v>98889</v>
      </c>
      <c r="AC198" s="8" t="n">
        <f aca="false">S198-Z198</f>
        <v>510000</v>
      </c>
      <c r="AD198" s="61" t="n">
        <f aca="false">IF(K198="y",Z198,0)</f>
        <v>0</v>
      </c>
      <c r="AE198" s="61" t="n">
        <f aca="false">IF($K198="",Z198,0)+IF($K198="n",Z198,0)</f>
        <v>0</v>
      </c>
      <c r="AF198" s="62" t="n">
        <f aca="false">IF($K198="y",AC198,0)</f>
        <v>510000</v>
      </c>
      <c r="AG198" s="62" t="n">
        <f aca="false">IF($K198="",AC198,0)+IF($K198="n",AC198,0)</f>
        <v>0</v>
      </c>
      <c r="AH198" s="8" t="n">
        <v>0</v>
      </c>
      <c r="AI198" s="8" t="n">
        <v>0</v>
      </c>
      <c r="AJ198" s="4"/>
      <c r="AK198" s="4"/>
      <c r="AL198" s="9"/>
      <c r="AM198" s="9"/>
    </row>
    <row r="199" customFormat="false" ht="12.75" hidden="false" customHeight="false" outlineLevel="0" collapsed="false">
      <c r="A199" s="2" t="s">
        <v>44</v>
      </c>
      <c r="B199" s="2"/>
      <c r="C199" s="2" t="n">
        <v>3824</v>
      </c>
      <c r="D199" s="4" t="s">
        <v>502</v>
      </c>
      <c r="E199" s="4"/>
      <c r="F199" s="4"/>
      <c r="G199" s="4" t="s">
        <v>49</v>
      </c>
      <c r="H199" s="4"/>
      <c r="I199" s="4"/>
      <c r="J199" s="4"/>
      <c r="K199" s="5"/>
      <c r="L199" s="58"/>
      <c r="M199" s="7"/>
      <c r="R199" s="8"/>
      <c r="S199" s="8"/>
      <c r="T199" s="8"/>
      <c r="U199" s="8"/>
      <c r="V199" s="8"/>
      <c r="W199" s="8"/>
      <c r="X199" s="60"/>
      <c r="Y199" s="8"/>
      <c r="Z199" s="8"/>
      <c r="AA199" s="8"/>
      <c r="AB199" s="8"/>
      <c r="AC199" s="8"/>
      <c r="AD199" s="61"/>
      <c r="AE199" s="61"/>
      <c r="AF199" s="62"/>
      <c r="AG199" s="62"/>
      <c r="AH199" s="8" t="n">
        <v>0</v>
      </c>
      <c r="AI199" s="8" t="n">
        <v>0</v>
      </c>
      <c r="AJ199" s="4"/>
      <c r="AK199" s="4"/>
      <c r="AL199" s="9"/>
      <c r="AM199" s="9"/>
    </row>
    <row r="200" customFormat="false" ht="12.75" hidden="false" customHeight="false" outlineLevel="0" collapsed="false">
      <c r="A200" s="2" t="s">
        <v>44</v>
      </c>
      <c r="B200" s="2"/>
      <c r="C200" s="2" t="n">
        <v>3894</v>
      </c>
      <c r="D200" s="4" t="s">
        <v>503</v>
      </c>
      <c r="E200" s="4"/>
      <c r="F200" s="4"/>
      <c r="G200" s="4" t="s">
        <v>49</v>
      </c>
      <c r="H200" s="4"/>
      <c r="I200" s="4"/>
      <c r="J200" s="4"/>
      <c r="K200" s="5"/>
      <c r="L200" s="58"/>
      <c r="M200" s="7"/>
      <c r="R200" s="8"/>
      <c r="S200" s="8"/>
      <c r="T200" s="8"/>
      <c r="U200" s="8"/>
      <c r="V200" s="8"/>
      <c r="W200" s="8"/>
      <c r="X200" s="60"/>
      <c r="Y200" s="8"/>
      <c r="Z200" s="8"/>
      <c r="AA200" s="8"/>
      <c r="AB200" s="8"/>
      <c r="AC200" s="8"/>
      <c r="AD200" s="61"/>
      <c r="AE200" s="61"/>
      <c r="AF200" s="62"/>
      <c r="AG200" s="62"/>
      <c r="AH200" s="8" t="n">
        <v>0</v>
      </c>
      <c r="AI200" s="8" t="n">
        <v>0</v>
      </c>
      <c r="AJ200" s="4"/>
      <c r="AK200" s="4"/>
      <c r="AL200" s="9"/>
      <c r="AM200" s="9"/>
    </row>
    <row r="201" customFormat="false" ht="12.75" hidden="false" customHeight="false" outlineLevel="0" collapsed="false">
      <c r="A201" s="2"/>
      <c r="B201" s="2" t="s">
        <v>44</v>
      </c>
      <c r="C201" s="2" t="n">
        <v>3632</v>
      </c>
      <c r="D201" s="4" t="s">
        <v>504</v>
      </c>
      <c r="E201" s="4" t="s">
        <v>505</v>
      </c>
      <c r="F201" s="4" t="s">
        <v>151</v>
      </c>
      <c r="G201" s="4" t="s">
        <v>49</v>
      </c>
      <c r="H201" s="4" t="n">
        <v>1995</v>
      </c>
      <c r="I201" s="4"/>
      <c r="J201" s="4" t="s">
        <v>48</v>
      </c>
      <c r="K201" s="5" t="s">
        <v>49</v>
      </c>
      <c r="L201" s="58" t="s">
        <v>490</v>
      </c>
      <c r="M201" s="7" t="n">
        <v>158</v>
      </c>
      <c r="N201" s="59" t="n">
        <v>0.922</v>
      </c>
      <c r="O201" s="59" t="n">
        <v>0.922</v>
      </c>
      <c r="P201" s="59" t="n">
        <v>0.869</v>
      </c>
      <c r="Q201" s="59" t="n">
        <v>0.892</v>
      </c>
      <c r="R201" s="8" t="n">
        <v>1604003</v>
      </c>
      <c r="S201" s="8" t="n">
        <v>1376005</v>
      </c>
      <c r="T201" s="8" t="n">
        <f aca="false">IF(J201="regional",IF(R201&gt;0,R201*0.2975,S201*0.3484),S201*0.1939)</f>
        <v>477190.8925</v>
      </c>
      <c r="U201" s="8" t="n">
        <v>865639</v>
      </c>
      <c r="V201" s="8" t="n">
        <f aca="false">S201-U201</f>
        <v>510366</v>
      </c>
      <c r="W201" s="8" t="n">
        <v>7200</v>
      </c>
      <c r="X201" s="60" t="n">
        <f aca="false">Y201+Z201</f>
        <v>1141351.8925</v>
      </c>
      <c r="Y201" s="8" t="n">
        <f aca="false">IF(B201="y",T201,0)</f>
        <v>477190.8925</v>
      </c>
      <c r="Z201" s="8" t="n">
        <v>664161</v>
      </c>
      <c r="AA201" s="8" t="n">
        <f aca="false">AB201+AC201</f>
        <v>711844</v>
      </c>
      <c r="AB201" s="8" t="n">
        <f aca="false">IF(B201="y",0,T201)</f>
        <v>0</v>
      </c>
      <c r="AC201" s="8" t="n">
        <f aca="false">S201-Z201</f>
        <v>711844</v>
      </c>
      <c r="AD201" s="61" t="n">
        <f aca="false">IF(K201="y",Z201,0)</f>
        <v>0</v>
      </c>
      <c r="AE201" s="61" t="n">
        <f aca="false">IF($K201="",Z201,0)+IF($K201="n",Z201,0)</f>
        <v>664161</v>
      </c>
      <c r="AF201" s="62" t="n">
        <f aca="false">IF($K201="y",AC201,0)</f>
        <v>0</v>
      </c>
      <c r="AG201" s="62" t="n">
        <f aca="false">IF($K201="",AC201,0)+IF($K201="n",AC201,0)</f>
        <v>711844</v>
      </c>
      <c r="AH201" s="8" t="n">
        <v>0</v>
      </c>
      <c r="AI201" s="8" t="n">
        <v>0</v>
      </c>
      <c r="AJ201" s="4"/>
      <c r="AK201" s="4"/>
      <c r="AL201" s="9"/>
      <c r="AM201" s="9"/>
    </row>
    <row r="202" customFormat="false" ht="12.75" hidden="false" customHeight="false" outlineLevel="0" collapsed="false">
      <c r="A202" s="2" t="s">
        <v>44</v>
      </c>
      <c r="B202" s="2"/>
      <c r="C202" s="2" t="n">
        <v>3635</v>
      </c>
      <c r="D202" s="4" t="s">
        <v>506</v>
      </c>
      <c r="E202" s="4" t="s">
        <v>507</v>
      </c>
      <c r="F202" s="4" t="s">
        <v>151</v>
      </c>
      <c r="G202" s="4" t="s">
        <v>49</v>
      </c>
      <c r="H202" s="4" t="n">
        <v>1997</v>
      </c>
      <c r="I202" s="4"/>
      <c r="J202" s="4" t="s">
        <v>48</v>
      </c>
      <c r="K202" s="5" t="s">
        <v>44</v>
      </c>
      <c r="L202" s="6" t="s">
        <v>490</v>
      </c>
      <c r="M202" s="7"/>
      <c r="N202" s="59" t="n">
        <v>0.971</v>
      </c>
      <c r="O202" s="59" t="n">
        <v>0.976</v>
      </c>
      <c r="P202" s="59" t="n">
        <v>0.895</v>
      </c>
      <c r="Q202" s="59" t="n">
        <v>0.824</v>
      </c>
      <c r="R202" s="8" t="n">
        <v>1032173</v>
      </c>
      <c r="S202" s="8" t="n">
        <v>679383</v>
      </c>
      <c r="T202" s="8" t="n">
        <f aca="false">IF(J202="regional",IF(R202&gt;0,R202*0.2975,S202*0.3484),S202*0.1939)</f>
        <v>307071.4675</v>
      </c>
      <c r="U202" s="8" t="n">
        <v>472747</v>
      </c>
      <c r="V202" s="8" t="n">
        <f aca="false">S202-U202</f>
        <v>206636</v>
      </c>
      <c r="W202" s="8" t="n">
        <v>3600</v>
      </c>
      <c r="X202" s="60" t="n">
        <f aca="false">Y202+Z202</f>
        <v>0</v>
      </c>
      <c r="Y202" s="8" t="n">
        <f aca="false">IF(B202="y",T202,0)</f>
        <v>0</v>
      </c>
      <c r="Z202" s="9"/>
      <c r="AA202" s="8" t="n">
        <f aca="false">AB202+AC202</f>
        <v>986454.4675</v>
      </c>
      <c r="AB202" s="8" t="n">
        <f aca="false">IF(B202="y",0,T202)</f>
        <v>307071.4675</v>
      </c>
      <c r="AC202" s="8" t="n">
        <f aca="false">S202-Z202</f>
        <v>679383</v>
      </c>
      <c r="AD202" s="61" t="n">
        <f aca="false">IF(K202="y",Z202,0)</f>
        <v>0</v>
      </c>
      <c r="AE202" s="61" t="n">
        <f aca="false">IF($K202="",Z202,0)+IF($K202="n",Z202,0)</f>
        <v>0</v>
      </c>
      <c r="AF202" s="62" t="n">
        <f aca="false">IF($K202="y",AC202,0)</f>
        <v>679383</v>
      </c>
      <c r="AG202" s="62" t="n">
        <f aca="false">IF($K202="",AC202,0)+IF($K202="n",AC202,0)</f>
        <v>0</v>
      </c>
      <c r="AH202" s="8" t="n">
        <v>1936000</v>
      </c>
      <c r="AI202" s="8" t="n">
        <v>1972000</v>
      </c>
      <c r="AJ202" s="1" t="s">
        <v>91</v>
      </c>
      <c r="AK202" s="63" t="n">
        <v>429721</v>
      </c>
      <c r="AL202" s="9"/>
      <c r="AM202" s="9" t="s">
        <v>51</v>
      </c>
    </row>
    <row r="203" customFormat="false" ht="12.75" hidden="false" customHeight="false" outlineLevel="0" collapsed="false">
      <c r="A203" s="2" t="s">
        <v>44</v>
      </c>
      <c r="B203" s="2"/>
      <c r="C203" s="2" t="n">
        <v>4674</v>
      </c>
      <c r="D203" s="64" t="s">
        <v>508</v>
      </c>
      <c r="E203" s="4" t="s">
        <v>136</v>
      </c>
      <c r="F203" s="4" t="s">
        <v>137</v>
      </c>
      <c r="G203" s="4" t="s">
        <v>44</v>
      </c>
      <c r="H203" s="4" t="n">
        <v>1997</v>
      </c>
      <c r="I203" s="4"/>
      <c r="J203" s="4" t="s">
        <v>48</v>
      </c>
      <c r="K203" s="5" t="s">
        <v>44</v>
      </c>
      <c r="L203" s="58" t="s">
        <v>509</v>
      </c>
      <c r="M203" s="7" t="n">
        <v>122</v>
      </c>
      <c r="N203" s="59" t="n">
        <v>0.93</v>
      </c>
      <c r="O203" s="59" t="n">
        <v>0.933</v>
      </c>
      <c r="P203" s="59" t="n">
        <v>0.94</v>
      </c>
      <c r="Q203" s="59" t="n">
        <v>0.952</v>
      </c>
      <c r="R203" s="8" t="n">
        <v>697704</v>
      </c>
      <c r="S203" s="8" t="n">
        <v>1046630</v>
      </c>
      <c r="T203" s="8" t="n">
        <f aca="false">IF(J203="regional",IF(R203&gt;0,R203*0.2975,S203*0.3484),S203*0.1939)</f>
        <v>207566.94</v>
      </c>
      <c r="U203" s="8" t="n">
        <v>655987</v>
      </c>
      <c r="V203" s="8" t="n">
        <f aca="false">S203-U203</f>
        <v>390643</v>
      </c>
      <c r="W203" s="8" t="n">
        <v>6000</v>
      </c>
      <c r="X203" s="60" t="n">
        <f aca="false">Y203+Z203</f>
        <v>0</v>
      </c>
      <c r="Y203" s="8" t="n">
        <f aca="false">IF(B203="y",T203,0)</f>
        <v>0</v>
      </c>
      <c r="Z203" s="8"/>
      <c r="AA203" s="8" t="n">
        <f aca="false">AB203+AC203</f>
        <v>1254196.94</v>
      </c>
      <c r="AB203" s="8" t="n">
        <f aca="false">IF(B203="y",0,T203)</f>
        <v>207566.94</v>
      </c>
      <c r="AC203" s="8" t="n">
        <f aca="false">S203-Z203</f>
        <v>1046630</v>
      </c>
      <c r="AD203" s="61" t="n">
        <f aca="false">IF(K203="y",Z203,0)</f>
        <v>0</v>
      </c>
      <c r="AE203" s="61" t="n">
        <f aca="false">IF($K203="",Z203,0)+IF($K203="n",Z203,0)</f>
        <v>0</v>
      </c>
      <c r="AF203" s="62" t="n">
        <f aca="false">IF($K203="y",AC203,0)</f>
        <v>1046630</v>
      </c>
      <c r="AG203" s="62" t="n">
        <f aca="false">IF($K203="",AC203,0)+IF($K203="n",AC203,0)</f>
        <v>0</v>
      </c>
      <c r="AH203" s="8" t="n">
        <v>889000</v>
      </c>
      <c r="AI203" s="8" t="n">
        <v>199000</v>
      </c>
      <c r="AJ203" s="1" t="s">
        <v>51</v>
      </c>
      <c r="AK203" s="63" t="n">
        <v>936983</v>
      </c>
      <c r="AL203" s="9"/>
      <c r="AM203" s="9"/>
    </row>
    <row r="204" customFormat="false" ht="12.75" hidden="false" customHeight="false" outlineLevel="0" collapsed="false">
      <c r="A204" s="2" t="s">
        <v>44</v>
      </c>
      <c r="B204" s="2"/>
      <c r="C204" s="2" t="n">
        <v>3725</v>
      </c>
      <c r="D204" s="4" t="s">
        <v>510</v>
      </c>
      <c r="E204" s="4" t="s">
        <v>511</v>
      </c>
      <c r="F204" s="4" t="s">
        <v>404</v>
      </c>
      <c r="G204" s="4" t="s">
        <v>44</v>
      </c>
      <c r="H204" s="4" t="n">
        <v>1975</v>
      </c>
      <c r="I204" s="4"/>
      <c r="J204" s="4" t="s">
        <v>48</v>
      </c>
      <c r="K204" s="5" t="s">
        <v>44</v>
      </c>
      <c r="L204" s="58" t="s">
        <v>512</v>
      </c>
      <c r="M204" s="7" t="n">
        <v>83</v>
      </c>
      <c r="N204" s="59" t="n">
        <v>0.84</v>
      </c>
      <c r="O204" s="59" t="n">
        <v>0.879</v>
      </c>
      <c r="P204" s="59" t="n">
        <v>0.878</v>
      </c>
      <c r="Q204" s="59" t="n">
        <v>0.849</v>
      </c>
      <c r="R204" s="8" t="n">
        <v>961354</v>
      </c>
      <c r="S204" s="8" t="n">
        <v>850638</v>
      </c>
      <c r="T204" s="8" t="n">
        <f aca="false">IF(J204="regional",IF(R204&gt;0,R204*0.2975,S204*0.3484),S204*0.1939)</f>
        <v>286002.815</v>
      </c>
      <c r="U204" s="8" t="n">
        <v>639637</v>
      </c>
      <c r="V204" s="8" t="n">
        <f aca="false">S204-U204</f>
        <v>211001</v>
      </c>
      <c r="W204" s="8" t="n">
        <v>4680</v>
      </c>
      <c r="X204" s="60" t="n">
        <f aca="false">Y204+Z204</f>
        <v>0</v>
      </c>
      <c r="Y204" s="8" t="n">
        <f aca="false">IF(B204="y",T204,0)</f>
        <v>0</v>
      </c>
      <c r="Z204" s="8"/>
      <c r="AA204" s="8" t="n">
        <f aca="false">AB204+AC204</f>
        <v>1136640.815</v>
      </c>
      <c r="AB204" s="8" t="n">
        <f aca="false">IF(B204="y",0,T204)</f>
        <v>286002.815</v>
      </c>
      <c r="AC204" s="8" t="n">
        <f aca="false">S204-Z204</f>
        <v>850638</v>
      </c>
      <c r="AD204" s="61" t="n">
        <f aca="false">IF(K204="y",Z204,0)</f>
        <v>0</v>
      </c>
      <c r="AE204" s="61" t="n">
        <f aca="false">IF($K204="",Z204,0)+IF($K204="n",Z204,0)</f>
        <v>0</v>
      </c>
      <c r="AF204" s="62" t="n">
        <f aca="false">IF($K204="y",AC204,0)</f>
        <v>850638</v>
      </c>
      <c r="AG204" s="62" t="n">
        <f aca="false">IF($K204="",AC204,0)+IF($K204="n",AC204,0)</f>
        <v>0</v>
      </c>
      <c r="AH204" s="8" t="n">
        <v>401000</v>
      </c>
      <c r="AI204" s="8" t="n">
        <v>329000</v>
      </c>
      <c r="AJ204" s="1" t="s">
        <v>51</v>
      </c>
      <c r="AK204" s="63" t="n">
        <v>435047</v>
      </c>
      <c r="AL204" s="9"/>
      <c r="AM204" s="9"/>
    </row>
    <row r="205" customFormat="false" ht="12.75" hidden="false" customHeight="false" outlineLevel="0" collapsed="false">
      <c r="A205" s="2" t="s">
        <v>44</v>
      </c>
      <c r="B205" s="2"/>
      <c r="C205" s="2" t="n">
        <v>4772</v>
      </c>
      <c r="D205" s="4" t="s">
        <v>510</v>
      </c>
      <c r="E205" s="4" t="s">
        <v>513</v>
      </c>
      <c r="F205" s="4" t="s">
        <v>47</v>
      </c>
      <c r="G205" s="4" t="s">
        <v>49</v>
      </c>
      <c r="H205" s="4" t="n">
        <v>1974</v>
      </c>
      <c r="I205" s="4" t="n">
        <v>1997</v>
      </c>
      <c r="J205" s="4" t="s">
        <v>48</v>
      </c>
      <c r="K205" s="5" t="s">
        <v>44</v>
      </c>
      <c r="L205" s="58" t="s">
        <v>514</v>
      </c>
      <c r="M205" s="7" t="n">
        <v>125</v>
      </c>
      <c r="N205" s="59" t="n">
        <v>0.894</v>
      </c>
      <c r="O205" s="59" t="n">
        <v>0.898</v>
      </c>
      <c r="P205" s="59" t="n">
        <v>0.925</v>
      </c>
      <c r="Q205" s="59" t="n">
        <v>0.952</v>
      </c>
      <c r="R205" s="8" t="n">
        <v>954926</v>
      </c>
      <c r="S205" s="8" t="n">
        <v>927592</v>
      </c>
      <c r="T205" s="8" t="n">
        <f aca="false">IF(J205="regional",IF(R205&gt;0,R205*0.2975,S205*0.3484),S205*0.1939)</f>
        <v>284090.485</v>
      </c>
      <c r="U205" s="8" t="n">
        <v>578056</v>
      </c>
      <c r="V205" s="8" t="n">
        <f aca="false">S205-U205</f>
        <v>349536</v>
      </c>
      <c r="W205" s="8" t="n">
        <v>5268</v>
      </c>
      <c r="X205" s="60" t="n">
        <f aca="false">Y205+Z205</f>
        <v>0</v>
      </c>
      <c r="Y205" s="8" t="n">
        <f aca="false">IF(B205="y",T205,0)</f>
        <v>0</v>
      </c>
      <c r="Z205" s="8"/>
      <c r="AA205" s="8" t="n">
        <f aca="false">AB205+AC205</f>
        <v>1211682.485</v>
      </c>
      <c r="AB205" s="8" t="n">
        <f aca="false">IF(B205="y",0,T205)</f>
        <v>284090.485</v>
      </c>
      <c r="AC205" s="8" t="n">
        <f aca="false">S205-Z205</f>
        <v>927592</v>
      </c>
      <c r="AD205" s="61" t="n">
        <f aca="false">IF(K205="y",Z205,0)</f>
        <v>0</v>
      </c>
      <c r="AE205" s="61" t="n">
        <f aca="false">IF($K205="",Z205,0)+IF($K205="n",Z205,0)</f>
        <v>0</v>
      </c>
      <c r="AF205" s="62" t="n">
        <f aca="false">IF($K205="y",AC205,0)</f>
        <v>927592</v>
      </c>
      <c r="AG205" s="62" t="n">
        <f aca="false">IF($K205="",AC205,0)+IF($K205="n",AC205,0)</f>
        <v>0</v>
      </c>
      <c r="AH205" s="8" t="n">
        <v>674000</v>
      </c>
      <c r="AI205" s="8" t="n">
        <v>458000</v>
      </c>
      <c r="AJ205" s="1" t="s">
        <v>70</v>
      </c>
      <c r="AK205" s="63" t="n">
        <v>290806.95</v>
      </c>
      <c r="AL205" s="9"/>
      <c r="AM205" s="9"/>
    </row>
    <row r="206" customFormat="false" ht="12.75" hidden="false" customHeight="false" outlineLevel="0" collapsed="false">
      <c r="A206" s="2" t="s">
        <v>44</v>
      </c>
      <c r="B206" s="2"/>
      <c r="C206" s="2" t="n">
        <v>4838</v>
      </c>
      <c r="D206" s="64" t="s">
        <v>515</v>
      </c>
      <c r="E206" s="4" t="s">
        <v>516</v>
      </c>
      <c r="F206" s="4" t="s">
        <v>127</v>
      </c>
      <c r="G206" s="4" t="s">
        <v>44</v>
      </c>
      <c r="H206" s="4" t="n">
        <v>1961</v>
      </c>
      <c r="I206" s="4"/>
      <c r="J206" s="4" t="s">
        <v>48</v>
      </c>
      <c r="K206" s="5" t="s">
        <v>49</v>
      </c>
      <c r="L206" s="6" t="s">
        <v>517</v>
      </c>
      <c r="M206" s="7" t="n">
        <v>184</v>
      </c>
      <c r="N206" s="59" t="n">
        <v>0.937</v>
      </c>
      <c r="O206" s="59" t="n">
        <v>0.933</v>
      </c>
      <c r="P206" s="59" t="n">
        <v>0.925</v>
      </c>
      <c r="Q206" s="59" t="n">
        <v>0.952</v>
      </c>
      <c r="R206" s="8" t="n">
        <v>1645706</v>
      </c>
      <c r="S206" s="8" t="n">
        <v>1595000</v>
      </c>
      <c r="T206" s="8" t="n">
        <f aca="false">IF(J206="regional",IF(R206&gt;0,R206*0.2975,S206*0.3484),S206*0.1939)</f>
        <v>489597.535</v>
      </c>
      <c r="U206" s="8" t="n">
        <v>865500</v>
      </c>
      <c r="V206" s="8" t="n">
        <f aca="false">S206-U206</f>
        <v>729500</v>
      </c>
      <c r="W206" s="8" t="n">
        <v>8730</v>
      </c>
      <c r="X206" s="60" t="n">
        <f aca="false">Y206+Z206</f>
        <v>0</v>
      </c>
      <c r="Y206" s="8" t="n">
        <f aca="false">IF(B206="y",T206,0)</f>
        <v>0</v>
      </c>
      <c r="Z206" s="9"/>
      <c r="AA206" s="8" t="n">
        <f aca="false">AB206+AC206</f>
        <v>2084597.535</v>
      </c>
      <c r="AB206" s="8" t="n">
        <f aca="false">IF(B206="y",0,T206)</f>
        <v>489597.535</v>
      </c>
      <c r="AC206" s="8" t="n">
        <f aca="false">S206-Z206</f>
        <v>1595000</v>
      </c>
      <c r="AD206" s="61" t="n">
        <f aca="false">IF(K206="y",Z206,0)</f>
        <v>0</v>
      </c>
      <c r="AE206" s="61" t="n">
        <f aca="false">IF($K206="",Z206,0)+IF($K206="n",Z206,0)</f>
        <v>0</v>
      </c>
      <c r="AF206" s="62" t="n">
        <f aca="false">IF($K206="y",AC206,0)</f>
        <v>0</v>
      </c>
      <c r="AG206" s="62" t="n">
        <f aca="false">IF($K206="",AC206,0)+IF($K206="n",AC206,0)</f>
        <v>1595000</v>
      </c>
      <c r="AH206" s="8" t="n">
        <v>0</v>
      </c>
      <c r="AI206" s="8" t="n">
        <v>0</v>
      </c>
      <c r="AJ206" s="1" t="s">
        <v>130</v>
      </c>
      <c r="AK206" s="63" t="n">
        <v>117485</v>
      </c>
      <c r="AL206" s="9"/>
      <c r="AM206" s="9"/>
    </row>
    <row r="207" customFormat="false" ht="12.75" hidden="false" customHeight="false" outlineLevel="0" collapsed="false">
      <c r="A207" s="2" t="s">
        <v>44</v>
      </c>
      <c r="B207" s="2"/>
      <c r="C207" s="2" t="n">
        <v>4778</v>
      </c>
      <c r="D207" s="68" t="s">
        <v>518</v>
      </c>
      <c r="E207" s="4"/>
      <c r="F207" s="4"/>
      <c r="G207" s="4" t="s">
        <v>49</v>
      </c>
      <c r="H207" s="4"/>
      <c r="I207" s="4"/>
      <c r="J207" s="4"/>
      <c r="K207" s="5"/>
      <c r="L207" s="6"/>
      <c r="M207" s="7"/>
      <c r="N207" s="59"/>
      <c r="O207" s="59"/>
      <c r="P207" s="59"/>
      <c r="Q207" s="59"/>
      <c r="R207" s="8"/>
      <c r="S207" s="8"/>
      <c r="T207" s="8"/>
      <c r="U207" s="8"/>
      <c r="V207" s="8"/>
      <c r="W207" s="8"/>
      <c r="X207" s="60"/>
      <c r="Y207" s="8"/>
      <c r="Z207" s="9"/>
      <c r="AA207" s="8"/>
      <c r="AB207" s="8"/>
      <c r="AC207" s="8"/>
      <c r="AD207" s="61"/>
      <c r="AE207" s="61"/>
      <c r="AF207" s="62"/>
      <c r="AG207" s="62"/>
      <c r="AH207" s="8" t="n">
        <v>550000</v>
      </c>
      <c r="AI207" s="8" t="n">
        <v>548000</v>
      </c>
      <c r="AK207" s="63"/>
      <c r="AL207" s="9"/>
      <c r="AM207" s="9"/>
    </row>
    <row r="208" customFormat="false" ht="12.75" hidden="false" customHeight="false" outlineLevel="0" collapsed="false">
      <c r="A208" s="2" t="s">
        <v>44</v>
      </c>
      <c r="B208" s="2"/>
      <c r="C208" s="2" t="n">
        <v>9550</v>
      </c>
      <c r="D208" s="4" t="s">
        <v>519</v>
      </c>
      <c r="E208" s="4" t="s">
        <v>520</v>
      </c>
      <c r="F208" s="4" t="s">
        <v>101</v>
      </c>
      <c r="G208" s="4" t="s">
        <v>44</v>
      </c>
      <c r="H208" s="4" t="n">
        <v>1970</v>
      </c>
      <c r="I208" s="4"/>
      <c r="J208" s="4" t="s">
        <v>48</v>
      </c>
      <c r="K208" s="5" t="s">
        <v>49</v>
      </c>
      <c r="L208" s="58" t="s">
        <v>102</v>
      </c>
      <c r="M208" s="7" t="n">
        <v>130</v>
      </c>
      <c r="N208" s="59" t="n">
        <v>0.904</v>
      </c>
      <c r="O208" s="59" t="n">
        <v>0.908</v>
      </c>
      <c r="P208" s="59" t="n">
        <v>0.914</v>
      </c>
      <c r="Q208" s="59" t="n">
        <v>0.919</v>
      </c>
      <c r="R208" s="8" t="n">
        <v>1259825</v>
      </c>
      <c r="S208" s="8" t="n">
        <v>1167033</v>
      </c>
      <c r="T208" s="8" t="n">
        <f aca="false">IF(J208="regional",IF(R208&gt;0,R208*0.2975,S208*0.3484),S208*0.1939)</f>
        <v>374797.9375</v>
      </c>
      <c r="U208" s="8" t="n">
        <v>866746</v>
      </c>
      <c r="V208" s="8" t="n">
        <f aca="false">S208-U208</f>
        <v>300287</v>
      </c>
      <c r="W208" s="8" t="n">
        <v>5683</v>
      </c>
      <c r="X208" s="60" t="n">
        <f aca="false">Y208+Z208</f>
        <v>0</v>
      </c>
      <c r="Y208" s="8" t="n">
        <f aca="false">IF(B208="y",T208,0)</f>
        <v>0</v>
      </c>
      <c r="Z208" s="8"/>
      <c r="AA208" s="8" t="n">
        <f aca="false">AB208+AC208</f>
        <v>1541830.9375</v>
      </c>
      <c r="AB208" s="8" t="n">
        <f aca="false">IF(B208="y",0,T208)</f>
        <v>374797.9375</v>
      </c>
      <c r="AC208" s="8" t="n">
        <f aca="false">S208-Z208</f>
        <v>1167033</v>
      </c>
      <c r="AD208" s="61" t="n">
        <f aca="false">IF(K208="y",Z208,0)</f>
        <v>0</v>
      </c>
      <c r="AE208" s="61" t="n">
        <f aca="false">IF($K208="",Z208,0)+IF($K208="n",Z208,0)</f>
        <v>0</v>
      </c>
      <c r="AF208" s="62" t="n">
        <f aca="false">IF($K208="y",AC208,0)</f>
        <v>0</v>
      </c>
      <c r="AG208" s="62" t="n">
        <f aca="false">IF($K208="",AC208,0)+IF($K208="n",AC208,0)</f>
        <v>1167033</v>
      </c>
      <c r="AH208" s="8" t="n">
        <v>0</v>
      </c>
      <c r="AI208" s="8" t="n">
        <v>0</v>
      </c>
      <c r="AJ208" s="1" t="s">
        <v>51</v>
      </c>
      <c r="AK208" s="63" t="n">
        <v>931568</v>
      </c>
      <c r="AL208" s="9"/>
      <c r="AM208" s="9"/>
    </row>
    <row r="209" customFormat="false" ht="12.75" hidden="false" customHeight="false" outlineLevel="0" collapsed="false">
      <c r="A209" s="2" t="s">
        <v>44</v>
      </c>
      <c r="B209" s="2"/>
      <c r="C209" s="2" t="n">
        <v>3892</v>
      </c>
      <c r="D209" s="4" t="s">
        <v>521</v>
      </c>
      <c r="E209" s="4" t="s">
        <v>522</v>
      </c>
      <c r="F209" s="4" t="s">
        <v>523</v>
      </c>
      <c r="G209" s="4" t="s">
        <v>49</v>
      </c>
      <c r="H209" s="4" t="n">
        <v>1988</v>
      </c>
      <c r="I209" s="4"/>
      <c r="J209" s="4" t="s">
        <v>48</v>
      </c>
      <c r="K209" s="5" t="s">
        <v>49</v>
      </c>
      <c r="L209" s="58" t="s">
        <v>524</v>
      </c>
      <c r="M209" s="7" t="n">
        <v>32</v>
      </c>
      <c r="N209" s="59" t="n">
        <v>0.888</v>
      </c>
      <c r="O209" s="59" t="n">
        <v>0.915</v>
      </c>
      <c r="P209" s="59" t="n">
        <v>0.914</v>
      </c>
      <c r="Q209" s="59" t="n">
        <v>0.811</v>
      </c>
      <c r="R209" s="8" t="n">
        <v>368196</v>
      </c>
      <c r="S209" s="8" t="n">
        <v>295848</v>
      </c>
      <c r="T209" s="8" t="n">
        <f aca="false">IF(J209="regional",IF(R209&gt;0,R209*0.2975,S209*0.3484),S209*0.1939)</f>
        <v>109538.31</v>
      </c>
      <c r="U209" s="8" t="n">
        <v>252264</v>
      </c>
      <c r="V209" s="8" t="n">
        <f aca="false">S209-U209</f>
        <v>43584</v>
      </c>
      <c r="W209" s="8" t="n">
        <v>2000</v>
      </c>
      <c r="X209" s="60" t="n">
        <f aca="false">Y209+Z209</f>
        <v>0</v>
      </c>
      <c r="Y209" s="8" t="n">
        <f aca="false">IF(B209="y",T209,0)</f>
        <v>0</v>
      </c>
      <c r="Z209" s="8"/>
      <c r="AA209" s="8" t="n">
        <f aca="false">AB209+AC209</f>
        <v>405386.31</v>
      </c>
      <c r="AB209" s="8" t="n">
        <f aca="false">IF(B209="y",0,T209)</f>
        <v>109538.31</v>
      </c>
      <c r="AC209" s="8" t="n">
        <f aca="false">S209-Z209</f>
        <v>295848</v>
      </c>
      <c r="AD209" s="61" t="n">
        <f aca="false">IF(K209="y",Z209,0)</f>
        <v>0</v>
      </c>
      <c r="AE209" s="61" t="n">
        <f aca="false">IF($K209="",Z209,0)+IF($K209="n",Z209,0)</f>
        <v>0</v>
      </c>
      <c r="AF209" s="62" t="n">
        <f aca="false">IF($K209="y",AC209,0)</f>
        <v>0</v>
      </c>
      <c r="AG209" s="62" t="n">
        <f aca="false">IF($K209="",AC209,0)+IF($K209="n",AC209,0)</f>
        <v>295848</v>
      </c>
      <c r="AH209" s="8" t="n">
        <v>0</v>
      </c>
      <c r="AI209" s="8" t="n">
        <v>0</v>
      </c>
      <c r="AJ209" s="1" t="s">
        <v>51</v>
      </c>
      <c r="AK209" s="63" t="n">
        <v>98281</v>
      </c>
      <c r="AL209" s="9"/>
      <c r="AM209" s="9"/>
    </row>
    <row r="210" customFormat="false" ht="12.75" hidden="false" customHeight="false" outlineLevel="0" collapsed="false">
      <c r="A210" s="2" t="s">
        <v>44</v>
      </c>
      <c r="B210" s="2"/>
      <c r="C210" s="2" t="n">
        <v>4777</v>
      </c>
      <c r="D210" s="4" t="s">
        <v>525</v>
      </c>
      <c r="E210" s="4"/>
      <c r="F210" s="4"/>
      <c r="G210" s="4" t="s">
        <v>49</v>
      </c>
      <c r="H210" s="4"/>
      <c r="I210" s="4"/>
      <c r="J210" s="4"/>
      <c r="K210" s="5"/>
      <c r="L210" s="58"/>
      <c r="M210" s="7"/>
      <c r="N210" s="59"/>
      <c r="O210" s="59"/>
      <c r="P210" s="59"/>
      <c r="Q210" s="59"/>
      <c r="R210" s="8"/>
      <c r="S210" s="8"/>
      <c r="T210" s="8"/>
      <c r="U210" s="8"/>
      <c r="V210" s="8"/>
      <c r="W210" s="8"/>
      <c r="X210" s="60"/>
      <c r="Y210" s="8"/>
      <c r="Z210" s="8"/>
      <c r="AA210" s="8"/>
      <c r="AB210" s="8"/>
      <c r="AC210" s="8"/>
      <c r="AD210" s="61"/>
      <c r="AE210" s="61"/>
      <c r="AF210" s="62"/>
      <c r="AG210" s="62"/>
      <c r="AH210" s="8" t="n">
        <v>526000</v>
      </c>
      <c r="AI210" s="8" t="n">
        <v>508000</v>
      </c>
      <c r="AK210" s="63"/>
      <c r="AL210" s="9"/>
      <c r="AM210" s="9"/>
    </row>
    <row r="211" customFormat="false" ht="12.75" hidden="false" customHeight="false" outlineLevel="0" collapsed="false">
      <c r="A211" s="2" t="s">
        <v>44</v>
      </c>
      <c r="B211" s="2" t="s">
        <v>44</v>
      </c>
      <c r="C211" s="2" t="n">
        <v>508</v>
      </c>
      <c r="D211" s="64" t="s">
        <v>526</v>
      </c>
      <c r="E211" s="4" t="s">
        <v>527</v>
      </c>
      <c r="F211" s="4" t="s">
        <v>237</v>
      </c>
      <c r="G211" s="4" t="s">
        <v>44</v>
      </c>
      <c r="H211" s="4" t="n">
        <v>1990</v>
      </c>
      <c r="I211" s="4"/>
      <c r="J211" s="4" t="s">
        <v>48</v>
      </c>
      <c r="K211" s="5" t="s">
        <v>44</v>
      </c>
      <c r="L211" s="58" t="s">
        <v>528</v>
      </c>
      <c r="M211" s="7" t="n">
        <v>99</v>
      </c>
      <c r="N211" s="59" t="n">
        <v>0.888</v>
      </c>
      <c r="O211" s="59" t="n">
        <v>0.901</v>
      </c>
      <c r="P211" s="59" t="n">
        <v>0.912</v>
      </c>
      <c r="Q211" s="59" t="n">
        <v>0.864</v>
      </c>
      <c r="R211" s="8" t="n">
        <v>1185727</v>
      </c>
      <c r="S211" s="8" t="n">
        <v>979982</v>
      </c>
      <c r="T211" s="8" t="n">
        <f aca="false">IF(J211="regional",IF(R211&gt;0,R211*0.2975,S211*0.3484),S211*0.1939)</f>
        <v>352753.7825</v>
      </c>
      <c r="U211" s="8" t="n">
        <v>640797</v>
      </c>
      <c r="V211" s="8" t="n">
        <f aca="false">S211-U211</f>
        <v>339185</v>
      </c>
      <c r="W211" s="8" t="n">
        <v>5527</v>
      </c>
      <c r="X211" s="60" t="n">
        <f aca="false">Y211+Z211</f>
        <v>843834.7825</v>
      </c>
      <c r="Y211" s="8" t="n">
        <f aca="false">IF(B211="y",T211,0)</f>
        <v>352753.7825</v>
      </c>
      <c r="Z211" s="8" t="n">
        <v>491081</v>
      </c>
      <c r="AA211" s="8" t="n">
        <f aca="false">AB211+AC211</f>
        <v>488901</v>
      </c>
      <c r="AB211" s="8" t="n">
        <f aca="false">IF(B211="y",0,T211)</f>
        <v>0</v>
      </c>
      <c r="AC211" s="8" t="n">
        <f aca="false">S211-Z211</f>
        <v>488901</v>
      </c>
      <c r="AD211" s="61" t="n">
        <f aca="false">IF(K211="y",Z211,0)</f>
        <v>491081</v>
      </c>
      <c r="AE211" s="61" t="n">
        <f aca="false">IF($K211="",Z211,0)+IF($K211="n",Z211,0)</f>
        <v>0</v>
      </c>
      <c r="AF211" s="62" t="n">
        <f aca="false">IF($K211="y",AC211,0)</f>
        <v>488901</v>
      </c>
      <c r="AG211" s="62" t="n">
        <f aca="false">IF($K211="",AC211,0)+IF($K211="n",AC211,0)</f>
        <v>0</v>
      </c>
      <c r="AH211" s="8" t="n">
        <v>1362000</v>
      </c>
      <c r="AI211" s="8" t="n">
        <v>1303000</v>
      </c>
      <c r="AJ211" s="1" t="s">
        <v>51</v>
      </c>
      <c r="AK211" s="63" t="n">
        <v>1151545</v>
      </c>
      <c r="AL211" s="9"/>
      <c r="AM211" s="9"/>
    </row>
    <row r="212" customFormat="false" ht="12.75" hidden="false" customHeight="false" outlineLevel="0" collapsed="false">
      <c r="A212" s="2" t="s">
        <v>44</v>
      </c>
      <c r="B212" s="2" t="s">
        <v>44</v>
      </c>
      <c r="C212" s="2" t="n">
        <v>3881</v>
      </c>
      <c r="D212" s="67" t="s">
        <v>529</v>
      </c>
      <c r="E212" s="65" t="s">
        <v>530</v>
      </c>
      <c r="F212" s="4" t="s">
        <v>531</v>
      </c>
      <c r="G212" s="4" t="s">
        <v>44</v>
      </c>
      <c r="H212" s="4" t="n">
        <v>1985</v>
      </c>
      <c r="I212" s="4"/>
      <c r="J212" s="4" t="s">
        <v>48</v>
      </c>
      <c r="K212" s="5" t="s">
        <v>44</v>
      </c>
      <c r="L212" s="58" t="s">
        <v>50</v>
      </c>
      <c r="M212" s="7" t="n">
        <v>155</v>
      </c>
      <c r="N212" s="59" t="n">
        <v>0.34</v>
      </c>
      <c r="O212" s="59" t="n">
        <v>0.503</v>
      </c>
      <c r="P212" s="59" t="n">
        <v>0.466</v>
      </c>
      <c r="Q212" s="59" t="n">
        <v>0.531</v>
      </c>
      <c r="R212" s="8" t="n">
        <v>1198640</v>
      </c>
      <c r="S212" s="8" t="n">
        <v>969423</v>
      </c>
      <c r="T212" s="8" t="n">
        <f aca="false">IF(J212="regional",IF(R212&gt;0,R212*0.2975,S212*0.3484),S212*0.1939)</f>
        <v>356595.4</v>
      </c>
      <c r="U212" s="8" t="n">
        <v>661270</v>
      </c>
      <c r="V212" s="8" t="n">
        <f aca="false">S212-U212</f>
        <v>308153</v>
      </c>
      <c r="W212" s="8" t="n">
        <v>4808</v>
      </c>
      <c r="X212" s="60" t="n">
        <f aca="false">Y212+Z212</f>
        <v>1487039.4</v>
      </c>
      <c r="Y212" s="8" t="n">
        <f aca="false">IF(B212="y",T212,0)</f>
        <v>356595.4</v>
      </c>
      <c r="Z212" s="8" t="n">
        <v>1130444</v>
      </c>
      <c r="AA212" s="8" t="n">
        <f aca="false">AB212+AC212</f>
        <v>-161021</v>
      </c>
      <c r="AB212" s="8" t="n">
        <f aca="false">IF(B212="y",0,T212)</f>
        <v>0</v>
      </c>
      <c r="AC212" s="8" t="n">
        <f aca="false">S212-Z212</f>
        <v>-161021</v>
      </c>
      <c r="AD212" s="61" t="n">
        <f aca="false">IF(K212="y",Z212,0)</f>
        <v>1130444</v>
      </c>
      <c r="AE212" s="61" t="n">
        <f aca="false">IF($K212="",Z212,0)+IF($K212="n",Z212,0)</f>
        <v>0</v>
      </c>
      <c r="AF212" s="62" t="n">
        <f aca="false">IF($K212="y",AC212,0)</f>
        <v>-161021</v>
      </c>
      <c r="AG212" s="62" t="n">
        <f aca="false">IF($K212="",AC212,0)+IF($K212="n",AC212,0)</f>
        <v>0</v>
      </c>
      <c r="AH212" s="8" t="n">
        <v>227000</v>
      </c>
      <c r="AI212" s="8" t="n">
        <v>369000</v>
      </c>
      <c r="AJ212" s="1" t="s">
        <v>51</v>
      </c>
      <c r="AK212" s="63" t="n">
        <v>768498</v>
      </c>
      <c r="AL212" s="9"/>
      <c r="AM212" s="9"/>
    </row>
    <row r="213" customFormat="false" ht="12.75" hidden="false" customHeight="false" outlineLevel="0" collapsed="false">
      <c r="A213" s="2" t="s">
        <v>44</v>
      </c>
      <c r="B213" s="2"/>
      <c r="C213" s="2" t="n">
        <v>3762</v>
      </c>
      <c r="D213" s="4" t="s">
        <v>532</v>
      </c>
      <c r="E213" s="4" t="s">
        <v>527</v>
      </c>
      <c r="F213" s="4" t="s">
        <v>237</v>
      </c>
      <c r="G213" s="4" t="s">
        <v>44</v>
      </c>
      <c r="H213" s="4" t="n">
        <v>1987</v>
      </c>
      <c r="I213" s="4"/>
      <c r="J213" s="4" t="s">
        <v>62</v>
      </c>
      <c r="K213" s="5"/>
      <c r="L213" s="6" t="s">
        <v>533</v>
      </c>
      <c r="M213" s="7" t="n">
        <v>39</v>
      </c>
      <c r="N213" s="59" t="n">
        <v>0.942</v>
      </c>
      <c r="O213" s="59" t="n">
        <v>0.945</v>
      </c>
      <c r="P213" s="59" t="n">
        <v>0.97</v>
      </c>
      <c r="Q213" s="59" t="n">
        <v>0.959</v>
      </c>
      <c r="R213" s="8"/>
      <c r="S213" s="8" t="n">
        <v>411368</v>
      </c>
      <c r="T213" s="8" t="n">
        <f aca="false">IF(J213="regional",IF(R213&gt;0,R213*0.2975,S213*0.3484),S213*0.1939)</f>
        <v>79764.2552</v>
      </c>
      <c r="U213" s="8" t="n">
        <v>321705</v>
      </c>
      <c r="V213" s="8" t="n">
        <f aca="false">S213-U213</f>
        <v>89663</v>
      </c>
      <c r="W213" s="8" t="n">
        <v>2065</v>
      </c>
      <c r="X213" s="60" t="n">
        <f aca="false">Y213+Z213</f>
        <v>0</v>
      </c>
      <c r="Y213" s="8" t="n">
        <f aca="false">IF(B213="y",T213,0)</f>
        <v>0</v>
      </c>
      <c r="Z213" s="9"/>
      <c r="AA213" s="8" t="n">
        <f aca="false">AB213+AC213</f>
        <v>491132.2552</v>
      </c>
      <c r="AB213" s="8" t="n">
        <f aca="false">IF(B213="y",0,T213)</f>
        <v>79764.2552</v>
      </c>
      <c r="AC213" s="8" t="n">
        <f aca="false">S213-Z213</f>
        <v>411368</v>
      </c>
      <c r="AD213" s="61" t="n">
        <f aca="false">IF(K213="y",Z213,0)</f>
        <v>0</v>
      </c>
      <c r="AE213" s="61" t="n">
        <f aca="false">IF($K213="",Z213,0)+IF($K213="n",Z213,0)</f>
        <v>0</v>
      </c>
      <c r="AF213" s="62" t="n">
        <f aca="false">IF($K213="y",AC213,0)</f>
        <v>0</v>
      </c>
      <c r="AG213" s="62" t="n">
        <f aca="false">IF($K213="",AC213,0)+IF($K213="n",AC213,0)</f>
        <v>411368</v>
      </c>
      <c r="AH213" s="8" t="n">
        <v>0</v>
      </c>
      <c r="AI213" s="8" t="n">
        <v>0</v>
      </c>
      <c r="AJ213" s="1" t="s">
        <v>51</v>
      </c>
      <c r="AK213" s="63" t="n">
        <v>108844</v>
      </c>
      <c r="AL213" s="9"/>
      <c r="AM213" s="9"/>
    </row>
    <row r="214" customFormat="false" ht="12.75" hidden="false" customHeight="false" outlineLevel="0" collapsed="false">
      <c r="A214" s="2" t="s">
        <v>44</v>
      </c>
      <c r="B214" s="2"/>
      <c r="C214" s="2" t="n">
        <v>9570</v>
      </c>
      <c r="D214" s="4" t="s">
        <v>534</v>
      </c>
      <c r="E214" s="4" t="s">
        <v>535</v>
      </c>
      <c r="F214" s="4" t="s">
        <v>101</v>
      </c>
      <c r="G214" s="4" t="s">
        <v>44</v>
      </c>
      <c r="H214" s="4" t="n">
        <v>1965</v>
      </c>
      <c r="I214" s="4"/>
      <c r="J214" s="4" t="s">
        <v>48</v>
      </c>
      <c r="K214" s="5" t="s">
        <v>49</v>
      </c>
      <c r="L214" s="58" t="s">
        <v>102</v>
      </c>
      <c r="M214" s="7" t="n">
        <v>116</v>
      </c>
      <c r="N214" s="59" t="n">
        <v>0.879</v>
      </c>
      <c r="O214" s="59" t="n">
        <v>0.908</v>
      </c>
      <c r="P214" s="59" t="n">
        <v>0.858</v>
      </c>
      <c r="Q214" s="59" t="n">
        <v>0.828</v>
      </c>
      <c r="R214" s="8" t="n">
        <v>1209833</v>
      </c>
      <c r="S214" s="8" t="n">
        <v>907670</v>
      </c>
      <c r="T214" s="8" t="n">
        <f aca="false">IF(J214="regional",IF(R214&gt;0,R214*0.2975,S214*0.3484),S214*0.1939)</f>
        <v>359925.3175</v>
      </c>
      <c r="U214" s="8" t="n">
        <v>370057</v>
      </c>
      <c r="V214" s="8" t="n">
        <f aca="false">S214-U214</f>
        <v>537613</v>
      </c>
      <c r="W214" s="8" t="n">
        <v>3957</v>
      </c>
      <c r="X214" s="60" t="n">
        <f aca="false">Y214+Z214</f>
        <v>0</v>
      </c>
      <c r="Y214" s="8" t="n">
        <f aca="false">IF(B214="y",T214,0)</f>
        <v>0</v>
      </c>
      <c r="Z214" s="8"/>
      <c r="AA214" s="8" t="n">
        <f aca="false">AB214+AC214</f>
        <v>1267595.3175</v>
      </c>
      <c r="AB214" s="8" t="n">
        <f aca="false">IF(B214="y",0,T214)</f>
        <v>359925.3175</v>
      </c>
      <c r="AC214" s="8" t="n">
        <f aca="false">S214-Z214</f>
        <v>907670</v>
      </c>
      <c r="AD214" s="61" t="n">
        <f aca="false">IF(K214="y",Z214,0)</f>
        <v>0</v>
      </c>
      <c r="AE214" s="61" t="n">
        <f aca="false">IF($K214="",Z214,0)+IF($K214="n",Z214,0)</f>
        <v>0</v>
      </c>
      <c r="AF214" s="62" t="n">
        <f aca="false">IF($K214="y",AC214,0)</f>
        <v>0</v>
      </c>
      <c r="AG214" s="62" t="n">
        <f aca="false">IF($K214="",AC214,0)+IF($K214="n",AC214,0)</f>
        <v>907670</v>
      </c>
      <c r="AH214" s="8" t="n">
        <v>0</v>
      </c>
      <c r="AI214" s="8" t="n">
        <v>0</v>
      </c>
      <c r="AJ214" s="1" t="s">
        <v>51</v>
      </c>
      <c r="AK214" s="63" t="n">
        <v>679153</v>
      </c>
      <c r="AL214" s="9"/>
      <c r="AM214" s="9"/>
    </row>
    <row r="215" customFormat="false" ht="12.75" hidden="false" customHeight="false" outlineLevel="0" collapsed="false">
      <c r="A215" s="2"/>
      <c r="B215" s="2" t="s">
        <v>44</v>
      </c>
      <c r="C215" s="2" t="n">
        <v>2550</v>
      </c>
      <c r="D215" s="64" t="s">
        <v>536</v>
      </c>
      <c r="E215" s="4" t="s">
        <v>133</v>
      </c>
      <c r="F215" s="4" t="s">
        <v>54</v>
      </c>
      <c r="G215" s="4" t="s">
        <v>44</v>
      </c>
      <c r="H215" s="4" t="n">
        <v>1988</v>
      </c>
      <c r="I215" s="4"/>
      <c r="J215" s="4" t="s">
        <v>48</v>
      </c>
      <c r="K215" s="5" t="s">
        <v>44</v>
      </c>
      <c r="L215" s="58" t="s">
        <v>160</v>
      </c>
      <c r="M215" s="7" t="n">
        <v>140</v>
      </c>
      <c r="N215" s="59" t="n">
        <v>0.739</v>
      </c>
      <c r="O215" s="59" t="n">
        <v>0.778</v>
      </c>
      <c r="P215" s="59" t="n">
        <v>0.76</v>
      </c>
      <c r="Q215" s="59" t="n">
        <v>0.757</v>
      </c>
      <c r="R215" s="8" t="n">
        <v>193720</v>
      </c>
      <c r="S215" s="8" t="n">
        <v>885608</v>
      </c>
      <c r="T215" s="8" t="n">
        <f aca="false">IF(J215="regional",IF(R215&gt;0,R215*0.2975,S215*0.3484),S215*0.1939)</f>
        <v>57631.7</v>
      </c>
      <c r="U215" s="8" t="n">
        <v>575730</v>
      </c>
      <c r="V215" s="8" t="n">
        <f aca="false">S215-U215</f>
        <v>309878</v>
      </c>
      <c r="W215" s="8" t="n">
        <v>4750</v>
      </c>
      <c r="X215" s="60" t="n">
        <f aca="false">Y215+Z215</f>
        <v>574203.7</v>
      </c>
      <c r="Y215" s="8" t="n">
        <f aca="false">IF(B215="y",T215,0)</f>
        <v>57631.7</v>
      </c>
      <c r="Z215" s="8" t="n">
        <v>516572</v>
      </c>
      <c r="AA215" s="8" t="n">
        <f aca="false">AB215+AC215</f>
        <v>369036</v>
      </c>
      <c r="AB215" s="8" t="n">
        <f aca="false">IF(B215="y",0,T215)</f>
        <v>0</v>
      </c>
      <c r="AC215" s="8" t="n">
        <f aca="false">S215-Z215</f>
        <v>369036</v>
      </c>
      <c r="AD215" s="61" t="n">
        <f aca="false">IF(K215="y",Z215,0)</f>
        <v>516572</v>
      </c>
      <c r="AE215" s="61" t="n">
        <f aca="false">IF($K215="",Z215,0)+IF($K215="n",Z215,0)</f>
        <v>0</v>
      </c>
      <c r="AF215" s="62" t="n">
        <f aca="false">IF($K215="y",AC215,0)</f>
        <v>369036</v>
      </c>
      <c r="AG215" s="62" t="n">
        <f aca="false">IF($K215="",AC215,0)+IF($K215="n",AC215,0)</f>
        <v>0</v>
      </c>
      <c r="AH215" s="8" t="n">
        <v>677000</v>
      </c>
      <c r="AI215" s="8" t="n">
        <v>587000</v>
      </c>
      <c r="AJ215" s="1" t="s">
        <v>51</v>
      </c>
      <c r="AK215" s="63" t="n">
        <v>814037</v>
      </c>
      <c r="AL215" s="9"/>
      <c r="AM215" s="9"/>
    </row>
    <row r="216" customFormat="false" ht="12.75" hidden="false" customHeight="false" outlineLevel="0" collapsed="false">
      <c r="A216" s="2" t="s">
        <v>44</v>
      </c>
      <c r="B216" s="2"/>
      <c r="C216" s="2" t="n">
        <v>9600</v>
      </c>
      <c r="D216" s="64" t="s">
        <v>537</v>
      </c>
      <c r="E216" s="4" t="s">
        <v>538</v>
      </c>
      <c r="F216" s="4" t="s">
        <v>173</v>
      </c>
      <c r="G216" s="4" t="s">
        <v>44</v>
      </c>
      <c r="H216" s="4" t="n">
        <v>1987</v>
      </c>
      <c r="I216" s="4"/>
      <c r="J216" s="4" t="s">
        <v>48</v>
      </c>
      <c r="K216" s="5" t="s">
        <v>49</v>
      </c>
      <c r="L216" s="58" t="s">
        <v>539</v>
      </c>
      <c r="M216" s="7" t="n">
        <v>149</v>
      </c>
      <c r="N216" s="59" t="n">
        <v>0.844</v>
      </c>
      <c r="O216" s="59" t="n">
        <v>0.854</v>
      </c>
      <c r="P216" s="59" t="n">
        <v>0.82</v>
      </c>
      <c r="Q216" s="59" t="n">
        <v>0.775</v>
      </c>
      <c r="R216" s="8" t="n">
        <v>1402976</v>
      </c>
      <c r="S216" s="8" t="n">
        <v>1253536</v>
      </c>
      <c r="T216" s="8" t="n">
        <f aca="false">IF(J216="regional",IF(R216&gt;0,R216*0.2975,S216*0.3484),S216*0.1939)</f>
        <v>417385.36</v>
      </c>
      <c r="U216" s="8" t="n">
        <v>924045</v>
      </c>
      <c r="V216" s="8" t="n">
        <f aca="false">S216-U216</f>
        <v>329491</v>
      </c>
      <c r="W216" s="8" t="n">
        <v>7800</v>
      </c>
      <c r="X216" s="60" t="n">
        <f aca="false">Y216+Z216</f>
        <v>0</v>
      </c>
      <c r="Y216" s="8" t="n">
        <f aca="false">IF(B216="y",T216,0)</f>
        <v>0</v>
      </c>
      <c r="Z216" s="8"/>
      <c r="AA216" s="8" t="n">
        <f aca="false">AB216+AC216</f>
        <v>1670921.36</v>
      </c>
      <c r="AB216" s="8" t="n">
        <f aca="false">IF(B216="y",0,T216)</f>
        <v>417385.36</v>
      </c>
      <c r="AC216" s="8" t="n">
        <f aca="false">S216-Z216</f>
        <v>1253536</v>
      </c>
      <c r="AD216" s="61" t="n">
        <f aca="false">IF(K216="y",Z216,0)</f>
        <v>0</v>
      </c>
      <c r="AE216" s="61" t="n">
        <f aca="false">IF($K216="",Z216,0)+IF($K216="n",Z216,0)</f>
        <v>0</v>
      </c>
      <c r="AF216" s="62" t="n">
        <f aca="false">IF($K216="y",AC216,0)</f>
        <v>0</v>
      </c>
      <c r="AG216" s="62" t="n">
        <f aca="false">IF($K216="",AC216,0)+IF($K216="n",AC216,0)</f>
        <v>1253536</v>
      </c>
      <c r="AH216" s="8" t="n">
        <v>0</v>
      </c>
      <c r="AI216" s="8" t="n">
        <v>0</v>
      </c>
      <c r="AJ216" s="1" t="s">
        <v>51</v>
      </c>
      <c r="AK216" s="63" t="n">
        <v>735375</v>
      </c>
      <c r="AL216" s="9"/>
      <c r="AM216" s="9"/>
    </row>
    <row r="217" customFormat="false" ht="12.75" hidden="false" customHeight="false" outlineLevel="0" collapsed="false">
      <c r="A217" s="2" t="s">
        <v>44</v>
      </c>
      <c r="B217" s="2"/>
      <c r="C217" s="2" t="n">
        <v>3911</v>
      </c>
      <c r="D217" s="4" t="s">
        <v>540</v>
      </c>
      <c r="E217" s="4" t="s">
        <v>541</v>
      </c>
      <c r="F217" s="4" t="s">
        <v>114</v>
      </c>
      <c r="G217" s="4" t="s">
        <v>44</v>
      </c>
      <c r="H217" s="4" t="n">
        <v>1962</v>
      </c>
      <c r="I217" s="4"/>
      <c r="J217" s="4" t="s">
        <v>62</v>
      </c>
      <c r="K217" s="5"/>
      <c r="L217" s="58" t="s">
        <v>170</v>
      </c>
      <c r="M217" s="7"/>
      <c r="N217" s="59" t="n">
        <v>1</v>
      </c>
      <c r="O217" s="59" t="n">
        <v>1</v>
      </c>
      <c r="P217" s="59" t="n">
        <v>0</v>
      </c>
      <c r="Q217" s="59" t="n">
        <v>0</v>
      </c>
      <c r="R217" s="8"/>
      <c r="S217" s="8" t="n">
        <v>108001</v>
      </c>
      <c r="T217" s="8" t="n">
        <f aca="false">IF(J217="regional",IF(R217&gt;0,R217*0.2975,S217*0.3484),S217*0.1939)</f>
        <v>20941.3939</v>
      </c>
      <c r="U217" s="8" t="n">
        <v>98083</v>
      </c>
      <c r="V217" s="8" t="n">
        <f aca="false">S217-U217</f>
        <v>9918</v>
      </c>
      <c r="W217" s="8" t="n">
        <v>1600</v>
      </c>
      <c r="X217" s="60" t="n">
        <f aca="false">Y217+Z217</f>
        <v>0</v>
      </c>
      <c r="Y217" s="8" t="n">
        <f aca="false">IF(B217="y",T217,0)</f>
        <v>0</v>
      </c>
      <c r="Z217" s="8"/>
      <c r="AA217" s="8" t="n">
        <f aca="false">AB217+AC217</f>
        <v>128942.3939</v>
      </c>
      <c r="AB217" s="8" t="n">
        <f aca="false">IF(B217="y",0,T217)</f>
        <v>20941.3939</v>
      </c>
      <c r="AC217" s="8" t="n">
        <f aca="false">S217-Z217</f>
        <v>108001</v>
      </c>
      <c r="AD217" s="61" t="n">
        <f aca="false">IF(K217="y",Z217,0)</f>
        <v>0</v>
      </c>
      <c r="AE217" s="61" t="n">
        <f aca="false">IF($K217="",Z217,0)+IF($K217="n",Z217,0)</f>
        <v>0</v>
      </c>
      <c r="AF217" s="62" t="n">
        <f aca="false">IF($K217="y",AC217,0)</f>
        <v>0</v>
      </c>
      <c r="AG217" s="62" t="n">
        <f aca="false">IF($K217="",AC217,0)+IF($K217="n",AC217,0)</f>
        <v>108001</v>
      </c>
      <c r="AH217" s="8" t="n">
        <v>0</v>
      </c>
      <c r="AI217" s="8" t="n">
        <v>0</v>
      </c>
      <c r="AJ217" s="1" t="s">
        <v>70</v>
      </c>
      <c r="AK217" s="63" t="n">
        <v>12055.08</v>
      </c>
      <c r="AL217" s="9"/>
      <c r="AM217" s="9"/>
    </row>
    <row r="218" customFormat="false" ht="12.75" hidden="false" customHeight="false" outlineLevel="0" collapsed="false">
      <c r="A218" s="2" t="s">
        <v>44</v>
      </c>
      <c r="B218" s="2"/>
      <c r="C218" s="2" t="n">
        <v>9620</v>
      </c>
      <c r="D218" s="4" t="s">
        <v>542</v>
      </c>
      <c r="E218" s="4" t="s">
        <v>228</v>
      </c>
      <c r="F218" s="4" t="s">
        <v>75</v>
      </c>
      <c r="G218" s="4" t="s">
        <v>44</v>
      </c>
      <c r="H218" s="4" t="n">
        <v>1989</v>
      </c>
      <c r="I218" s="4"/>
      <c r="J218" s="4" t="s">
        <v>62</v>
      </c>
      <c r="K218" s="5"/>
      <c r="L218" s="58" t="s">
        <v>229</v>
      </c>
      <c r="M218" s="7" t="n">
        <v>14</v>
      </c>
      <c r="N218" s="59" t="n">
        <v>0.911</v>
      </c>
      <c r="O218" s="59" t="n">
        <v>0.911</v>
      </c>
      <c r="P218" s="59" t="n">
        <v>0.88</v>
      </c>
      <c r="Q218" s="59" t="n">
        <v>0.957</v>
      </c>
      <c r="R218" s="8"/>
      <c r="S218" s="8" t="n">
        <v>332980</v>
      </c>
      <c r="T218" s="8" t="n">
        <f aca="false">IF(J218="regional",IF(R218&gt;0,R218*0.2975,S218*0.3484),S218*0.1939)</f>
        <v>64564.822</v>
      </c>
      <c r="U218" s="8" t="n">
        <v>281831</v>
      </c>
      <c r="V218" s="8" t="n">
        <f aca="false">S218-U218</f>
        <v>51149</v>
      </c>
      <c r="W218" s="8" t="n">
        <v>1700</v>
      </c>
      <c r="X218" s="60" t="n">
        <f aca="false">Y218+Z218</f>
        <v>0</v>
      </c>
      <c r="Y218" s="8" t="n">
        <f aca="false">IF(B218="y",T218,0)</f>
        <v>0</v>
      </c>
      <c r="Z218" s="8"/>
      <c r="AA218" s="8" t="n">
        <f aca="false">AB218+AC218</f>
        <v>397544.822</v>
      </c>
      <c r="AB218" s="8" t="n">
        <f aca="false">IF(B218="y",0,T218)</f>
        <v>64564.822</v>
      </c>
      <c r="AC218" s="8" t="n">
        <f aca="false">S218-Z218</f>
        <v>332980</v>
      </c>
      <c r="AD218" s="61" t="n">
        <f aca="false">IF(K218="y",Z218,0)</f>
        <v>0</v>
      </c>
      <c r="AE218" s="61" t="n">
        <f aca="false">IF($K218="",Z218,0)+IF($K218="n",Z218,0)</f>
        <v>0</v>
      </c>
      <c r="AF218" s="62" t="n">
        <f aca="false">IF($K218="y",AC218,0)</f>
        <v>0</v>
      </c>
      <c r="AG218" s="62" t="n">
        <f aca="false">IF($K218="",AC218,0)+IF($K218="n",AC218,0)</f>
        <v>332980</v>
      </c>
      <c r="AH218" s="8" t="n">
        <v>0</v>
      </c>
      <c r="AI218" s="8" t="n">
        <v>0</v>
      </c>
      <c r="AJ218" s="1" t="s">
        <v>51</v>
      </c>
      <c r="AK218" s="63" t="n">
        <v>3516</v>
      </c>
      <c r="AL218" s="9"/>
      <c r="AM218" s="9"/>
    </row>
    <row r="219" customFormat="false" ht="12.75" hidden="false" customHeight="false" outlineLevel="0" collapsed="false">
      <c r="A219" s="2" t="s">
        <v>44</v>
      </c>
      <c r="B219" s="2"/>
      <c r="C219" s="2" t="n">
        <v>2307</v>
      </c>
      <c r="D219" s="4" t="s">
        <v>543</v>
      </c>
      <c r="E219" s="4" t="s">
        <v>541</v>
      </c>
      <c r="F219" s="4" t="s">
        <v>114</v>
      </c>
      <c r="G219" s="4" t="s">
        <v>44</v>
      </c>
      <c r="H219" s="4" t="n">
        <v>1973</v>
      </c>
      <c r="I219" s="4"/>
      <c r="J219" s="4" t="s">
        <v>48</v>
      </c>
      <c r="K219" s="5" t="s">
        <v>44</v>
      </c>
      <c r="L219" s="58" t="s">
        <v>170</v>
      </c>
      <c r="M219" s="7" t="n">
        <v>75</v>
      </c>
      <c r="N219" s="59" t="n">
        <v>0.879</v>
      </c>
      <c r="O219" s="59" t="n">
        <v>0.939</v>
      </c>
      <c r="P219" s="59" t="n">
        <v>0.845</v>
      </c>
      <c r="Q219" s="59" t="n">
        <v>0.821</v>
      </c>
      <c r="R219" s="8" t="n">
        <v>984155</v>
      </c>
      <c r="S219" s="8" t="n">
        <v>855667</v>
      </c>
      <c r="T219" s="8" t="n">
        <f aca="false">IF(J219="regional",IF(R219&gt;0,R219*0.2975,S219*0.3484),S219*0.1939)</f>
        <v>292786.1125</v>
      </c>
      <c r="U219" s="8" t="n">
        <v>568373</v>
      </c>
      <c r="V219" s="8" t="n">
        <f aca="false">S219-U219</f>
        <v>287294</v>
      </c>
      <c r="W219" s="8" t="n">
        <v>3000</v>
      </c>
      <c r="X219" s="60" t="n">
        <f aca="false">Y219+Z219</f>
        <v>0</v>
      </c>
      <c r="Y219" s="8" t="n">
        <f aca="false">IF(B219="y",T219,0)</f>
        <v>0</v>
      </c>
      <c r="Z219" s="8"/>
      <c r="AA219" s="8" t="n">
        <f aca="false">AB219+AC219</f>
        <v>1148453.1125</v>
      </c>
      <c r="AB219" s="8" t="n">
        <f aca="false">IF(B219="y",0,T219)</f>
        <v>292786.1125</v>
      </c>
      <c r="AC219" s="8" t="n">
        <f aca="false">S219-Z219</f>
        <v>855667</v>
      </c>
      <c r="AD219" s="61" t="n">
        <f aca="false">IF(K219="y",Z219,0)</f>
        <v>0</v>
      </c>
      <c r="AE219" s="61" t="n">
        <f aca="false">IF($K219="",Z219,0)+IF($K219="n",Z219,0)</f>
        <v>0</v>
      </c>
      <c r="AF219" s="62" t="n">
        <f aca="false">IF($K219="y",AC219,0)</f>
        <v>855667</v>
      </c>
      <c r="AG219" s="62" t="n">
        <f aca="false">IF($K219="",AC219,0)+IF($K219="n",AC219,0)</f>
        <v>0</v>
      </c>
      <c r="AH219" s="8" t="n">
        <v>185000</v>
      </c>
      <c r="AI219" s="8" t="n">
        <v>174000</v>
      </c>
      <c r="AJ219" s="1" t="s">
        <v>70</v>
      </c>
      <c r="AK219" s="63" t="n">
        <v>204122</v>
      </c>
      <c r="AL219" s="9"/>
      <c r="AM219" s="9"/>
    </row>
    <row r="220" customFormat="false" ht="12.75" hidden="false" customHeight="false" outlineLevel="0" collapsed="false">
      <c r="A220" s="2" t="s">
        <v>44</v>
      </c>
      <c r="B220" s="2"/>
      <c r="C220" s="2" t="n">
        <v>2311</v>
      </c>
      <c r="D220" s="4" t="s">
        <v>544</v>
      </c>
      <c r="E220" s="4" t="s">
        <v>541</v>
      </c>
      <c r="F220" s="4" t="s">
        <v>114</v>
      </c>
      <c r="G220" s="4" t="s">
        <v>44</v>
      </c>
      <c r="H220" s="4" t="n">
        <v>1974</v>
      </c>
      <c r="I220" s="4"/>
      <c r="J220" s="4" t="s">
        <v>62</v>
      </c>
      <c r="K220" s="5" t="s">
        <v>49</v>
      </c>
      <c r="L220" s="58" t="s">
        <v>170</v>
      </c>
      <c r="M220" s="7"/>
      <c r="N220" s="59" t="n">
        <v>1</v>
      </c>
      <c r="O220" s="59" t="n">
        <v>1</v>
      </c>
      <c r="P220" s="59" t="n">
        <v>1</v>
      </c>
      <c r="Q220" s="59" t="n">
        <v>1</v>
      </c>
      <c r="R220" s="8"/>
      <c r="S220" s="8" t="n">
        <v>85000</v>
      </c>
      <c r="T220" s="8" t="n">
        <f aca="false">IF(J220="regional",IF(R220&gt;0,R220*0.2975,S220*0.3484),S220*0.1939)</f>
        <v>16481.5</v>
      </c>
      <c r="U220" s="8" t="n">
        <v>86676</v>
      </c>
      <c r="V220" s="8" t="n">
        <f aca="false">S220-U220</f>
        <v>-1676</v>
      </c>
      <c r="W220" s="8" t="n">
        <v>952</v>
      </c>
      <c r="X220" s="60" t="n">
        <f aca="false">Y220+Z220</f>
        <v>0</v>
      </c>
      <c r="Y220" s="8" t="n">
        <f aca="false">IF(B220="y",T220,0)</f>
        <v>0</v>
      </c>
      <c r="Z220" s="8"/>
      <c r="AA220" s="8" t="n">
        <f aca="false">AB220+AC220</f>
        <v>101481.5</v>
      </c>
      <c r="AB220" s="8" t="n">
        <f aca="false">IF(B220="y",0,T220)</f>
        <v>16481.5</v>
      </c>
      <c r="AC220" s="8" t="n">
        <f aca="false">S220-Z220</f>
        <v>85000</v>
      </c>
      <c r="AD220" s="61" t="n">
        <f aca="false">IF(K220="y",Z220,0)</f>
        <v>0</v>
      </c>
      <c r="AE220" s="61" t="n">
        <f aca="false">IF($K220="",Z220,0)+IF($K220="n",Z220,0)</f>
        <v>0</v>
      </c>
      <c r="AF220" s="62" t="n">
        <f aca="false">IF($K220="y",AC220,0)</f>
        <v>0</v>
      </c>
      <c r="AG220" s="62" t="n">
        <f aca="false">IF($K220="",AC220,0)+IF($K220="n",AC220,0)</f>
        <v>85000</v>
      </c>
      <c r="AH220" s="8" t="n">
        <v>0</v>
      </c>
      <c r="AI220" s="8" t="n">
        <v>0</v>
      </c>
      <c r="AJ220" s="1" t="s">
        <v>70</v>
      </c>
      <c r="AK220" s="63" t="n">
        <v>12661.64</v>
      </c>
      <c r="AL220" s="9"/>
      <c r="AM220" s="9"/>
    </row>
    <row r="221" customFormat="false" ht="12.75" hidden="false" customHeight="false" outlineLevel="0" collapsed="false">
      <c r="A221" s="2" t="s">
        <v>44</v>
      </c>
      <c r="B221" s="2"/>
      <c r="C221" s="2" t="n">
        <v>3633</v>
      </c>
      <c r="D221" s="66" t="s">
        <v>545</v>
      </c>
      <c r="E221" s="4" t="s">
        <v>240</v>
      </c>
      <c r="F221" s="4" t="s">
        <v>241</v>
      </c>
      <c r="G221" s="4" t="s">
        <v>49</v>
      </c>
      <c r="H221" s="4" t="n">
        <v>1996</v>
      </c>
      <c r="I221" s="4"/>
      <c r="J221" s="4" t="s">
        <v>48</v>
      </c>
      <c r="K221" s="5" t="s">
        <v>44</v>
      </c>
      <c r="L221" s="58"/>
      <c r="M221" s="7" t="n">
        <v>54</v>
      </c>
      <c r="N221" s="59" t="n">
        <v>0.921</v>
      </c>
      <c r="O221" s="59" t="n">
        <v>0.948</v>
      </c>
      <c r="P221" s="59" t="n">
        <v>0.959</v>
      </c>
      <c r="Q221" s="59" t="n">
        <v>0.824</v>
      </c>
      <c r="R221" s="8" t="n">
        <v>60273</v>
      </c>
      <c r="S221" s="8" t="n">
        <v>59331</v>
      </c>
      <c r="T221" s="8" t="n">
        <f aca="false">IF(J221="regional",IF(R221&gt;0,R221*0.2975,S221*0.3484),S221*0.1939)</f>
        <v>17931.2175</v>
      </c>
      <c r="U221" s="8" t="n">
        <v>0</v>
      </c>
      <c r="V221" s="8" t="n">
        <f aca="false">S221-U221</f>
        <v>59331</v>
      </c>
      <c r="W221" s="8"/>
      <c r="X221" s="60" t="n">
        <f aca="false">Y221+Z221</f>
        <v>0</v>
      </c>
      <c r="Y221" s="8" t="n">
        <f aca="false">IF(B221="y",T221,0)</f>
        <v>0</v>
      </c>
      <c r="Z221" s="8"/>
      <c r="AA221" s="8" t="n">
        <f aca="false">AB221+AC221</f>
        <v>77262.2175</v>
      </c>
      <c r="AB221" s="8" t="n">
        <f aca="false">IF(B221="y",0,T221)</f>
        <v>17931.2175</v>
      </c>
      <c r="AC221" s="8" t="n">
        <f aca="false">S221-Z221</f>
        <v>59331</v>
      </c>
      <c r="AD221" s="61" t="n">
        <f aca="false">IF(K221="y",Z221,0)</f>
        <v>0</v>
      </c>
      <c r="AE221" s="61" t="n">
        <f aca="false">IF($K221="",Z221,0)+IF($K221="n",Z221,0)</f>
        <v>0</v>
      </c>
      <c r="AF221" s="62" t="n">
        <f aca="false">IF($K221="y",AC221,0)</f>
        <v>59331</v>
      </c>
      <c r="AG221" s="62" t="n">
        <f aca="false">IF($K221="",AC221,0)+IF($K221="n",AC221,0)</f>
        <v>0</v>
      </c>
      <c r="AH221" s="8" t="n">
        <v>172000</v>
      </c>
      <c r="AI221" s="8" t="n">
        <v>112000</v>
      </c>
      <c r="AJ221" s="66"/>
      <c r="AK221" s="66"/>
      <c r="AL221" s="9"/>
      <c r="AM221" s="9"/>
    </row>
    <row r="222" customFormat="false" ht="12.75" hidden="false" customHeight="false" outlineLevel="0" collapsed="false">
      <c r="A222" s="2" t="s">
        <v>44</v>
      </c>
      <c r="B222" s="2"/>
      <c r="C222" s="2" t="n">
        <v>4839</v>
      </c>
      <c r="D222" s="65" t="s">
        <v>546</v>
      </c>
      <c r="E222" s="65" t="s">
        <v>547</v>
      </c>
      <c r="F222" s="4" t="s">
        <v>75</v>
      </c>
      <c r="G222" s="4" t="s">
        <v>44</v>
      </c>
      <c r="H222" s="4" t="n">
        <v>1980</v>
      </c>
      <c r="I222" s="4"/>
      <c r="J222" s="4" t="s">
        <v>48</v>
      </c>
      <c r="K222" s="5" t="s">
        <v>44</v>
      </c>
      <c r="L222" s="58" t="s">
        <v>449</v>
      </c>
      <c r="M222" s="7" t="n">
        <v>184</v>
      </c>
      <c r="N222" s="59" t="n">
        <v>0.906</v>
      </c>
      <c r="O222" s="59" t="n">
        <v>0.917</v>
      </c>
      <c r="P222" s="59" t="n">
        <v>0.925</v>
      </c>
      <c r="Q222" s="59" t="n">
        <v>0.952</v>
      </c>
      <c r="R222" s="8" t="n">
        <v>1207554</v>
      </c>
      <c r="S222" s="8" t="n">
        <v>1320000</v>
      </c>
      <c r="T222" s="8" t="n">
        <f aca="false">IF(J222="regional",IF(R222&gt;0,R222*0.2975,S222*0.3484),S222*0.1939)</f>
        <v>359247.315</v>
      </c>
      <c r="U222" s="8" t="n">
        <v>791000</v>
      </c>
      <c r="V222" s="8" t="n">
        <f aca="false">S222-U222</f>
        <v>529000</v>
      </c>
      <c r="W222" s="8" t="n">
        <v>7000</v>
      </c>
      <c r="X222" s="60" t="n">
        <f aca="false">Y222+Z222</f>
        <v>0</v>
      </c>
      <c r="Y222" s="8" t="n">
        <f aca="false">IF(B222="y",T222,0)</f>
        <v>0</v>
      </c>
      <c r="Z222" s="8"/>
      <c r="AA222" s="8" t="n">
        <f aca="false">AB222+AC222</f>
        <v>1679247.315</v>
      </c>
      <c r="AB222" s="8" t="n">
        <f aca="false">IF(B222="y",0,T222)</f>
        <v>359247.315</v>
      </c>
      <c r="AC222" s="8" t="n">
        <f aca="false">S222-Z222</f>
        <v>1320000</v>
      </c>
      <c r="AD222" s="61" t="n">
        <f aca="false">IF(K222="y",Z222,0)</f>
        <v>0</v>
      </c>
      <c r="AE222" s="61" t="n">
        <f aca="false">IF($K222="",Z222,0)+IF($K222="n",Z222,0)</f>
        <v>0</v>
      </c>
      <c r="AF222" s="62" t="n">
        <f aca="false">IF($K222="y",AC222,0)</f>
        <v>1320000</v>
      </c>
      <c r="AG222" s="62" t="n">
        <f aca="false">IF($K222="",AC222,0)+IF($K222="n",AC222,0)</f>
        <v>0</v>
      </c>
      <c r="AH222" s="8" t="n">
        <v>1212000</v>
      </c>
      <c r="AI222" s="8" t="n">
        <v>1001000</v>
      </c>
      <c r="AJ222" s="65"/>
      <c r="AK222" s="65"/>
      <c r="AL222" s="9"/>
      <c r="AM222" s="9"/>
    </row>
    <row r="223" customFormat="false" ht="12.75" hidden="false" customHeight="false" outlineLevel="0" collapsed="false">
      <c r="A223" s="2" t="s">
        <v>44</v>
      </c>
      <c r="B223" s="2"/>
      <c r="C223" s="2" t="n">
        <v>4840</v>
      </c>
      <c r="D223" s="65" t="s">
        <v>548</v>
      </c>
      <c r="E223" s="65" t="s">
        <v>549</v>
      </c>
      <c r="F223" s="4" t="s">
        <v>276</v>
      </c>
      <c r="G223" s="4" t="s">
        <v>49</v>
      </c>
      <c r="H223" s="4" t="n">
        <v>1986</v>
      </c>
      <c r="I223" s="4"/>
      <c r="J223" s="4" t="s">
        <v>48</v>
      </c>
      <c r="K223" s="5" t="s">
        <v>44</v>
      </c>
      <c r="L223" s="58" t="s">
        <v>277</v>
      </c>
      <c r="M223" s="7" t="n">
        <v>182</v>
      </c>
      <c r="N223" s="59" t="n">
        <v>0.942</v>
      </c>
      <c r="O223" s="59" t="n">
        <v>0.957</v>
      </c>
      <c r="P223" s="59" t="n">
        <v>0.925</v>
      </c>
      <c r="Q223" s="59" t="n">
        <v>0.952</v>
      </c>
      <c r="R223" s="8" t="n">
        <v>844738</v>
      </c>
      <c r="S223" s="8" t="n">
        <v>1275000</v>
      </c>
      <c r="T223" s="8" t="n">
        <f aca="false">IF(J223="regional",IF(R223&gt;0,R223*0.2975,S223*0.3484),S223*0.1939)</f>
        <v>251309.555</v>
      </c>
      <c r="U223" s="8" t="n">
        <v>844738</v>
      </c>
      <c r="V223" s="8" t="n">
        <f aca="false">S223-U223</f>
        <v>430262</v>
      </c>
      <c r="W223" s="8" t="n">
        <v>6787</v>
      </c>
      <c r="X223" s="60" t="n">
        <f aca="false">Y223+Z223</f>
        <v>0</v>
      </c>
      <c r="Y223" s="8" t="n">
        <f aca="false">IF(B223="y",T223,0)</f>
        <v>0</v>
      </c>
      <c r="Z223" s="8"/>
      <c r="AA223" s="8" t="n">
        <f aca="false">AB223+AC223</f>
        <v>1526309.555</v>
      </c>
      <c r="AB223" s="8" t="n">
        <f aca="false">IF(B223="y",0,T223)</f>
        <v>251309.555</v>
      </c>
      <c r="AC223" s="8" t="n">
        <f aca="false">S223-Z223</f>
        <v>1275000</v>
      </c>
      <c r="AD223" s="61" t="n">
        <f aca="false">IF(K223="y",Z223,0)</f>
        <v>0</v>
      </c>
      <c r="AE223" s="61" t="n">
        <f aca="false">IF($K223="",Z223,0)+IF($K223="n",Z223,0)</f>
        <v>0</v>
      </c>
      <c r="AF223" s="62" t="n">
        <f aca="false">IF($K223="y",AC223,0)</f>
        <v>1275000</v>
      </c>
      <c r="AG223" s="62" t="n">
        <f aca="false">IF($K223="",AC223,0)+IF($K223="n",AC223,0)</f>
        <v>0</v>
      </c>
      <c r="AH223" s="8" t="n">
        <v>1027000</v>
      </c>
      <c r="AI223" s="8" t="n">
        <v>1026000</v>
      </c>
      <c r="AJ223" s="1" t="s">
        <v>51</v>
      </c>
      <c r="AK223" s="63" t="n">
        <v>52222</v>
      </c>
      <c r="AL223" s="9"/>
      <c r="AM223" s="9"/>
    </row>
    <row r="224" customFormat="false" ht="12.75" hidden="false" customHeight="false" outlineLevel="0" collapsed="false">
      <c r="A224" s="2"/>
      <c r="B224" s="2" t="s">
        <v>49</v>
      </c>
      <c r="C224" s="2" t="n">
        <v>2105</v>
      </c>
      <c r="D224" s="66" t="s">
        <v>550</v>
      </c>
      <c r="E224" s="4" t="s">
        <v>551</v>
      </c>
      <c r="F224" s="4" t="s">
        <v>288</v>
      </c>
      <c r="G224" s="4" t="s">
        <v>44</v>
      </c>
      <c r="H224" s="4" t="n">
        <v>1975</v>
      </c>
      <c r="I224" s="4"/>
      <c r="J224" s="4" t="s">
        <v>48</v>
      </c>
      <c r="K224" s="5" t="s">
        <v>44</v>
      </c>
      <c r="L224" s="58" t="s">
        <v>552</v>
      </c>
      <c r="M224" s="7" t="n">
        <v>144</v>
      </c>
      <c r="N224" s="59" t="n">
        <v>0.773</v>
      </c>
      <c r="O224" s="59" t="n">
        <v>0.858</v>
      </c>
      <c r="P224" s="59" t="n">
        <v>0.826</v>
      </c>
      <c r="Q224" s="59" t="n">
        <v>0.731</v>
      </c>
      <c r="R224" s="8" t="n">
        <v>1321540</v>
      </c>
      <c r="S224" s="8" t="n">
        <v>1084519</v>
      </c>
      <c r="T224" s="8" t="n">
        <f aca="false">IF(J224="regional",IF(R224&gt;0,R224*0.2975,S224*0.3484),S224*0.1939)</f>
        <v>393158.15</v>
      </c>
      <c r="U224" s="8" t="n">
        <v>662313</v>
      </c>
      <c r="V224" s="8" t="n">
        <f aca="false">S224-U224</f>
        <v>422206</v>
      </c>
      <c r="W224" s="8" t="n">
        <v>5000</v>
      </c>
      <c r="X224" s="60" t="n">
        <f aca="false">Y224+Z224</f>
        <v>541854</v>
      </c>
      <c r="Y224" s="8" t="n">
        <f aca="false">IF(B224="y",T224,0)</f>
        <v>0</v>
      </c>
      <c r="Z224" s="8" t="n">
        <v>541854</v>
      </c>
      <c r="AA224" s="8" t="n">
        <f aca="false">AB224+AC224</f>
        <v>935823.15</v>
      </c>
      <c r="AB224" s="8" t="n">
        <f aca="false">IF(B224="y",0,T224)</f>
        <v>393158.15</v>
      </c>
      <c r="AC224" s="8" t="n">
        <f aca="false">S224-Z224</f>
        <v>542665</v>
      </c>
      <c r="AD224" s="61" t="n">
        <f aca="false">IF(K224="y",Z224,0)</f>
        <v>541854</v>
      </c>
      <c r="AE224" s="61" t="n">
        <f aca="false">IF($K224="",Z224,0)+IF($K224="n",Z224,0)</f>
        <v>0</v>
      </c>
      <c r="AF224" s="62" t="n">
        <f aca="false">IF($K224="y",AC224,0)</f>
        <v>542665</v>
      </c>
      <c r="AG224" s="62" t="n">
        <f aca="false">IF($K224="",AC224,0)+IF($K224="n",AC224,0)</f>
        <v>0</v>
      </c>
      <c r="AH224" s="8" t="n">
        <v>905000</v>
      </c>
      <c r="AI224" s="8" t="n">
        <v>876000</v>
      </c>
      <c r="AJ224" s="1" t="s">
        <v>70</v>
      </c>
      <c r="AK224" s="63" t="n">
        <v>477571</v>
      </c>
      <c r="AL224" s="9"/>
      <c r="AM224" s="9"/>
    </row>
    <row r="225" customFormat="false" ht="12.75" hidden="false" customHeight="false" outlineLevel="0" collapsed="false">
      <c r="A225" s="2" t="s">
        <v>44</v>
      </c>
      <c r="B225" s="2"/>
      <c r="C225" s="2" t="n">
        <v>3920</v>
      </c>
      <c r="D225" s="4" t="s">
        <v>553</v>
      </c>
      <c r="E225" s="4" t="s">
        <v>551</v>
      </c>
      <c r="F225" s="4" t="s">
        <v>288</v>
      </c>
      <c r="G225" s="4" t="s">
        <v>44</v>
      </c>
      <c r="H225" s="4" t="n">
        <v>1980</v>
      </c>
      <c r="I225" s="4"/>
      <c r="J225" s="4" t="s">
        <v>48</v>
      </c>
      <c r="K225" s="5" t="s">
        <v>44</v>
      </c>
      <c r="L225" s="58" t="s">
        <v>554</v>
      </c>
      <c r="M225" s="7" t="n">
        <v>120</v>
      </c>
      <c r="N225" s="59" t="n">
        <v>0.922</v>
      </c>
      <c r="O225" s="59" t="n">
        <v>0.925</v>
      </c>
      <c r="P225" s="59" t="n">
        <v>0.894</v>
      </c>
      <c r="Q225" s="59" t="n">
        <v>0.877</v>
      </c>
      <c r="R225" s="8" t="n">
        <v>1072563</v>
      </c>
      <c r="S225" s="8" t="n">
        <v>941575</v>
      </c>
      <c r="T225" s="8" t="n">
        <f aca="false">IF(J225="regional",IF(R225&gt;0,R225*0.2975,S225*0.3484),S225*0.1939)</f>
        <v>319087.4925</v>
      </c>
      <c r="U225" s="8" t="n">
        <v>654711</v>
      </c>
      <c r="V225" s="8" t="n">
        <f aca="false">S225-U225</f>
        <v>286864</v>
      </c>
      <c r="W225" s="8" t="n">
        <v>4852</v>
      </c>
      <c r="X225" s="60" t="n">
        <f aca="false">Y225+Z225</f>
        <v>0</v>
      </c>
      <c r="Y225" s="8" t="n">
        <f aca="false">IF(B225="y",T225,0)</f>
        <v>0</v>
      </c>
      <c r="Z225" s="8"/>
      <c r="AA225" s="8" t="n">
        <f aca="false">AB225+AC225</f>
        <v>1260662.4925</v>
      </c>
      <c r="AB225" s="8" t="n">
        <f aca="false">IF(B225="y",0,T225)</f>
        <v>319087.4925</v>
      </c>
      <c r="AC225" s="8" t="n">
        <f aca="false">S225-Z225</f>
        <v>941575</v>
      </c>
      <c r="AD225" s="61" t="n">
        <f aca="false">IF(K225="y",Z225,0)</f>
        <v>0</v>
      </c>
      <c r="AE225" s="61" t="n">
        <f aca="false">IF($K225="",Z225,0)+IF($K225="n",Z225,0)</f>
        <v>0</v>
      </c>
      <c r="AF225" s="62" t="n">
        <f aca="false">IF($K225="y",AC225,0)</f>
        <v>941575</v>
      </c>
      <c r="AG225" s="62" t="n">
        <f aca="false">IF($K225="",AC225,0)+IF($K225="n",AC225,0)</f>
        <v>0</v>
      </c>
      <c r="AH225" s="8" t="n">
        <v>772000</v>
      </c>
      <c r="AI225" s="8" t="n">
        <v>695000</v>
      </c>
      <c r="AJ225" s="1" t="s">
        <v>70</v>
      </c>
      <c r="AK225" s="63" t="n">
        <v>345523.92</v>
      </c>
      <c r="AL225" s="9"/>
      <c r="AM225" s="9"/>
    </row>
    <row r="226" customFormat="false" ht="12.75" hidden="false" customHeight="false" outlineLevel="0" collapsed="false">
      <c r="A226" s="2" t="s">
        <v>44</v>
      </c>
      <c r="B226" s="2"/>
      <c r="C226" s="2" t="n">
        <v>9896</v>
      </c>
      <c r="D226" s="4" t="s">
        <v>555</v>
      </c>
      <c r="E226" s="4" t="s">
        <v>556</v>
      </c>
      <c r="F226" s="4" t="s">
        <v>288</v>
      </c>
      <c r="G226" s="4" t="s">
        <v>44</v>
      </c>
      <c r="H226" s="4" t="n">
        <v>1987</v>
      </c>
      <c r="I226" s="4"/>
      <c r="J226" s="4" t="s">
        <v>48</v>
      </c>
      <c r="K226" s="5"/>
      <c r="L226" s="58" t="s">
        <v>449</v>
      </c>
      <c r="M226" s="7" t="n">
        <v>139</v>
      </c>
      <c r="N226" s="59" t="n">
        <v>0.794</v>
      </c>
      <c r="O226" s="59" t="n">
        <v>0.793</v>
      </c>
      <c r="P226" s="59" t="n">
        <v>0.841</v>
      </c>
      <c r="Q226" s="59" t="n">
        <v>0.847</v>
      </c>
      <c r="R226" s="8" t="n">
        <v>1062497</v>
      </c>
      <c r="S226" s="8" t="n">
        <v>885313</v>
      </c>
      <c r="T226" s="8" t="n">
        <f aca="false">IF(J226="regional",IF(R226&gt;0,R226*0.2975,S226*0.3484),S226*0.1939)</f>
        <v>316092.8575</v>
      </c>
      <c r="U226" s="8" t="n">
        <v>595468</v>
      </c>
      <c r="V226" s="8" t="n">
        <f aca="false">S226-U226</f>
        <v>289845</v>
      </c>
      <c r="W226" s="8" t="n">
        <v>4458</v>
      </c>
      <c r="X226" s="60" t="n">
        <f aca="false">Y226+Z226</f>
        <v>0</v>
      </c>
      <c r="Y226" s="8" t="n">
        <f aca="false">IF(B226="y",T226,0)</f>
        <v>0</v>
      </c>
      <c r="Z226" s="8"/>
      <c r="AA226" s="8" t="n">
        <f aca="false">AB226+AC226</f>
        <v>1201405.8575</v>
      </c>
      <c r="AB226" s="8" t="n">
        <f aca="false">IF(B226="y",0,T226)</f>
        <v>316092.8575</v>
      </c>
      <c r="AC226" s="8" t="n">
        <f aca="false">S226-Z226</f>
        <v>885313</v>
      </c>
      <c r="AD226" s="61" t="n">
        <f aca="false">IF(K226="y",Z226,0)</f>
        <v>0</v>
      </c>
      <c r="AE226" s="61" t="n">
        <f aca="false">IF($K226="",Z226,0)+IF($K226="n",Z226,0)</f>
        <v>0</v>
      </c>
      <c r="AF226" s="62" t="n">
        <f aca="false">IF($K226="y",AC226,0)</f>
        <v>0</v>
      </c>
      <c r="AG226" s="62" t="n">
        <f aca="false">IF($K226="",AC226,0)+IF($K226="n",AC226,0)</f>
        <v>885313</v>
      </c>
      <c r="AH226" s="8" t="n">
        <v>0</v>
      </c>
      <c r="AI226" s="8" t="n">
        <v>0</v>
      </c>
      <c r="AJ226" s="1" t="s">
        <v>51</v>
      </c>
      <c r="AK226" s="63" t="n">
        <v>811912</v>
      </c>
      <c r="AL226" s="9"/>
      <c r="AM226" s="9"/>
    </row>
    <row r="227" customFormat="false" ht="12.75" hidden="false" customHeight="false" outlineLevel="0" collapsed="false">
      <c r="A227" s="2" t="s">
        <v>44</v>
      </c>
      <c r="B227" s="2" t="s">
        <v>44</v>
      </c>
      <c r="C227" s="2" t="n">
        <v>3951</v>
      </c>
      <c r="D227" s="64" t="s">
        <v>557</v>
      </c>
      <c r="E227" s="4" t="s">
        <v>558</v>
      </c>
      <c r="F227" s="4" t="s">
        <v>559</v>
      </c>
      <c r="G227" s="4" t="s">
        <v>49</v>
      </c>
      <c r="H227" s="4" t="n">
        <v>1986</v>
      </c>
      <c r="I227" s="4"/>
      <c r="J227" s="4" t="s">
        <v>48</v>
      </c>
      <c r="K227" s="5" t="s">
        <v>49</v>
      </c>
      <c r="L227" s="58" t="s">
        <v>560</v>
      </c>
      <c r="M227" s="7" t="n">
        <v>98</v>
      </c>
      <c r="N227" s="59" t="n">
        <v>0.823</v>
      </c>
      <c r="O227" s="59" t="n">
        <v>0.835</v>
      </c>
      <c r="P227" s="59" t="n">
        <v>0.851</v>
      </c>
      <c r="Q227" s="59" t="n">
        <v>0.758</v>
      </c>
      <c r="R227" s="8" t="n">
        <v>259829</v>
      </c>
      <c r="S227" s="8" t="n">
        <v>244707</v>
      </c>
      <c r="T227" s="8" t="n">
        <f aca="false">IF(J227="regional",IF(R227&gt;0,R227*0.2975,S227*0.3484),S227*0.1939)</f>
        <v>77299.1275</v>
      </c>
      <c r="U227" s="8" t="n">
        <v>214110</v>
      </c>
      <c r="V227" s="8" t="n">
        <f aca="false">S227-U227</f>
        <v>30597</v>
      </c>
      <c r="W227" s="8" t="n">
        <v>943</v>
      </c>
      <c r="X227" s="60" t="n">
        <f aca="false">Y227+Z227</f>
        <v>312690.1275</v>
      </c>
      <c r="Y227" s="8" t="n">
        <f aca="false">IF(B227="y",T227,0)</f>
        <v>77299.1275</v>
      </c>
      <c r="Z227" s="8" t="n">
        <v>235391</v>
      </c>
      <c r="AA227" s="8" t="n">
        <f aca="false">AB227+AC227</f>
        <v>9316</v>
      </c>
      <c r="AB227" s="8" t="n">
        <f aca="false">IF(B227="y",0,T227)</f>
        <v>0</v>
      </c>
      <c r="AC227" s="8" t="n">
        <f aca="false">S227-Z227</f>
        <v>9316</v>
      </c>
      <c r="AD227" s="61" t="n">
        <f aca="false">IF(K227="y",Z227,0)</f>
        <v>0</v>
      </c>
      <c r="AE227" s="61" t="n">
        <f aca="false">IF($K227="",Z227,0)+IF($K227="n",Z227,0)</f>
        <v>235391</v>
      </c>
      <c r="AF227" s="62" t="n">
        <f aca="false">IF($K227="y",AC227,0)</f>
        <v>0</v>
      </c>
      <c r="AG227" s="62" t="n">
        <f aca="false">IF($K227="",AC227,0)+IF($K227="n",AC227,0)</f>
        <v>9316</v>
      </c>
      <c r="AH227" s="8" t="n">
        <v>0</v>
      </c>
      <c r="AI227" s="8" t="n">
        <v>0</v>
      </c>
      <c r="AJ227" s="1" t="s">
        <v>70</v>
      </c>
      <c r="AK227" s="63" t="n">
        <v>232497</v>
      </c>
      <c r="AL227" s="9"/>
      <c r="AM227" s="9"/>
    </row>
    <row r="228" customFormat="false" ht="12.75" hidden="false" customHeight="false" outlineLevel="0" collapsed="false">
      <c r="A228" s="2" t="s">
        <v>44</v>
      </c>
      <c r="B228" s="2"/>
      <c r="C228" s="2" t="n">
        <v>9690</v>
      </c>
      <c r="D228" s="4" t="s">
        <v>561</v>
      </c>
      <c r="E228" s="4" t="s">
        <v>562</v>
      </c>
      <c r="F228" s="4" t="s">
        <v>75</v>
      </c>
      <c r="G228" s="4" t="s">
        <v>44</v>
      </c>
      <c r="H228" s="4" t="n">
        <v>1972</v>
      </c>
      <c r="I228" s="4"/>
      <c r="J228" s="4" t="s">
        <v>48</v>
      </c>
      <c r="K228" s="5" t="s">
        <v>49</v>
      </c>
      <c r="L228" s="58" t="s">
        <v>229</v>
      </c>
      <c r="M228" s="7"/>
      <c r="N228" s="59" t="n">
        <v>0.907</v>
      </c>
      <c r="O228" s="59" t="n">
        <v>0.924</v>
      </c>
      <c r="P228" s="59" t="n">
        <v>0.925</v>
      </c>
      <c r="Q228" s="59" t="n">
        <v>0.93</v>
      </c>
      <c r="R228" s="8" t="n">
        <v>1379609</v>
      </c>
      <c r="S228" s="8" t="n">
        <v>1122809</v>
      </c>
      <c r="T228" s="8" t="n">
        <f aca="false">IF(J228="regional",IF(R228&gt;0,R228*0.2975,S228*0.3484),S228*0.1939)</f>
        <v>410433.6775</v>
      </c>
      <c r="U228" s="8" t="n">
        <v>748269</v>
      </c>
      <c r="V228" s="8" t="n">
        <f aca="false">S228-U228</f>
        <v>374540</v>
      </c>
      <c r="W228" s="8" t="n">
        <v>7000</v>
      </c>
      <c r="X228" s="60" t="n">
        <f aca="false">Y228+Z228</f>
        <v>0</v>
      </c>
      <c r="Y228" s="8" t="n">
        <f aca="false">IF(B228="y",T228,0)</f>
        <v>0</v>
      </c>
      <c r="Z228" s="8"/>
      <c r="AA228" s="8" t="n">
        <f aca="false">AB228+AC228</f>
        <v>1533242.6775</v>
      </c>
      <c r="AB228" s="8" t="n">
        <f aca="false">IF(B228="y",0,T228)</f>
        <v>410433.6775</v>
      </c>
      <c r="AC228" s="8" t="n">
        <f aca="false">S228-Z228</f>
        <v>1122809</v>
      </c>
      <c r="AD228" s="61" t="n">
        <f aca="false">IF(K228="y",Z228,0)</f>
        <v>0</v>
      </c>
      <c r="AE228" s="61" t="n">
        <f aca="false">IF($K228="",Z228,0)+IF($K228="n",Z228,0)</f>
        <v>0</v>
      </c>
      <c r="AF228" s="62" t="n">
        <f aca="false">IF($K228="y",AC228,0)</f>
        <v>0</v>
      </c>
      <c r="AG228" s="62" t="n">
        <f aca="false">IF($K228="",AC228,0)+IF($K228="n",AC228,0)</f>
        <v>1122809</v>
      </c>
      <c r="AH228" s="8" t="n">
        <v>0</v>
      </c>
      <c r="AI228" s="8" t="n">
        <v>0</v>
      </c>
      <c r="AJ228" s="1" t="s">
        <v>51</v>
      </c>
      <c r="AK228" s="63" t="n">
        <v>4697</v>
      </c>
      <c r="AL228" s="9"/>
      <c r="AM228" s="9"/>
    </row>
    <row r="229" customFormat="false" ht="12.75" hidden="false" customHeight="false" outlineLevel="0" collapsed="false">
      <c r="A229" s="2" t="s">
        <v>44</v>
      </c>
      <c r="B229" s="2"/>
      <c r="C229" s="2" t="n">
        <v>9711</v>
      </c>
      <c r="D229" s="4" t="s">
        <v>563</v>
      </c>
      <c r="E229" s="4" t="s">
        <v>564</v>
      </c>
      <c r="F229" s="4" t="s">
        <v>114</v>
      </c>
      <c r="G229" s="4" t="s">
        <v>49</v>
      </c>
      <c r="H229" s="4" t="n">
        <v>1980</v>
      </c>
      <c r="I229" s="4"/>
      <c r="J229" s="4" t="s">
        <v>62</v>
      </c>
      <c r="K229" s="5"/>
      <c r="L229" s="58" t="s">
        <v>565</v>
      </c>
      <c r="M229" s="7" t="n">
        <v>15</v>
      </c>
      <c r="N229" s="59" t="n">
        <v>0.933</v>
      </c>
      <c r="O229" s="59" t="n">
        <v>0.933</v>
      </c>
      <c r="P229" s="59" t="n">
        <v>0.915</v>
      </c>
      <c r="Q229" s="59" t="n">
        <v>0.978</v>
      </c>
      <c r="R229" s="8"/>
      <c r="S229" s="8" t="n">
        <v>150533</v>
      </c>
      <c r="T229" s="8" t="n">
        <f aca="false">IF(J229="regional",IF(R229&gt;0,R229*0.2975,S229*0.3484),S229*0.1939)</f>
        <v>29188.3487</v>
      </c>
      <c r="U229" s="8" t="n">
        <v>104359</v>
      </c>
      <c r="V229" s="8" t="n">
        <f aca="false">S229-U229</f>
        <v>46174</v>
      </c>
      <c r="W229" s="8" t="n">
        <v>750</v>
      </c>
      <c r="X229" s="60" t="n">
        <f aca="false">Y229+Z229</f>
        <v>0</v>
      </c>
      <c r="Y229" s="8" t="n">
        <f aca="false">IF(B229="y",T229,0)</f>
        <v>0</v>
      </c>
      <c r="Z229" s="8"/>
      <c r="AA229" s="8" t="n">
        <f aca="false">AB229+AC229</f>
        <v>179721.3487</v>
      </c>
      <c r="AB229" s="8" t="n">
        <f aca="false">IF(B229="y",0,T229)</f>
        <v>29188.3487</v>
      </c>
      <c r="AC229" s="8" t="n">
        <f aca="false">S229-Z229</f>
        <v>150533</v>
      </c>
      <c r="AD229" s="61" t="n">
        <f aca="false">IF(K229="y",Z229,0)</f>
        <v>0</v>
      </c>
      <c r="AE229" s="61" t="n">
        <f aca="false">IF($K229="",Z229,0)+IF($K229="n",Z229,0)</f>
        <v>0</v>
      </c>
      <c r="AF229" s="62" t="n">
        <f aca="false">IF($K229="y",AC229,0)</f>
        <v>0</v>
      </c>
      <c r="AG229" s="62" t="n">
        <f aca="false">IF($K229="",AC229,0)+IF($K229="n",AC229,0)</f>
        <v>150533</v>
      </c>
      <c r="AH229" s="8" t="n">
        <v>0</v>
      </c>
      <c r="AI229" s="8" t="n">
        <v>0</v>
      </c>
      <c r="AJ229" s="1" t="s">
        <v>51</v>
      </c>
      <c r="AK229" s="63" t="n">
        <v>66807</v>
      </c>
      <c r="AL229" s="9"/>
      <c r="AM229" s="9"/>
    </row>
    <row r="230" customFormat="false" ht="12.75" hidden="false" customHeight="false" outlineLevel="0" collapsed="false">
      <c r="A230" s="2"/>
      <c r="B230" s="2" t="s">
        <v>44</v>
      </c>
      <c r="C230" s="2" t="n">
        <v>2520</v>
      </c>
      <c r="D230" s="64" t="s">
        <v>566</v>
      </c>
      <c r="E230" s="4" t="s">
        <v>567</v>
      </c>
      <c r="F230" s="4" t="s">
        <v>371</v>
      </c>
      <c r="G230" s="4" t="s">
        <v>44</v>
      </c>
      <c r="H230" s="4" t="n">
        <v>1967</v>
      </c>
      <c r="I230" s="4"/>
      <c r="J230" s="4" t="s">
        <v>48</v>
      </c>
      <c r="K230" s="5" t="s">
        <v>44</v>
      </c>
      <c r="L230" s="58" t="s">
        <v>568</v>
      </c>
      <c r="M230" s="7" t="n">
        <v>69</v>
      </c>
      <c r="N230" s="59" t="n">
        <v>0.653</v>
      </c>
      <c r="O230" s="59" t="n">
        <v>0.784</v>
      </c>
      <c r="P230" s="59" t="n">
        <v>0.748</v>
      </c>
      <c r="Q230" s="59" t="n">
        <v>0.858</v>
      </c>
      <c r="R230" s="8" t="n">
        <v>663257</v>
      </c>
      <c r="S230" s="8" t="n">
        <v>566472</v>
      </c>
      <c r="T230" s="8" t="n">
        <f aca="false">IF(J230="regional",IF(R230&gt;0,R230*0.2975,S230*0.3484),S230*0.1939)</f>
        <v>197318.9575</v>
      </c>
      <c r="U230" s="8" t="n">
        <v>412761</v>
      </c>
      <c r="V230" s="8" t="n">
        <f aca="false">S230-U230</f>
        <v>153711</v>
      </c>
      <c r="W230" s="8" t="n">
        <v>1927</v>
      </c>
      <c r="X230" s="60" t="n">
        <f aca="false">Y230+Z230</f>
        <v>513036.9575</v>
      </c>
      <c r="Y230" s="8" t="n">
        <f aca="false">IF(B230="y",T230,0)</f>
        <v>197318.9575</v>
      </c>
      <c r="Z230" s="8" t="n">
        <v>315718</v>
      </c>
      <c r="AA230" s="8" t="n">
        <f aca="false">AB230+AC230</f>
        <v>250754</v>
      </c>
      <c r="AB230" s="8" t="n">
        <f aca="false">IF(B230="y",0,T230)</f>
        <v>0</v>
      </c>
      <c r="AC230" s="8" t="n">
        <f aca="false">S230-Z230</f>
        <v>250754</v>
      </c>
      <c r="AD230" s="61" t="n">
        <f aca="false">IF(K230="y",Z230,0)</f>
        <v>315718</v>
      </c>
      <c r="AE230" s="61" t="n">
        <f aca="false">IF($K230="",Z230,0)+IF($K230="n",Z230,0)</f>
        <v>0</v>
      </c>
      <c r="AF230" s="62" t="n">
        <f aca="false">IF($K230="y",AC230,0)</f>
        <v>250754</v>
      </c>
      <c r="AG230" s="62" t="n">
        <f aca="false">IF($K230="",AC230,0)+IF($K230="n",AC230,0)</f>
        <v>0</v>
      </c>
      <c r="AH230" s="8" t="n">
        <v>138000</v>
      </c>
      <c r="AI230" s="8" t="n">
        <v>185000</v>
      </c>
      <c r="AJ230" s="1" t="s">
        <v>51</v>
      </c>
      <c r="AK230" s="63" t="n">
        <v>77517</v>
      </c>
      <c r="AL230" s="9"/>
      <c r="AM230" s="9"/>
    </row>
    <row r="231" customFormat="false" ht="12.75" hidden="false" customHeight="false" outlineLevel="0" collapsed="false">
      <c r="A231" s="2" t="s">
        <v>44</v>
      </c>
      <c r="B231" s="2"/>
      <c r="C231" s="2" t="n">
        <v>4116</v>
      </c>
      <c r="D231" s="4" t="s">
        <v>566</v>
      </c>
      <c r="E231" s="4" t="s">
        <v>178</v>
      </c>
      <c r="F231" s="4" t="s">
        <v>75</v>
      </c>
      <c r="G231" s="4" t="s">
        <v>44</v>
      </c>
      <c r="H231" s="4" t="n">
        <v>1994</v>
      </c>
      <c r="I231" s="4"/>
      <c r="J231" s="4" t="s">
        <v>48</v>
      </c>
      <c r="K231" s="5" t="s">
        <v>49</v>
      </c>
      <c r="L231" s="58" t="s">
        <v>568</v>
      </c>
      <c r="M231" s="7" t="n">
        <v>90</v>
      </c>
      <c r="N231" s="59" t="n">
        <v>0.877</v>
      </c>
      <c r="O231" s="59" t="n">
        <v>0.894</v>
      </c>
      <c r="P231" s="59" t="n">
        <v>0.848</v>
      </c>
      <c r="Q231" s="59" t="n">
        <v>0.801</v>
      </c>
      <c r="R231" s="8" t="n">
        <v>830190</v>
      </c>
      <c r="S231" s="8" t="n">
        <v>705697</v>
      </c>
      <c r="T231" s="8" t="n">
        <f aca="false">IF(J231="regional",IF(R231&gt;0,R231*0.2975,S231*0.3484),S231*0.1939)</f>
        <v>246981.525</v>
      </c>
      <c r="U231" s="8" t="n">
        <v>478449</v>
      </c>
      <c r="V231" s="8" t="n">
        <f aca="false">S231-U231</f>
        <v>227248</v>
      </c>
      <c r="W231" s="8" t="n">
        <v>3585</v>
      </c>
      <c r="X231" s="60" t="n">
        <f aca="false">Y231+Z231</f>
        <v>0</v>
      </c>
      <c r="Y231" s="8" t="n">
        <f aca="false">IF(B231="y",T231,0)</f>
        <v>0</v>
      </c>
      <c r="Z231" s="8"/>
      <c r="AA231" s="8" t="n">
        <f aca="false">AB231+AC231</f>
        <v>952678.525</v>
      </c>
      <c r="AB231" s="8" t="n">
        <f aca="false">IF(B231="y",0,T231)</f>
        <v>246981.525</v>
      </c>
      <c r="AC231" s="8" t="n">
        <f aca="false">S231-Z231</f>
        <v>705697</v>
      </c>
      <c r="AD231" s="61" t="n">
        <f aca="false">IF(K231="y",Z231,0)</f>
        <v>0</v>
      </c>
      <c r="AE231" s="61" t="n">
        <f aca="false">IF($K231="",Z231,0)+IF($K231="n",Z231,0)</f>
        <v>0</v>
      </c>
      <c r="AF231" s="62" t="n">
        <f aca="false">IF($K231="y",AC231,0)</f>
        <v>0</v>
      </c>
      <c r="AG231" s="62" t="n">
        <f aca="false">IF($K231="",AC231,0)+IF($K231="n",AC231,0)</f>
        <v>705697</v>
      </c>
      <c r="AH231" s="8" t="n">
        <v>0</v>
      </c>
      <c r="AI231" s="8" t="n">
        <v>0</v>
      </c>
      <c r="AJ231" s="1" t="s">
        <v>51</v>
      </c>
      <c r="AK231" s="63" t="n">
        <v>379394</v>
      </c>
      <c r="AL231" s="9"/>
      <c r="AM231" s="9"/>
    </row>
    <row r="232" customFormat="false" ht="12.75" hidden="false" customHeight="false" outlineLevel="0" collapsed="false">
      <c r="A232" s="2" t="s">
        <v>44</v>
      </c>
      <c r="B232" s="2"/>
      <c r="C232" s="2" t="n">
        <v>9710</v>
      </c>
      <c r="D232" s="4" t="s">
        <v>569</v>
      </c>
      <c r="E232" s="4" t="s">
        <v>570</v>
      </c>
      <c r="F232" s="4" t="s">
        <v>114</v>
      </c>
      <c r="G232" s="4" t="s">
        <v>49</v>
      </c>
      <c r="H232" s="4" t="n">
        <v>1979</v>
      </c>
      <c r="I232" s="4"/>
      <c r="J232" s="4" t="s">
        <v>48</v>
      </c>
      <c r="K232" s="5"/>
      <c r="L232" s="58" t="s">
        <v>565</v>
      </c>
      <c r="M232" s="7" t="n">
        <v>115</v>
      </c>
      <c r="N232" s="59" t="n">
        <v>0.922</v>
      </c>
      <c r="O232" s="59" t="n">
        <v>0.926</v>
      </c>
      <c r="P232" s="59" t="n">
        <v>0.893</v>
      </c>
      <c r="Q232" s="59" t="n">
        <v>0.861</v>
      </c>
      <c r="R232" s="8" t="n">
        <v>640283</v>
      </c>
      <c r="S232" s="8" t="n">
        <v>941843</v>
      </c>
      <c r="T232" s="8" t="n">
        <f aca="false">IF(J232="regional",IF(R232&gt;0,R232*0.2975,S232*0.3484),S232*0.1939)</f>
        <v>190484.1925</v>
      </c>
      <c r="U232" s="8" t="n">
        <v>622508</v>
      </c>
      <c r="V232" s="8" t="n">
        <f aca="false">S232-U232</f>
        <v>319335</v>
      </c>
      <c r="W232" s="8" t="n">
        <v>4681</v>
      </c>
      <c r="X232" s="60" t="n">
        <f aca="false">Y232+Z232</f>
        <v>0</v>
      </c>
      <c r="Y232" s="8" t="n">
        <f aca="false">IF(B232="y",T232,0)</f>
        <v>0</v>
      </c>
      <c r="Z232" s="8"/>
      <c r="AA232" s="8" t="n">
        <f aca="false">AB232+AC232</f>
        <v>1132327.1925</v>
      </c>
      <c r="AB232" s="8" t="n">
        <f aca="false">IF(B232="y",0,T232)</f>
        <v>190484.1925</v>
      </c>
      <c r="AC232" s="8" t="n">
        <f aca="false">S232-Z232</f>
        <v>941843</v>
      </c>
      <c r="AD232" s="61" t="n">
        <f aca="false">IF(K232="y",Z232,0)</f>
        <v>0</v>
      </c>
      <c r="AE232" s="61" t="n">
        <f aca="false">IF($K232="",Z232,0)+IF($K232="n",Z232,0)</f>
        <v>0</v>
      </c>
      <c r="AF232" s="62" t="n">
        <f aca="false">IF($K232="y",AC232,0)</f>
        <v>0</v>
      </c>
      <c r="AG232" s="62" t="n">
        <f aca="false">IF($K232="",AC232,0)+IF($K232="n",AC232,0)</f>
        <v>941843</v>
      </c>
      <c r="AH232" s="8" t="n">
        <v>0</v>
      </c>
      <c r="AI232" s="8" t="n">
        <v>0</v>
      </c>
      <c r="AJ232" s="1" t="s">
        <v>51</v>
      </c>
      <c r="AK232" s="63" t="n">
        <v>590524</v>
      </c>
      <c r="AL232" s="9"/>
      <c r="AM232" s="9"/>
    </row>
    <row r="233" customFormat="false" ht="12.75" hidden="false" customHeight="false" outlineLevel="0" collapsed="false">
      <c r="A233" s="2" t="s">
        <v>44</v>
      </c>
      <c r="B233" s="2"/>
      <c r="C233" s="2" t="n">
        <v>9750</v>
      </c>
      <c r="D233" s="4" t="s">
        <v>571</v>
      </c>
      <c r="E233" s="4" t="s">
        <v>80</v>
      </c>
      <c r="F233" s="4" t="s">
        <v>101</v>
      </c>
      <c r="G233" s="4" t="s">
        <v>44</v>
      </c>
      <c r="H233" s="4" t="n">
        <v>1971</v>
      </c>
      <c r="I233" s="4"/>
      <c r="J233" s="4" t="s">
        <v>48</v>
      </c>
      <c r="K233" s="5" t="s">
        <v>49</v>
      </c>
      <c r="L233" s="58" t="s">
        <v>102</v>
      </c>
      <c r="M233" s="7" t="n">
        <v>87</v>
      </c>
      <c r="N233" s="59" t="n">
        <v>0.801</v>
      </c>
      <c r="O233" s="59" t="n">
        <v>0.801</v>
      </c>
      <c r="P233" s="59" t="n">
        <v>0.727</v>
      </c>
      <c r="Q233" s="59" t="n">
        <v>0.877</v>
      </c>
      <c r="R233" s="8" t="n">
        <v>848939</v>
      </c>
      <c r="S233" s="8" t="n">
        <v>753557</v>
      </c>
      <c r="T233" s="8" t="n">
        <f aca="false">IF(J233="regional",IF(R233&gt;0,R233*0.2975,S233*0.3484),S233*0.1939)</f>
        <v>252559.3525</v>
      </c>
      <c r="U233" s="8" t="n">
        <v>479418</v>
      </c>
      <c r="V233" s="8" t="n">
        <f aca="false">S233-U233</f>
        <v>274139</v>
      </c>
      <c r="W233" s="8" t="n">
        <v>4365</v>
      </c>
      <c r="X233" s="60" t="n">
        <f aca="false">Y233+Z233</f>
        <v>0</v>
      </c>
      <c r="Y233" s="8" t="n">
        <f aca="false">IF(B233="y",T233,0)</f>
        <v>0</v>
      </c>
      <c r="Z233" s="8"/>
      <c r="AA233" s="8" t="n">
        <f aca="false">AB233+AC233</f>
        <v>1006116.3525</v>
      </c>
      <c r="AB233" s="8" t="n">
        <f aca="false">IF(B233="y",0,T233)</f>
        <v>252559.3525</v>
      </c>
      <c r="AC233" s="8" t="n">
        <f aca="false">S233-Z233</f>
        <v>753557</v>
      </c>
      <c r="AD233" s="61" t="n">
        <f aca="false">IF(K233="y",Z233,0)</f>
        <v>0</v>
      </c>
      <c r="AE233" s="61" t="n">
        <f aca="false">IF($K233="",Z233,0)+IF($K233="n",Z233,0)</f>
        <v>0</v>
      </c>
      <c r="AF233" s="62" t="n">
        <f aca="false">IF($K233="y",AC233,0)</f>
        <v>0</v>
      </c>
      <c r="AG233" s="62" t="n">
        <f aca="false">IF($K233="",AC233,0)+IF($K233="n",AC233,0)</f>
        <v>753557</v>
      </c>
      <c r="AH233" s="8" t="n">
        <v>0</v>
      </c>
      <c r="AI233" s="8" t="n">
        <v>0</v>
      </c>
      <c r="AJ233" s="4"/>
      <c r="AK233" s="4"/>
      <c r="AL233" s="9"/>
      <c r="AM233" s="9"/>
    </row>
    <row r="234" customFormat="false" ht="12.75" hidden="false" customHeight="false" outlineLevel="0" collapsed="false">
      <c r="A234" s="2" t="s">
        <v>44</v>
      </c>
      <c r="B234" s="2"/>
      <c r="C234" s="2" t="n">
        <v>1511</v>
      </c>
      <c r="D234" s="4" t="s">
        <v>572</v>
      </c>
      <c r="E234" s="4" t="s">
        <v>573</v>
      </c>
      <c r="F234" s="4" t="s">
        <v>54</v>
      </c>
      <c r="G234" s="4" t="s">
        <v>44</v>
      </c>
      <c r="H234" s="4" t="n">
        <v>1983</v>
      </c>
      <c r="I234" s="4"/>
      <c r="J234" s="4" t="s">
        <v>48</v>
      </c>
      <c r="K234" s="5" t="s">
        <v>44</v>
      </c>
      <c r="L234" s="58" t="s">
        <v>574</v>
      </c>
      <c r="M234" s="7" t="n">
        <v>102</v>
      </c>
      <c r="N234" s="59" t="n">
        <v>0.886</v>
      </c>
      <c r="O234" s="59" t="n">
        <v>0.915</v>
      </c>
      <c r="P234" s="59" t="n">
        <v>0.919</v>
      </c>
      <c r="Q234" s="59" t="n">
        <v>0.876</v>
      </c>
      <c r="R234" s="8" t="n">
        <v>743306</v>
      </c>
      <c r="S234" s="8" t="n">
        <v>655749</v>
      </c>
      <c r="T234" s="8" t="n">
        <f aca="false">IF(J234="regional",IF(R234&gt;0,R234*0.2975,S234*0.3484),S234*0.1939)</f>
        <v>221133.535</v>
      </c>
      <c r="U234" s="8" t="n">
        <v>389781</v>
      </c>
      <c r="V234" s="8" t="n">
        <f aca="false">S234-U234</f>
        <v>265968</v>
      </c>
      <c r="W234" s="8" t="n">
        <v>3741</v>
      </c>
      <c r="X234" s="60" t="n">
        <f aca="false">Y234+Z234</f>
        <v>0</v>
      </c>
      <c r="Y234" s="8" t="n">
        <f aca="false">IF(B234="y",T234,0)</f>
        <v>0</v>
      </c>
      <c r="Z234" s="8"/>
      <c r="AA234" s="8" t="n">
        <f aca="false">AB234+AC234</f>
        <v>876882.535</v>
      </c>
      <c r="AB234" s="8" t="n">
        <f aca="false">IF(B234="y",0,T234)</f>
        <v>221133.535</v>
      </c>
      <c r="AC234" s="8" t="n">
        <f aca="false">S234-Z234</f>
        <v>655749</v>
      </c>
      <c r="AD234" s="61" t="n">
        <f aca="false">IF(K234="y",Z234,0)</f>
        <v>0</v>
      </c>
      <c r="AE234" s="61" t="n">
        <f aca="false">IF($K234="",Z234,0)+IF($K234="n",Z234,0)</f>
        <v>0</v>
      </c>
      <c r="AF234" s="62" t="n">
        <f aca="false">IF($K234="y",AC234,0)</f>
        <v>655749</v>
      </c>
      <c r="AG234" s="62" t="n">
        <f aca="false">IF($K234="",AC234,0)+IF($K234="n",AC234,0)</f>
        <v>0</v>
      </c>
      <c r="AH234" s="8" t="n">
        <v>1008000</v>
      </c>
      <c r="AI234" s="8" t="n">
        <v>895000</v>
      </c>
      <c r="AJ234" s="1" t="s">
        <v>51</v>
      </c>
      <c r="AK234" s="63" t="n">
        <v>456634</v>
      </c>
      <c r="AL234" s="9"/>
      <c r="AM234" s="9"/>
    </row>
    <row r="235" customFormat="false" ht="12.75" hidden="false" customHeight="false" outlineLevel="0" collapsed="false">
      <c r="A235" s="2" t="s">
        <v>44</v>
      </c>
      <c r="B235" s="2"/>
      <c r="C235" s="2" t="n">
        <v>4775</v>
      </c>
      <c r="D235" s="4" t="s">
        <v>575</v>
      </c>
      <c r="E235" s="4"/>
      <c r="F235" s="4"/>
      <c r="G235" s="4" t="s">
        <v>49</v>
      </c>
      <c r="H235" s="4" t="s">
        <v>43</v>
      </c>
      <c r="I235" s="4"/>
      <c r="J235" s="4"/>
      <c r="K235" s="5"/>
      <c r="L235" s="58" t="s">
        <v>43</v>
      </c>
      <c r="M235" s="7" t="s">
        <v>43</v>
      </c>
      <c r="N235" s="59" t="s">
        <v>43</v>
      </c>
      <c r="O235" s="59" t="s">
        <v>43</v>
      </c>
      <c r="P235" s="59"/>
      <c r="Q235" s="59"/>
      <c r="R235" s="8" t="s">
        <v>43</v>
      </c>
      <c r="S235" s="8" t="s">
        <v>43</v>
      </c>
      <c r="T235" s="8" t="s">
        <v>43</v>
      </c>
      <c r="U235" s="8" t="s">
        <v>43</v>
      </c>
      <c r="V235" s="8" t="s">
        <v>43</v>
      </c>
      <c r="W235" s="8" t="s">
        <v>43</v>
      </c>
      <c r="X235" s="60"/>
      <c r="Y235" s="8"/>
      <c r="Z235" s="8"/>
      <c r="AA235" s="8" t="s">
        <v>43</v>
      </c>
      <c r="AB235" s="8" t="s">
        <v>43</v>
      </c>
      <c r="AC235" s="8" t="s">
        <v>43</v>
      </c>
      <c r="AD235" s="61" t="s">
        <v>43</v>
      </c>
      <c r="AE235" s="61" t="s">
        <v>43</v>
      </c>
      <c r="AF235" s="62" t="s">
        <v>43</v>
      </c>
      <c r="AG235" s="62" t="s">
        <v>43</v>
      </c>
      <c r="AH235" s="8" t="n">
        <v>0</v>
      </c>
      <c r="AI235" s="8" t="n">
        <v>0</v>
      </c>
      <c r="AJ235" s="1" t="s">
        <v>130</v>
      </c>
      <c r="AK235" s="63" t="n">
        <v>13887</v>
      </c>
      <c r="AL235" s="9"/>
      <c r="AM235" s="9"/>
    </row>
    <row r="236" customFormat="false" ht="12.75" hidden="false" customHeight="false" outlineLevel="0" collapsed="false">
      <c r="A236" s="2" t="s">
        <v>44</v>
      </c>
      <c r="B236" s="2"/>
      <c r="C236" s="2" t="n">
        <v>4316</v>
      </c>
      <c r="D236" s="4" t="s">
        <v>576</v>
      </c>
      <c r="E236" s="4" t="s">
        <v>577</v>
      </c>
      <c r="F236" s="4" t="s">
        <v>114</v>
      </c>
      <c r="G236" s="4" t="s">
        <v>49</v>
      </c>
      <c r="H236" s="4" t="n">
        <v>1990</v>
      </c>
      <c r="I236" s="4"/>
      <c r="J236" s="4" t="s">
        <v>62</v>
      </c>
      <c r="K236" s="5"/>
      <c r="L236" s="58" t="s">
        <v>170</v>
      </c>
      <c r="M236" s="7" t="n">
        <v>26</v>
      </c>
      <c r="N236" s="59" t="n">
        <v>0.979</v>
      </c>
      <c r="O236" s="59" t="n">
        <v>0.988</v>
      </c>
      <c r="P236" s="59" t="n">
        <v>1</v>
      </c>
      <c r="Q236" s="59" t="n">
        <v>0.964</v>
      </c>
      <c r="R236" s="8"/>
      <c r="S236" s="8" t="n">
        <v>491723</v>
      </c>
      <c r="T236" s="8" t="n">
        <f aca="false">IF(J236="regional",IF(R236&gt;0,R236*0.2975,S236*0.3484),S236*0.1939)</f>
        <v>95345.0897</v>
      </c>
      <c r="U236" s="8" t="n">
        <v>356418</v>
      </c>
      <c r="V236" s="8" t="n">
        <f aca="false">S236-U236</f>
        <v>135305</v>
      </c>
      <c r="W236" s="8" t="n">
        <v>1626</v>
      </c>
      <c r="X236" s="60" t="n">
        <f aca="false">Y236+Z236</f>
        <v>0</v>
      </c>
      <c r="Y236" s="8" t="n">
        <f aca="false">IF(B236="y",T236,0)</f>
        <v>0</v>
      </c>
      <c r="Z236" s="8"/>
      <c r="AA236" s="8" t="n">
        <f aca="false">AB236+AC236</f>
        <v>587068.0897</v>
      </c>
      <c r="AB236" s="8" t="n">
        <f aca="false">IF(B236="y",0,T236)</f>
        <v>95345.0897</v>
      </c>
      <c r="AC236" s="8" t="n">
        <f aca="false">S236-Z236</f>
        <v>491723</v>
      </c>
      <c r="AD236" s="61" t="n">
        <f aca="false">IF(K236="y",Z236,0)</f>
        <v>0</v>
      </c>
      <c r="AE236" s="61" t="n">
        <f aca="false">IF($K236="",Z236,0)+IF($K236="n",Z236,0)</f>
        <v>0</v>
      </c>
      <c r="AF236" s="62" t="n">
        <f aca="false">IF($K236="y",AC236,0)</f>
        <v>0</v>
      </c>
      <c r="AG236" s="62" t="n">
        <f aca="false">IF($K236="",AC236,0)+IF($K236="n",AC236,0)</f>
        <v>491723</v>
      </c>
      <c r="AH236" s="8" t="n">
        <v>0</v>
      </c>
      <c r="AI236" s="8" t="n">
        <v>0</v>
      </c>
      <c r="AJ236" s="4"/>
      <c r="AK236" s="4"/>
      <c r="AL236" s="9"/>
      <c r="AM236" s="9"/>
    </row>
    <row r="237" customFormat="false" ht="12.75" hidden="false" customHeight="false" outlineLevel="0" collapsed="false">
      <c r="A237" s="2" t="s">
        <v>44</v>
      </c>
      <c r="B237" s="2"/>
      <c r="C237" s="2" t="n">
        <v>9270</v>
      </c>
      <c r="D237" s="66" t="s">
        <v>578</v>
      </c>
      <c r="E237" s="4" t="s">
        <v>472</v>
      </c>
      <c r="F237" s="4" t="s">
        <v>147</v>
      </c>
      <c r="G237" s="4" t="s">
        <v>49</v>
      </c>
      <c r="H237" s="4" t="n">
        <v>1991</v>
      </c>
      <c r="I237" s="4"/>
      <c r="J237" s="4" t="s">
        <v>48</v>
      </c>
      <c r="K237" s="5" t="s">
        <v>44</v>
      </c>
      <c r="L237" s="58" t="s">
        <v>579</v>
      </c>
      <c r="M237" s="7" t="n">
        <v>115</v>
      </c>
      <c r="N237" s="59" t="n">
        <v>0.832</v>
      </c>
      <c r="O237" s="59" t="n">
        <v>0.832</v>
      </c>
      <c r="P237" s="59" t="n">
        <v>0.813</v>
      </c>
      <c r="Q237" s="59" t="n">
        <v>0.768</v>
      </c>
      <c r="R237" s="8" t="n">
        <v>922805</v>
      </c>
      <c r="S237" s="8" t="n">
        <v>787721</v>
      </c>
      <c r="T237" s="8" t="n">
        <f aca="false">IF(J237="regional",IF(R237&gt;0,R237*0.2975,S237*0.3484),S237*0.1939)</f>
        <v>274534.4875</v>
      </c>
      <c r="U237" s="8" t="n">
        <v>506639</v>
      </c>
      <c r="V237" s="8" t="n">
        <f aca="false">S237-U237</f>
        <v>281082</v>
      </c>
      <c r="W237" s="8" t="n">
        <v>4060</v>
      </c>
      <c r="X237" s="60" t="n">
        <f aca="false">Y237+Z237</f>
        <v>0</v>
      </c>
      <c r="Y237" s="8" t="n">
        <f aca="false">IF(B237="y",T237,0)</f>
        <v>0</v>
      </c>
      <c r="Z237" s="8"/>
      <c r="AA237" s="8" t="n">
        <f aca="false">AB237+AC237</f>
        <v>1062255.4875</v>
      </c>
      <c r="AB237" s="8" t="n">
        <f aca="false">IF(B237="y",0,T237)</f>
        <v>274534.4875</v>
      </c>
      <c r="AC237" s="8" t="n">
        <f aca="false">S237-Z237</f>
        <v>787721</v>
      </c>
      <c r="AD237" s="61" t="n">
        <f aca="false">IF(K237="y",Z237,0)</f>
        <v>0</v>
      </c>
      <c r="AE237" s="61" t="n">
        <f aca="false">IF($K237="",Z237,0)+IF($K237="n",Z237,0)</f>
        <v>0</v>
      </c>
      <c r="AF237" s="62" t="n">
        <f aca="false">IF($K237="y",AC237,0)</f>
        <v>787721</v>
      </c>
      <c r="AG237" s="62" t="n">
        <f aca="false">IF($K237="",AC237,0)+IF($K237="n",AC237,0)</f>
        <v>0</v>
      </c>
      <c r="AH237" s="8" t="n">
        <v>688000</v>
      </c>
      <c r="AI237" s="8" t="n">
        <v>314000</v>
      </c>
      <c r="AJ237" s="1" t="s">
        <v>51</v>
      </c>
      <c r="AK237" s="63" t="n">
        <v>690320</v>
      </c>
      <c r="AL237" s="9"/>
      <c r="AM237" s="9"/>
    </row>
    <row r="238" customFormat="false" ht="12.75" hidden="false" customHeight="false" outlineLevel="0" collapsed="false">
      <c r="A238" s="2" t="s">
        <v>44</v>
      </c>
      <c r="B238" s="2"/>
      <c r="C238" s="2" t="n">
        <v>1582</v>
      </c>
      <c r="D238" s="4" t="s">
        <v>580</v>
      </c>
      <c r="E238" s="4" t="s">
        <v>581</v>
      </c>
      <c r="F238" s="4" t="s">
        <v>114</v>
      </c>
      <c r="G238" s="4" t="s">
        <v>44</v>
      </c>
      <c r="H238" s="4" t="n">
        <v>1970</v>
      </c>
      <c r="I238" s="4"/>
      <c r="J238" s="4" t="s">
        <v>62</v>
      </c>
      <c r="K238" s="5"/>
      <c r="L238" s="58" t="s">
        <v>170</v>
      </c>
      <c r="M238" s="7" t="n">
        <v>4</v>
      </c>
      <c r="N238" s="59" t="n">
        <v>0.986</v>
      </c>
      <c r="O238" s="59" t="n">
        <v>0.986</v>
      </c>
      <c r="P238" s="59" t="n">
        <v>0.986</v>
      </c>
      <c r="Q238" s="59" t="n">
        <v>0.962</v>
      </c>
      <c r="R238" s="8"/>
      <c r="S238" s="8" t="n">
        <v>119648</v>
      </c>
      <c r="T238" s="8" t="n">
        <f aca="false">IF(J238="regional",IF(R238&gt;0,R238*0.2975,S238*0.3484),S238*0.1939)</f>
        <v>23199.7472</v>
      </c>
      <c r="U238" s="8" t="n">
        <v>109388</v>
      </c>
      <c r="V238" s="8" t="n">
        <f aca="false">S238-U238</f>
        <v>10260</v>
      </c>
      <c r="W238" s="8" t="n">
        <v>600</v>
      </c>
      <c r="X238" s="60" t="n">
        <f aca="false">Y238+Z238</f>
        <v>0</v>
      </c>
      <c r="Y238" s="8" t="n">
        <f aca="false">IF(B238="y",T238,0)</f>
        <v>0</v>
      </c>
      <c r="Z238" s="8"/>
      <c r="AA238" s="8" t="n">
        <f aca="false">AB238+AC238</f>
        <v>142847.7472</v>
      </c>
      <c r="AB238" s="8" t="n">
        <f aca="false">IF(B238="y",0,T238)</f>
        <v>23199.7472</v>
      </c>
      <c r="AC238" s="8" t="n">
        <f aca="false">S238-Z238</f>
        <v>119648</v>
      </c>
      <c r="AD238" s="61" t="n">
        <f aca="false">IF(K238="y",Z238,0)</f>
        <v>0</v>
      </c>
      <c r="AE238" s="61" t="n">
        <f aca="false">IF($K238="",Z238,0)+IF($K238="n",Z238,0)</f>
        <v>0</v>
      </c>
      <c r="AF238" s="62" t="n">
        <f aca="false">IF($K238="y",AC238,0)</f>
        <v>0</v>
      </c>
      <c r="AG238" s="62" t="n">
        <f aca="false">IF($K238="",AC238,0)+IF($K238="n",AC238,0)</f>
        <v>119648</v>
      </c>
      <c r="AH238" s="8" t="n">
        <v>0</v>
      </c>
      <c r="AI238" s="8" t="n">
        <v>0</v>
      </c>
      <c r="AJ238" s="1" t="s">
        <v>70</v>
      </c>
      <c r="AK238" s="63" t="n">
        <v>14447</v>
      </c>
      <c r="AL238" s="9"/>
      <c r="AM238" s="9"/>
    </row>
    <row r="239" customFormat="false" ht="12.75" hidden="false" customHeight="false" outlineLevel="0" collapsed="false">
      <c r="A239" s="2" t="s">
        <v>44</v>
      </c>
      <c r="B239" s="2"/>
      <c r="C239" s="2" t="n">
        <v>4841</v>
      </c>
      <c r="D239" s="65" t="s">
        <v>582</v>
      </c>
      <c r="E239" s="65" t="s">
        <v>583</v>
      </c>
      <c r="F239" s="4" t="s">
        <v>151</v>
      </c>
      <c r="G239" s="4" t="s">
        <v>44</v>
      </c>
      <c r="H239" s="4" t="n">
        <v>1961</v>
      </c>
      <c r="I239" s="4"/>
      <c r="J239" s="4" t="s">
        <v>48</v>
      </c>
      <c r="K239" s="5" t="s">
        <v>49</v>
      </c>
      <c r="L239" s="58" t="s">
        <v>490</v>
      </c>
      <c r="M239" s="7" t="n">
        <v>106</v>
      </c>
      <c r="N239" s="59" t="n">
        <v>0.809</v>
      </c>
      <c r="O239" s="59" t="n">
        <v>0.836</v>
      </c>
      <c r="P239" s="59" t="n">
        <v>0.925</v>
      </c>
      <c r="Q239" s="59" t="n">
        <v>0.952</v>
      </c>
      <c r="R239" s="8" t="n">
        <v>771000</v>
      </c>
      <c r="S239" s="8" t="n">
        <v>965000</v>
      </c>
      <c r="T239" s="8" t="n">
        <f aca="false">IF(J239="regional",IF(R239&gt;0,R239*0.2975,S239*0.3484),S239*0.1939)</f>
        <v>229372.5</v>
      </c>
      <c r="U239" s="8" t="n">
        <v>771000</v>
      </c>
      <c r="V239" s="8" t="n">
        <f aca="false">S239-U239</f>
        <v>194000</v>
      </c>
      <c r="W239" s="8" t="n">
        <v>5043</v>
      </c>
      <c r="X239" s="60" t="n">
        <f aca="false">Y239+Z239</f>
        <v>0</v>
      </c>
      <c r="Y239" s="8" t="n">
        <f aca="false">IF(B239="y",T239,0)</f>
        <v>0</v>
      </c>
      <c r="Z239" s="8"/>
      <c r="AA239" s="8" t="n">
        <f aca="false">AB239+AC239</f>
        <v>1194372.5</v>
      </c>
      <c r="AB239" s="8" t="n">
        <f aca="false">IF(B239="y",0,T239)</f>
        <v>229372.5</v>
      </c>
      <c r="AC239" s="8" t="n">
        <f aca="false">S239-Z239</f>
        <v>965000</v>
      </c>
      <c r="AD239" s="61" t="n">
        <f aca="false">IF(K239="y",Z239,0)</f>
        <v>0</v>
      </c>
      <c r="AE239" s="61" t="n">
        <f aca="false">IF($K239="",Z239,0)+IF($K239="n",Z239,0)</f>
        <v>0</v>
      </c>
      <c r="AF239" s="62" t="n">
        <f aca="false">IF($K239="y",AC239,0)</f>
        <v>0</v>
      </c>
      <c r="AG239" s="62" t="n">
        <f aca="false">IF($K239="",AC239,0)+IF($K239="n",AC239,0)</f>
        <v>965000</v>
      </c>
      <c r="AH239" s="8" t="n">
        <v>0</v>
      </c>
      <c r="AI239" s="8" t="n">
        <v>0</v>
      </c>
      <c r="AJ239" s="65"/>
      <c r="AK239" s="65"/>
      <c r="AL239" s="9"/>
      <c r="AM239" s="9"/>
    </row>
    <row r="240" customFormat="false" ht="12.75" hidden="false" customHeight="false" outlineLevel="0" collapsed="false">
      <c r="A240" s="2" t="s">
        <v>44</v>
      </c>
      <c r="B240" s="2"/>
      <c r="C240" s="2" t="n">
        <v>9774</v>
      </c>
      <c r="D240" s="4" t="s">
        <v>584</v>
      </c>
      <c r="E240" s="4" t="s">
        <v>113</v>
      </c>
      <c r="F240" s="4" t="s">
        <v>114</v>
      </c>
      <c r="G240" s="4" t="s">
        <v>49</v>
      </c>
      <c r="H240" s="4" t="n">
        <v>1976</v>
      </c>
      <c r="I240" s="4"/>
      <c r="J240" s="4" t="s">
        <v>62</v>
      </c>
      <c r="K240" s="5"/>
      <c r="L240" s="58" t="s">
        <v>585</v>
      </c>
      <c r="M240" s="7" t="n">
        <v>8</v>
      </c>
      <c r="N240" s="59" t="n">
        <v>0.811</v>
      </c>
      <c r="O240" s="59" t="n">
        <v>0.811</v>
      </c>
      <c r="P240" s="59" t="n">
        <v>0.953</v>
      </c>
      <c r="Q240" s="59" t="n">
        <v>0.912</v>
      </c>
      <c r="R240" s="8"/>
      <c r="S240" s="8" t="n">
        <v>50302</v>
      </c>
      <c r="T240" s="8" t="n">
        <f aca="false">IF(J240="regional",IF(R240&gt;0,R240*0.2975,S240*0.3484),S240*0.1939)</f>
        <v>9753.5578</v>
      </c>
      <c r="U240" s="8" t="n">
        <v>21500</v>
      </c>
      <c r="V240" s="8" t="n">
        <f aca="false">S240-U240</f>
        <v>28802</v>
      </c>
      <c r="W240" s="8" t="n">
        <v>250</v>
      </c>
      <c r="X240" s="60" t="n">
        <f aca="false">Y240+Z240</f>
        <v>0</v>
      </c>
      <c r="Y240" s="8" t="n">
        <f aca="false">IF(B240="y",T240,0)</f>
        <v>0</v>
      </c>
      <c r="Z240" s="8"/>
      <c r="AA240" s="8" t="n">
        <f aca="false">AB240+AC240</f>
        <v>60055.5578</v>
      </c>
      <c r="AB240" s="8" t="n">
        <f aca="false">IF(B240="y",0,T240)</f>
        <v>9753.5578</v>
      </c>
      <c r="AC240" s="8" t="n">
        <f aca="false">S240-Z240</f>
        <v>50302</v>
      </c>
      <c r="AD240" s="61" t="n">
        <f aca="false">IF(K240="y",Z240,0)</f>
        <v>0</v>
      </c>
      <c r="AE240" s="61" t="n">
        <f aca="false">IF($K240="",Z240,0)+IF($K240="n",Z240,0)</f>
        <v>0</v>
      </c>
      <c r="AF240" s="62" t="n">
        <f aca="false">IF($K240="y",AC240,0)</f>
        <v>0</v>
      </c>
      <c r="AG240" s="62" t="n">
        <f aca="false">IF($K240="",AC240,0)+IF($K240="n",AC240,0)</f>
        <v>50302</v>
      </c>
      <c r="AH240" s="8" t="n">
        <v>0</v>
      </c>
      <c r="AI240" s="8" t="n">
        <v>0</v>
      </c>
      <c r="AJ240" s="4"/>
      <c r="AK240" s="4"/>
      <c r="AL240" s="9"/>
      <c r="AM240" s="9"/>
    </row>
    <row r="241" customFormat="false" ht="12.75" hidden="false" customHeight="false" outlineLevel="0" collapsed="false">
      <c r="A241" s="2" t="s">
        <v>44</v>
      </c>
      <c r="B241" s="2"/>
      <c r="C241" s="2" t="n">
        <v>9773</v>
      </c>
      <c r="D241" s="66" t="s">
        <v>586</v>
      </c>
      <c r="E241" s="4" t="s">
        <v>113</v>
      </c>
      <c r="F241" s="4" t="s">
        <v>114</v>
      </c>
      <c r="G241" s="4" t="s">
        <v>44</v>
      </c>
      <c r="H241" s="4" t="n">
        <v>1974</v>
      </c>
      <c r="I241" s="4"/>
      <c r="J241" s="4" t="s">
        <v>48</v>
      </c>
      <c r="K241" s="5" t="s">
        <v>49</v>
      </c>
      <c r="L241" s="58" t="s">
        <v>585</v>
      </c>
      <c r="M241" s="7" t="n">
        <v>134</v>
      </c>
      <c r="N241" s="59" t="n">
        <v>0.704</v>
      </c>
      <c r="O241" s="59" t="n">
        <v>0.693</v>
      </c>
      <c r="P241" s="59" t="n">
        <v>0.563</v>
      </c>
      <c r="Q241" s="59" t="n">
        <v>0.626</v>
      </c>
      <c r="R241" s="8" t="n">
        <v>1288538</v>
      </c>
      <c r="S241" s="8" t="n">
        <v>1192700</v>
      </c>
      <c r="T241" s="8" t="n">
        <f aca="false">IF(J241="regional",IF(R241&gt;0,R241*0.2975,S241*0.3484),S241*0.1939)</f>
        <v>383340.055</v>
      </c>
      <c r="U241" s="8" t="n">
        <v>931236</v>
      </c>
      <c r="V241" s="8" t="n">
        <f aca="false">S241-U241</f>
        <v>261464</v>
      </c>
      <c r="W241" s="8" t="n">
        <v>6964</v>
      </c>
      <c r="X241" s="60" t="n">
        <f aca="false">Y241+Z241</f>
        <v>0</v>
      </c>
      <c r="Y241" s="8" t="n">
        <f aca="false">IF(B241="y",T241,0)</f>
        <v>0</v>
      </c>
      <c r="Z241" s="8"/>
      <c r="AA241" s="8" t="n">
        <f aca="false">AB241+AC241</f>
        <v>1576040.055</v>
      </c>
      <c r="AB241" s="8" t="n">
        <f aca="false">IF(B241="y",0,T241)</f>
        <v>383340.055</v>
      </c>
      <c r="AC241" s="8" t="n">
        <f aca="false">S241-Z241</f>
        <v>1192700</v>
      </c>
      <c r="AD241" s="61" t="n">
        <f aca="false">IF(K241="y",Z241,0)</f>
        <v>0</v>
      </c>
      <c r="AE241" s="61" t="n">
        <f aca="false">IF($K241="",Z241,0)+IF($K241="n",Z241,0)</f>
        <v>0</v>
      </c>
      <c r="AF241" s="62" t="n">
        <f aca="false">IF($K241="y",AC241,0)</f>
        <v>0</v>
      </c>
      <c r="AG241" s="62" t="n">
        <f aca="false">IF($K241="",AC241,0)+IF($K241="n",AC241,0)</f>
        <v>1192700</v>
      </c>
      <c r="AH241" s="8" t="n">
        <v>0</v>
      </c>
      <c r="AI241" s="8" t="n">
        <v>0</v>
      </c>
      <c r="AJ241" s="1" t="s">
        <v>51</v>
      </c>
      <c r="AK241" s="63" t="n">
        <v>748716</v>
      </c>
      <c r="AL241" s="9"/>
      <c r="AM241" s="9"/>
    </row>
    <row r="242" customFormat="false" ht="12.75" hidden="false" customHeight="false" outlineLevel="0" collapsed="false">
      <c r="A242" s="2"/>
      <c r="B242" s="2" t="s">
        <v>44</v>
      </c>
      <c r="C242" s="2" t="n">
        <v>3917</v>
      </c>
      <c r="D242" s="64" t="s">
        <v>587</v>
      </c>
      <c r="E242" s="4" t="s">
        <v>588</v>
      </c>
      <c r="F242" s="4" t="s">
        <v>288</v>
      </c>
      <c r="G242" s="4" t="s">
        <v>44</v>
      </c>
      <c r="H242" s="4" t="n">
        <v>1991</v>
      </c>
      <c r="I242" s="4"/>
      <c r="J242" s="4" t="s">
        <v>48</v>
      </c>
      <c r="K242" s="5" t="s">
        <v>44</v>
      </c>
      <c r="L242" s="58" t="s">
        <v>589</v>
      </c>
      <c r="M242" s="7" t="n">
        <v>152</v>
      </c>
      <c r="N242" s="59" t="n">
        <v>0.731</v>
      </c>
      <c r="O242" s="59" t="n">
        <v>0.833</v>
      </c>
      <c r="P242" s="59" t="n">
        <v>0.807</v>
      </c>
      <c r="Q242" s="59" t="n">
        <v>0.755</v>
      </c>
      <c r="R242" s="8" t="n">
        <v>1283965</v>
      </c>
      <c r="S242" s="8" t="n">
        <v>1020409</v>
      </c>
      <c r="T242" s="8" t="n">
        <f aca="false">IF(J242="regional",IF(R242&gt;0,R242*0.2975,S242*0.3484),S242*0.1939)</f>
        <v>381979.5875</v>
      </c>
      <c r="U242" s="8" t="n">
        <v>716811</v>
      </c>
      <c r="V242" s="8" t="n">
        <f aca="false">S242-U242</f>
        <v>303598</v>
      </c>
      <c r="W242" s="8" t="n">
        <v>5338</v>
      </c>
      <c r="X242" s="60" t="n">
        <f aca="false">Y242+Z242</f>
        <v>872438.5875</v>
      </c>
      <c r="Y242" s="8" t="n">
        <f aca="false">IF(B242="y",T242,0)</f>
        <v>381979.5875</v>
      </c>
      <c r="Z242" s="8" t="n">
        <v>490459</v>
      </c>
      <c r="AA242" s="8" t="n">
        <f aca="false">AB242+AC242</f>
        <v>529950</v>
      </c>
      <c r="AB242" s="8" t="n">
        <f aca="false">IF(B242="y",0,T242)</f>
        <v>0</v>
      </c>
      <c r="AC242" s="8" t="n">
        <f aca="false">S242-Z242</f>
        <v>529950</v>
      </c>
      <c r="AD242" s="61" t="n">
        <f aca="false">IF(K242="y",Z242,0)</f>
        <v>490459</v>
      </c>
      <c r="AE242" s="61" t="n">
        <f aca="false">IF($K242="",Z242,0)+IF($K242="n",Z242,0)</f>
        <v>0</v>
      </c>
      <c r="AF242" s="62" t="n">
        <f aca="false">IF($K242="y",AC242,0)</f>
        <v>529950</v>
      </c>
      <c r="AG242" s="62" t="n">
        <f aca="false">IF($K242="",AC242,0)+IF($K242="n",AC242,0)</f>
        <v>0</v>
      </c>
      <c r="AH242" s="8" t="n">
        <v>393000</v>
      </c>
      <c r="AI242" s="8" t="n">
        <v>315000</v>
      </c>
      <c r="AJ242" s="1" t="s">
        <v>51</v>
      </c>
      <c r="AK242" s="63" t="n">
        <v>760235</v>
      </c>
      <c r="AL242" s="9"/>
      <c r="AM242" s="9"/>
    </row>
    <row r="243" customFormat="false" ht="12.75" hidden="false" customHeight="false" outlineLevel="0" collapsed="false">
      <c r="A243" s="2" t="s">
        <v>44</v>
      </c>
      <c r="B243" s="2"/>
      <c r="C243" s="2" t="n">
        <v>3915</v>
      </c>
      <c r="D243" s="4" t="s">
        <v>590</v>
      </c>
      <c r="E243" s="4" t="s">
        <v>588</v>
      </c>
      <c r="F243" s="4" t="s">
        <v>288</v>
      </c>
      <c r="G243" s="4" t="s">
        <v>44</v>
      </c>
      <c r="H243" s="4" t="n">
        <v>1988</v>
      </c>
      <c r="I243" s="4"/>
      <c r="J243" s="4" t="s">
        <v>62</v>
      </c>
      <c r="K243" s="5"/>
      <c r="L243" s="6" t="s">
        <v>589</v>
      </c>
      <c r="M243" s="7" t="n">
        <v>19</v>
      </c>
      <c r="N243" s="59" t="n">
        <v>0.954</v>
      </c>
      <c r="O243" s="59" t="n">
        <v>0.914</v>
      </c>
      <c r="P243" s="59" t="n">
        <v>0.937</v>
      </c>
      <c r="Q243" s="59" t="n">
        <v>1</v>
      </c>
      <c r="R243" s="8"/>
      <c r="S243" s="8" t="n">
        <v>234250</v>
      </c>
      <c r="T243" s="8" t="n">
        <f aca="false">IF(J243="regional",IF(R243&gt;0,R243*0.2975,S243*0.3484),S243*0.1939)</f>
        <v>45421.075</v>
      </c>
      <c r="U243" s="8" t="n">
        <v>172179</v>
      </c>
      <c r="V243" s="8" t="n">
        <f aca="false">S243-U243</f>
        <v>62071</v>
      </c>
      <c r="W243" s="8" t="n">
        <v>1150</v>
      </c>
      <c r="X243" s="60" t="n">
        <f aca="false">Y243+Z243</f>
        <v>0</v>
      </c>
      <c r="Y243" s="8" t="n">
        <f aca="false">IF(B243="y",T243,0)</f>
        <v>0</v>
      </c>
      <c r="Z243" s="9"/>
      <c r="AA243" s="8" t="n">
        <f aca="false">AB243+AC243</f>
        <v>279671.075</v>
      </c>
      <c r="AB243" s="8" t="n">
        <f aca="false">IF(B243="y",0,T243)</f>
        <v>45421.075</v>
      </c>
      <c r="AC243" s="8" t="n">
        <f aca="false">S243-Z243</f>
        <v>234250</v>
      </c>
      <c r="AD243" s="61" t="n">
        <f aca="false">IF(K243="y",Z243,0)</f>
        <v>0</v>
      </c>
      <c r="AE243" s="61" t="n">
        <f aca="false">IF($K243="",Z243,0)+IF($K243="n",Z243,0)</f>
        <v>0</v>
      </c>
      <c r="AF243" s="62" t="n">
        <f aca="false">IF($K243="y",AC243,0)</f>
        <v>0</v>
      </c>
      <c r="AG243" s="62" t="n">
        <f aca="false">IF($K243="",AC243,0)+IF($K243="n",AC243,0)</f>
        <v>234250</v>
      </c>
      <c r="AH243" s="8" t="n">
        <v>0</v>
      </c>
      <c r="AI243" s="8" t="n">
        <v>0</v>
      </c>
      <c r="AJ243" s="1" t="s">
        <v>51</v>
      </c>
      <c r="AK243" s="63" t="n">
        <v>49219</v>
      </c>
      <c r="AL243" s="9"/>
      <c r="AM243" s="9"/>
    </row>
    <row r="244" customFormat="false" ht="12.75" hidden="false" customHeight="false" outlineLevel="0" collapsed="false">
      <c r="A244" s="2" t="s">
        <v>44</v>
      </c>
      <c r="B244" s="2"/>
      <c r="C244" s="2" t="n">
        <v>519</v>
      </c>
      <c r="D244" s="4" t="s">
        <v>591</v>
      </c>
      <c r="E244" s="4" t="s">
        <v>592</v>
      </c>
      <c r="F244" s="4" t="s">
        <v>75</v>
      </c>
      <c r="G244" s="4" t="s">
        <v>49</v>
      </c>
      <c r="H244" s="4" t="n">
        <v>1989</v>
      </c>
      <c r="I244" s="4"/>
      <c r="J244" s="4" t="s">
        <v>62</v>
      </c>
      <c r="K244" s="5"/>
      <c r="L244" s="58" t="s">
        <v>449</v>
      </c>
      <c r="M244" s="7" t="n">
        <v>41</v>
      </c>
      <c r="N244" s="59" t="n">
        <v>0.678</v>
      </c>
      <c r="O244" s="59" t="n">
        <v>0.671</v>
      </c>
      <c r="P244" s="59" t="n">
        <v>0.72</v>
      </c>
      <c r="Q244" s="59" t="n">
        <v>0.992</v>
      </c>
      <c r="R244" s="8"/>
      <c r="S244" s="8" t="n">
        <v>380831</v>
      </c>
      <c r="T244" s="8" t="n">
        <f aca="false">IF(J244="regional",IF(R244&gt;0,R244*0.2975,S244*0.3484),S244*0.1939)</f>
        <v>73843.1309</v>
      </c>
      <c r="U244" s="8" t="n">
        <v>263436</v>
      </c>
      <c r="V244" s="8" t="n">
        <f aca="false">S244-U244</f>
        <v>117395</v>
      </c>
      <c r="W244" s="8" t="n">
        <v>1875</v>
      </c>
      <c r="X244" s="60" t="n">
        <f aca="false">Y244+Z244</f>
        <v>0</v>
      </c>
      <c r="Y244" s="8" t="n">
        <f aca="false">IF(B244="y",T244,0)</f>
        <v>0</v>
      </c>
      <c r="Z244" s="8"/>
      <c r="AA244" s="8" t="n">
        <f aca="false">AB244+AC244</f>
        <v>454674.1309</v>
      </c>
      <c r="AB244" s="8" t="n">
        <f aca="false">IF(B244="y",0,T244)</f>
        <v>73843.1309</v>
      </c>
      <c r="AC244" s="8" t="n">
        <f aca="false">S244-Z244</f>
        <v>380831</v>
      </c>
      <c r="AD244" s="61" t="n">
        <f aca="false">IF(K244="y",Z244,0)</f>
        <v>0</v>
      </c>
      <c r="AE244" s="61" t="n">
        <f aca="false">IF($K244="",Z244,0)+IF($K244="n",Z244,0)</f>
        <v>0</v>
      </c>
      <c r="AF244" s="62" t="n">
        <f aca="false">IF($K244="y",AC244,0)</f>
        <v>0</v>
      </c>
      <c r="AG244" s="62" t="n">
        <f aca="false">IF($K244="",AC244,0)+IF($K244="n",AC244,0)</f>
        <v>380831</v>
      </c>
      <c r="AH244" s="8" t="n">
        <v>0</v>
      </c>
      <c r="AI244" s="8" t="n">
        <v>0</v>
      </c>
      <c r="AJ244" s="4"/>
      <c r="AK244" s="4"/>
      <c r="AL244" s="9"/>
      <c r="AM244" s="9"/>
    </row>
    <row r="245" customFormat="false" ht="12.75" hidden="false" customHeight="false" outlineLevel="0" collapsed="false">
      <c r="A245" s="2" t="s">
        <v>44</v>
      </c>
      <c r="B245" s="2"/>
      <c r="C245" s="2" t="n">
        <v>9805</v>
      </c>
      <c r="D245" s="4" t="s">
        <v>593</v>
      </c>
      <c r="E245" s="4" t="s">
        <v>310</v>
      </c>
      <c r="F245" s="4" t="s">
        <v>311</v>
      </c>
      <c r="G245" s="4" t="s">
        <v>49</v>
      </c>
      <c r="H245" s="4" t="n">
        <v>1991</v>
      </c>
      <c r="I245" s="4"/>
      <c r="J245" s="4" t="s">
        <v>48</v>
      </c>
      <c r="K245" s="5" t="s">
        <v>49</v>
      </c>
      <c r="L245" s="58" t="s">
        <v>594</v>
      </c>
      <c r="M245" s="7" t="n">
        <v>143</v>
      </c>
      <c r="N245" s="59" t="n">
        <v>0.947</v>
      </c>
      <c r="O245" s="59" t="n">
        <v>0.957</v>
      </c>
      <c r="P245" s="59" t="n">
        <v>0.939</v>
      </c>
      <c r="Q245" s="59" t="n">
        <v>0.889</v>
      </c>
      <c r="R245" s="8" t="n">
        <v>1500930</v>
      </c>
      <c r="S245" s="8" t="n">
        <v>1338368</v>
      </c>
      <c r="T245" s="8" t="n">
        <f aca="false">IF(J245="regional",IF(R245&gt;0,R245*0.2975,S245*0.3484),S245*0.1939)</f>
        <v>446526.675</v>
      </c>
      <c r="U245" s="8" t="n">
        <v>878311</v>
      </c>
      <c r="V245" s="8" t="n">
        <f aca="false">S245-U245</f>
        <v>460057</v>
      </c>
      <c r="W245" s="8" t="n">
        <v>6956</v>
      </c>
      <c r="X245" s="60" t="n">
        <f aca="false">Y245+Z245</f>
        <v>0</v>
      </c>
      <c r="Y245" s="8" t="n">
        <f aca="false">IF(B245="y",T245,0)</f>
        <v>0</v>
      </c>
      <c r="Z245" s="8"/>
      <c r="AA245" s="8" t="n">
        <f aca="false">AB245+AC245</f>
        <v>1784894.675</v>
      </c>
      <c r="AB245" s="8" t="n">
        <f aca="false">IF(B245="y",0,T245)</f>
        <v>446526.675</v>
      </c>
      <c r="AC245" s="8" t="n">
        <f aca="false">S245-Z245</f>
        <v>1338368</v>
      </c>
      <c r="AD245" s="61" t="n">
        <f aca="false">IF(K245="y",Z245,0)</f>
        <v>0</v>
      </c>
      <c r="AE245" s="61" t="n">
        <f aca="false">IF($K245="",Z245,0)+IF($K245="n",Z245,0)</f>
        <v>0</v>
      </c>
      <c r="AF245" s="62" t="n">
        <f aca="false">IF($K245="y",AC245,0)</f>
        <v>0</v>
      </c>
      <c r="AG245" s="62" t="n">
        <f aca="false">IF($K245="",AC245,0)+IF($K245="n",AC245,0)</f>
        <v>1338368</v>
      </c>
      <c r="AH245" s="8" t="n">
        <v>0</v>
      </c>
      <c r="AI245" s="8" t="n">
        <v>0</v>
      </c>
      <c r="AJ245" s="1" t="s">
        <v>51</v>
      </c>
      <c r="AK245" s="63" t="n">
        <v>995494</v>
      </c>
      <c r="AL245" s="9"/>
      <c r="AM245" s="9"/>
    </row>
    <row r="246" customFormat="false" ht="12.75" hidden="false" customHeight="false" outlineLevel="0" collapsed="false">
      <c r="A246" s="2" t="s">
        <v>44</v>
      </c>
      <c r="B246" s="2"/>
      <c r="C246" s="2" t="n">
        <v>4676</v>
      </c>
      <c r="D246" s="66" t="s">
        <v>595</v>
      </c>
      <c r="E246" s="4" t="s">
        <v>596</v>
      </c>
      <c r="F246" s="4" t="s">
        <v>151</v>
      </c>
      <c r="G246" s="4" t="s">
        <v>49</v>
      </c>
      <c r="H246" s="4" t="n">
        <v>1997</v>
      </c>
      <c r="I246" s="4"/>
      <c r="J246" s="4" t="s">
        <v>48</v>
      </c>
      <c r="K246" s="5" t="s">
        <v>49</v>
      </c>
      <c r="L246" s="58" t="s">
        <v>306</v>
      </c>
      <c r="M246" s="7" t="n">
        <v>152</v>
      </c>
      <c r="N246" s="59" t="n">
        <v>0.957</v>
      </c>
      <c r="O246" s="59" t="n">
        <v>0.944</v>
      </c>
      <c r="P246" s="59" t="n">
        <v>0.925</v>
      </c>
      <c r="Q246" s="59" t="n">
        <v>0.952</v>
      </c>
      <c r="R246" s="8" t="n">
        <v>1200354</v>
      </c>
      <c r="S246" s="8" t="n">
        <v>827470</v>
      </c>
      <c r="T246" s="8" t="n">
        <f aca="false">IF(J246="regional",IF(R246&gt;0,R246*0.2975,S246*0.3484),S246*0.1939)</f>
        <v>357105.315</v>
      </c>
      <c r="U246" s="8" t="n">
        <v>349393</v>
      </c>
      <c r="V246" s="8" t="n">
        <f aca="false">S246-U246</f>
        <v>478077</v>
      </c>
      <c r="W246" s="8" t="n">
        <v>4000</v>
      </c>
      <c r="X246" s="60" t="n">
        <f aca="false">Y246+Z246</f>
        <v>0</v>
      </c>
      <c r="Y246" s="8" t="n">
        <f aca="false">IF(B246="y",T246,0)</f>
        <v>0</v>
      </c>
      <c r="Z246" s="8"/>
      <c r="AA246" s="8" t="n">
        <f aca="false">AB246+AC246</f>
        <v>1184575.315</v>
      </c>
      <c r="AB246" s="8" t="n">
        <f aca="false">IF(B246="y",0,T246)</f>
        <v>357105.315</v>
      </c>
      <c r="AC246" s="8" t="n">
        <f aca="false">S246-Z246</f>
        <v>827470</v>
      </c>
      <c r="AD246" s="61" t="n">
        <f aca="false">IF(K246="y",Z246,0)</f>
        <v>0</v>
      </c>
      <c r="AE246" s="61" t="n">
        <f aca="false">IF($K246="",Z246,0)+IF($K246="n",Z246,0)</f>
        <v>0</v>
      </c>
      <c r="AF246" s="62" t="n">
        <f aca="false">IF($K246="y",AC246,0)</f>
        <v>0</v>
      </c>
      <c r="AG246" s="62" t="n">
        <f aca="false">IF($K246="",AC246,0)+IF($K246="n",AC246,0)</f>
        <v>827470</v>
      </c>
      <c r="AH246" s="8" t="n">
        <v>0</v>
      </c>
      <c r="AI246" s="8" t="n">
        <v>0</v>
      </c>
      <c r="AJ246" s="66"/>
      <c r="AK246" s="66"/>
      <c r="AL246" s="9"/>
      <c r="AM246" s="9"/>
    </row>
    <row r="247" customFormat="false" ht="12.75" hidden="false" customHeight="false" outlineLevel="0" collapsed="false">
      <c r="A247" s="2" t="s">
        <v>44</v>
      </c>
      <c r="B247" s="2"/>
      <c r="C247" s="2" t="n">
        <v>4514</v>
      </c>
      <c r="D247" s="4" t="s">
        <v>597</v>
      </c>
      <c r="E247" s="4" t="s">
        <v>598</v>
      </c>
      <c r="F247" s="4" t="s">
        <v>75</v>
      </c>
      <c r="G247" s="4" t="s">
        <v>49</v>
      </c>
      <c r="H247" s="4" t="n">
        <v>1989</v>
      </c>
      <c r="I247" s="4"/>
      <c r="J247" s="4" t="s">
        <v>62</v>
      </c>
      <c r="K247" s="5"/>
      <c r="L247" s="58" t="s">
        <v>599</v>
      </c>
      <c r="M247" s="7" t="n">
        <v>10</v>
      </c>
      <c r="N247" s="59" t="n">
        <v>0.966</v>
      </c>
      <c r="O247" s="59" t="n">
        <v>0.966</v>
      </c>
      <c r="P247" s="59" t="n">
        <v>0.947</v>
      </c>
      <c r="Q247" s="59" t="n">
        <v>0.966</v>
      </c>
      <c r="R247" s="8"/>
      <c r="S247" s="8" t="n">
        <v>163154</v>
      </c>
      <c r="T247" s="8" t="n">
        <f aca="false">IF(J247="regional",IF(R247&gt;0,R247*0.2975,S247*0.3484),S247*0.1939)</f>
        <v>31635.5606</v>
      </c>
      <c r="U247" s="8" t="n">
        <v>139108</v>
      </c>
      <c r="V247" s="8" t="n">
        <f aca="false">S247-U247</f>
        <v>24046</v>
      </c>
      <c r="W247" s="8" t="n">
        <v>800</v>
      </c>
      <c r="X247" s="60" t="n">
        <f aca="false">Y247+Z247</f>
        <v>0</v>
      </c>
      <c r="Y247" s="8" t="n">
        <f aca="false">IF(B247="y",T247,0)</f>
        <v>0</v>
      </c>
      <c r="Z247" s="8"/>
      <c r="AA247" s="8" t="n">
        <f aca="false">AB247+AC247</f>
        <v>194789.5606</v>
      </c>
      <c r="AB247" s="8" t="n">
        <f aca="false">IF(B247="y",0,T247)</f>
        <v>31635.5606</v>
      </c>
      <c r="AC247" s="8" t="n">
        <f aca="false">S247-Z247</f>
        <v>163154</v>
      </c>
      <c r="AD247" s="61" t="n">
        <f aca="false">IF(K247="y",Z247,0)</f>
        <v>0</v>
      </c>
      <c r="AE247" s="61" t="n">
        <f aca="false">IF($K247="",Z247,0)+IF($K247="n",Z247,0)</f>
        <v>0</v>
      </c>
      <c r="AF247" s="62" t="n">
        <f aca="false">IF($K247="y",AC247,0)</f>
        <v>0</v>
      </c>
      <c r="AG247" s="62" t="n">
        <f aca="false">IF($K247="",AC247,0)+IF($K247="n",AC247,0)</f>
        <v>163154</v>
      </c>
      <c r="AH247" s="8" t="n">
        <v>0</v>
      </c>
      <c r="AI247" s="8" t="n">
        <v>0</v>
      </c>
      <c r="AJ247" s="1" t="s">
        <v>51</v>
      </c>
      <c r="AK247" s="63" t="n">
        <v>7792</v>
      </c>
      <c r="AL247" s="9"/>
      <c r="AM247" s="9"/>
    </row>
    <row r="248" customFormat="false" ht="12.75" hidden="false" customHeight="false" outlineLevel="0" collapsed="false">
      <c r="A248" s="2" t="s">
        <v>44</v>
      </c>
      <c r="B248" s="2" t="s">
        <v>44</v>
      </c>
      <c r="C248" s="2" t="n">
        <v>4842</v>
      </c>
      <c r="D248" s="67" t="s">
        <v>600</v>
      </c>
      <c r="E248" s="65" t="s">
        <v>601</v>
      </c>
      <c r="F248" s="4"/>
      <c r="G248" s="4" t="s">
        <v>44</v>
      </c>
      <c r="H248" s="4" t="n">
        <v>1974</v>
      </c>
      <c r="I248" s="4"/>
      <c r="J248" s="4" t="s">
        <v>48</v>
      </c>
      <c r="K248" s="5" t="s">
        <v>44</v>
      </c>
      <c r="L248" s="58" t="s">
        <v>602</v>
      </c>
      <c r="M248" s="7" t="n">
        <v>38</v>
      </c>
      <c r="N248" s="59" t="n">
        <v>0.787</v>
      </c>
      <c r="O248" s="59" t="n">
        <v>0.789</v>
      </c>
      <c r="P248" s="59" t="n">
        <v>0.925</v>
      </c>
      <c r="Q248" s="59" t="n">
        <v>0.952</v>
      </c>
      <c r="R248" s="8" t="n">
        <v>1152038</v>
      </c>
      <c r="S248" s="8" t="n">
        <v>1095000</v>
      </c>
      <c r="T248" s="8" t="n">
        <f aca="false">IF(J248="regional",IF(R248&gt;0,R248*0.2975,S248*0.3484),S248*0.1939)</f>
        <v>342731.305</v>
      </c>
      <c r="U248" s="8" t="n">
        <v>564100</v>
      </c>
      <c r="V248" s="8" t="n">
        <f aca="false">S248-U248</f>
        <v>530900</v>
      </c>
      <c r="W248" s="8" t="n">
        <v>6400</v>
      </c>
      <c r="X248" s="60" t="n">
        <f aca="false">Y248+Z248</f>
        <v>1005731.305</v>
      </c>
      <c r="Y248" s="8" t="n">
        <f aca="false">IF(B248="y",T248,0)</f>
        <v>342731.305</v>
      </c>
      <c r="Z248" s="8" t="n">
        <v>663000</v>
      </c>
      <c r="AA248" s="8" t="n">
        <f aca="false">AB248+AC248</f>
        <v>432000</v>
      </c>
      <c r="AB248" s="8" t="n">
        <f aca="false">IF(B248="y",0,T248)</f>
        <v>0</v>
      </c>
      <c r="AC248" s="8" t="n">
        <f aca="false">S248-Z248</f>
        <v>432000</v>
      </c>
      <c r="AD248" s="61" t="n">
        <f aca="false">IF(K248="y",Z248,0)</f>
        <v>663000</v>
      </c>
      <c r="AE248" s="61" t="n">
        <f aca="false">IF($K248="",Z248,0)+IF($K248="n",Z248,0)</f>
        <v>0</v>
      </c>
      <c r="AF248" s="62" t="n">
        <f aca="false">IF($K248="y",AC248,0)</f>
        <v>432000</v>
      </c>
      <c r="AG248" s="62" t="n">
        <f aca="false">IF($K248="",AC248,0)+IF($K248="n",AC248,0)</f>
        <v>0</v>
      </c>
      <c r="AH248" s="8" t="n">
        <v>1564000</v>
      </c>
      <c r="AI248" s="8" t="n">
        <v>976000</v>
      </c>
      <c r="AJ248" s="67"/>
      <c r="AK248" s="67"/>
      <c r="AL248" s="9"/>
      <c r="AM248" s="9"/>
    </row>
    <row r="249" customFormat="false" ht="12.75" hidden="false" customHeight="false" outlineLevel="0" collapsed="false">
      <c r="A249" s="2" t="s">
        <v>44</v>
      </c>
      <c r="B249" s="2"/>
      <c r="C249" s="2" t="n">
        <v>4536</v>
      </c>
      <c r="D249" s="66" t="s">
        <v>603</v>
      </c>
      <c r="E249" s="4" t="s">
        <v>80</v>
      </c>
      <c r="F249" s="4" t="s">
        <v>47</v>
      </c>
      <c r="G249" s="4" t="s">
        <v>44</v>
      </c>
      <c r="H249" s="4" t="n">
        <v>1977</v>
      </c>
      <c r="I249" s="4"/>
      <c r="J249" s="4" t="s">
        <v>48</v>
      </c>
      <c r="K249" s="5" t="s">
        <v>44</v>
      </c>
      <c r="L249" s="58" t="s">
        <v>604</v>
      </c>
      <c r="M249" s="7" t="n">
        <v>111</v>
      </c>
      <c r="N249" s="59" t="n">
        <v>0.961</v>
      </c>
      <c r="O249" s="59" t="n">
        <v>0.96</v>
      </c>
      <c r="P249" s="59" t="n">
        <v>0.958</v>
      </c>
      <c r="Q249" s="59" t="n">
        <v>0.953</v>
      </c>
      <c r="R249" s="8" t="n">
        <v>1125920</v>
      </c>
      <c r="S249" s="8" t="n">
        <v>899168</v>
      </c>
      <c r="T249" s="8" t="n">
        <f aca="false">IF(J249="regional",IF(R249&gt;0,R249*0.2975,S249*0.3484),S249*0.1939)</f>
        <v>334961.2</v>
      </c>
      <c r="U249" s="8" t="n">
        <v>554638</v>
      </c>
      <c r="V249" s="8" t="n">
        <f aca="false">S249-U249</f>
        <v>344530</v>
      </c>
      <c r="W249" s="8" t="n">
        <v>5100</v>
      </c>
      <c r="X249" s="60" t="n">
        <f aca="false">Y249+Z249</f>
        <v>0</v>
      </c>
      <c r="Y249" s="8" t="n">
        <f aca="false">IF(B249="y",T249,0)</f>
        <v>0</v>
      </c>
      <c r="Z249" s="8"/>
      <c r="AA249" s="8" t="n">
        <f aca="false">AB249+AC249</f>
        <v>1234129.2</v>
      </c>
      <c r="AB249" s="8" t="n">
        <f aca="false">IF(B249="y",0,T249)</f>
        <v>334961.2</v>
      </c>
      <c r="AC249" s="8" t="n">
        <f aca="false">S249-Z249</f>
        <v>899168</v>
      </c>
      <c r="AD249" s="61" t="n">
        <f aca="false">IF(K249="y",Z249,0)</f>
        <v>0</v>
      </c>
      <c r="AE249" s="61" t="n">
        <f aca="false">IF($K249="",Z249,0)+IF($K249="n",Z249,0)</f>
        <v>0</v>
      </c>
      <c r="AF249" s="62" t="n">
        <f aca="false">IF($K249="y",AC249,0)</f>
        <v>899168</v>
      </c>
      <c r="AG249" s="62" t="n">
        <f aca="false">IF($K249="",AC249,0)+IF($K249="n",AC249,0)</f>
        <v>0</v>
      </c>
      <c r="AH249" s="8" t="n">
        <v>775000</v>
      </c>
      <c r="AI249" s="8" t="n">
        <v>724000</v>
      </c>
      <c r="AJ249" s="1" t="s">
        <v>51</v>
      </c>
      <c r="AK249" s="63" t="n">
        <v>309857</v>
      </c>
      <c r="AL249" s="9"/>
      <c r="AM249" s="9"/>
    </row>
    <row r="250" customFormat="false" ht="12.75" hidden="false" customHeight="false" outlineLevel="0" collapsed="false">
      <c r="A250" s="2" t="s">
        <v>44</v>
      </c>
      <c r="B250" s="2"/>
      <c r="C250" s="2" t="n">
        <v>3764</v>
      </c>
      <c r="D250" s="4" t="s">
        <v>605</v>
      </c>
      <c r="E250" s="4" t="s">
        <v>80</v>
      </c>
      <c r="F250" s="4" t="s">
        <v>47</v>
      </c>
      <c r="G250" s="4" t="s">
        <v>44</v>
      </c>
      <c r="H250" s="4" t="n">
        <v>1986</v>
      </c>
      <c r="I250" s="4"/>
      <c r="J250" s="4" t="s">
        <v>62</v>
      </c>
      <c r="K250" s="5"/>
      <c r="L250" s="58" t="s">
        <v>604</v>
      </c>
      <c r="M250" s="7" t="n">
        <v>30</v>
      </c>
      <c r="N250" s="59" t="n">
        <v>0.964</v>
      </c>
      <c r="O250" s="59" t="n">
        <v>0.977</v>
      </c>
      <c r="P250" s="59" t="n">
        <v>0.988</v>
      </c>
      <c r="Q250" s="59" t="n">
        <v>0.989</v>
      </c>
      <c r="R250" s="8"/>
      <c r="S250" s="8" t="n">
        <v>359485</v>
      </c>
      <c r="T250" s="8" t="n">
        <f aca="false">IF(J250="regional",IF(R250&gt;0,R250*0.2975,S250*0.3484),S250*0.1939)</f>
        <v>69704.1415</v>
      </c>
      <c r="U250" s="8" t="n">
        <v>257363</v>
      </c>
      <c r="V250" s="8" t="n">
        <f aca="false">S250-U250</f>
        <v>102122</v>
      </c>
      <c r="W250" s="8" t="n">
        <v>1600</v>
      </c>
      <c r="X250" s="60" t="n">
        <f aca="false">Y250+Z250</f>
        <v>0</v>
      </c>
      <c r="Y250" s="8" t="n">
        <f aca="false">IF(B250="y",T250,0)</f>
        <v>0</v>
      </c>
      <c r="Z250" s="8"/>
      <c r="AA250" s="8" t="n">
        <f aca="false">AB250+AC250</f>
        <v>429189.1415</v>
      </c>
      <c r="AB250" s="8" t="n">
        <f aca="false">IF(B250="y",0,T250)</f>
        <v>69704.1415</v>
      </c>
      <c r="AC250" s="8" t="n">
        <f aca="false">S250-Z250</f>
        <v>359485</v>
      </c>
      <c r="AD250" s="61" t="n">
        <f aca="false">IF(K250="y",Z250,0)</f>
        <v>0</v>
      </c>
      <c r="AE250" s="61" t="n">
        <f aca="false">IF($K250="",Z250,0)+IF($K250="n",Z250,0)</f>
        <v>0</v>
      </c>
      <c r="AF250" s="62" t="n">
        <f aca="false">IF($K250="y",AC250,0)</f>
        <v>0</v>
      </c>
      <c r="AG250" s="62" t="n">
        <f aca="false">IF($K250="",AC250,0)+IF($K250="n",AC250,0)</f>
        <v>359485</v>
      </c>
      <c r="AH250" s="8" t="n">
        <v>0</v>
      </c>
      <c r="AI250" s="8" t="n">
        <v>0</v>
      </c>
      <c r="AJ250" s="4"/>
      <c r="AK250" s="4"/>
      <c r="AL250" s="9"/>
      <c r="AM250" s="9"/>
    </row>
    <row r="251" customFormat="false" ht="12.75" hidden="false" customHeight="false" outlineLevel="0" collapsed="false">
      <c r="A251" s="2" t="s">
        <v>44</v>
      </c>
      <c r="B251" s="2"/>
      <c r="C251" s="2" t="n">
        <v>4530</v>
      </c>
      <c r="D251" s="4" t="s">
        <v>606</v>
      </c>
      <c r="E251" s="4" t="s">
        <v>607</v>
      </c>
      <c r="F251" s="4" t="s">
        <v>288</v>
      </c>
      <c r="G251" s="4" t="s">
        <v>44</v>
      </c>
      <c r="H251" s="4" t="n">
        <v>1969</v>
      </c>
      <c r="I251" s="4"/>
      <c r="J251" s="4" t="s">
        <v>48</v>
      </c>
      <c r="K251" s="5" t="s">
        <v>44</v>
      </c>
      <c r="L251" s="6" t="s">
        <v>554</v>
      </c>
      <c r="M251" s="7" t="n">
        <v>45</v>
      </c>
      <c r="N251" s="59" t="n">
        <v>0.793</v>
      </c>
      <c r="O251" s="59" t="n">
        <v>0.853</v>
      </c>
      <c r="P251" s="59" t="n">
        <v>0.855</v>
      </c>
      <c r="Q251" s="59" t="n">
        <v>0.479</v>
      </c>
      <c r="R251" s="8" t="n">
        <v>403389</v>
      </c>
      <c r="S251" s="8" t="n">
        <v>341783</v>
      </c>
      <c r="T251" s="8" t="n">
        <f aca="false">IF(J251="regional",IF(R251&gt;0,R251*0.2975,S251*0.3484),S251*0.1939)</f>
        <v>120008.2275</v>
      </c>
      <c r="U251" s="8" t="n">
        <v>192321</v>
      </c>
      <c r="V251" s="8" t="n">
        <f aca="false">S251-U251</f>
        <v>149462</v>
      </c>
      <c r="W251" s="8" t="n">
        <v>1875</v>
      </c>
      <c r="X251" s="60" t="n">
        <f aca="false">Y251+Z251</f>
        <v>0</v>
      </c>
      <c r="Y251" s="8" t="n">
        <f aca="false">IF(B251="y",T251,0)</f>
        <v>0</v>
      </c>
      <c r="Z251" s="9"/>
      <c r="AA251" s="8" t="n">
        <f aca="false">AB251+AC251</f>
        <v>461791.2275</v>
      </c>
      <c r="AB251" s="8" t="n">
        <f aca="false">IF(B251="y",0,T251)</f>
        <v>120008.2275</v>
      </c>
      <c r="AC251" s="8" t="n">
        <f aca="false">S251-Z251</f>
        <v>341783</v>
      </c>
      <c r="AD251" s="61" t="n">
        <f aca="false">IF(K251="y",Z251,0)</f>
        <v>0</v>
      </c>
      <c r="AE251" s="61" t="n">
        <f aca="false">IF($K251="",Z251,0)+IF($K251="n",Z251,0)</f>
        <v>0</v>
      </c>
      <c r="AF251" s="62" t="n">
        <f aca="false">IF($K251="y",AC251,0)</f>
        <v>341783</v>
      </c>
      <c r="AG251" s="62" t="n">
        <f aca="false">IF($K251="",AC251,0)+IF($K251="n",AC251,0)</f>
        <v>0</v>
      </c>
      <c r="AH251" s="8" t="n">
        <v>440000</v>
      </c>
      <c r="AI251" s="8" t="n">
        <v>313000</v>
      </c>
      <c r="AJ251" s="1" t="s">
        <v>70</v>
      </c>
      <c r="AK251" s="63" t="n">
        <v>73490</v>
      </c>
      <c r="AL251" s="9"/>
      <c r="AM251" s="9"/>
    </row>
    <row r="252" customFormat="false" ht="12.75" hidden="false" customHeight="false" outlineLevel="0" collapsed="false">
      <c r="A252" s="2" t="s">
        <v>44</v>
      </c>
      <c r="B252" s="2"/>
      <c r="C252" s="2" t="n">
        <v>4534</v>
      </c>
      <c r="D252" s="4" t="s">
        <v>608</v>
      </c>
      <c r="E252" s="4" t="s">
        <v>433</v>
      </c>
      <c r="F252" s="4" t="s">
        <v>47</v>
      </c>
      <c r="G252" s="4" t="s">
        <v>49</v>
      </c>
      <c r="H252" s="4" t="n">
        <v>1990</v>
      </c>
      <c r="I252" s="4"/>
      <c r="J252" s="4" t="s">
        <v>62</v>
      </c>
      <c r="K252" s="5"/>
      <c r="L252" s="58" t="s">
        <v>609</v>
      </c>
      <c r="M252" s="7" t="n">
        <v>20</v>
      </c>
      <c r="N252" s="59" t="n">
        <v>0.974</v>
      </c>
      <c r="O252" s="59" t="n">
        <v>0.974</v>
      </c>
      <c r="P252" s="59" t="n">
        <v>0.957</v>
      </c>
      <c r="Q252" s="59" t="n">
        <v>0.938</v>
      </c>
      <c r="R252" s="8"/>
      <c r="S252" s="8" t="n">
        <v>383217</v>
      </c>
      <c r="T252" s="8" t="n">
        <f aca="false">IF(J252="regional",IF(R252&gt;0,R252*0.2975,S252*0.3484),S252*0.1939)</f>
        <v>74305.7763</v>
      </c>
      <c r="U252" s="8" t="n">
        <v>302558</v>
      </c>
      <c r="V252" s="8" t="n">
        <f aca="false">S252-U252</f>
        <v>80659</v>
      </c>
      <c r="W252" s="8" t="n">
        <v>1375</v>
      </c>
      <c r="X252" s="60" t="n">
        <f aca="false">Y252+Z252</f>
        <v>0</v>
      </c>
      <c r="Y252" s="8" t="n">
        <f aca="false">IF(B252="y",T252,0)</f>
        <v>0</v>
      </c>
      <c r="Z252" s="8"/>
      <c r="AA252" s="8" t="n">
        <f aca="false">AB252+AC252</f>
        <v>457522.7763</v>
      </c>
      <c r="AB252" s="8" t="n">
        <f aca="false">IF(B252="y",0,T252)</f>
        <v>74305.7763</v>
      </c>
      <c r="AC252" s="8" t="n">
        <f aca="false">S252-Z252</f>
        <v>383217</v>
      </c>
      <c r="AD252" s="61" t="n">
        <f aca="false">IF(K252="y",Z252,0)</f>
        <v>0</v>
      </c>
      <c r="AE252" s="61" t="n">
        <f aca="false">IF($K252="",Z252,0)+IF($K252="n",Z252,0)</f>
        <v>0</v>
      </c>
      <c r="AF252" s="62" t="n">
        <f aca="false">IF($K252="y",AC252,0)</f>
        <v>0</v>
      </c>
      <c r="AG252" s="62" t="n">
        <f aca="false">IF($K252="",AC252,0)+IF($K252="n",AC252,0)</f>
        <v>383217</v>
      </c>
      <c r="AH252" s="8" t="n">
        <v>0</v>
      </c>
      <c r="AI252" s="8" t="n">
        <v>0</v>
      </c>
      <c r="AJ252" s="1" t="s">
        <v>51</v>
      </c>
      <c r="AK252" s="63" t="n">
        <v>124144</v>
      </c>
      <c r="AL252" s="9"/>
      <c r="AM252" s="9"/>
    </row>
    <row r="253" customFormat="false" ht="12.75" hidden="false" customHeight="false" outlineLevel="0" collapsed="false">
      <c r="A253" s="2" t="s">
        <v>44</v>
      </c>
      <c r="B253" s="2" t="s">
        <v>44</v>
      </c>
      <c r="C253" s="2" t="n">
        <v>4523</v>
      </c>
      <c r="D253" s="64" t="s">
        <v>610</v>
      </c>
      <c r="E253" s="4" t="s">
        <v>298</v>
      </c>
      <c r="F253" s="4" t="s">
        <v>54</v>
      </c>
      <c r="G253" s="4" t="s">
        <v>44</v>
      </c>
      <c r="H253" s="4" t="n">
        <v>1976</v>
      </c>
      <c r="I253" s="4"/>
      <c r="J253" s="4" t="s">
        <v>48</v>
      </c>
      <c r="K253" s="5" t="s">
        <v>44</v>
      </c>
      <c r="L253" s="58" t="s">
        <v>611</v>
      </c>
      <c r="M253" s="7" t="n">
        <v>145</v>
      </c>
      <c r="N253" s="59" t="n">
        <v>0.557</v>
      </c>
      <c r="O253" s="59" t="n">
        <v>0.558</v>
      </c>
      <c r="P253" s="59" t="n">
        <v>0.602</v>
      </c>
      <c r="Q253" s="59" t="n">
        <v>0.705</v>
      </c>
      <c r="R253" s="8" t="n">
        <v>1383318</v>
      </c>
      <c r="S253" s="8" t="n">
        <v>1077164</v>
      </c>
      <c r="T253" s="8" t="n">
        <f aca="false">IF(J253="regional",IF(R253&gt;0,R253*0.2975,S253*0.3484),S253*0.1939)</f>
        <v>411537.105</v>
      </c>
      <c r="U253" s="8" t="n">
        <v>691883</v>
      </c>
      <c r="V253" s="8" t="n">
        <f aca="false">S253-U253</f>
        <v>385281</v>
      </c>
      <c r="W253" s="8" t="n">
        <v>5214</v>
      </c>
      <c r="X253" s="60" t="n">
        <f aca="false">Y253+Z253</f>
        <v>471483.105</v>
      </c>
      <c r="Y253" s="8" t="n">
        <f aca="false">IF(B253="y",T253,0)</f>
        <v>411537.105</v>
      </c>
      <c r="Z253" s="8" t="n">
        <v>59946</v>
      </c>
      <c r="AA253" s="8" t="n">
        <f aca="false">AB253+AC253</f>
        <v>1017218</v>
      </c>
      <c r="AB253" s="8" t="n">
        <f aca="false">IF(B253="y",0,T253)</f>
        <v>0</v>
      </c>
      <c r="AC253" s="8" t="n">
        <f aca="false">S253-Z253</f>
        <v>1017218</v>
      </c>
      <c r="AD253" s="61" t="n">
        <f aca="false">IF(K253="y",Z253,0)</f>
        <v>59946</v>
      </c>
      <c r="AE253" s="61" t="n">
        <f aca="false">IF($K253="",Z253,0)+IF($K253="n",Z253,0)</f>
        <v>0</v>
      </c>
      <c r="AF253" s="62" t="n">
        <f aca="false">IF($K253="y",AC253,0)</f>
        <v>1017218</v>
      </c>
      <c r="AG253" s="62" t="n">
        <f aca="false">IF($K253="",AC253,0)+IF($K253="n",AC253,0)</f>
        <v>0</v>
      </c>
      <c r="AH253" s="8" t="n">
        <v>473000</v>
      </c>
      <c r="AI253" s="8" t="n">
        <v>515000</v>
      </c>
      <c r="AJ253" s="1" t="s">
        <v>51</v>
      </c>
      <c r="AK253" s="63" t="n">
        <v>979201</v>
      </c>
      <c r="AL253" s="9"/>
      <c r="AM253" s="9"/>
    </row>
    <row r="254" customFormat="false" ht="12.75" hidden="false" customHeight="false" outlineLevel="0" collapsed="false">
      <c r="A254" s="2" t="s">
        <v>44</v>
      </c>
      <c r="B254" s="2"/>
      <c r="C254" s="2" t="n">
        <v>4533</v>
      </c>
      <c r="D254" s="4" t="s">
        <v>612</v>
      </c>
      <c r="E254" s="4" t="s">
        <v>613</v>
      </c>
      <c r="F254" s="4" t="s">
        <v>614</v>
      </c>
      <c r="G254" s="4" t="s">
        <v>44</v>
      </c>
      <c r="H254" s="4" t="n">
        <v>1968</v>
      </c>
      <c r="I254" s="4"/>
      <c r="J254" s="4" t="s">
        <v>62</v>
      </c>
      <c r="K254" s="5"/>
      <c r="L254" s="6" t="s">
        <v>514</v>
      </c>
      <c r="M254" s="7" t="n">
        <v>5</v>
      </c>
      <c r="N254" s="59" t="n">
        <v>0.923</v>
      </c>
      <c r="O254" s="59" t="n">
        <v>0.923</v>
      </c>
      <c r="P254" s="59" t="n">
        <v>0.923</v>
      </c>
      <c r="Q254" s="59" t="n">
        <v>1</v>
      </c>
      <c r="R254" s="8"/>
      <c r="S254" s="8" t="n">
        <v>84899</v>
      </c>
      <c r="T254" s="8" t="n">
        <f aca="false">IF(J254="regional",IF(R254&gt;0,R254*0.2975,S254*0.3484),S254*0.1939)</f>
        <v>16461.9161</v>
      </c>
      <c r="U254" s="8" t="n">
        <v>60000</v>
      </c>
      <c r="V254" s="8" t="n">
        <f aca="false">S254-U254</f>
        <v>24899</v>
      </c>
      <c r="W254" s="8" t="n">
        <v>530</v>
      </c>
      <c r="X254" s="60" t="n">
        <f aca="false">Y254+Z254</f>
        <v>0</v>
      </c>
      <c r="Y254" s="8" t="n">
        <f aca="false">IF(B254="y",T254,0)</f>
        <v>0</v>
      </c>
      <c r="Z254" s="9"/>
      <c r="AA254" s="8" t="n">
        <f aca="false">AB254+AC254</f>
        <v>101360.9161</v>
      </c>
      <c r="AB254" s="8" t="n">
        <f aca="false">IF(B254="y",0,T254)</f>
        <v>16461.9161</v>
      </c>
      <c r="AC254" s="8" t="n">
        <f aca="false">S254-Z254</f>
        <v>84899</v>
      </c>
      <c r="AD254" s="61" t="n">
        <f aca="false">IF(K254="y",Z254,0)</f>
        <v>0</v>
      </c>
      <c r="AE254" s="61" t="n">
        <f aca="false">IF($K254="",Z254,0)+IF($K254="n",Z254,0)</f>
        <v>0</v>
      </c>
      <c r="AF254" s="62" t="n">
        <f aca="false">IF($K254="y",AC254,0)</f>
        <v>0</v>
      </c>
      <c r="AG254" s="62" t="n">
        <f aca="false">IF($K254="",AC254,0)+IF($K254="n",AC254,0)</f>
        <v>84899</v>
      </c>
      <c r="AH254" s="8" t="n">
        <v>0</v>
      </c>
      <c r="AI254" s="8" t="n">
        <v>0</v>
      </c>
      <c r="AJ254" s="4"/>
      <c r="AK254" s="4"/>
      <c r="AL254" s="9"/>
      <c r="AM254" s="9"/>
    </row>
    <row r="255" customFormat="false" ht="12.75" hidden="false" customHeight="false" outlineLevel="0" collapsed="false">
      <c r="A255" s="2" t="s">
        <v>44</v>
      </c>
      <c r="B255" s="2"/>
      <c r="C255" s="2" t="n">
        <v>9855</v>
      </c>
      <c r="D255" s="4" t="s">
        <v>615</v>
      </c>
      <c r="E255" s="4" t="s">
        <v>420</v>
      </c>
      <c r="F255" s="4" t="s">
        <v>101</v>
      </c>
      <c r="G255" s="4" t="s">
        <v>44</v>
      </c>
      <c r="H255" s="4" t="n">
        <v>1969</v>
      </c>
      <c r="I255" s="4"/>
      <c r="J255" s="4" t="s">
        <v>48</v>
      </c>
      <c r="K255" s="5" t="s">
        <v>49</v>
      </c>
      <c r="L255" s="6" t="s">
        <v>421</v>
      </c>
      <c r="M255" s="7" t="n">
        <v>102</v>
      </c>
      <c r="N255" s="59" t="n">
        <v>0.579</v>
      </c>
      <c r="O255" s="59" t="n">
        <v>0.624</v>
      </c>
      <c r="P255" s="59" t="n">
        <v>0.511</v>
      </c>
      <c r="Q255" s="59" t="n">
        <v>0.533</v>
      </c>
      <c r="R255" s="8" t="n">
        <v>825921</v>
      </c>
      <c r="S255" s="8" t="n">
        <v>793260</v>
      </c>
      <c r="T255" s="8" t="n">
        <f aca="false">IF(J255="regional",IF(R255&gt;0,R255*0.2975,S255*0.3484),S255*0.1939)</f>
        <v>245711.4975</v>
      </c>
      <c r="U255" s="8" t="n">
        <v>538792</v>
      </c>
      <c r="V255" s="8" t="n">
        <f aca="false">S255-U255</f>
        <v>254468</v>
      </c>
      <c r="W255" s="8" t="n">
        <v>3520</v>
      </c>
      <c r="X255" s="60" t="n">
        <f aca="false">Y255+Z255</f>
        <v>0</v>
      </c>
      <c r="Y255" s="8" t="n">
        <f aca="false">IF(B255="y",T255,0)</f>
        <v>0</v>
      </c>
      <c r="Z255" s="9"/>
      <c r="AA255" s="8" t="n">
        <f aca="false">AB255+AC255</f>
        <v>1038971.4975</v>
      </c>
      <c r="AB255" s="8" t="n">
        <f aca="false">IF(B255="y",0,T255)</f>
        <v>245711.4975</v>
      </c>
      <c r="AC255" s="8" t="n">
        <f aca="false">S255-Z255</f>
        <v>793260</v>
      </c>
      <c r="AD255" s="61" t="n">
        <f aca="false">IF(K255="y",Z255,0)</f>
        <v>0</v>
      </c>
      <c r="AE255" s="61" t="n">
        <f aca="false">IF($K255="",Z255,0)+IF($K255="n",Z255,0)</f>
        <v>0</v>
      </c>
      <c r="AF255" s="62" t="n">
        <f aca="false">IF($K255="y",AC255,0)</f>
        <v>0</v>
      </c>
      <c r="AG255" s="62" t="n">
        <f aca="false">IF($K255="",AC255,0)+IF($K255="n",AC255,0)</f>
        <v>793260</v>
      </c>
      <c r="AH255" s="8" t="n">
        <v>0</v>
      </c>
      <c r="AI255" s="8" t="n">
        <v>0</v>
      </c>
      <c r="AJ255" s="4"/>
      <c r="AK255" s="4"/>
      <c r="AL255" s="9"/>
      <c r="AM255" s="9"/>
    </row>
    <row r="256" customFormat="false" ht="13.5" hidden="false" customHeight="false" outlineLevel="0" collapsed="false">
      <c r="A256" s="2" t="s">
        <v>44</v>
      </c>
      <c r="B256" s="2"/>
      <c r="C256" s="2" t="n">
        <v>4612</v>
      </c>
      <c r="D256" s="4" t="s">
        <v>616</v>
      </c>
      <c r="E256" s="4" t="s">
        <v>617</v>
      </c>
      <c r="F256" s="4" t="s">
        <v>47</v>
      </c>
      <c r="G256" s="4" t="s">
        <v>49</v>
      </c>
      <c r="H256" s="4" t="n">
        <v>1990</v>
      </c>
      <c r="I256" s="4"/>
      <c r="J256" s="4" t="s">
        <v>62</v>
      </c>
      <c r="K256" s="5"/>
      <c r="L256" s="6" t="s">
        <v>98</v>
      </c>
      <c r="M256" s="7" t="n">
        <v>18</v>
      </c>
      <c r="N256" s="59" t="n">
        <v>0.997</v>
      </c>
      <c r="O256" s="59" t="n">
        <v>0.997</v>
      </c>
      <c r="P256" s="59" t="n">
        <v>1</v>
      </c>
      <c r="Q256" s="59" t="n">
        <v>0.952</v>
      </c>
      <c r="R256" s="8"/>
      <c r="S256" s="8" t="n">
        <v>265452</v>
      </c>
      <c r="T256" s="8" t="n">
        <f aca="false">IF(J256="regional",IF(R256&gt;0,R256*0.2975,S256*0.3484),S256*0.1939)</f>
        <v>51471.1428</v>
      </c>
      <c r="U256" s="8" t="n">
        <v>222664</v>
      </c>
      <c r="V256" s="8" t="n">
        <f aca="false">S256-U256</f>
        <v>42788</v>
      </c>
      <c r="W256" s="8"/>
      <c r="X256" s="60" t="n">
        <f aca="false">Y256+Z256</f>
        <v>0</v>
      </c>
      <c r="Y256" s="8" t="n">
        <f aca="false">IF(B256="y",T256,0)</f>
        <v>0</v>
      </c>
      <c r="Z256" s="9"/>
      <c r="AA256" s="8" t="n">
        <f aca="false">AB256+AC256</f>
        <v>316923.1428</v>
      </c>
      <c r="AB256" s="8" t="n">
        <f aca="false">IF(B256="y",0,T256)</f>
        <v>51471.1428</v>
      </c>
      <c r="AC256" s="8" t="n">
        <f aca="false">S256-Z256</f>
        <v>265452</v>
      </c>
      <c r="AD256" s="61" t="n">
        <f aca="false">IF(K256="y",Z256,0)</f>
        <v>0</v>
      </c>
      <c r="AE256" s="61" t="n">
        <f aca="false">IF($K256="",Z256,0)+IF($K256="n",Z256,0)</f>
        <v>0</v>
      </c>
      <c r="AF256" s="62" t="n">
        <f aca="false">IF($K256="y",AC256,0)</f>
        <v>0</v>
      </c>
      <c r="AG256" s="62" t="n">
        <f aca="false">IF($K256="",AC256,0)+IF($K256="n",AC256,0)</f>
        <v>265452</v>
      </c>
      <c r="AH256" s="8" t="n">
        <v>0</v>
      </c>
      <c r="AI256" s="8" t="n">
        <v>0</v>
      </c>
      <c r="AJ256" s="4"/>
      <c r="AK256" s="4"/>
      <c r="AL256" s="9"/>
      <c r="AM256" s="9"/>
    </row>
    <row r="257" customFormat="false" ht="12.75" hidden="false" customHeight="false" outlineLevel="0" collapsed="false">
      <c r="A257" s="72" t="n">
        <f aca="false">COUNTIF(A7:A256,"y")</f>
        <v>221</v>
      </c>
      <c r="B257" s="73" t="n">
        <f aca="false">COUNTIF(B7:B256,"y")</f>
        <v>55</v>
      </c>
      <c r="C257" s="73" t="s">
        <v>43</v>
      </c>
      <c r="D257" s="74" t="s">
        <v>43</v>
      </c>
      <c r="E257" s="74"/>
      <c r="F257" s="74"/>
      <c r="G257" s="74" t="str">
        <f aca="false">CONCATENATE(COUNTIF(G7:G256,"n"),"=no")</f>
        <v>80=no</v>
      </c>
      <c r="H257" s="75"/>
      <c r="I257" s="74"/>
      <c r="J257" s="74"/>
      <c r="K257" s="74" t="n">
        <f aca="false">COUNTIF(K7:K256,"y")</f>
        <v>81</v>
      </c>
      <c r="L257" s="74"/>
      <c r="M257" s="76" t="n">
        <f aca="false">SUM(M7:M256)</f>
        <v>18661</v>
      </c>
      <c r="N257" s="74" t="s">
        <v>43</v>
      </c>
      <c r="O257" s="74" t="s">
        <v>43</v>
      </c>
      <c r="P257" s="74" t="s">
        <v>43</v>
      </c>
      <c r="Q257" s="74" t="s">
        <v>43</v>
      </c>
      <c r="R257" s="76" t="n">
        <f aca="false">SUM(R7:R256)</f>
        <v>148789842</v>
      </c>
      <c r="S257" s="76" t="n">
        <f aca="false">SUM(S7:S256)</f>
        <v>155105248</v>
      </c>
      <c r="T257" s="77" t="n">
        <f aca="false">SUM(T7:T256)</f>
        <v>48800532.428</v>
      </c>
      <c r="U257" s="77" t="n">
        <f aca="false">SUM(U7:U256)</f>
        <v>100788574</v>
      </c>
      <c r="V257" s="77" t="n">
        <f aca="false">SUM(V7:V256)</f>
        <v>54316674</v>
      </c>
      <c r="W257" s="77" t="n">
        <f aca="false">SUM(W7:W256)</f>
        <v>788466</v>
      </c>
      <c r="X257" s="77" t="n">
        <f aca="false">SUM(X7:X256)</f>
        <v>40982728.1446</v>
      </c>
      <c r="Y257" s="77" t="n">
        <f aca="false">SUM(Y7:Y256)</f>
        <v>14137070.1446</v>
      </c>
      <c r="Z257" s="77" t="n">
        <f aca="false">SUM(Z7:Z256)</f>
        <v>24630658</v>
      </c>
      <c r="AA257" s="77" t="n">
        <f aca="false">SUM(AA7:AA256)</f>
        <v>164254016.2834</v>
      </c>
      <c r="AB257" s="77" t="n">
        <f aca="false">SUM(AB7:AB256)</f>
        <v>33766497.7734</v>
      </c>
      <c r="AC257" s="77" t="n">
        <f aca="false">SUM(AC7:AC256)</f>
        <v>127900065</v>
      </c>
      <c r="AD257" s="77" t="n">
        <f aca="false">SUM(AD7:AD256)</f>
        <v>20625371</v>
      </c>
      <c r="AE257" s="77" t="n">
        <f aca="false">SUM(AE7:AE256)</f>
        <v>6220287</v>
      </c>
      <c r="AF257" s="77" t="n">
        <f aca="false">SUM(AF7:AF256)</f>
        <v>52359418.51</v>
      </c>
      <c r="AG257" s="77" t="n">
        <f aca="false">SUM(AG7:AG256)</f>
        <v>78128100</v>
      </c>
      <c r="AH257" s="77" t="n">
        <f aca="false">SUM(AH7:AH256)</f>
        <v>62351000</v>
      </c>
      <c r="AI257" s="77" t="n">
        <f aca="false">SUM(AI7:AI256)</f>
        <v>52371000</v>
      </c>
      <c r="AJ257" s="74"/>
      <c r="AK257" s="77" t="n">
        <f aca="false">SUM(AK7:AK256)</f>
        <v>67205302.33</v>
      </c>
      <c r="AL257" s="78"/>
      <c r="AM257" s="78"/>
    </row>
    <row r="258" customFormat="false" ht="90" hidden="false" customHeight="false" outlineLevel="0" collapsed="false">
      <c r="A258" s="79" t="s">
        <v>618</v>
      </c>
      <c r="B258" s="80" t="s">
        <v>618</v>
      </c>
      <c r="C258" s="80" t="s">
        <v>619</v>
      </c>
      <c r="D258" s="81" t="s">
        <v>620</v>
      </c>
      <c r="E258" s="81" t="s">
        <v>621</v>
      </c>
      <c r="F258" s="81" t="s">
        <v>621</v>
      </c>
      <c r="G258" s="81" t="s">
        <v>622</v>
      </c>
      <c r="H258" s="82" t="s">
        <v>619</v>
      </c>
      <c r="I258" s="82" t="s">
        <v>619</v>
      </c>
      <c r="J258" s="81" t="s">
        <v>619</v>
      </c>
      <c r="K258" s="81" t="s">
        <v>623</v>
      </c>
      <c r="L258" s="81" t="s">
        <v>619</v>
      </c>
      <c r="M258" s="83" t="s">
        <v>619</v>
      </c>
      <c r="N258" s="81" t="s">
        <v>619</v>
      </c>
      <c r="O258" s="81" t="s">
        <v>619</v>
      </c>
      <c r="P258" s="81"/>
      <c r="Q258" s="81"/>
      <c r="R258" s="83" t="s">
        <v>619</v>
      </c>
      <c r="S258" s="81" t="s">
        <v>624</v>
      </c>
      <c r="T258" s="81" t="s">
        <v>625</v>
      </c>
      <c r="U258" s="81" t="s">
        <v>624</v>
      </c>
      <c r="V258" s="81" t="s">
        <v>625</v>
      </c>
      <c r="W258" s="81" t="s">
        <v>619</v>
      </c>
      <c r="X258" s="81" t="s">
        <v>626</v>
      </c>
      <c r="Y258" s="81" t="s">
        <v>627</v>
      </c>
      <c r="Z258" s="81" t="s">
        <v>628</v>
      </c>
      <c r="AA258" s="81" t="s">
        <v>626</v>
      </c>
      <c r="AB258" s="81" t="s">
        <v>629</v>
      </c>
      <c r="AC258" s="81" t="s">
        <v>630</v>
      </c>
      <c r="AD258" s="81" t="s">
        <v>625</v>
      </c>
      <c r="AE258" s="81" t="s">
        <v>625</v>
      </c>
      <c r="AF258" s="81" t="s">
        <v>625</v>
      </c>
      <c r="AG258" s="81" t="s">
        <v>625</v>
      </c>
      <c r="AH258" s="81" t="s">
        <v>623</v>
      </c>
      <c r="AI258" s="81" t="s">
        <v>631</v>
      </c>
      <c r="AJ258" s="81" t="s">
        <v>632</v>
      </c>
      <c r="AK258" s="81" t="s">
        <v>632</v>
      </c>
      <c r="AL258" s="84"/>
      <c r="AM258" s="78"/>
    </row>
    <row r="259" customFormat="false" ht="13.5" hidden="false" customHeight="false" outlineLevel="0" collapsed="false">
      <c r="A259" s="85" t="s">
        <v>633</v>
      </c>
      <c r="B259" s="85" t="s">
        <v>633</v>
      </c>
      <c r="C259" s="85" t="s">
        <v>634</v>
      </c>
      <c r="D259" s="21" t="s">
        <v>634</v>
      </c>
      <c r="E259" s="86" t="s">
        <v>634</v>
      </c>
      <c r="F259" s="86" t="s">
        <v>634</v>
      </c>
      <c r="G259" s="86" t="s">
        <v>634</v>
      </c>
      <c r="H259" s="86" t="s">
        <v>634</v>
      </c>
      <c r="I259" s="87" t="s">
        <v>634</v>
      </c>
      <c r="J259" s="87" t="s">
        <v>634</v>
      </c>
      <c r="K259" s="86" t="s">
        <v>633</v>
      </c>
      <c r="L259" s="86" t="s">
        <v>634</v>
      </c>
      <c r="M259" s="20" t="s">
        <v>634</v>
      </c>
      <c r="N259" s="86" t="s">
        <v>634</v>
      </c>
      <c r="O259" s="86" t="s">
        <v>634</v>
      </c>
      <c r="P259" s="86"/>
      <c r="Q259" s="86"/>
      <c r="R259" s="20" t="s">
        <v>633</v>
      </c>
      <c r="S259" s="86" t="s">
        <v>634</v>
      </c>
      <c r="T259" s="86" t="s">
        <v>635</v>
      </c>
      <c r="U259" s="86" t="s">
        <v>633</v>
      </c>
      <c r="V259" s="86" t="s">
        <v>633</v>
      </c>
      <c r="W259" s="86" t="s">
        <v>634</v>
      </c>
      <c r="X259" s="86" t="s">
        <v>636</v>
      </c>
      <c r="Y259" s="88" t="s">
        <v>636</v>
      </c>
      <c r="Z259" s="88" t="s">
        <v>636</v>
      </c>
      <c r="AA259" s="86" t="s">
        <v>636</v>
      </c>
      <c r="AB259" s="86" t="s">
        <v>636</v>
      </c>
      <c r="AC259" s="86" t="s">
        <v>636</v>
      </c>
      <c r="AD259" s="86" t="s">
        <v>636</v>
      </c>
      <c r="AE259" s="86" t="s">
        <v>636</v>
      </c>
      <c r="AF259" s="86" t="s">
        <v>636</v>
      </c>
      <c r="AG259" s="86" t="s">
        <v>636</v>
      </c>
      <c r="AH259" s="86" t="s">
        <v>633</v>
      </c>
      <c r="AI259" s="86" t="s">
        <v>633</v>
      </c>
      <c r="AJ259" s="86" t="s">
        <v>634</v>
      </c>
      <c r="AK259" s="86" t="s">
        <v>633</v>
      </c>
      <c r="AL259" s="78"/>
      <c r="AM259" s="78"/>
    </row>
    <row r="260" customFormat="false" ht="12.75" hidden="false" customHeight="false" outlineLevel="0" collapsed="false">
      <c r="A260" s="2"/>
      <c r="B260" s="2"/>
      <c r="C260" s="2"/>
      <c r="D260" s="4"/>
      <c r="E260" s="89" t="s">
        <v>637</v>
      </c>
      <c r="F260" s="90"/>
      <c r="G260" s="75"/>
      <c r="H260" s="91" t="n">
        <f aca="false">ROUND(AVERAGE(H7:H256),0)</f>
        <v>1981</v>
      </c>
      <c r="I260" s="91" t="n">
        <f aca="false">ROUND(AVERAGE(I7:I256),0)</f>
        <v>1996</v>
      </c>
      <c r="J260" s="90"/>
      <c r="K260" s="92"/>
      <c r="L260" s="93"/>
      <c r="M260" s="94" t="n">
        <f aca="false">AVERAGE(M7:M256)</f>
        <v>88.8619047619048</v>
      </c>
      <c r="N260" s="95" t="n">
        <f aca="false">AVERAGE(N7:N256)</f>
        <v>0.861102222222222</v>
      </c>
      <c r="O260" s="95" t="n">
        <f aca="false">AVERAGE(O7:O256)</f>
        <v>0.874351111111111</v>
      </c>
      <c r="P260" s="95" t="n">
        <f aca="false">AVERAGE(P7:P256)</f>
        <v>0.866826666666667</v>
      </c>
      <c r="Q260" s="95" t="n">
        <f aca="false">AVERAGE(Q7:Q256)</f>
        <v>0.863577777777778</v>
      </c>
      <c r="R260" s="96" t="n">
        <f aca="false">AVERAGE(R7:R256)</f>
        <v>972482.62745098</v>
      </c>
      <c r="S260" s="96" t="n">
        <f aca="false">AVERAGE(S7:S256)</f>
        <v>677315.493449782</v>
      </c>
      <c r="T260" s="96" t="n">
        <f aca="false">AVERAGE(T7:T256)</f>
        <v>212176.227947826</v>
      </c>
      <c r="U260" s="96" t="n">
        <f aca="false">AVERAGE(U7:U256)</f>
        <v>442055.149122807</v>
      </c>
      <c r="V260" s="96" t="n">
        <f aca="false">AVERAGE(V7:V256)</f>
        <v>236159.452173913</v>
      </c>
      <c r="W260" s="96" t="n">
        <f aca="false">AVERAGE(W7:W256)</f>
        <v>3633.48387096774</v>
      </c>
      <c r="X260" s="96" t="n">
        <f aca="false">AVERAGE(Z7:Z256)</f>
        <v>502666.489795918</v>
      </c>
      <c r="Y260" s="96"/>
      <c r="Z260" s="96"/>
      <c r="AA260" s="96" t="n">
        <f aca="false">AVERAGE(AA7:AA256)</f>
        <v>714147.896884348</v>
      </c>
      <c r="AB260" s="96" t="n">
        <f aca="false">AVERAGE(AB7:AB256)</f>
        <v>147451.955342358</v>
      </c>
      <c r="AC260" s="96" t="n">
        <f aca="false">AVERAGE(AC7:AC256)</f>
        <v>558515.56768559</v>
      </c>
      <c r="AD260" s="97"/>
      <c r="AE260" s="97"/>
      <c r="AF260" s="97"/>
      <c r="AG260" s="98"/>
      <c r="AH260" s="98"/>
      <c r="AI260" s="97"/>
      <c r="AJ260" s="97"/>
      <c r="AK260" s="99"/>
      <c r="AL260" s="9"/>
      <c r="AM260" s="9"/>
    </row>
    <row r="261" customFormat="false" ht="12.75" hidden="false" customHeight="false" outlineLevel="0" collapsed="false">
      <c r="E261" s="100" t="s">
        <v>638</v>
      </c>
      <c r="F261" s="101"/>
      <c r="G261" s="101"/>
      <c r="H261" s="101"/>
      <c r="I261" s="101"/>
      <c r="J261" s="101"/>
      <c r="K261" s="101"/>
      <c r="L261" s="101"/>
      <c r="M261" s="101" t="n">
        <f aca="false">MIN(M7:M256)</f>
        <v>1</v>
      </c>
      <c r="N261" s="102" t="n">
        <f aca="false">MIN(N7:N256)</f>
        <v>0</v>
      </c>
      <c r="O261" s="102" t="n">
        <f aca="false">MIN(O7:O256)</f>
        <v>0</v>
      </c>
      <c r="P261" s="102" t="n">
        <f aca="false">MIN(P7:P256)</f>
        <v>0</v>
      </c>
      <c r="Q261" s="102" t="n">
        <f aca="false">MIN(Q7:Q256)</f>
        <v>0</v>
      </c>
      <c r="R261" s="103" t="n">
        <f aca="false">MIN(R7:R256)</f>
        <v>60273</v>
      </c>
      <c r="S261" s="103" t="n">
        <f aca="false">MIN(S7:S256)</f>
        <v>7500</v>
      </c>
      <c r="T261" s="103" t="n">
        <f aca="false">MIN(T7:T256)</f>
        <v>0</v>
      </c>
      <c r="U261" s="103" t="n">
        <f aca="false">MIN(U7:U256)</f>
        <v>0</v>
      </c>
      <c r="V261" s="103" t="n">
        <f aca="false">MIN(V7:V256)</f>
        <v>-29140</v>
      </c>
      <c r="W261" s="103" t="n">
        <f aca="false">MIN(W7:W256)</f>
        <v>200</v>
      </c>
      <c r="X261" s="103" t="n">
        <f aca="false">MIN(Z7:Z256)</f>
        <v>59946</v>
      </c>
      <c r="Y261" s="103"/>
      <c r="Z261" s="103"/>
      <c r="AA261" s="103" t="n">
        <f aca="false">MIN(AA7:AA256)</f>
        <v>-574232</v>
      </c>
      <c r="AB261" s="103" t="n">
        <f aca="false">MIN(AB7:AB256)</f>
        <v>0</v>
      </c>
      <c r="AC261" s="103" t="n">
        <f aca="false">MIN(AC7:AC256)</f>
        <v>-574232</v>
      </c>
      <c r="AD261" s="101"/>
      <c r="AE261" s="101"/>
      <c r="AF261" s="101"/>
      <c r="AG261" s="101"/>
      <c r="AH261" s="101"/>
      <c r="AI261" s="101"/>
      <c r="AJ261" s="101"/>
      <c r="AK261" s="104"/>
    </row>
    <row r="262" customFormat="false" ht="12.75" hidden="false" customHeight="false" outlineLevel="0" collapsed="false">
      <c r="E262" s="100" t="s">
        <v>639</v>
      </c>
      <c r="F262" s="101"/>
      <c r="G262" s="101"/>
      <c r="H262" s="101"/>
      <c r="I262" s="101"/>
      <c r="J262" s="101"/>
      <c r="K262" s="101"/>
      <c r="L262" s="101"/>
      <c r="M262" s="101" t="n">
        <f aca="false">MAX(M7:M256)</f>
        <v>333</v>
      </c>
      <c r="N262" s="102" t="n">
        <f aca="false">MAX(N7:N256)</f>
        <v>1</v>
      </c>
      <c r="O262" s="102" t="n">
        <f aca="false">MAX(O7:O256)</f>
        <v>1</v>
      </c>
      <c r="P262" s="102" t="n">
        <f aca="false">MAX(P7:P256)</f>
        <v>1</v>
      </c>
      <c r="Q262" s="102" t="n">
        <f aca="false">MAX(Q7:Q256)</f>
        <v>1</v>
      </c>
      <c r="R262" s="103" t="n">
        <f aca="false">MAX(R7:R256)</f>
        <v>2881095</v>
      </c>
      <c r="S262" s="103" t="n">
        <f aca="false">MAX(S7:S256)</f>
        <v>2574525</v>
      </c>
      <c r="T262" s="103" t="n">
        <f aca="false">MAX(T7:T256)</f>
        <v>896964.51</v>
      </c>
      <c r="U262" s="103" t="n">
        <f aca="false">MAX(U7:U256)</f>
        <v>1440000</v>
      </c>
      <c r="V262" s="103" t="n">
        <f aca="false">MAX(V7:V256)</f>
        <v>1690489</v>
      </c>
      <c r="W262" s="103" t="n">
        <f aca="false">MAX(W7:W256)</f>
        <v>12500</v>
      </c>
      <c r="X262" s="103" t="n">
        <f aca="false">MAX(Z7:Z256)</f>
        <v>1130444</v>
      </c>
      <c r="Y262" s="103"/>
      <c r="Z262" s="103"/>
      <c r="AA262" s="103" t="n">
        <f aca="false">MAX(AA7:AA256)</f>
        <v>3117125.7625</v>
      </c>
      <c r="AB262" s="103" t="n">
        <f aca="false">MAX(AB7:AB256)</f>
        <v>857125.7625</v>
      </c>
      <c r="AC262" s="103" t="n">
        <f aca="false">MAX(AC7:AC256)</f>
        <v>2260000</v>
      </c>
      <c r="AD262" s="101"/>
      <c r="AE262" s="101"/>
      <c r="AF262" s="101"/>
      <c r="AG262" s="101"/>
      <c r="AH262" s="101"/>
      <c r="AI262" s="101"/>
      <c r="AJ262" s="101"/>
      <c r="AK262" s="104"/>
    </row>
    <row r="263" customFormat="false" ht="13.5" hidden="false" customHeight="false" outlineLevel="0" collapsed="false">
      <c r="E263" s="105"/>
      <c r="F263" s="106"/>
      <c r="G263" s="106"/>
      <c r="H263" s="106"/>
      <c r="I263" s="106"/>
      <c r="J263" s="106"/>
      <c r="K263" s="106"/>
      <c r="L263" s="106"/>
      <c r="M263" s="106"/>
      <c r="N263" s="107"/>
      <c r="O263" s="107"/>
      <c r="P263" s="107"/>
      <c r="Q263" s="107"/>
      <c r="R263" s="108"/>
      <c r="S263" s="108"/>
      <c r="T263" s="108"/>
      <c r="U263" s="108"/>
      <c r="V263" s="108"/>
      <c r="W263" s="108"/>
      <c r="X263" s="108"/>
      <c r="Y263" s="108"/>
      <c r="Z263" s="108"/>
      <c r="AA263" s="108"/>
      <c r="AB263" s="108"/>
      <c r="AC263" s="108"/>
      <c r="AD263" s="106"/>
      <c r="AE263" s="106"/>
      <c r="AF263" s="106"/>
      <c r="AG263" s="106"/>
      <c r="AH263" s="106"/>
      <c r="AI263" s="106"/>
      <c r="AJ263" s="106"/>
      <c r="AK263" s="109"/>
    </row>
    <row r="264" customFormat="false" ht="38.25" hidden="false" customHeight="false" outlineLevel="0" collapsed="false">
      <c r="D264" s="110" t="s">
        <v>43</v>
      </c>
      <c r="E264" s="110" t="s">
        <v>43</v>
      </c>
      <c r="F264" s="110" t="s">
        <v>43</v>
      </c>
      <c r="G264" s="110" t="s">
        <v>43</v>
      </c>
      <c r="H264" s="110" t="str">
        <f aca="false">CONCATENATE("No info for ",COUNTIF(H7:H256,"")," sites")</f>
        <v>No info for 21 sites</v>
      </c>
      <c r="I264" s="110" t="s">
        <v>43</v>
      </c>
      <c r="J264" s="110" t="s">
        <v>43</v>
      </c>
      <c r="K264" s="110" t="s">
        <v>43</v>
      </c>
      <c r="L264" s="110" t="str">
        <f aca="false">CONCATENATE("No info for ",COUNTIF(L7:L256,"")," sites")</f>
        <v>No info for 23 sites</v>
      </c>
      <c r="M264" s="110" t="str">
        <f aca="false">CONCATENATE("No info for ",COUNTIF(M7:M256,"")," sites")</f>
        <v>No info for 39 sites</v>
      </c>
      <c r="N264" s="110" t="str">
        <f aca="false">CONCATENATE("No info for ",COUNTIF(N7:N256,"")," sites")</f>
        <v>No info for 24 sites</v>
      </c>
      <c r="O264" s="110" t="str">
        <f aca="false">CONCATENATE("No info for ",COUNTIF(O7:O256,"")," sites")</f>
        <v>No info for 24 sites</v>
      </c>
      <c r="P264" s="110" t="str">
        <f aca="false">CONCATENATE("No info for ",COUNTIF(P7:P256,"")," sites")</f>
        <v>No info for 25 sites</v>
      </c>
      <c r="Q264" s="110" t="str">
        <f aca="false">CONCATENATE("No info for ",COUNTIF(Q7:Q256,"")," sites")</f>
        <v>No info for 25 sites</v>
      </c>
      <c r="R264" s="110" t="str">
        <f aca="false">CONCATENATE("No info for ",COUNTIF(R7:R256,"")," sites")</f>
        <v>No info for 96 sites</v>
      </c>
      <c r="S264" s="110" t="str">
        <f aca="false">CONCATENATE("No info for ",COUNTIF(S7:S256,"")," sites")</f>
        <v>No info for 20 sites</v>
      </c>
      <c r="T264" s="110" t="str">
        <f aca="false">CONCATENATE("No info for ",COUNTIF(T7:T256,"")," sites")</f>
        <v>No info for 19 sites</v>
      </c>
      <c r="U264" s="110" t="str">
        <f aca="false">CONCATENATE("No info for ",COUNTIF(U7:U256,"")," sites")</f>
        <v>No info for 21 sites</v>
      </c>
      <c r="V264" s="110" t="str">
        <f aca="false">CONCATENATE("No info for ",COUNTIF(V7:V256,"")," sites")</f>
        <v>No info for 19 sites</v>
      </c>
      <c r="W264" s="110" t="str">
        <f aca="false">CONCATENATE("No info for ",COUNTIF(W7:W256,"")," sites")</f>
        <v>No info for 32 sites</v>
      </c>
      <c r="X264" s="110" t="s">
        <v>43</v>
      </c>
      <c r="Y264" s="110"/>
      <c r="Z264" s="110"/>
      <c r="AA264" s="110" t="s">
        <v>43</v>
      </c>
      <c r="AB264" s="110"/>
      <c r="AC264" s="110"/>
    </row>
  </sheetData>
  <mergeCells count="3">
    <mergeCell ref="L2:M2"/>
    <mergeCell ref="N2:Q2"/>
    <mergeCell ref="R2:AM2"/>
  </mergeCells>
  <printOptions headings="false" gridLines="false" gridLinesSet="true" horizontalCentered="false" verticalCentered="false"/>
  <pageMargins left="0.240277777777778" right="0.25" top="0.179861111111111" bottom="0.579861111111111" header="0.511811023622047" footer="0.25"/>
  <pageSetup paperSize="5" scale="43" fitToWidth="1" fitToHeight="1" pageOrder="downThenOver" orientation="landscape" blackAndWhite="false" draft="false" cellComments="none" horizontalDpi="300" verticalDpi="300" copies="1"/>
  <headerFooter differentFirst="false" differentOddEven="false">
    <oddHeader/>
    <oddFooter>&amp;L&amp;A&amp;C&amp;D &amp;T</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84"/>
  <sheetViews>
    <sheetView showFormulas="false" showGridLines="false" showRowColHeaders="true" showZeros="true" rightToLeft="false" tabSelected="false" showOutlineSymbols="true" defaultGridColor="true" view="normal" topLeftCell="A12" colorId="64" zoomScale="100" zoomScaleNormal="100" zoomScalePageLayoutView="100" workbookViewId="0">
      <selection pane="topLeft" activeCell="C42" activeCellId="0" sqref="C42"/>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2" min="2" style="0" width="11.85"/>
    <col collapsed="false" customWidth="true" hidden="false" outlineLevel="0" max="3" min="3" style="0" width="11.99"/>
    <col collapsed="false" customWidth="true" hidden="false" outlineLevel="0" max="4" min="4" style="0" width="13.41"/>
    <col collapsed="false" customWidth="true" hidden="false" outlineLevel="0" max="5" min="5" style="0" width="11.13"/>
    <col collapsed="false" customWidth="true" hidden="false" outlineLevel="0" max="8" min="6" style="0" width="10.99"/>
    <col collapsed="false" customWidth="true" hidden="false" outlineLevel="0" max="9" min="9" style="0" width="11.56"/>
    <col collapsed="false" customWidth="true" hidden="false" outlineLevel="0" max="10" min="10" style="0" width="12.28"/>
    <col collapsed="false" customWidth="true" hidden="false" outlineLevel="0" max="12" min="11" style="0" width="10.99"/>
  </cols>
  <sheetData>
    <row r="1" customFormat="false" ht="15.75" hidden="false" customHeight="false" outlineLevel="0" collapsed="false">
      <c r="A1" s="410" t="s">
        <v>879</v>
      </c>
      <c r="B1" s="411" t="s">
        <v>880</v>
      </c>
    </row>
    <row r="5" customFormat="false" ht="12.75" hidden="false" customHeight="false" outlineLevel="0" collapsed="false">
      <c r="C5" s="0" t="n">
        <v>2000</v>
      </c>
      <c r="D5" s="0" t="n">
        <v>2001</v>
      </c>
      <c r="E5" s="0" t="n">
        <v>2002</v>
      </c>
      <c r="F5" s="0" t="n">
        <v>2003</v>
      </c>
      <c r="G5" s="0" t="n">
        <v>2004</v>
      </c>
      <c r="H5" s="0" t="n">
        <v>2005</v>
      </c>
      <c r="I5" s="0" t="n">
        <v>2006</v>
      </c>
      <c r="J5" s="0" t="n">
        <v>2007</v>
      </c>
      <c r="K5" s="0" t="n">
        <v>2008</v>
      </c>
      <c r="L5" s="0" t="n">
        <v>2009</v>
      </c>
    </row>
    <row r="6" customFormat="false" ht="12.75" hidden="false" customHeight="false" outlineLevel="0" collapsed="false">
      <c r="A6" s="412" t="s">
        <v>881</v>
      </c>
      <c r="C6" s="413" t="n">
        <v>0.0258</v>
      </c>
      <c r="D6" s="413" t="n">
        <v>0.0218</v>
      </c>
      <c r="E6" s="413" t="n">
        <v>0.0209</v>
      </c>
      <c r="F6" s="413" t="n">
        <v>0.0201</v>
      </c>
      <c r="G6" s="413" t="n">
        <v>0.0194</v>
      </c>
      <c r="H6" s="413" t="n">
        <v>0.0187</v>
      </c>
      <c r="I6" s="413" t="n">
        <v>0.018</v>
      </c>
      <c r="J6" s="413" t="n">
        <v>0.0175</v>
      </c>
      <c r="K6" s="413" t="n">
        <v>0.0168</v>
      </c>
      <c r="L6" s="413" t="n">
        <v>0.0164</v>
      </c>
    </row>
    <row r="10" customFormat="false" ht="12.75" hidden="false" customHeight="false" outlineLevel="0" collapsed="false">
      <c r="F10" s="411" t="s">
        <v>857</v>
      </c>
    </row>
    <row r="11" customFormat="false" ht="12.75" hidden="false" customHeight="false" outlineLevel="0" collapsed="false">
      <c r="A11" s="414" t="s">
        <v>882</v>
      </c>
      <c r="B11" s="415" t="s">
        <v>883</v>
      </c>
      <c r="C11" s="416" t="n">
        <f aca="false">F34*(1+C6)</f>
        <v>9766374.0662</v>
      </c>
      <c r="D11" s="417" t="n">
        <f aca="false">C11*(1+D6)</f>
        <v>9979281.02084316</v>
      </c>
      <c r="E11" s="417" t="n">
        <f aca="false">D11*(1+E6)</f>
        <v>10187847.9941788</v>
      </c>
      <c r="F11" s="417" t="n">
        <f aca="false">E11*(1+F6)</f>
        <v>10392623.7388618</v>
      </c>
      <c r="G11" s="417" t="n">
        <f aca="false">F11*(1+G6)</f>
        <v>10594240.6393957</v>
      </c>
      <c r="H11" s="417" t="n">
        <f aca="false">G11*(1+H6)</f>
        <v>10792352.9393524</v>
      </c>
      <c r="I11" s="417" t="n">
        <f aca="false">H11*(1+I6)</f>
        <v>10986615.2922607</v>
      </c>
      <c r="J11" s="417" t="n">
        <f aca="false">I11*(1+J6)</f>
        <v>11178881.0598753</v>
      </c>
      <c r="K11" s="417" t="n">
        <f aca="false">J11*(1+K6)</f>
        <v>11366686.2616812</v>
      </c>
      <c r="L11" s="417" t="n">
        <f aca="false">K11*(1+L6)</f>
        <v>11553099.9163728</v>
      </c>
    </row>
    <row r="12" customFormat="false" ht="12.75" hidden="false" customHeight="false" outlineLevel="0" collapsed="false">
      <c r="A12" s="414" t="s">
        <v>884</v>
      </c>
      <c r="B12" s="415" t="s">
        <v>885</v>
      </c>
      <c r="C12" s="418" t="n">
        <f aca="false">$F$35*(1+C6)</f>
        <v>4420136.297</v>
      </c>
      <c r="D12" s="418" t="n">
        <f aca="false">C12*(1+D6)</f>
        <v>4516495.2682746</v>
      </c>
      <c r="E12" s="418" t="n">
        <f aca="false">D12*(1+E6)</f>
        <v>4610890.01938154</v>
      </c>
      <c r="F12" s="418" t="n">
        <f aca="false">E12*(1+F6)</f>
        <v>4703568.90877111</v>
      </c>
      <c r="G12" s="418" t="n">
        <f aca="false">F12*(1+G6)</f>
        <v>4794818.14560127</v>
      </c>
      <c r="H12" s="418" t="n">
        <f aca="false">G12*(1+H6)</f>
        <v>4884481.24492401</v>
      </c>
      <c r="I12" s="418" t="n">
        <f aca="false">H12*(1+I6)</f>
        <v>4972401.90733264</v>
      </c>
      <c r="J12" s="418" t="n">
        <f aca="false">I12*(1+J6)</f>
        <v>5059418.94071097</v>
      </c>
      <c r="K12" s="418" t="n">
        <f aca="false">J12*(1+K6)</f>
        <v>5144417.17891491</v>
      </c>
      <c r="L12" s="418" t="n">
        <f aca="false">K12*(1+L6)</f>
        <v>5228785.62064911</v>
      </c>
    </row>
    <row r="13" customFormat="false" ht="12.75" hidden="false" customHeight="false" outlineLevel="0" collapsed="false">
      <c r="B13" s="415" t="s">
        <v>886</v>
      </c>
      <c r="C13" s="419" t="n">
        <f aca="false">SUM(C11:C12)</f>
        <v>14186510.3632</v>
      </c>
      <c r="D13" s="419" t="n">
        <f aca="false">SUM(D11:D12)</f>
        <v>14495776.2891178</v>
      </c>
      <c r="E13" s="419" t="n">
        <f aca="false">SUM(E11:E12)</f>
        <v>14798738.0135603</v>
      </c>
      <c r="F13" s="419" t="n">
        <f aca="false">SUM(F11:F12)</f>
        <v>15096192.6476329</v>
      </c>
      <c r="G13" s="419" t="n">
        <f aca="false">SUM(G11:G12)</f>
        <v>15389058.784997</v>
      </c>
      <c r="H13" s="419" t="n">
        <f aca="false">SUM(H11:H12)</f>
        <v>15676834.1842764</v>
      </c>
      <c r="I13" s="419" t="n">
        <f aca="false">SUM(I11:I12)</f>
        <v>15959017.1995934</v>
      </c>
      <c r="J13" s="419" t="n">
        <f aca="false">SUM(J11:J12)</f>
        <v>16238300.0005863</v>
      </c>
      <c r="K13" s="419" t="n">
        <f aca="false">SUM(K11:K12)</f>
        <v>16511103.4405961</v>
      </c>
      <c r="L13" s="419" t="n">
        <f aca="false">SUM(L11:L12)</f>
        <v>16781885.5370219</v>
      </c>
    </row>
    <row r="14" customFormat="false" ht="12.75" hidden="false" customHeight="false" outlineLevel="0" collapsed="false">
      <c r="B14" s="415"/>
    </row>
    <row r="15" customFormat="false" ht="12.75" hidden="false" customHeight="false" outlineLevel="0" collapsed="false">
      <c r="B15" s="415"/>
    </row>
    <row r="16" customFormat="false" ht="12.75" hidden="false" customHeight="false" outlineLevel="0" collapsed="false">
      <c r="B16" s="415"/>
    </row>
    <row r="17" customFormat="false" ht="12.75" hidden="false" customHeight="false" outlineLevel="0" collapsed="false">
      <c r="B17" s="415"/>
      <c r="C17" s="0" t="n">
        <f aca="false">C19/C11</f>
        <v>0.854</v>
      </c>
      <c r="F17" s="420" t="s">
        <v>887</v>
      </c>
    </row>
    <row r="18" customFormat="false" ht="12.75" hidden="false" customHeight="false" outlineLevel="0" collapsed="false">
      <c r="B18" s="415"/>
      <c r="F18" s="420" t="s">
        <v>888</v>
      </c>
    </row>
    <row r="19" customFormat="false" ht="12.75" hidden="false" customHeight="false" outlineLevel="0" collapsed="false">
      <c r="A19" s="414" t="s">
        <v>882</v>
      </c>
      <c r="B19" s="415" t="s">
        <v>883</v>
      </c>
      <c r="C19" s="417" t="n">
        <f aca="false">C11*(1-$C$34)</f>
        <v>8340483.4525348</v>
      </c>
      <c r="D19" s="417" t="n">
        <f aca="false">D11*(1-$C$34)</f>
        <v>8522305.99180006</v>
      </c>
      <c r="E19" s="417" t="n">
        <f aca="false">E11*(1-$C$34)</f>
        <v>8700422.18702868</v>
      </c>
      <c r="F19" s="417" t="n">
        <f aca="false">F11*(1-$C$34)</f>
        <v>8875300.67298796</v>
      </c>
      <c r="G19" s="417" t="n">
        <f aca="false">G11*(1-$C$34)</f>
        <v>9047481.50604393</v>
      </c>
      <c r="H19" s="417" t="n">
        <f aca="false">H11*(1-$C$34)</f>
        <v>9216669.41020695</v>
      </c>
      <c r="I19" s="417" t="n">
        <f aca="false">I11*(1-$C$34)</f>
        <v>9382569.45959067</v>
      </c>
      <c r="J19" s="417" t="n">
        <f aca="false">J11*(1-$C$34)</f>
        <v>9546764.42513351</v>
      </c>
      <c r="K19" s="417" t="n">
        <f aca="false">K11*(1-$C$34)</f>
        <v>9707150.06747575</v>
      </c>
      <c r="L19" s="417" t="n">
        <f aca="false">L11*(1-$C$34)</f>
        <v>9866347.32858235</v>
      </c>
    </row>
    <row r="20" customFormat="false" ht="12.75" hidden="false" customHeight="false" outlineLevel="0" collapsed="false">
      <c r="A20" s="414"/>
      <c r="B20" s="415" t="s">
        <v>889</v>
      </c>
      <c r="C20" s="421" t="n">
        <f aca="false">C19/C11</f>
        <v>0.854</v>
      </c>
      <c r="D20" s="422" t="n">
        <f aca="false">D19/D11</f>
        <v>0.854</v>
      </c>
      <c r="E20" s="422" t="n">
        <f aca="false">E19/E11</f>
        <v>0.854</v>
      </c>
      <c r="F20" s="422" t="n">
        <f aca="false">F19/F11</f>
        <v>0.854</v>
      </c>
      <c r="G20" s="422" t="n">
        <f aca="false">G19/G11</f>
        <v>0.854</v>
      </c>
      <c r="H20" s="422" t="n">
        <f aca="false">H19/H11</f>
        <v>0.854</v>
      </c>
      <c r="I20" s="422" t="n">
        <f aca="false">I19/I11</f>
        <v>0.854</v>
      </c>
      <c r="J20" s="422" t="n">
        <f aca="false">J19/J11</f>
        <v>0.854</v>
      </c>
      <c r="K20" s="422" t="n">
        <f aca="false">K19/K11</f>
        <v>0.854</v>
      </c>
      <c r="L20" s="422" t="n">
        <f aca="false">L19/L11</f>
        <v>0.854</v>
      </c>
    </row>
    <row r="21" customFormat="false" ht="12.75" hidden="false" customHeight="false" outlineLevel="0" collapsed="false">
      <c r="A21" s="414" t="s">
        <v>884</v>
      </c>
      <c r="B21" s="415" t="s">
        <v>885</v>
      </c>
      <c r="C21" s="418" t="n">
        <f aca="false">C12*(1-$C$34)</f>
        <v>3774796.397638</v>
      </c>
      <c r="D21" s="418" t="n">
        <f aca="false">D12*(1-$C$34)</f>
        <v>3857086.95910651</v>
      </c>
      <c r="E21" s="418" t="n">
        <f aca="false">E12*(1-$C$34)</f>
        <v>3937700.07655183</v>
      </c>
      <c r="F21" s="418" t="n">
        <f aca="false">F12*(1-$C$34)</f>
        <v>4016847.84809053</v>
      </c>
      <c r="G21" s="418" t="n">
        <f aca="false">G12*(1-$C$34)</f>
        <v>4094774.69634348</v>
      </c>
      <c r="H21" s="418" t="n">
        <f aca="false">H12*(1-$C$34)</f>
        <v>4171346.98316511</v>
      </c>
      <c r="I21" s="418" t="n">
        <f aca="false">I12*(1-$C$34)</f>
        <v>4246431.22886208</v>
      </c>
      <c r="J21" s="418" t="n">
        <f aca="false">J12*(1-$C$34)</f>
        <v>4320743.77536716</v>
      </c>
      <c r="K21" s="418" t="n">
        <f aca="false">K12*(1-$C$34)</f>
        <v>4393332.27079333</v>
      </c>
      <c r="L21" s="418" t="n">
        <f aca="false">L12*(1-$C$34)</f>
        <v>4465382.92003434</v>
      </c>
    </row>
    <row r="22" customFormat="false" ht="12.75" hidden="false" customHeight="false" outlineLevel="0" collapsed="false">
      <c r="B22" s="415" t="s">
        <v>886</v>
      </c>
      <c r="C22" s="419" t="n">
        <f aca="false">SUM(C19:C21)</f>
        <v>12115280.7041728</v>
      </c>
      <c r="D22" s="419" t="n">
        <f aca="false">SUM(D19:D21)</f>
        <v>12379393.8049066</v>
      </c>
      <c r="E22" s="419" t="n">
        <f aca="false">SUM(E19:E21)</f>
        <v>12638123.1175805</v>
      </c>
      <c r="F22" s="419" t="n">
        <f aca="false">SUM(F19:F21)</f>
        <v>12892149.3750785</v>
      </c>
      <c r="G22" s="419" t="n">
        <f aca="false">SUM(G19:G21)</f>
        <v>13142257.0563874</v>
      </c>
      <c r="H22" s="419" t="n">
        <f aca="false">SUM(H19:H21)</f>
        <v>13388017.2473721</v>
      </c>
      <c r="I22" s="419" t="n">
        <f aca="false">SUM(I19:I21)</f>
        <v>13629001.5424527</v>
      </c>
      <c r="J22" s="419" t="n">
        <f aca="false">SUM(J19:J21)</f>
        <v>13867509.0545007</v>
      </c>
      <c r="K22" s="419" t="n">
        <f aca="false">SUM(K19:K21)</f>
        <v>14100483.1922691</v>
      </c>
      <c r="L22" s="419" t="n">
        <f aca="false">SUM(L19:L21)</f>
        <v>14331731.1026167</v>
      </c>
    </row>
    <row r="23" customFormat="false" ht="12.75" hidden="false" customHeight="false" outlineLevel="0" collapsed="false">
      <c r="B23" s="415"/>
      <c r="D23" s="0" t="n">
        <f aca="false">C11*C20*(1+D6)</f>
        <v>8522305.99180006</v>
      </c>
    </row>
    <row r="24" customFormat="false" ht="12.75" hidden="false" customHeight="false" outlineLevel="0" collapsed="false">
      <c r="B24" s="415"/>
    </row>
    <row r="25" customFormat="false" ht="12.75" hidden="false" customHeight="false" outlineLevel="0" collapsed="false">
      <c r="B25" s="415"/>
      <c r="F25" s="420" t="s">
        <v>890</v>
      </c>
    </row>
    <row r="26" customFormat="false" ht="12.75" hidden="false" customHeight="false" outlineLevel="0" collapsed="false">
      <c r="A26" s="414" t="s">
        <v>882</v>
      </c>
      <c r="B26" s="415" t="s">
        <v>883</v>
      </c>
      <c r="C26" s="416" t="n">
        <f aca="false">C11*(1-$C$33)</f>
        <v>7940062.1158206</v>
      </c>
      <c r="D26" s="417" t="n">
        <f aca="false">D11*(1-$C$33)</f>
        <v>8113155.46994549</v>
      </c>
      <c r="E26" s="417" t="n">
        <f aca="false">E11*(1-$C$33)</f>
        <v>8282720.41926735</v>
      </c>
      <c r="F26" s="417" t="n">
        <f aca="false">F11*(1-$C$33)</f>
        <v>8449203.09969463</v>
      </c>
      <c r="G26" s="417" t="n">
        <f aca="false">G11*(1-$C$33)</f>
        <v>8613117.6398287</v>
      </c>
      <c r="H26" s="417" t="n">
        <f aca="false">H11*(1-$C$33)</f>
        <v>8774182.9396935</v>
      </c>
      <c r="I26" s="417" t="n">
        <f aca="false">I11*(1-$C$33)</f>
        <v>8932118.23260798</v>
      </c>
      <c r="J26" s="417" t="n">
        <f aca="false">J11*(1-$C$33)</f>
        <v>9088430.30167862</v>
      </c>
      <c r="K26" s="417" t="n">
        <f aca="false">K11*(1-$C$33)</f>
        <v>9241115.93074682</v>
      </c>
      <c r="L26" s="417" t="n">
        <f aca="false">L11*(1-$C$33)</f>
        <v>9392670.23201107</v>
      </c>
    </row>
    <row r="27" customFormat="false" ht="12.75" hidden="false" customHeight="false" outlineLevel="0" collapsed="false">
      <c r="A27" s="414"/>
      <c r="B27" s="415" t="s">
        <v>889</v>
      </c>
      <c r="C27" s="422" t="n">
        <f aca="false">C26/C11</f>
        <v>0.813</v>
      </c>
      <c r="D27" s="422" t="n">
        <f aca="false">D26/D11</f>
        <v>0.813</v>
      </c>
      <c r="E27" s="422" t="n">
        <f aca="false">E26/E11</f>
        <v>0.813</v>
      </c>
      <c r="F27" s="422" t="n">
        <f aca="false">F26/F11</f>
        <v>0.813</v>
      </c>
      <c r="G27" s="422" t="n">
        <f aca="false">G26/G11</f>
        <v>0.813</v>
      </c>
      <c r="H27" s="422" t="n">
        <f aca="false">H26/H11</f>
        <v>0.813</v>
      </c>
      <c r="I27" s="422" t="n">
        <f aca="false">I26/I11</f>
        <v>0.813</v>
      </c>
      <c r="J27" s="422" t="n">
        <f aca="false">J26/J11</f>
        <v>0.813</v>
      </c>
      <c r="K27" s="422" t="n">
        <f aca="false">K26/K11</f>
        <v>0.813</v>
      </c>
      <c r="L27" s="422" t="n">
        <f aca="false">L26/L11</f>
        <v>0.813</v>
      </c>
    </row>
    <row r="28" customFormat="false" ht="12.75" hidden="false" customHeight="false" outlineLevel="0" collapsed="false">
      <c r="A28" s="414" t="s">
        <v>884</v>
      </c>
      <c r="B28" s="415" t="s">
        <v>885</v>
      </c>
      <c r="C28" s="418" t="n">
        <f aca="false">C12*(1-$C$33)</f>
        <v>3593570.809461</v>
      </c>
      <c r="D28" s="418" t="n">
        <f aca="false">D12*(1-$C$33)</f>
        <v>3671910.65310725</v>
      </c>
      <c r="E28" s="418" t="n">
        <f aca="false">E12*(1-$C$33)</f>
        <v>3748653.58575719</v>
      </c>
      <c r="F28" s="418" t="n">
        <f aca="false">F12*(1-$C$33)</f>
        <v>3824001.52283091</v>
      </c>
      <c r="G28" s="418" t="n">
        <f aca="false">G12*(1-$C$33)</f>
        <v>3898187.15237383</v>
      </c>
      <c r="H28" s="418" t="n">
        <f aca="false">H12*(1-$C$33)</f>
        <v>3971083.25212322</v>
      </c>
      <c r="I28" s="418" t="n">
        <f aca="false">I12*(1-$C$33)</f>
        <v>4042562.75066144</v>
      </c>
      <c r="J28" s="418" t="n">
        <f aca="false">J12*(1-$C$33)</f>
        <v>4113307.59879801</v>
      </c>
      <c r="K28" s="418" t="n">
        <f aca="false">K12*(1-$C$33)</f>
        <v>4182411.16645782</v>
      </c>
      <c r="L28" s="418" t="n">
        <f aca="false">L12*(1-$C$33)</f>
        <v>4251002.70958773</v>
      </c>
    </row>
    <row r="29" customFormat="false" ht="12.75" hidden="false" customHeight="false" outlineLevel="0" collapsed="false">
      <c r="B29" s="415" t="s">
        <v>886</v>
      </c>
      <c r="C29" s="419" t="n">
        <f aca="false">SUM(C26:C28)</f>
        <v>11533633.7382816</v>
      </c>
      <c r="D29" s="419" t="n">
        <f aca="false">SUM(D26:D28)</f>
        <v>11785066.9360527</v>
      </c>
      <c r="E29" s="419" t="n">
        <f aca="false">SUM(E26:E28)</f>
        <v>12031374.8180245</v>
      </c>
      <c r="F29" s="419" t="n">
        <f aca="false">SUM(F26:F28)</f>
        <v>12273205.4355255</v>
      </c>
      <c r="G29" s="419" t="n">
        <f aca="false">SUM(G26:G28)</f>
        <v>12511305.6052025</v>
      </c>
      <c r="H29" s="419" t="n">
        <f aca="false">SUM(H26:H28)</f>
        <v>12745267.0048167</v>
      </c>
      <c r="I29" s="419" t="n">
        <f aca="false">SUM(I26:I28)</f>
        <v>12974681.7962694</v>
      </c>
      <c r="J29" s="419" t="n">
        <f aca="false">SUM(J26:J28)</f>
        <v>13201738.7134766</v>
      </c>
      <c r="K29" s="419" t="n">
        <f aca="false">SUM(K26:K28)</f>
        <v>13423527.9102046</v>
      </c>
      <c r="L29" s="419" t="n">
        <f aca="false">SUM(L26:L28)</f>
        <v>13643673.7545988</v>
      </c>
    </row>
    <row r="31" customFormat="false" ht="12.75" hidden="false" customHeight="false" outlineLevel="0" collapsed="false">
      <c r="A31" s="423" t="s">
        <v>891</v>
      </c>
      <c r="C31" s="424"/>
      <c r="D31" s="424"/>
      <c r="E31" s="424"/>
      <c r="F31" s="424"/>
      <c r="G31" s="424"/>
      <c r="H31" s="424"/>
      <c r="I31" s="424"/>
      <c r="J31" s="424"/>
      <c r="K31" s="424"/>
      <c r="L31" s="424"/>
    </row>
    <row r="32" customFormat="false" ht="13.5" hidden="false" customHeight="false" outlineLevel="0" collapsed="false">
      <c r="B32" s="411" t="s">
        <v>892</v>
      </c>
    </row>
    <row r="33" customFormat="false" ht="12.75" hidden="false" customHeight="false" outlineLevel="0" collapsed="false">
      <c r="B33" s="414" t="s">
        <v>890</v>
      </c>
      <c r="C33" s="425" t="n">
        <v>0.187</v>
      </c>
      <c r="D33" s="426"/>
      <c r="E33" s="427" t="s">
        <v>884</v>
      </c>
      <c r="F33" s="427" t="s">
        <v>893</v>
      </c>
      <c r="G33" s="428" t="s">
        <v>798</v>
      </c>
      <c r="H33" s="424"/>
      <c r="I33" s="424"/>
      <c r="J33" s="424"/>
      <c r="K33" s="424"/>
      <c r="L33" s="424"/>
    </row>
    <row r="34" customFormat="false" ht="12.75" hidden="false" customHeight="false" outlineLevel="0" collapsed="false">
      <c r="B34" s="414" t="s">
        <v>888</v>
      </c>
      <c r="C34" s="429" t="n">
        <v>0.146</v>
      </c>
      <c r="D34" s="430" t="s">
        <v>883</v>
      </c>
      <c r="E34" s="431" t="n">
        <v>15957946</v>
      </c>
      <c r="F34" s="432" t="n">
        <v>9520739</v>
      </c>
      <c r="G34" s="433" t="n">
        <v>25478685</v>
      </c>
    </row>
    <row r="35" customFormat="false" ht="12.75" hidden="false" customHeight="false" outlineLevel="0" collapsed="false">
      <c r="D35" s="430" t="s">
        <v>885</v>
      </c>
      <c r="E35" s="434" t="n">
        <v>4512196</v>
      </c>
      <c r="F35" s="434" t="n">
        <v>4308965</v>
      </c>
      <c r="G35" s="435" t="n">
        <v>8821161</v>
      </c>
    </row>
    <row r="36" customFormat="false" ht="13.5" hidden="false" customHeight="false" outlineLevel="0" collapsed="false">
      <c r="D36" s="436" t="s">
        <v>798</v>
      </c>
      <c r="E36" s="437" t="n">
        <v>20470142</v>
      </c>
      <c r="F36" s="437" t="n">
        <v>13829704</v>
      </c>
      <c r="G36" s="438" t="n">
        <v>34299845</v>
      </c>
    </row>
    <row r="39" customFormat="false" ht="12.75" hidden="false" customHeight="false" outlineLevel="0" collapsed="false">
      <c r="A39" s="423" t="s">
        <v>894</v>
      </c>
    </row>
    <row r="40" customFormat="false" ht="13.5" hidden="false" customHeight="false" outlineLevel="0" collapsed="false"/>
    <row r="41" customFormat="false" ht="12.75" hidden="false" customHeight="false" outlineLevel="0" collapsed="false">
      <c r="B41" s="439" t="s">
        <v>892</v>
      </c>
      <c r="E41" s="426"/>
      <c r="F41" s="427" t="s">
        <v>884</v>
      </c>
      <c r="G41" s="427" t="s">
        <v>893</v>
      </c>
      <c r="H41" s="428" t="s">
        <v>798</v>
      </c>
    </row>
    <row r="42" customFormat="false" ht="12.75" hidden="false" customHeight="false" outlineLevel="0" collapsed="false">
      <c r="B42" s="0" t="s">
        <v>890</v>
      </c>
      <c r="C42" s="440" t="n">
        <v>0.102</v>
      </c>
      <c r="E42" s="430" t="s">
        <v>883</v>
      </c>
      <c r="F42" s="431" t="n">
        <v>15957946</v>
      </c>
      <c r="G42" s="431" t="n">
        <v>9520739</v>
      </c>
      <c r="H42" s="433" t="n">
        <v>25478685</v>
      </c>
    </row>
    <row r="43" customFormat="false" ht="12.75" hidden="false" customHeight="false" outlineLevel="0" collapsed="false">
      <c r="B43" s="0" t="s">
        <v>888</v>
      </c>
      <c r="C43" s="413" t="n">
        <v>0.074</v>
      </c>
      <c r="E43" s="430" t="s">
        <v>885</v>
      </c>
      <c r="F43" s="434" t="n">
        <v>4512196</v>
      </c>
      <c r="G43" s="434" t="n">
        <v>4308965</v>
      </c>
      <c r="H43" s="435" t="n">
        <v>8821161</v>
      </c>
    </row>
    <row r="44" customFormat="false" ht="13.5" hidden="false" customHeight="false" outlineLevel="0" collapsed="false">
      <c r="E44" s="436" t="s">
        <v>798</v>
      </c>
      <c r="F44" s="437" t="n">
        <v>20470142</v>
      </c>
      <c r="G44" s="437" t="n">
        <v>13829704</v>
      </c>
      <c r="H44" s="438" t="n">
        <v>34299845</v>
      </c>
    </row>
    <row r="73" customFormat="false" ht="12.75" hidden="false" customHeight="false" outlineLevel="0" collapsed="false">
      <c r="B73" s="441"/>
    </row>
    <row r="84" customFormat="false" ht="12.75" hidden="false" customHeight="false" outlineLevel="0" collapsed="false">
      <c r="B84" s="441"/>
    </row>
  </sheetData>
  <printOptions headings="false" gridLines="false" gridLinesSet="true" horizontalCentered="false" verticalCentered="false"/>
  <pageMargins left="0.179861111111111" right="0.170138888888889"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79"/>
  <sheetViews>
    <sheetView showFormulas="false" showGridLines="true" showRowColHeaders="true" showZeros="true" rightToLeft="false" tabSelected="false" showOutlineSymbols="true" defaultGridColor="true" view="normal" topLeftCell="A4" colorId="64" zoomScale="100" zoomScaleNormal="100" zoomScalePageLayoutView="100" workbookViewId="0">
      <selection pane="topLeft" activeCell="F24" activeCellId="0" sqref="F24"/>
    </sheetView>
  </sheetViews>
  <sheetFormatPr defaultColWidth="7.9921875" defaultRowHeight="12.75" customHeight="true" zeroHeight="false" outlineLevelRow="0" outlineLevelCol="0"/>
  <cols>
    <col collapsed="false" customWidth="true" hidden="false" outlineLevel="0" max="1" min="1" style="442" width="3.99"/>
    <col collapsed="false" customWidth="true" hidden="false" outlineLevel="0" max="2" min="2" style="442" width="47.99"/>
    <col collapsed="false" customWidth="true" hidden="false" outlineLevel="0" max="3" min="3" style="442" width="20.85"/>
    <col collapsed="false" customWidth="true" hidden="false" outlineLevel="0" max="4" min="4" style="442" width="18.41"/>
    <col collapsed="false" customWidth="true" hidden="false" outlineLevel="0" max="5" min="5" style="442" width="16.99"/>
    <col collapsed="false" customWidth="true" hidden="false" outlineLevel="0" max="6" min="6" style="442" width="15.99"/>
    <col collapsed="false" customWidth="true" hidden="false" outlineLevel="0" max="7" min="7" style="442" width="12.7"/>
    <col collapsed="false" customWidth="true" hidden="false" outlineLevel="0" max="8" min="8" style="442" width="12.85"/>
    <col collapsed="false" customWidth="true" hidden="false" outlineLevel="0" max="11" min="9" style="442" width="11.99"/>
    <col collapsed="false" customWidth="true" hidden="false" outlineLevel="0" max="13" min="12" style="442" width="12.99"/>
    <col collapsed="false" customWidth="true" hidden="false" outlineLevel="0" max="14" min="14" style="442" width="14.28"/>
    <col collapsed="false" customWidth="true" hidden="false" outlineLevel="0" max="15" min="15" style="442" width="12.28"/>
    <col collapsed="false" customWidth="false" hidden="false" outlineLevel="0" max="257" min="16" style="442" width="7.99"/>
  </cols>
  <sheetData>
    <row r="1" customFormat="false" ht="20.25" hidden="false" customHeight="false" outlineLevel="0" collapsed="false">
      <c r="A1" s="443" t="s">
        <v>895</v>
      </c>
      <c r="C1" s="444"/>
      <c r="D1" s="444"/>
      <c r="G1" s="444"/>
      <c r="H1" s="444"/>
      <c r="I1" s="444"/>
      <c r="J1" s="444"/>
      <c r="K1" s="444"/>
      <c r="L1" s="444"/>
      <c r="M1" s="444"/>
    </row>
    <row r="2" customFormat="false" ht="20.25" hidden="false" customHeight="false" outlineLevel="0" collapsed="false">
      <c r="A2" s="443"/>
      <c r="C2" s="444"/>
      <c r="D2" s="444"/>
      <c r="G2" s="444"/>
      <c r="H2" s="444"/>
      <c r="I2" s="444"/>
      <c r="J2" s="444"/>
      <c r="K2" s="444"/>
      <c r="L2" s="444"/>
      <c r="M2" s="444"/>
    </row>
    <row r="3" customFormat="false" ht="18.75" hidden="false" customHeight="false" outlineLevel="0" collapsed="false">
      <c r="A3" s="445" t="s">
        <v>797</v>
      </c>
      <c r="C3" s="444"/>
      <c r="D3" s="444"/>
      <c r="G3" s="444"/>
      <c r="H3" s="444"/>
      <c r="I3" s="444"/>
      <c r="J3" s="444"/>
      <c r="K3" s="444"/>
      <c r="L3" s="444"/>
      <c r="M3" s="444"/>
    </row>
    <row r="4" customFormat="false" ht="15" hidden="false" customHeight="true" outlineLevel="0" collapsed="false">
      <c r="A4" s="443"/>
      <c r="C4" s="444"/>
      <c r="D4" s="444"/>
      <c r="G4" s="444"/>
      <c r="H4" s="444"/>
      <c r="I4" s="444"/>
      <c r="J4" s="444"/>
      <c r="K4" s="444"/>
      <c r="L4" s="444"/>
      <c r="M4" s="444"/>
    </row>
    <row r="5" customFormat="false" ht="15" hidden="false" customHeight="true" outlineLevel="0" collapsed="false">
      <c r="A5" s="443"/>
      <c r="B5" s="444" t="s">
        <v>896</v>
      </c>
      <c r="C5" s="446" t="s">
        <v>44</v>
      </c>
      <c r="D5" s="444"/>
      <c r="G5" s="444"/>
      <c r="H5" s="444"/>
      <c r="I5" s="444"/>
      <c r="J5" s="444"/>
      <c r="K5" s="444"/>
      <c r="L5" s="444"/>
      <c r="M5" s="444"/>
    </row>
    <row r="6" customFormat="false" ht="16.5" hidden="false" customHeight="true" outlineLevel="0" collapsed="false">
      <c r="A6" s="443"/>
      <c r="B6" s="444" t="s">
        <v>897</v>
      </c>
      <c r="C6" s="446" t="s">
        <v>49</v>
      </c>
      <c r="D6" s="444"/>
      <c r="G6" s="444"/>
      <c r="H6" s="444"/>
      <c r="I6" s="444"/>
      <c r="J6" s="444"/>
      <c r="K6" s="444"/>
      <c r="L6" s="444"/>
      <c r="M6" s="444"/>
    </row>
    <row r="7" customFormat="false" ht="16.5" hidden="false" customHeight="true" outlineLevel="0" collapsed="false">
      <c r="A7" s="443"/>
      <c r="B7" s="442" t="s">
        <v>898</v>
      </c>
      <c r="C7" s="446" t="s">
        <v>44</v>
      </c>
      <c r="D7" s="444"/>
      <c r="G7" s="444"/>
      <c r="H7" s="444"/>
      <c r="I7" s="444"/>
      <c r="J7" s="444"/>
      <c r="K7" s="444"/>
      <c r="L7" s="444"/>
      <c r="M7" s="444"/>
    </row>
    <row r="8" customFormat="false" ht="16.5" hidden="false" customHeight="true" outlineLevel="0" collapsed="false">
      <c r="A8" s="443"/>
      <c r="B8" s="442" t="s">
        <v>899</v>
      </c>
      <c r="C8" s="393" t="n">
        <v>0.055</v>
      </c>
      <c r="D8" s="444"/>
      <c r="G8" s="444"/>
      <c r="H8" s="444"/>
      <c r="I8" s="444"/>
      <c r="J8" s="444"/>
      <c r="K8" s="444"/>
      <c r="L8" s="444"/>
      <c r="M8" s="444"/>
    </row>
    <row r="9" customFormat="false" ht="15.75" hidden="false" customHeight="true" outlineLevel="0" collapsed="false">
      <c r="A9" s="443"/>
      <c r="B9" s="442" t="s">
        <v>900</v>
      </c>
      <c r="C9" s="447" t="n">
        <v>0.04</v>
      </c>
      <c r="D9" s="444"/>
      <c r="G9" s="444"/>
      <c r="H9" s="444"/>
      <c r="I9" s="444"/>
      <c r="J9" s="444"/>
      <c r="K9" s="444"/>
      <c r="L9" s="444"/>
      <c r="M9" s="444"/>
    </row>
    <row r="10" customFormat="false" ht="15.75" hidden="false" customHeight="true" outlineLevel="0" collapsed="false">
      <c r="A10" s="443"/>
      <c r="B10" s="442" t="s">
        <v>901</v>
      </c>
      <c r="C10" s="392" t="s">
        <v>902</v>
      </c>
      <c r="D10" s="444"/>
      <c r="G10" s="444"/>
      <c r="H10" s="444"/>
      <c r="I10" s="444"/>
      <c r="J10" s="444"/>
      <c r="K10" s="444"/>
      <c r="L10" s="444"/>
      <c r="M10" s="444"/>
    </row>
    <row r="11" customFormat="false" ht="15.75" hidden="false" customHeight="true" outlineLevel="0" collapsed="false">
      <c r="A11" s="443"/>
      <c r="B11" s="442" t="s">
        <v>903</v>
      </c>
      <c r="C11" s="392" t="s">
        <v>44</v>
      </c>
      <c r="D11" s="444"/>
      <c r="G11" s="444"/>
      <c r="H11" s="444"/>
      <c r="I11" s="444"/>
      <c r="J11" s="444"/>
      <c r="K11" s="444"/>
      <c r="L11" s="444"/>
      <c r="M11" s="444"/>
    </row>
    <row r="12" customFormat="false" ht="15.75" hidden="false" customHeight="true" outlineLevel="0" collapsed="false">
      <c r="A12" s="443"/>
      <c r="B12" s="442" t="s">
        <v>904</v>
      </c>
      <c r="C12" s="392" t="s">
        <v>49</v>
      </c>
      <c r="D12" s="444"/>
      <c r="G12" s="444"/>
      <c r="H12" s="444"/>
      <c r="I12" s="444"/>
      <c r="J12" s="444"/>
      <c r="K12" s="444"/>
      <c r="L12" s="444"/>
      <c r="M12" s="444"/>
    </row>
    <row r="13" customFormat="false" ht="15.75" hidden="false" customHeight="true" outlineLevel="0" collapsed="false">
      <c r="A13" s="443"/>
      <c r="B13" s="444" t="s">
        <v>905</v>
      </c>
      <c r="C13" s="448" t="n">
        <v>0.0115</v>
      </c>
      <c r="D13" s="444"/>
      <c r="G13" s="444"/>
      <c r="H13" s="444"/>
      <c r="I13" s="444"/>
      <c r="J13" s="444"/>
      <c r="K13" s="444"/>
      <c r="L13" s="444"/>
      <c r="M13" s="444"/>
    </row>
    <row r="14" customFormat="false" ht="15.75" hidden="false" customHeight="true" outlineLevel="0" collapsed="false">
      <c r="A14" s="443"/>
      <c r="B14" s="444" t="s">
        <v>906</v>
      </c>
      <c r="C14" s="449" t="str">
        <f aca="false">IF('general info'!B46="y","n","y")</f>
        <v>n</v>
      </c>
      <c r="D14" s="444"/>
      <c r="G14" s="444"/>
      <c r="H14" s="444"/>
      <c r="I14" s="444"/>
      <c r="J14" s="444"/>
      <c r="K14" s="444"/>
      <c r="L14" s="444"/>
      <c r="M14" s="444"/>
    </row>
    <row r="15" customFormat="false" ht="15.75" hidden="false" customHeight="true" outlineLevel="0" collapsed="false">
      <c r="A15" s="443"/>
      <c r="C15" s="444"/>
      <c r="D15" s="444"/>
      <c r="G15" s="444"/>
      <c r="H15" s="444"/>
      <c r="I15" s="444"/>
      <c r="J15" s="444"/>
      <c r="K15" s="444"/>
      <c r="L15" s="444"/>
      <c r="M15" s="444"/>
    </row>
    <row r="16" customFormat="false" ht="18.75" hidden="false" customHeight="true" outlineLevel="0" collapsed="false">
      <c r="A16" s="445" t="s">
        <v>838</v>
      </c>
      <c r="C16" s="444"/>
      <c r="D16" s="444"/>
      <c r="G16" s="444"/>
      <c r="H16" s="444"/>
      <c r="I16" s="444"/>
      <c r="J16" s="444"/>
      <c r="K16" s="444"/>
      <c r="L16" s="444"/>
      <c r="M16" s="444"/>
    </row>
    <row r="17" customFormat="false" ht="14.25" hidden="false" customHeight="true" outlineLevel="0" collapsed="false">
      <c r="A17" s="445"/>
      <c r="C17" s="450" t="s">
        <v>840</v>
      </c>
      <c r="D17" s="450" t="s">
        <v>841</v>
      </c>
      <c r="E17" s="451" t="s">
        <v>907</v>
      </c>
      <c r="F17" s="450" t="s">
        <v>908</v>
      </c>
      <c r="I17" s="444"/>
      <c r="J17" s="444"/>
      <c r="K17" s="444"/>
      <c r="L17" s="444"/>
      <c r="M17" s="444"/>
    </row>
    <row r="18" customFormat="false" ht="13.5" hidden="false" customHeight="true" outlineLevel="0" collapsed="false">
      <c r="A18" s="443"/>
      <c r="B18" s="442" t="s">
        <v>909</v>
      </c>
      <c r="C18" s="452" t="n">
        <f aca="false">'commodity information'!D5*1000</f>
        <v>16777000</v>
      </c>
      <c r="D18" s="452" t="n">
        <f aca="false">'commodity information'!E5*1000</f>
        <v>23212000</v>
      </c>
      <c r="E18" s="452" t="n">
        <f aca="false">'commodity information'!$F$5*1000</f>
        <v>1954000</v>
      </c>
      <c r="F18" s="453" t="n">
        <f aca="false">SUM(C18:E18)</f>
        <v>41943000</v>
      </c>
      <c r="I18" s="444"/>
      <c r="J18" s="444"/>
      <c r="K18" s="444"/>
      <c r="L18" s="444"/>
      <c r="M18" s="444"/>
    </row>
    <row r="19" customFormat="false" ht="13.5" hidden="false" customHeight="true" outlineLevel="0" collapsed="false">
      <c r="A19" s="443"/>
      <c r="B19" s="442" t="s">
        <v>910</v>
      </c>
      <c r="C19" s="454" t="n">
        <f aca="false">'commodity information'!$C$13</f>
        <v>0.072</v>
      </c>
      <c r="D19" s="454" t="n">
        <f aca="false">'commodity information'!$C$13</f>
        <v>0.072</v>
      </c>
      <c r="E19" s="454" t="n">
        <f aca="false">'commodity information'!$C$13</f>
        <v>0.072</v>
      </c>
      <c r="F19" s="444"/>
      <c r="I19" s="444"/>
      <c r="J19" s="444"/>
      <c r="K19" s="444"/>
      <c r="L19" s="444"/>
      <c r="M19" s="444"/>
    </row>
    <row r="20" customFormat="false" ht="13.5" hidden="false" customHeight="true" outlineLevel="0" collapsed="false">
      <c r="A20" s="443"/>
      <c r="B20" s="442" t="s">
        <v>911</v>
      </c>
      <c r="C20" s="455" t="n">
        <f aca="false">C18/C19</f>
        <v>233013888.888889</v>
      </c>
      <c r="D20" s="455" t="n">
        <f aca="false">D18/D19</f>
        <v>322388888.888889</v>
      </c>
      <c r="E20" s="455" t="n">
        <f aca="false">E18/E19</f>
        <v>27138888.8888889</v>
      </c>
      <c r="F20" s="455" t="n">
        <f aca="false">SUM(C20:E20)</f>
        <v>582541666.666667</v>
      </c>
      <c r="G20" s="103" t="n">
        <v>0</v>
      </c>
      <c r="H20" s="103" t="n">
        <v>0</v>
      </c>
      <c r="I20" s="103" t="n">
        <v>0</v>
      </c>
      <c r="J20" s="103" t="n">
        <v>0</v>
      </c>
      <c r="K20" s="103" t="n">
        <v>0</v>
      </c>
      <c r="L20" s="103" t="n">
        <v>0</v>
      </c>
      <c r="M20" s="444"/>
    </row>
    <row r="21" customFormat="false" ht="13.5" hidden="false" customHeight="true" outlineLevel="0" collapsed="false">
      <c r="A21" s="443"/>
      <c r="C21" s="444"/>
      <c r="D21" s="444"/>
      <c r="E21" s="456"/>
      <c r="F21" s="444"/>
      <c r="I21" s="444"/>
      <c r="J21" s="444"/>
      <c r="K21" s="444"/>
      <c r="L21" s="444"/>
      <c r="M21" s="444"/>
    </row>
    <row r="22" customFormat="false" ht="13.5" hidden="false" customHeight="true" outlineLevel="0" collapsed="false">
      <c r="A22" s="443"/>
      <c r="B22" s="442" t="s">
        <v>912</v>
      </c>
      <c r="C22" s="452" t="n">
        <f aca="false">'commodity information'!D6*1000</f>
        <v>466000</v>
      </c>
      <c r="D22" s="452" t="n">
        <f aca="false">'commodity information'!$E$6*1000</f>
        <v>845000</v>
      </c>
      <c r="E22" s="452" t="n">
        <f aca="false">'commodity information'!F6*1000</f>
        <v>175000</v>
      </c>
      <c r="F22" s="453" t="n">
        <f aca="false">SUM(C22:E22)</f>
        <v>1486000</v>
      </c>
      <c r="I22" s="444"/>
      <c r="J22" s="444"/>
      <c r="K22" s="444"/>
      <c r="L22" s="444"/>
      <c r="M22" s="444"/>
    </row>
    <row r="23" customFormat="false" ht="13.5" hidden="false" customHeight="true" outlineLevel="0" collapsed="false">
      <c r="A23" s="443"/>
      <c r="B23" s="442" t="s">
        <v>913</v>
      </c>
      <c r="C23" s="457" t="n">
        <f aca="false">'commodity information'!$C$17</f>
        <v>5</v>
      </c>
      <c r="D23" s="457" t="n">
        <f aca="false">'commodity information'!$C$17</f>
        <v>5</v>
      </c>
      <c r="E23" s="458" t="n">
        <f aca="false">'commodity information'!$C$17</f>
        <v>5</v>
      </c>
      <c r="F23" s="444"/>
      <c r="I23" s="444"/>
      <c r="J23" s="444"/>
      <c r="K23" s="444"/>
      <c r="L23" s="444"/>
      <c r="M23" s="444"/>
    </row>
    <row r="24" customFormat="false" ht="13.5" hidden="false" customHeight="true" outlineLevel="0" collapsed="false">
      <c r="A24" s="443"/>
      <c r="B24" s="442" t="s">
        <v>914</v>
      </c>
      <c r="C24" s="455" t="n">
        <f aca="false">C22/C23</f>
        <v>93200</v>
      </c>
      <c r="D24" s="455" t="n">
        <f aca="false">D22/D23</f>
        <v>169000</v>
      </c>
      <c r="E24" s="455" t="n">
        <f aca="false">E22/E23</f>
        <v>35000</v>
      </c>
      <c r="F24" s="455" t="n">
        <f aca="false">SUM(C24:E24)</f>
        <v>297200</v>
      </c>
      <c r="I24" s="444"/>
      <c r="J24" s="444"/>
      <c r="K24" s="444"/>
      <c r="L24" s="444"/>
      <c r="M24" s="444"/>
    </row>
    <row r="25" customFormat="false" ht="13.5" hidden="false" customHeight="true" outlineLevel="0" collapsed="false">
      <c r="A25" s="443"/>
      <c r="C25" s="103"/>
      <c r="D25" s="103"/>
      <c r="E25" s="103"/>
      <c r="F25" s="103"/>
      <c r="H25" s="444"/>
      <c r="I25" s="444"/>
      <c r="J25" s="444"/>
      <c r="K25" s="444"/>
      <c r="L25" s="444"/>
      <c r="M25" s="444"/>
    </row>
    <row r="26" customFormat="false" ht="13.5" hidden="false" customHeight="true" outlineLevel="0" collapsed="false">
      <c r="A26" s="443"/>
      <c r="B26" s="442" t="s">
        <v>915</v>
      </c>
      <c r="C26" s="459" t="n">
        <f aca="false">'commodity information'!D7*1000</f>
        <v>748000</v>
      </c>
      <c r="D26" s="103" t="n">
        <f aca="false">IF(C7="y",0,'commodity information'!E7)</f>
        <v>0</v>
      </c>
      <c r="E26" s="103" t="n">
        <f aca="false">IF(C7="y",0,'commodity information'!F7)</f>
        <v>0</v>
      </c>
      <c r="F26" s="103" t="n">
        <f aca="false">SUM(C26:E26)</f>
        <v>748000</v>
      </c>
      <c r="H26" s="444"/>
      <c r="I26" s="444"/>
      <c r="J26" s="444"/>
      <c r="K26" s="444"/>
      <c r="L26" s="444"/>
      <c r="M26" s="444"/>
    </row>
    <row r="27" customFormat="false" ht="13.5" hidden="false" customHeight="true" outlineLevel="0" collapsed="false">
      <c r="A27" s="443"/>
      <c r="C27" s="103" t="s">
        <v>43</v>
      </c>
      <c r="D27" s="103"/>
      <c r="E27" s="103"/>
      <c r="F27" s="103"/>
      <c r="H27" s="444"/>
      <c r="I27" s="444"/>
      <c r="J27" s="444"/>
      <c r="K27" s="444"/>
      <c r="L27" s="444"/>
      <c r="M27" s="444"/>
    </row>
    <row r="28" customFormat="false" ht="13.5" hidden="false" customHeight="true" outlineLevel="0" collapsed="false">
      <c r="A28" s="443"/>
      <c r="B28" s="444" t="s">
        <v>916</v>
      </c>
      <c r="C28" s="460" t="n">
        <v>0.015</v>
      </c>
      <c r="D28" s="103"/>
      <c r="E28" s="103"/>
      <c r="F28" s="103"/>
      <c r="H28" s="444"/>
      <c r="I28" s="444"/>
      <c r="J28" s="444"/>
      <c r="K28" s="444"/>
      <c r="L28" s="444"/>
      <c r="M28" s="444"/>
    </row>
    <row r="29" customFormat="false" ht="13.5" hidden="false" customHeight="true" outlineLevel="0" collapsed="false">
      <c r="A29" s="443"/>
      <c r="B29" s="444" t="s">
        <v>917</v>
      </c>
      <c r="C29" s="461" t="n">
        <f aca="false">2150000</f>
        <v>2150000</v>
      </c>
      <c r="D29" s="103"/>
      <c r="E29" s="103"/>
      <c r="F29" s="103"/>
      <c r="H29" s="444"/>
      <c r="I29" s="444"/>
      <c r="J29" s="444"/>
      <c r="K29" s="444"/>
      <c r="L29" s="444"/>
      <c r="M29" s="444"/>
    </row>
    <row r="30" customFormat="false" ht="13.5" hidden="false" customHeight="true" outlineLevel="0" collapsed="false">
      <c r="A30" s="443"/>
      <c r="C30" s="444"/>
      <c r="D30" s="444"/>
      <c r="G30" s="444"/>
      <c r="H30" s="444"/>
      <c r="I30" s="444"/>
      <c r="J30" s="444"/>
      <c r="K30" s="444"/>
      <c r="L30" s="444"/>
      <c r="M30" s="444"/>
    </row>
    <row r="31" customFormat="false" ht="12.75" hidden="false" customHeight="false" outlineLevel="0" collapsed="false">
      <c r="E31" s="462" t="s">
        <v>918</v>
      </c>
      <c r="H31" s="444"/>
      <c r="I31" s="444"/>
      <c r="J31" s="444"/>
      <c r="K31" s="444"/>
      <c r="L31" s="444"/>
      <c r="M31" s="444"/>
    </row>
    <row r="32" customFormat="false" ht="15.75" hidden="false" customHeight="true" outlineLevel="0" collapsed="false">
      <c r="A32" s="445" t="s">
        <v>919</v>
      </c>
      <c r="C32" s="462" t="s">
        <v>920</v>
      </c>
      <c r="E32" s="462" t="s">
        <v>921</v>
      </c>
      <c r="H32" s="444"/>
      <c r="I32" s="444"/>
      <c r="J32" s="444"/>
      <c r="K32" s="444"/>
      <c r="L32" s="444"/>
      <c r="M32" s="444"/>
    </row>
    <row r="33" customFormat="false" ht="13.5" hidden="false" customHeight="true" outlineLevel="0" collapsed="false">
      <c r="A33" s="445"/>
      <c r="B33" s="444"/>
      <c r="C33" s="450" t="s">
        <v>922</v>
      </c>
      <c r="D33" s="450" t="s">
        <v>840</v>
      </c>
      <c r="E33" s="450" t="s">
        <v>923</v>
      </c>
      <c r="H33" s="444"/>
      <c r="I33" s="444"/>
      <c r="J33" s="444"/>
      <c r="K33" s="444"/>
      <c r="L33" s="444"/>
      <c r="M33" s="444"/>
    </row>
    <row r="34" customFormat="false" ht="12.75" hidden="false" customHeight="false" outlineLevel="0" collapsed="false">
      <c r="A34" s="444"/>
      <c r="B34" s="444" t="s">
        <v>924</v>
      </c>
      <c r="C34" s="103" t="n">
        <f aca="false">'general info'!B36</f>
        <v>95062438</v>
      </c>
      <c r="D34" s="103" t="n">
        <f aca="false">'general info'!C32+'general info'!C34</f>
        <v>18622539</v>
      </c>
      <c r="E34" s="103" t="n">
        <v>0</v>
      </c>
      <c r="H34" s="444"/>
      <c r="I34" s="444"/>
      <c r="J34" s="444"/>
      <c r="K34" s="444"/>
      <c r="L34" s="444"/>
      <c r="M34" s="444"/>
    </row>
    <row r="35" customFormat="false" ht="12.75" hidden="false" customHeight="false" outlineLevel="0" collapsed="false">
      <c r="A35" s="444"/>
      <c r="B35" s="444" t="s">
        <v>925</v>
      </c>
      <c r="C35" s="382" t="n">
        <f aca="false">C34/'general info'!$D$7</f>
        <v>0.612889887516894</v>
      </c>
      <c r="D35" s="382" t="n">
        <f aca="false">D34/'general info'!$D$7</f>
        <v>0.1200638872</v>
      </c>
      <c r="E35" s="382" t="n">
        <f aca="false">E34/'general info'!D7</f>
        <v>0</v>
      </c>
      <c r="H35" s="444"/>
      <c r="I35" s="444"/>
      <c r="J35" s="444"/>
      <c r="K35" s="444"/>
      <c r="L35" s="444"/>
      <c r="M35" s="444"/>
    </row>
    <row r="36" customFormat="false" ht="12.75" hidden="false" customHeight="false" outlineLevel="0" collapsed="false">
      <c r="A36" s="444"/>
      <c r="B36" s="444" t="s">
        <v>926</v>
      </c>
      <c r="C36" s="442" t="n">
        <v>0</v>
      </c>
      <c r="D36" s="103" t="n">
        <f aca="false">'general info'!B41</f>
        <v>10923010.6624</v>
      </c>
      <c r="E36" s="103" t="n">
        <f aca="false">'general info'!B42</f>
        <v>24722305.6598</v>
      </c>
      <c r="G36" s="444"/>
      <c r="H36" s="444"/>
      <c r="I36" s="444"/>
      <c r="J36" s="444"/>
      <c r="K36" s="444"/>
      <c r="L36" s="444"/>
      <c r="M36" s="444"/>
    </row>
    <row r="37" customFormat="false" ht="12.75" hidden="false" customHeight="false" outlineLevel="0" collapsed="false">
      <c r="A37" s="444"/>
      <c r="B37" s="444" t="s">
        <v>927</v>
      </c>
      <c r="C37" s="382" t="n">
        <f aca="false">C36/'general info'!$D$8</f>
        <v>0</v>
      </c>
      <c r="D37" s="382" t="n">
        <f aca="false">D36/'general info'!$D$8</f>
        <v>0.223829743630682</v>
      </c>
      <c r="E37" s="382" t="n">
        <f aca="false">E36/'general info'!D8</f>
        <v>0.506599096972459</v>
      </c>
      <c r="G37" s="444"/>
      <c r="H37" s="444"/>
      <c r="I37" s="444"/>
      <c r="J37" s="444"/>
      <c r="K37" s="444"/>
      <c r="L37" s="444"/>
      <c r="M37" s="444"/>
    </row>
    <row r="38" customFormat="false" ht="12.75" hidden="false" customHeight="false" outlineLevel="0" collapsed="false">
      <c r="A38" s="444"/>
      <c r="B38" s="463" t="s">
        <v>928</v>
      </c>
      <c r="C38" s="382"/>
      <c r="D38" s="382"/>
      <c r="E38" s="382"/>
      <c r="F38" s="382"/>
      <c r="G38" s="444"/>
      <c r="H38" s="444"/>
      <c r="I38" s="444"/>
      <c r="J38" s="444"/>
      <c r="K38" s="444"/>
      <c r="L38" s="444"/>
      <c r="M38" s="444"/>
    </row>
    <row r="39" customFormat="false" ht="12.75" hidden="false" customHeight="false" outlineLevel="0" collapsed="false">
      <c r="A39" s="444"/>
      <c r="B39" s="463"/>
      <c r="C39" s="382"/>
      <c r="D39" s="382"/>
      <c r="E39" s="382"/>
      <c r="F39" s="382"/>
      <c r="G39" s="444"/>
      <c r="H39" s="444"/>
      <c r="I39" s="444"/>
      <c r="J39" s="444"/>
      <c r="K39" s="444"/>
      <c r="L39" s="444"/>
      <c r="M39" s="444"/>
    </row>
    <row r="40" customFormat="false" ht="18.75" hidden="false" customHeight="false" outlineLevel="0" collapsed="false">
      <c r="A40" s="445" t="s">
        <v>929</v>
      </c>
      <c r="B40" s="463"/>
      <c r="C40" s="382"/>
      <c r="D40" s="382"/>
      <c r="E40" s="382"/>
      <c r="F40" s="382"/>
      <c r="G40" s="444"/>
      <c r="H40" s="444"/>
      <c r="I40" s="444"/>
      <c r="J40" s="444"/>
      <c r="K40" s="444"/>
      <c r="L40" s="444"/>
      <c r="M40" s="444"/>
    </row>
    <row r="41" customFormat="false" ht="12.75" hidden="false" customHeight="true" outlineLevel="0" collapsed="false">
      <c r="A41" s="445"/>
      <c r="B41" s="463"/>
      <c r="C41" s="464" t="s">
        <v>798</v>
      </c>
      <c r="D41" s="464" t="s">
        <v>930</v>
      </c>
      <c r="E41" s="464" t="s">
        <v>931</v>
      </c>
      <c r="F41" s="382"/>
      <c r="G41" s="444"/>
      <c r="H41" s="444"/>
      <c r="I41" s="444"/>
      <c r="J41" s="444"/>
      <c r="K41" s="444"/>
      <c r="L41" s="444"/>
      <c r="M41" s="444"/>
    </row>
    <row r="42" customFormat="false" ht="12.75" hidden="false" customHeight="true" outlineLevel="0" collapsed="false">
      <c r="A42" s="445"/>
      <c r="B42" s="444" t="s">
        <v>932</v>
      </c>
      <c r="C42" s="377" t="n">
        <f aca="false">IF('general info'!B46="y",'Total Baseline'!B42+'Total Baseline'!B43,'Total Baseline'!B19+'Total Baseline'!B20)</f>
        <v>5441</v>
      </c>
      <c r="D42" s="447" t="n">
        <v>1</v>
      </c>
      <c r="E42" s="452" t="n">
        <f aca="false">C42*D42</f>
        <v>5441</v>
      </c>
      <c r="F42" s="382"/>
      <c r="G42" s="444"/>
      <c r="H42" s="444"/>
      <c r="I42" s="444"/>
      <c r="J42" s="444"/>
      <c r="K42" s="444"/>
      <c r="L42" s="444"/>
      <c r="M42" s="444"/>
    </row>
    <row r="43" customFormat="false" ht="12.75" hidden="false" customHeight="true" outlineLevel="0" collapsed="false">
      <c r="A43" s="445"/>
      <c r="B43" s="444" t="s">
        <v>933</v>
      </c>
      <c r="C43" s="377" t="n">
        <f aca="false">IF('general info'!B46="y",'Total Baseline'!F48,'Total Baseline'!F25)</f>
        <v>5006.132356</v>
      </c>
      <c r="D43" s="402" t="n">
        <v>0.1</v>
      </c>
      <c r="E43" s="63" t="n">
        <f aca="false">C43*D43</f>
        <v>500.6132356</v>
      </c>
      <c r="F43" s="382"/>
      <c r="G43" s="444"/>
      <c r="H43" s="444"/>
      <c r="I43" s="444"/>
      <c r="J43" s="444"/>
      <c r="K43" s="444"/>
      <c r="L43" s="444"/>
      <c r="M43" s="444"/>
    </row>
    <row r="44" customFormat="false" ht="12.75" hidden="false" customHeight="true" outlineLevel="0" collapsed="false">
      <c r="A44" s="445"/>
      <c r="B44" s="444" t="s">
        <v>934</v>
      </c>
      <c r="C44" s="377" t="n">
        <f aca="false">IF('general info'!B46="y",'Total Baseline'!F50,'Total Baseline'!F27)</f>
        <v>3798.248</v>
      </c>
      <c r="D44" s="447" t="n">
        <v>1</v>
      </c>
      <c r="E44" s="452" t="n">
        <f aca="false">C44*D44</f>
        <v>3798.248</v>
      </c>
      <c r="F44" s="103"/>
      <c r="G44" s="444"/>
      <c r="H44" s="444"/>
      <c r="I44" s="444"/>
      <c r="J44" s="444"/>
      <c r="K44" s="444"/>
      <c r="L44" s="444"/>
      <c r="M44" s="444"/>
    </row>
    <row r="45" customFormat="false" ht="12.75" hidden="false" customHeight="true" outlineLevel="0" collapsed="false">
      <c r="A45" s="445"/>
      <c r="B45" s="465" t="s">
        <v>935</v>
      </c>
      <c r="C45" s="378"/>
      <c r="D45" s="402" t="n">
        <v>1</v>
      </c>
      <c r="E45" s="63" t="n">
        <f aca="false">C45*D45</f>
        <v>0</v>
      </c>
      <c r="F45" s="382"/>
      <c r="G45" s="444"/>
      <c r="H45" s="444"/>
      <c r="I45" s="444"/>
      <c r="J45" s="444"/>
      <c r="K45" s="444"/>
      <c r="L45" s="444"/>
      <c r="M45" s="444"/>
    </row>
    <row r="46" customFormat="false" ht="12.75" hidden="false" customHeight="true" outlineLevel="0" collapsed="false">
      <c r="A46" s="445"/>
      <c r="B46" s="465" t="s">
        <v>936</v>
      </c>
      <c r="C46" s="466" t="n">
        <v>250000</v>
      </c>
      <c r="D46" s="467" t="n">
        <v>1</v>
      </c>
      <c r="E46" s="452" t="n">
        <f aca="false">C46*D46</f>
        <v>250000</v>
      </c>
      <c r="F46" s="382"/>
      <c r="G46" s="444"/>
      <c r="H46" s="444"/>
      <c r="I46" s="444"/>
      <c r="J46" s="444"/>
      <c r="K46" s="444"/>
      <c r="L46" s="444"/>
      <c r="M46" s="444"/>
    </row>
    <row r="47" customFormat="false" ht="12.75" hidden="false" customHeight="true" outlineLevel="0" collapsed="false">
      <c r="A47" s="445"/>
      <c r="B47" s="444" t="s">
        <v>937</v>
      </c>
      <c r="C47" s="63" t="n">
        <f aca="false">SUM(C42:C45)</f>
        <v>14245.380356</v>
      </c>
      <c r="D47" s="382"/>
      <c r="E47" s="63" t="n">
        <f aca="false">SUM(E42:E46)</f>
        <v>259739.8612356</v>
      </c>
      <c r="F47" s="382"/>
      <c r="G47" s="444"/>
      <c r="H47" s="444"/>
      <c r="I47" s="444"/>
      <c r="J47" s="444"/>
      <c r="K47" s="444"/>
      <c r="L47" s="444"/>
      <c r="M47" s="444"/>
    </row>
    <row r="48" customFormat="false" ht="12.75" hidden="false" customHeight="true" outlineLevel="0" collapsed="false">
      <c r="A48" s="445"/>
      <c r="B48" s="463" t="s">
        <v>938</v>
      </c>
      <c r="C48" s="63"/>
      <c r="D48" s="382"/>
      <c r="E48" s="63"/>
      <c r="F48" s="382"/>
      <c r="G48" s="444"/>
      <c r="H48" s="444"/>
      <c r="I48" s="444"/>
      <c r="J48" s="444"/>
      <c r="K48" s="444"/>
      <c r="L48" s="444"/>
      <c r="M48" s="444"/>
    </row>
    <row r="49" customFormat="false" ht="12.75" hidden="false" customHeight="true" outlineLevel="0" collapsed="false">
      <c r="A49" s="445"/>
      <c r="C49" s="63"/>
      <c r="D49" s="382"/>
      <c r="E49" s="63"/>
      <c r="F49" s="382"/>
      <c r="G49" s="444"/>
      <c r="H49" s="444"/>
      <c r="I49" s="444"/>
      <c r="J49" s="444"/>
      <c r="K49" s="444"/>
      <c r="L49" s="444"/>
      <c r="M49" s="444"/>
    </row>
    <row r="50" customFormat="false" ht="12.75" hidden="false" customHeight="false" outlineLevel="0" collapsed="false">
      <c r="A50" s="444"/>
    </row>
    <row r="51" customFormat="false" ht="18.75" hidden="false" customHeight="false" outlineLevel="0" collapsed="false">
      <c r="A51" s="445" t="s">
        <v>939</v>
      </c>
      <c r="B51" s="444"/>
      <c r="C51" s="391"/>
      <c r="D51" s="444"/>
      <c r="E51" s="444"/>
      <c r="F51" s="444"/>
      <c r="G51" s="444"/>
      <c r="H51" s="444"/>
      <c r="I51" s="444"/>
      <c r="J51" s="444"/>
      <c r="K51" s="444"/>
      <c r="L51" s="444"/>
      <c r="M51" s="444"/>
    </row>
    <row r="52" customFormat="false" ht="12.75" hidden="false" customHeight="false" outlineLevel="0" collapsed="false">
      <c r="A52" s="468"/>
      <c r="B52" s="444"/>
      <c r="C52" s="391"/>
      <c r="D52" s="444"/>
      <c r="E52" s="444"/>
      <c r="H52" s="444"/>
      <c r="I52" s="444"/>
      <c r="J52" s="444"/>
      <c r="K52" s="444"/>
      <c r="L52" s="444"/>
      <c r="M52" s="444"/>
    </row>
    <row r="53" customFormat="false" ht="23.25" hidden="false" customHeight="true" outlineLevel="0" collapsed="false">
      <c r="A53" s="468"/>
      <c r="B53" s="469" t="s">
        <v>940</v>
      </c>
      <c r="C53" s="470" t="s">
        <v>840</v>
      </c>
      <c r="D53" s="471" t="s">
        <v>841</v>
      </c>
      <c r="E53" s="471" t="s">
        <v>907</v>
      </c>
      <c r="F53" s="471" t="s">
        <v>782</v>
      </c>
      <c r="G53" s="472" t="s">
        <v>941</v>
      </c>
      <c r="H53" s="468"/>
      <c r="I53" s="468"/>
      <c r="J53" s="473"/>
      <c r="K53" s="473"/>
      <c r="L53" s="468"/>
      <c r="M53" s="468"/>
      <c r="N53" s="468"/>
      <c r="O53" s="468"/>
      <c r="P53" s="468"/>
      <c r="Q53" s="468"/>
      <c r="R53" s="468"/>
      <c r="S53" s="468"/>
      <c r="T53" s="468"/>
      <c r="U53" s="468"/>
      <c r="V53" s="468"/>
      <c r="W53" s="468"/>
      <c r="X53" s="468"/>
      <c r="Y53" s="468"/>
      <c r="Z53" s="468"/>
      <c r="AA53" s="468"/>
      <c r="AB53" s="468"/>
      <c r="AC53" s="468"/>
      <c r="AD53" s="468"/>
      <c r="AE53" s="468"/>
      <c r="AF53" s="468"/>
      <c r="AG53" s="468"/>
      <c r="AH53" s="468"/>
      <c r="AI53" s="468"/>
      <c r="AJ53" s="468"/>
      <c r="AK53" s="468"/>
      <c r="AL53" s="468"/>
      <c r="AM53" s="468"/>
      <c r="AN53" s="468"/>
      <c r="AO53" s="468"/>
      <c r="AP53" s="468"/>
      <c r="AQ53" s="468"/>
      <c r="AR53" s="468"/>
      <c r="AS53" s="468"/>
      <c r="AT53" s="468"/>
      <c r="AU53" s="468"/>
      <c r="AV53" s="468"/>
      <c r="AW53" s="468"/>
      <c r="AX53" s="468"/>
      <c r="AY53" s="468"/>
      <c r="AZ53" s="468"/>
      <c r="BA53" s="468"/>
      <c r="BB53" s="468"/>
      <c r="BC53" s="468"/>
      <c r="BD53" s="468"/>
      <c r="BE53" s="468"/>
      <c r="BF53" s="468"/>
      <c r="BG53" s="468"/>
      <c r="BH53" s="468"/>
      <c r="BI53" s="468"/>
      <c r="BJ53" s="468"/>
      <c r="BK53" s="468"/>
      <c r="BL53" s="468"/>
      <c r="BM53" s="468"/>
      <c r="BN53" s="468"/>
      <c r="BO53" s="468"/>
      <c r="BP53" s="468"/>
      <c r="BQ53" s="468"/>
      <c r="BR53" s="468"/>
      <c r="BS53" s="468"/>
      <c r="BT53" s="468"/>
      <c r="BU53" s="468"/>
      <c r="BV53" s="468"/>
      <c r="BW53" s="468"/>
      <c r="BX53" s="468"/>
      <c r="BY53" s="468"/>
      <c r="BZ53" s="468"/>
      <c r="CA53" s="468"/>
      <c r="CB53" s="468"/>
      <c r="CC53" s="468"/>
      <c r="CD53" s="468"/>
      <c r="CE53" s="468"/>
      <c r="CF53" s="468"/>
      <c r="CG53" s="468"/>
      <c r="CH53" s="468"/>
      <c r="CI53" s="468"/>
      <c r="CJ53" s="468"/>
      <c r="CK53" s="468"/>
      <c r="CL53" s="468"/>
      <c r="CM53" s="468"/>
      <c r="CN53" s="468"/>
      <c r="CO53" s="468"/>
      <c r="CP53" s="468"/>
      <c r="CQ53" s="468"/>
      <c r="CR53" s="468"/>
      <c r="CS53" s="468"/>
      <c r="CT53" s="468"/>
      <c r="CU53" s="468"/>
      <c r="CV53" s="468"/>
      <c r="CW53" s="468"/>
      <c r="CX53" s="468"/>
      <c r="CY53" s="468"/>
      <c r="CZ53" s="468"/>
      <c r="DA53" s="468"/>
      <c r="DB53" s="468"/>
      <c r="DC53" s="468"/>
      <c r="DD53" s="468"/>
      <c r="DE53" s="468"/>
      <c r="DF53" s="468"/>
      <c r="DG53" s="468"/>
      <c r="DH53" s="468"/>
      <c r="DI53" s="468"/>
      <c r="DJ53" s="468"/>
      <c r="DK53" s="468"/>
      <c r="DL53" s="468"/>
      <c r="DM53" s="468"/>
      <c r="DN53" s="468"/>
      <c r="DO53" s="468"/>
      <c r="DP53" s="468"/>
      <c r="DQ53" s="468"/>
      <c r="DR53" s="468"/>
      <c r="DS53" s="468"/>
      <c r="DT53" s="468"/>
      <c r="DU53" s="468"/>
      <c r="DV53" s="468"/>
      <c r="DW53" s="468"/>
      <c r="DX53" s="468"/>
      <c r="DY53" s="468"/>
      <c r="DZ53" s="468"/>
      <c r="EA53" s="468"/>
      <c r="EB53" s="468"/>
      <c r="EC53" s="468"/>
      <c r="ED53" s="468"/>
      <c r="EE53" s="468"/>
      <c r="EF53" s="468"/>
      <c r="EG53" s="468"/>
      <c r="EH53" s="468"/>
      <c r="EI53" s="468"/>
      <c r="EJ53" s="468"/>
      <c r="EK53" s="468"/>
      <c r="EL53" s="468"/>
      <c r="EM53" s="468"/>
      <c r="EN53" s="468"/>
      <c r="EO53" s="468"/>
      <c r="EP53" s="468"/>
      <c r="EQ53" s="468"/>
      <c r="ER53" s="468"/>
      <c r="ES53" s="468"/>
      <c r="ET53" s="468"/>
      <c r="EU53" s="468"/>
      <c r="EV53" s="468"/>
      <c r="EW53" s="468"/>
      <c r="EX53" s="468"/>
      <c r="EY53" s="468"/>
      <c r="EZ53" s="468"/>
      <c r="FA53" s="468"/>
      <c r="FB53" s="468"/>
      <c r="FC53" s="468"/>
      <c r="FD53" s="468"/>
      <c r="FE53" s="468"/>
      <c r="FF53" s="468"/>
      <c r="FG53" s="468"/>
      <c r="FH53" s="468"/>
      <c r="FI53" s="468"/>
      <c r="FJ53" s="468"/>
      <c r="FK53" s="468"/>
      <c r="FL53" s="468"/>
      <c r="FM53" s="468"/>
      <c r="FN53" s="468"/>
      <c r="FO53" s="468"/>
      <c r="FP53" s="468"/>
      <c r="FQ53" s="468"/>
      <c r="FR53" s="468"/>
      <c r="FS53" s="468"/>
      <c r="FT53" s="468"/>
      <c r="FU53" s="468"/>
      <c r="FV53" s="468"/>
      <c r="FW53" s="468"/>
      <c r="FX53" s="468"/>
      <c r="FY53" s="468"/>
      <c r="FZ53" s="468"/>
      <c r="GA53" s="468"/>
      <c r="GB53" s="468"/>
      <c r="GC53" s="468"/>
      <c r="GD53" s="468"/>
      <c r="GE53" s="468"/>
      <c r="GF53" s="468"/>
      <c r="GG53" s="468"/>
      <c r="GH53" s="468"/>
      <c r="GI53" s="468"/>
      <c r="GJ53" s="468"/>
      <c r="GK53" s="468"/>
      <c r="GL53" s="468"/>
      <c r="GM53" s="468"/>
      <c r="GN53" s="468"/>
      <c r="GO53" s="468"/>
      <c r="GP53" s="468"/>
      <c r="GQ53" s="468"/>
      <c r="GR53" s="468"/>
      <c r="GS53" s="468"/>
      <c r="GT53" s="468"/>
      <c r="GU53" s="468"/>
      <c r="GV53" s="468"/>
      <c r="GW53" s="468"/>
      <c r="GX53" s="468"/>
      <c r="GY53" s="468"/>
      <c r="GZ53" s="468"/>
      <c r="HA53" s="468"/>
      <c r="HB53" s="468"/>
      <c r="HC53" s="468"/>
      <c r="HD53" s="468"/>
      <c r="HE53" s="468"/>
      <c r="HF53" s="468"/>
      <c r="HG53" s="468"/>
      <c r="HH53" s="468"/>
      <c r="HI53" s="468"/>
      <c r="HJ53" s="468"/>
      <c r="HK53" s="468"/>
      <c r="HL53" s="468"/>
      <c r="HM53" s="468"/>
      <c r="HN53" s="468"/>
      <c r="HO53" s="468"/>
      <c r="HP53" s="468"/>
      <c r="HQ53" s="468"/>
      <c r="HR53" s="468"/>
      <c r="HS53" s="468"/>
      <c r="HT53" s="468"/>
      <c r="HU53" s="468"/>
      <c r="HV53" s="468"/>
      <c r="HW53" s="468"/>
      <c r="HX53" s="468"/>
      <c r="HY53" s="468"/>
      <c r="HZ53" s="468"/>
      <c r="IA53" s="468"/>
      <c r="IB53" s="468"/>
      <c r="IC53" s="468"/>
      <c r="ID53" s="468"/>
      <c r="IE53" s="468"/>
      <c r="IF53" s="468"/>
      <c r="IG53" s="468"/>
      <c r="IH53" s="468"/>
      <c r="II53" s="468"/>
      <c r="IJ53" s="468"/>
      <c r="IK53" s="468"/>
      <c r="IL53" s="468"/>
      <c r="IM53" s="468"/>
      <c r="IN53" s="468"/>
      <c r="IO53" s="468"/>
      <c r="IP53" s="468"/>
      <c r="IQ53" s="468"/>
      <c r="IR53" s="468"/>
      <c r="IS53" s="468"/>
      <c r="IT53" s="468"/>
      <c r="IU53" s="468"/>
      <c r="IV53" s="468"/>
      <c r="IW53" s="468"/>
    </row>
    <row r="54" customFormat="false" ht="12.75" hidden="false" customHeight="false" outlineLevel="0" collapsed="false">
      <c r="A54" s="444"/>
      <c r="B54" s="465" t="s">
        <v>942</v>
      </c>
      <c r="C54" s="377" t="n">
        <f aca="false">C18</f>
        <v>16777000</v>
      </c>
      <c r="D54" s="377" t="n">
        <f aca="false">D18</f>
        <v>23212000</v>
      </c>
      <c r="E54" s="377" t="n">
        <f aca="false">E18</f>
        <v>1954000</v>
      </c>
      <c r="F54" s="474" t="n">
        <f aca="false">SUM(C54:E54)</f>
        <v>41943000</v>
      </c>
      <c r="G54" s="382" t="n">
        <f aca="false">F54/$F$62</f>
        <v>0.714867877279003</v>
      </c>
      <c r="H54" s="475"/>
      <c r="I54" s="476"/>
      <c r="J54" s="475"/>
      <c r="K54" s="475"/>
      <c r="L54" s="444"/>
      <c r="M54" s="444"/>
    </row>
    <row r="55" customFormat="false" ht="12.75" hidden="false" customHeight="false" outlineLevel="0" collapsed="false">
      <c r="A55" s="444"/>
      <c r="B55" s="465" t="s">
        <v>943</v>
      </c>
      <c r="C55" s="377" t="n">
        <f aca="false">C22</f>
        <v>466000</v>
      </c>
      <c r="D55" s="377" t="n">
        <f aca="false">D22</f>
        <v>845000</v>
      </c>
      <c r="E55" s="377" t="n">
        <f aca="false">E22</f>
        <v>175000</v>
      </c>
      <c r="F55" s="474" t="n">
        <f aca="false">SUM(C55:E55)</f>
        <v>1486000</v>
      </c>
      <c r="G55" s="382" t="n">
        <f aca="false">F55/$F$62</f>
        <v>0.0253270787887514</v>
      </c>
      <c r="H55" s="475"/>
      <c r="I55" s="444"/>
      <c r="J55" s="444"/>
      <c r="K55" s="444"/>
      <c r="L55" s="444"/>
      <c r="M55" s="444"/>
    </row>
    <row r="56" customFormat="false" ht="12.75" hidden="false" customHeight="false" outlineLevel="0" collapsed="false">
      <c r="A56" s="444"/>
      <c r="B56" s="465" t="s">
        <v>944</v>
      </c>
      <c r="C56" s="377" t="n">
        <f aca="false">C26</f>
        <v>748000</v>
      </c>
      <c r="D56" s="378" t="n">
        <f aca="false">D26*1000</f>
        <v>0</v>
      </c>
      <c r="E56" s="378" t="n">
        <f aca="false">E26*1000</f>
        <v>0</v>
      </c>
      <c r="F56" s="474" t="n">
        <f aca="false">SUM(C56:E56)</f>
        <v>748000</v>
      </c>
      <c r="G56" s="382" t="n">
        <f aca="false">F56/$F$62</f>
        <v>0.0127487583674199</v>
      </c>
      <c r="H56" s="475"/>
      <c r="I56" s="444"/>
      <c r="J56" s="444"/>
      <c r="K56" s="444"/>
      <c r="L56" s="444"/>
      <c r="M56" s="444"/>
    </row>
    <row r="57" customFormat="false" ht="12.75" hidden="false" customHeight="false" outlineLevel="0" collapsed="false">
      <c r="A57" s="444"/>
      <c r="B57" s="465" t="s">
        <v>945</v>
      </c>
      <c r="C57" s="477" t="s">
        <v>946</v>
      </c>
      <c r="D57" s="477" t="s">
        <v>946</v>
      </c>
      <c r="E57" s="477" t="s">
        <v>946</v>
      </c>
      <c r="F57" s="474" t="n">
        <f aca="false">E42*1000</f>
        <v>5441000</v>
      </c>
      <c r="G57" s="382" t="n">
        <f aca="false">F57/$F$62</f>
        <v>0.0927352864667538</v>
      </c>
      <c r="H57" s="475"/>
      <c r="I57" s="444"/>
      <c r="J57" s="444"/>
      <c r="K57" s="444"/>
      <c r="L57" s="444"/>
      <c r="M57" s="444"/>
    </row>
    <row r="58" customFormat="false" ht="12.75" hidden="false" customHeight="false" outlineLevel="0" collapsed="false">
      <c r="A58" s="444"/>
      <c r="B58" s="465" t="s">
        <v>933</v>
      </c>
      <c r="C58" s="477" t="s">
        <v>946</v>
      </c>
      <c r="D58" s="477" t="s">
        <v>946</v>
      </c>
      <c r="E58" s="477" t="s">
        <v>946</v>
      </c>
      <c r="F58" s="478" t="n">
        <f aca="false">C43*1000</f>
        <v>5006132.356</v>
      </c>
      <c r="G58" s="382" t="n">
        <f aca="false">F58/$F$62</f>
        <v>0.0853234916603833</v>
      </c>
      <c r="H58" s="475"/>
      <c r="I58" s="444"/>
      <c r="J58" s="444"/>
      <c r="K58" s="444"/>
      <c r="L58" s="444"/>
      <c r="M58" s="444"/>
    </row>
    <row r="59" customFormat="false" ht="12.75" hidden="false" customHeight="false" outlineLevel="0" collapsed="false">
      <c r="A59" s="444"/>
      <c r="B59" s="465" t="s">
        <v>934</v>
      </c>
      <c r="C59" s="477" t="s">
        <v>946</v>
      </c>
      <c r="D59" s="477" t="s">
        <v>946</v>
      </c>
      <c r="E59" s="477" t="s">
        <v>946</v>
      </c>
      <c r="F59" s="479" t="n">
        <f aca="false">E44*1000</f>
        <v>3798248</v>
      </c>
      <c r="G59" s="382" t="n">
        <f aca="false">F59/$F$62</f>
        <v>0.064736558785476</v>
      </c>
      <c r="H59" s="475"/>
      <c r="I59" s="480"/>
      <c r="J59" s="475"/>
      <c r="K59" s="475"/>
      <c r="L59" s="444"/>
      <c r="M59" s="444"/>
    </row>
    <row r="60" customFormat="false" ht="12.75" hidden="false" customHeight="false" outlineLevel="0" collapsed="false">
      <c r="A60" s="444"/>
      <c r="B60" s="465" t="s">
        <v>935</v>
      </c>
      <c r="C60" s="477" t="s">
        <v>946</v>
      </c>
      <c r="D60" s="477" t="s">
        <v>946</v>
      </c>
      <c r="E60" s="477" t="s">
        <v>946</v>
      </c>
      <c r="F60" s="453" t="n">
        <f aca="false">IF(C5="y",E45,0)+IF(C6="y",C45-E45,0)</f>
        <v>0</v>
      </c>
      <c r="G60" s="382" t="n">
        <f aca="false">F60/$F$62</f>
        <v>0</v>
      </c>
      <c r="H60" s="475"/>
      <c r="I60" s="444"/>
      <c r="J60" s="444"/>
      <c r="K60" s="444"/>
      <c r="L60" s="444"/>
      <c r="M60" s="444"/>
    </row>
    <row r="61" customFormat="false" ht="12.75" hidden="false" customHeight="false" outlineLevel="0" collapsed="false">
      <c r="A61" s="444"/>
      <c r="B61" s="442" t="s">
        <v>936</v>
      </c>
      <c r="C61" s="477" t="s">
        <v>946</v>
      </c>
      <c r="D61" s="477" t="s">
        <v>946</v>
      </c>
      <c r="E61" s="477" t="s">
        <v>946</v>
      </c>
      <c r="F61" s="481" t="n">
        <f aca="false">E46</f>
        <v>250000</v>
      </c>
      <c r="G61" s="382" t="n">
        <f aca="false">F61/$F$62</f>
        <v>0.00426094865221255</v>
      </c>
      <c r="H61" s="475"/>
      <c r="I61" s="444"/>
      <c r="J61" s="444"/>
      <c r="K61" s="444"/>
      <c r="L61" s="444"/>
      <c r="M61" s="444"/>
    </row>
    <row r="62" customFormat="false" ht="12.75" hidden="false" customHeight="false" outlineLevel="0" collapsed="false">
      <c r="A62" s="444"/>
      <c r="B62" s="465" t="s">
        <v>947</v>
      </c>
      <c r="C62" s="482" t="s">
        <v>43</v>
      </c>
      <c r="D62" s="482" t="s">
        <v>43</v>
      </c>
      <c r="E62" s="482" t="s">
        <v>43</v>
      </c>
      <c r="F62" s="483" t="n">
        <f aca="false">SUM(F54:F59)+F61</f>
        <v>58672380.356</v>
      </c>
      <c r="H62" s="484"/>
      <c r="I62" s="485"/>
      <c r="J62" s="444"/>
      <c r="K62" s="444"/>
      <c r="L62" s="444"/>
      <c r="M62" s="444"/>
    </row>
    <row r="63" customFormat="false" ht="12.75" hidden="false" customHeight="false" outlineLevel="0" collapsed="false">
      <c r="A63" s="444"/>
      <c r="B63" s="465"/>
      <c r="C63" s="482"/>
      <c r="D63" s="482"/>
      <c r="E63" s="482"/>
      <c r="F63" s="486" t="n">
        <f aca="false">F62*1.006</f>
        <v>59024414.638136</v>
      </c>
      <c r="G63" s="444" t="s">
        <v>948</v>
      </c>
      <c r="H63" s="102"/>
      <c r="I63" s="453"/>
      <c r="J63" s="444"/>
      <c r="K63" s="444"/>
      <c r="L63" s="444"/>
      <c r="M63" s="444"/>
    </row>
    <row r="64" customFormat="false" ht="12.75" hidden="false" customHeight="false" outlineLevel="0" collapsed="false">
      <c r="A64" s="469"/>
      <c r="B64" s="465" t="s">
        <v>949</v>
      </c>
      <c r="C64" s="487" t="n">
        <f aca="false">C9</f>
        <v>0.04</v>
      </c>
      <c r="D64" s="382" t="s">
        <v>43</v>
      </c>
      <c r="E64" s="382" t="s">
        <v>950</v>
      </c>
      <c r="F64" s="402" t="n">
        <f aca="false">C8+C9</f>
        <v>0.095</v>
      </c>
      <c r="I64" s="276"/>
      <c r="J64" s="444"/>
      <c r="K64" s="444"/>
      <c r="L64" s="444"/>
      <c r="M64" s="444"/>
    </row>
    <row r="65" customFormat="false" ht="12.75" hidden="false" customHeight="false" outlineLevel="0" collapsed="false">
      <c r="A65" s="469"/>
      <c r="B65" s="465" t="s">
        <v>951</v>
      </c>
      <c r="C65" s="377" t="n">
        <f aca="false">F63*(1-$C$64)</f>
        <v>56663438.0526106</v>
      </c>
      <c r="D65" s="378" t="s">
        <v>43</v>
      </c>
      <c r="E65" s="378" t="s">
        <v>952</v>
      </c>
      <c r="F65" s="453" t="n">
        <f aca="false">F64*F62</f>
        <v>5573876.13382</v>
      </c>
      <c r="G65" s="488" t="n">
        <f aca="false">F57+F58</f>
        <v>10447132.356</v>
      </c>
      <c r="I65" s="475"/>
      <c r="J65" s="444"/>
      <c r="K65" s="444"/>
      <c r="L65" s="444"/>
      <c r="M65" s="444"/>
    </row>
    <row r="66" customFormat="false" ht="12.75" hidden="false" customHeight="false" outlineLevel="0" collapsed="false">
      <c r="A66" s="469"/>
      <c r="B66" s="465"/>
      <c r="C66" s="63"/>
      <c r="D66" s="63"/>
      <c r="E66" s="378" t="s">
        <v>953</v>
      </c>
      <c r="F66" s="453" t="n">
        <f aca="false">0.05*F54</f>
        <v>2097150</v>
      </c>
      <c r="H66" s="444"/>
      <c r="I66" s="444"/>
      <c r="J66" s="444"/>
      <c r="K66" s="444"/>
      <c r="L66" s="444"/>
      <c r="M66" s="444"/>
    </row>
    <row r="67" customFormat="false" ht="12.75" hidden="false" customHeight="false" outlineLevel="0" collapsed="false">
      <c r="A67" s="469"/>
      <c r="B67" s="489" t="s">
        <v>43</v>
      </c>
      <c r="C67" s="63"/>
      <c r="D67" s="63"/>
      <c r="E67" s="378" t="s">
        <v>954</v>
      </c>
      <c r="F67" s="102" t="n">
        <f aca="false">F66/F65</f>
        <v>0.376246251199475</v>
      </c>
      <c r="G67" s="453"/>
      <c r="H67" s="444"/>
      <c r="I67" s="444"/>
      <c r="J67" s="444"/>
      <c r="K67" s="444"/>
      <c r="L67" s="444"/>
      <c r="M67" s="444"/>
    </row>
    <row r="68" customFormat="false" ht="18.75" hidden="false" customHeight="false" outlineLevel="0" collapsed="false">
      <c r="A68" s="445" t="s">
        <v>955</v>
      </c>
      <c r="B68" s="465"/>
      <c r="C68" s="160"/>
      <c r="D68" s="160"/>
      <c r="E68" s="63"/>
      <c r="F68" s="63"/>
      <c r="H68" s="444"/>
      <c r="I68" s="444"/>
      <c r="J68" s="444"/>
      <c r="K68" s="444"/>
      <c r="L68" s="444"/>
      <c r="M68" s="444"/>
    </row>
    <row r="69" customFormat="false" ht="13.5" hidden="false" customHeight="true" outlineLevel="0" collapsed="false">
      <c r="A69" s="445"/>
      <c r="B69" s="465"/>
      <c r="C69" s="160"/>
      <c r="D69" s="160"/>
      <c r="E69" s="63"/>
      <c r="F69" s="63" t="n">
        <f aca="false">SUM(F54:F56)</f>
        <v>44177000</v>
      </c>
      <c r="H69" s="444"/>
      <c r="I69" s="444"/>
      <c r="J69" s="444"/>
      <c r="K69" s="444"/>
      <c r="L69" s="444"/>
      <c r="M69" s="444"/>
    </row>
    <row r="70" customFormat="false" ht="12.75" hidden="false" customHeight="false" outlineLevel="0" collapsed="false">
      <c r="A70" s="444"/>
      <c r="B70" s="444"/>
      <c r="C70" s="490"/>
      <c r="D70" s="160"/>
      <c r="E70" s="160"/>
      <c r="F70" s="421" t="n">
        <f aca="false">F54/$F$69</f>
        <v>0.949430699232632</v>
      </c>
      <c r="G70" s="160"/>
      <c r="H70" s="444"/>
      <c r="I70" s="444"/>
      <c r="J70" s="444"/>
      <c r="K70" s="444"/>
      <c r="L70" s="444"/>
      <c r="M70" s="444"/>
    </row>
    <row r="71" customFormat="false" ht="12.75" hidden="false" customHeight="false" outlineLevel="0" collapsed="false">
      <c r="B71" s="491" t="s">
        <v>956</v>
      </c>
      <c r="C71" s="450" t="s">
        <v>43</v>
      </c>
      <c r="D71" s="160"/>
      <c r="E71" s="160"/>
      <c r="F71" s="421" t="n">
        <f aca="false">F55/F69</f>
        <v>0.033637413133531</v>
      </c>
      <c r="G71" s="160"/>
      <c r="H71" s="444"/>
      <c r="I71" s="444"/>
      <c r="J71" s="444"/>
      <c r="K71" s="444"/>
      <c r="L71" s="444"/>
      <c r="M71" s="444"/>
    </row>
    <row r="72" customFormat="false" ht="12.75" hidden="false" customHeight="false" outlineLevel="0" collapsed="false">
      <c r="A72" s="444"/>
      <c r="B72" s="444" t="s">
        <v>957</v>
      </c>
      <c r="C72" s="492" t="n">
        <f aca="false">IF('general info'!B46="y",33178880,43106595)</f>
        <v>33178880</v>
      </c>
      <c r="D72" s="160"/>
      <c r="E72" s="417"/>
      <c r="F72" s="421" t="n">
        <f aca="false">F56/F69</f>
        <v>0.0169318876338366</v>
      </c>
      <c r="G72" s="160"/>
      <c r="H72" s="444"/>
      <c r="I72" s="444"/>
      <c r="J72" s="444"/>
      <c r="K72" s="444"/>
      <c r="L72" s="444"/>
      <c r="M72" s="444"/>
    </row>
    <row r="73" customFormat="false" ht="12.75" hidden="false" customHeight="false" outlineLevel="0" collapsed="false">
      <c r="A73" s="444"/>
      <c r="B73" s="444" t="s">
        <v>958</v>
      </c>
      <c r="C73" s="493" t="n">
        <f aca="false">IF('general info'!B46="y",IF(C10="offer",'RMPM-Whole'!$S$4,'RMPM-Whole'!$R$4),IF(C10="offer",3.72,3.65))</f>
        <v>3.86515849723436</v>
      </c>
      <c r="D73" s="160"/>
      <c r="E73" s="494"/>
      <c r="F73" s="160"/>
      <c r="G73" s="160"/>
      <c r="H73" s="444"/>
      <c r="I73" s="444"/>
      <c r="J73" s="444"/>
      <c r="K73" s="444"/>
      <c r="L73" s="444"/>
      <c r="M73" s="444"/>
    </row>
    <row r="74" customFormat="false" ht="12.75" hidden="false" customHeight="false" outlineLevel="0" collapsed="false">
      <c r="A74" s="444"/>
      <c r="B74" s="444" t="s">
        <v>959</v>
      </c>
      <c r="C74" s="495" t="n">
        <v>0.95</v>
      </c>
      <c r="D74" s="160"/>
      <c r="E74" s="160"/>
      <c r="F74" s="160"/>
      <c r="G74" s="160"/>
      <c r="H74" s="444"/>
      <c r="I74" s="444"/>
      <c r="J74" s="444"/>
      <c r="K74" s="444"/>
      <c r="L74" s="444"/>
      <c r="M74" s="444"/>
    </row>
    <row r="75" customFormat="false" ht="12.75" hidden="false" customHeight="false" outlineLevel="0" collapsed="false">
      <c r="A75" s="444"/>
      <c r="B75" s="444" t="s">
        <v>960</v>
      </c>
      <c r="C75" s="495" t="n">
        <v>0.05</v>
      </c>
      <c r="D75" s="160"/>
      <c r="E75" s="160"/>
      <c r="F75" s="160"/>
      <c r="G75" s="160"/>
      <c r="H75" s="444"/>
      <c r="I75" s="444"/>
      <c r="J75" s="444"/>
      <c r="K75" s="444"/>
      <c r="L75" s="444"/>
      <c r="M75" s="444"/>
    </row>
    <row r="76" customFormat="false" ht="12.75" hidden="false" customHeight="false" outlineLevel="0" collapsed="false">
      <c r="A76" s="444"/>
      <c r="B76" s="444" t="s">
        <v>961</v>
      </c>
      <c r="C76" s="406" t="n">
        <f aca="false">(C72/C73)*(C74/F54)</f>
        <v>0.194427874734759</v>
      </c>
      <c r="D76" s="417"/>
      <c r="E76" s="496"/>
      <c r="F76" s="496"/>
      <c r="G76" s="160"/>
      <c r="H76" s="444"/>
      <c r="I76" s="444"/>
      <c r="J76" s="444"/>
      <c r="K76" s="444"/>
      <c r="L76" s="444"/>
      <c r="M76" s="444"/>
    </row>
    <row r="77" customFormat="false" ht="12.75" hidden="false" customHeight="false" outlineLevel="0" collapsed="false">
      <c r="A77" s="444"/>
      <c r="B77" s="444" t="s">
        <v>962</v>
      </c>
      <c r="C77" s="406" t="n">
        <f aca="false">C72/C73*C75/F55</f>
        <v>0.288832200538358</v>
      </c>
      <c r="D77" s="417"/>
      <c r="E77" s="160"/>
      <c r="F77" s="160"/>
      <c r="G77" s="160"/>
      <c r="H77" s="444"/>
      <c r="I77" s="444"/>
      <c r="J77" s="444"/>
      <c r="K77" s="444"/>
      <c r="L77" s="444"/>
      <c r="M77" s="444"/>
    </row>
    <row r="78" customFormat="false" ht="12.75" hidden="false" customHeight="false" outlineLevel="0" collapsed="false">
      <c r="A78" s="444"/>
      <c r="B78" s="444"/>
      <c r="C78" s="382"/>
      <c r="D78" s="160"/>
      <c r="E78" s="160"/>
      <c r="F78" s="160"/>
      <c r="G78" s="160"/>
      <c r="H78" s="444"/>
      <c r="I78" s="444"/>
      <c r="J78" s="444"/>
      <c r="K78" s="444"/>
      <c r="L78" s="444"/>
      <c r="M78" s="444"/>
    </row>
    <row r="79" customFormat="false" ht="12.75" hidden="false" customHeight="false" outlineLevel="0" collapsed="false">
      <c r="A79" s="444"/>
      <c r="B79" s="444" t="s">
        <v>963</v>
      </c>
      <c r="C79" s="402" t="n">
        <f aca="false">10/12</f>
        <v>0.833333333333333</v>
      </c>
      <c r="D79" s="444" t="s">
        <v>964</v>
      </c>
      <c r="E79" s="444"/>
      <c r="F79" s="444"/>
      <c r="H79" s="444"/>
      <c r="I79" s="444"/>
      <c r="J79" s="444"/>
      <c r="K79" s="444"/>
      <c r="L79" s="444"/>
      <c r="M79" s="444"/>
    </row>
    <row r="80" customFormat="false" ht="12.75" hidden="false" customHeight="false" outlineLevel="0" collapsed="false">
      <c r="A80" s="444"/>
      <c r="B80" s="444"/>
      <c r="C80" s="402"/>
      <c r="D80" s="444"/>
      <c r="E80" s="444"/>
      <c r="F80" s="444"/>
      <c r="H80" s="444"/>
      <c r="I80" s="444"/>
      <c r="J80" s="444"/>
      <c r="K80" s="444"/>
      <c r="L80" s="444"/>
      <c r="M80" s="444"/>
    </row>
    <row r="81" customFormat="false" ht="12.75" hidden="false" customHeight="false" outlineLevel="0" collapsed="false">
      <c r="A81" s="444"/>
      <c r="B81" s="444" t="s">
        <v>965</v>
      </c>
      <c r="C81" s="382"/>
      <c r="D81" s="497" t="n">
        <v>0.0258</v>
      </c>
      <c r="E81" s="497" t="n">
        <v>0.0218</v>
      </c>
      <c r="F81" s="440" t="n">
        <v>0.0209</v>
      </c>
      <c r="G81" s="497" t="n">
        <v>0.0201</v>
      </c>
      <c r="H81" s="497" t="n">
        <v>0.0194</v>
      </c>
      <c r="I81" s="497" t="n">
        <v>0.0187</v>
      </c>
      <c r="J81" s="497" t="n">
        <v>0.018</v>
      </c>
      <c r="K81" s="497" t="n">
        <v>0.0175</v>
      </c>
      <c r="L81" s="497" t="n">
        <v>0.0168</v>
      </c>
      <c r="M81" s="497" t="n">
        <v>0.0164</v>
      </c>
    </row>
    <row r="82" customFormat="false" ht="12.75" hidden="false" customHeight="false" outlineLevel="0" collapsed="false">
      <c r="A82" s="444"/>
      <c r="B82" s="444"/>
      <c r="C82" s="382"/>
      <c r="D82" s="497"/>
      <c r="E82" s="497"/>
      <c r="F82" s="497"/>
      <c r="G82" s="497"/>
      <c r="H82" s="497"/>
      <c r="I82" s="497"/>
      <c r="J82" s="497"/>
      <c r="K82" s="497"/>
      <c r="L82" s="497"/>
      <c r="M82" s="497"/>
    </row>
    <row r="83" customFormat="false" ht="12.75" hidden="false" customHeight="false" outlineLevel="0" collapsed="false">
      <c r="B83" s="469" t="s">
        <v>966</v>
      </c>
      <c r="D83" s="498" t="n">
        <v>1</v>
      </c>
      <c r="E83" s="444" t="n">
        <v>2</v>
      </c>
      <c r="F83" s="442" t="n">
        <v>3</v>
      </c>
      <c r="G83" s="442" t="n">
        <v>4</v>
      </c>
      <c r="H83" s="444" t="n">
        <v>5</v>
      </c>
      <c r="I83" s="444" t="n">
        <v>6</v>
      </c>
      <c r="J83" s="444" t="n">
        <v>7</v>
      </c>
      <c r="K83" s="444" t="n">
        <v>8</v>
      </c>
      <c r="L83" s="444" t="n">
        <v>9</v>
      </c>
      <c r="M83" s="444" t="n">
        <v>10</v>
      </c>
    </row>
    <row r="84" customFormat="false" ht="12.75" hidden="false" customHeight="false" outlineLevel="0" collapsed="false">
      <c r="B84" s="499" t="s">
        <v>967</v>
      </c>
      <c r="D84" s="402" t="n">
        <f aca="false">IF(C10="offer",94%,0.93)</f>
        <v>0.93</v>
      </c>
      <c r="E84" s="402" t="n">
        <f aca="false">D84*(1.03)</f>
        <v>0.9579</v>
      </c>
      <c r="F84" s="399" t="n">
        <f aca="false">E84*(1.03)</f>
        <v>0.986637</v>
      </c>
      <c r="G84" s="402" t="n">
        <f aca="false">F84*(1.03)</f>
        <v>1.01623611</v>
      </c>
      <c r="H84" s="402" t="n">
        <f aca="false">G84*(1.03)</f>
        <v>1.0467231933</v>
      </c>
      <c r="I84" s="402" t="n">
        <f aca="false">H84*(1.03)</f>
        <v>1.078124889099</v>
      </c>
      <c r="J84" s="402" t="n">
        <f aca="false">I84*(1.03)</f>
        <v>1.11046863577197</v>
      </c>
      <c r="K84" s="402" t="n">
        <f aca="false">J84*(1.03)</f>
        <v>1.14378269484513</v>
      </c>
      <c r="L84" s="402" t="n">
        <f aca="false">K84*(1.03)</f>
        <v>1.17809617569048</v>
      </c>
      <c r="M84" s="402" t="n">
        <f aca="false">L84*(1.03)</f>
        <v>1.2134390609612</v>
      </c>
    </row>
    <row r="85" customFormat="false" ht="12.75" hidden="false" customHeight="false" outlineLevel="0" collapsed="false">
      <c r="B85" s="444" t="s">
        <v>968</v>
      </c>
      <c r="D85" s="399" t="n">
        <f aca="false">IF($C$10="offer",('EAM Curves'!C19/'EAM Curves'!$F$34)*(1+D81),('EAM Curves'!C26/'EAM Curves'!$F$34)*(1+D81))</f>
        <v>0.85549196532</v>
      </c>
      <c r="E85" s="447" t="n">
        <f aca="false">D85*(1+E81)</f>
        <v>0.874141690163976</v>
      </c>
      <c r="F85" s="399" t="n">
        <f aca="false">E85*(1+F81)</f>
        <v>0.892411251488403</v>
      </c>
      <c r="G85" s="402" t="n">
        <f aca="false">F85*(1+G81)</f>
        <v>0.91034871764332</v>
      </c>
      <c r="H85" s="402" t="n">
        <f aca="false">G85*(1+H81)</f>
        <v>0.928009482765601</v>
      </c>
      <c r="I85" s="402" t="n">
        <f aca="false">H85*(1+I81)</f>
        <v>0.945363260093317</v>
      </c>
      <c r="J85" s="402" t="n">
        <f aca="false">I85*(1+J81)</f>
        <v>0.962379798774997</v>
      </c>
      <c r="K85" s="402" t="n">
        <f aca="false">J85*(1+K81)</f>
        <v>0.97922144525356</v>
      </c>
      <c r="L85" s="402" t="n">
        <f aca="false">K85*(1+L81)</f>
        <v>0.995672365533819</v>
      </c>
      <c r="M85" s="402" t="n">
        <f aca="false">L85*(1+M81)</f>
        <v>1.01200139232857</v>
      </c>
    </row>
    <row r="86" customFormat="false" ht="12.75" hidden="false" customHeight="false" outlineLevel="0" collapsed="false">
      <c r="A86" s="444"/>
      <c r="B86" s="444" t="s">
        <v>969</v>
      </c>
      <c r="D86" s="399" t="n">
        <f aca="false">IF($C$10="offer",(100%-'EAM Curves'!$C$43)*(1+D81),(100%-'EAM Curves'!$C$42)*(1+D81))</f>
        <v>0.9211684</v>
      </c>
      <c r="E86" s="447" t="n">
        <f aca="false">D86*(1+E81)</f>
        <v>0.94124987112</v>
      </c>
      <c r="F86" s="399" t="n">
        <f aca="false">E86*(1+F81)</f>
        <v>0.960921993426408</v>
      </c>
      <c r="G86" s="402" t="n">
        <f aca="false">F86*(1+G81)</f>
        <v>0.980236525494279</v>
      </c>
      <c r="H86" s="402" t="n">
        <f aca="false">G86*(1+H81)</f>
        <v>0.999253114088868</v>
      </c>
      <c r="I86" s="402" t="n">
        <f aca="false">H86*(1+I81)</f>
        <v>1.01793914732233</v>
      </c>
      <c r="J86" s="402" t="n">
        <f aca="false">I86*(1+J81)</f>
        <v>1.03626205197413</v>
      </c>
      <c r="K86" s="402" t="n">
        <f aca="false">J86*(1+K81)</f>
        <v>1.05439663788368</v>
      </c>
      <c r="L86" s="402" t="n">
        <f aca="false">K86*(1+L81)</f>
        <v>1.07211050140012</v>
      </c>
      <c r="M86" s="402" t="n">
        <f aca="false">L86*(1+M81)</f>
        <v>1.08969311362309</v>
      </c>
      <c r="N86" s="500"/>
    </row>
    <row r="87" customFormat="false" ht="12.75" hidden="false" customHeight="false" outlineLevel="0" collapsed="false">
      <c r="A87" s="444"/>
      <c r="B87" s="444" t="s">
        <v>970</v>
      </c>
      <c r="D87" s="402" t="n">
        <v>1</v>
      </c>
      <c r="E87" s="402" t="n">
        <v>1</v>
      </c>
      <c r="F87" s="399" t="n">
        <v>1</v>
      </c>
      <c r="G87" s="402" t="n">
        <v>1</v>
      </c>
      <c r="H87" s="402" t="n">
        <v>1</v>
      </c>
      <c r="I87" s="402" t="n">
        <v>1</v>
      </c>
      <c r="J87" s="402" t="n">
        <v>1</v>
      </c>
      <c r="K87" s="402" t="n">
        <v>1</v>
      </c>
      <c r="L87" s="402" t="n">
        <v>1</v>
      </c>
      <c r="M87" s="402" t="n">
        <v>1</v>
      </c>
      <c r="N87" s="500"/>
    </row>
    <row r="88" customFormat="false" ht="12.75" hidden="false" customHeight="false" outlineLevel="0" collapsed="false">
      <c r="A88" s="444"/>
      <c r="B88" s="444"/>
      <c r="D88" s="402"/>
      <c r="E88" s="402"/>
      <c r="F88" s="402"/>
      <c r="G88" s="402"/>
      <c r="H88" s="402"/>
      <c r="I88" s="402"/>
      <c r="J88" s="402"/>
      <c r="K88" s="402"/>
      <c r="L88" s="402"/>
      <c r="M88" s="402"/>
      <c r="N88" s="500"/>
    </row>
    <row r="89" customFormat="false" ht="12.75" hidden="false" customHeight="false" outlineLevel="0" collapsed="false">
      <c r="A89" s="444"/>
      <c r="B89" s="469" t="s">
        <v>971</v>
      </c>
      <c r="D89" s="498" t="n">
        <v>1</v>
      </c>
      <c r="E89" s="444" t="n">
        <v>2</v>
      </c>
      <c r="F89" s="442" t="n">
        <v>3</v>
      </c>
      <c r="G89" s="442" t="n">
        <v>4</v>
      </c>
      <c r="H89" s="444" t="n">
        <v>5</v>
      </c>
      <c r="I89" s="444" t="n">
        <v>6</v>
      </c>
      <c r="J89" s="444" t="n">
        <v>7</v>
      </c>
      <c r="K89" s="444" t="n">
        <v>8</v>
      </c>
      <c r="L89" s="444" t="n">
        <v>9</v>
      </c>
      <c r="M89" s="444" t="n">
        <v>10</v>
      </c>
      <c r="N89" s="500"/>
    </row>
    <row r="90" customFormat="false" ht="12.75" hidden="false" customHeight="false" outlineLevel="0" collapsed="false">
      <c r="A90" s="444"/>
      <c r="B90" s="444" t="s">
        <v>972</v>
      </c>
      <c r="D90" s="485" t="n">
        <v>4000</v>
      </c>
      <c r="E90" s="485" t="n">
        <f aca="false">D90</f>
        <v>4000</v>
      </c>
      <c r="F90" s="485" t="n">
        <f aca="false">E90</f>
        <v>4000</v>
      </c>
      <c r="G90" s="485" t="n">
        <f aca="false">F90</f>
        <v>4000</v>
      </c>
      <c r="H90" s="485" t="n">
        <f aca="false">G90</f>
        <v>4000</v>
      </c>
      <c r="I90" s="485" t="n">
        <f aca="false">H90</f>
        <v>4000</v>
      </c>
      <c r="J90" s="485" t="n">
        <f aca="false">I90</f>
        <v>4000</v>
      </c>
      <c r="K90" s="485" t="n">
        <f aca="false">J90</f>
        <v>4000</v>
      </c>
      <c r="L90" s="485" t="n">
        <f aca="false">K90</f>
        <v>4000</v>
      </c>
      <c r="M90" s="485" t="n">
        <f aca="false">L90</f>
        <v>4000</v>
      </c>
      <c r="N90" s="500"/>
    </row>
    <row r="91" customFormat="false" ht="12.75" hidden="false" customHeight="false" outlineLevel="0" collapsed="false">
      <c r="A91" s="444"/>
      <c r="B91" s="444"/>
      <c r="D91" s="485"/>
      <c r="E91" s="485"/>
      <c r="F91" s="485"/>
      <c r="G91" s="485"/>
      <c r="H91" s="485"/>
      <c r="I91" s="485"/>
      <c r="J91" s="485"/>
      <c r="K91" s="485"/>
      <c r="L91" s="485"/>
      <c r="M91" s="485"/>
      <c r="N91" s="500"/>
    </row>
    <row r="92" customFormat="false" ht="12.75" hidden="false" customHeight="false" outlineLevel="0" collapsed="false">
      <c r="A92" s="444"/>
      <c r="B92" s="444" t="s">
        <v>973</v>
      </c>
      <c r="D92" s="386" t="n">
        <v>7.5</v>
      </c>
      <c r="E92" s="386" t="n">
        <f aca="false">D92*1.015</f>
        <v>7.6125</v>
      </c>
      <c r="F92" s="386" t="n">
        <f aca="false">E92*1.015</f>
        <v>7.7266875</v>
      </c>
      <c r="G92" s="386" t="n">
        <f aca="false">F92*1.015</f>
        <v>7.8425878125</v>
      </c>
      <c r="H92" s="386" t="n">
        <f aca="false">G92*1.015</f>
        <v>7.9602266296875</v>
      </c>
      <c r="I92" s="386" t="n">
        <f aca="false">H92*1.015</f>
        <v>8.07963002913281</v>
      </c>
      <c r="J92" s="386" t="n">
        <f aca="false">I92*1.015</f>
        <v>8.2008244795698</v>
      </c>
      <c r="K92" s="386" t="n">
        <f aca="false">J92*1.015</f>
        <v>8.32383684676335</v>
      </c>
      <c r="L92" s="386" t="n">
        <f aca="false">K92*1.015</f>
        <v>8.4486943994648</v>
      </c>
      <c r="M92" s="386" t="n">
        <f aca="false">L92*1.015</f>
        <v>8.57542481545677</v>
      </c>
      <c r="N92" s="500"/>
    </row>
    <row r="93" customFormat="false" ht="12.75" hidden="false" customHeight="false" outlineLevel="0" collapsed="false">
      <c r="A93" s="444"/>
      <c r="B93" s="444" t="s">
        <v>974</v>
      </c>
      <c r="D93" s="378" t="n">
        <f aca="false">D90*D92*12</f>
        <v>360000</v>
      </c>
      <c r="E93" s="378" t="n">
        <f aca="false">E90*E92*12</f>
        <v>365400</v>
      </c>
      <c r="F93" s="378" t="n">
        <f aca="false">F90*F92*12</f>
        <v>370881</v>
      </c>
      <c r="G93" s="378" t="n">
        <f aca="false">G90*G92*12</f>
        <v>376444.215</v>
      </c>
      <c r="H93" s="378" t="n">
        <f aca="false">H90*H92*12</f>
        <v>382090.878225</v>
      </c>
      <c r="I93" s="378" t="n">
        <f aca="false">I90*I92*12</f>
        <v>387822.241398375</v>
      </c>
      <c r="J93" s="378" t="n">
        <f aca="false">J90*J92*12</f>
        <v>393639.57501935</v>
      </c>
      <c r="K93" s="378" t="n">
        <f aca="false">K90*K92*12</f>
        <v>399544.168644641</v>
      </c>
      <c r="L93" s="378" t="n">
        <f aca="false">L90*L92*12</f>
        <v>405537.33117431</v>
      </c>
      <c r="M93" s="378" t="n">
        <f aca="false">M90*M92*12</f>
        <v>411620.391141925</v>
      </c>
      <c r="N93" s="500"/>
    </row>
    <row r="94" customFormat="false" ht="12.75" hidden="false" customHeight="false" outlineLevel="0" collapsed="false">
      <c r="A94" s="444"/>
      <c r="B94" s="444"/>
      <c r="D94" s="378"/>
      <c r="E94" s="378"/>
      <c r="F94" s="378"/>
      <c r="G94" s="378"/>
      <c r="H94" s="378"/>
      <c r="I94" s="378"/>
      <c r="J94" s="378"/>
      <c r="K94" s="378"/>
      <c r="L94" s="378"/>
      <c r="M94" s="378"/>
      <c r="N94" s="500"/>
    </row>
    <row r="95" customFormat="false" ht="12.75" hidden="false" customHeight="false" outlineLevel="0" collapsed="false">
      <c r="A95" s="444"/>
      <c r="B95" s="444" t="s">
        <v>975</v>
      </c>
      <c r="D95" s="386" t="n">
        <v>24</v>
      </c>
      <c r="E95" s="386" t="n">
        <v>24</v>
      </c>
      <c r="F95" s="386" t="n">
        <v>24</v>
      </c>
      <c r="G95" s="386" t="n">
        <v>24</v>
      </c>
      <c r="H95" s="386" t="n">
        <v>24</v>
      </c>
      <c r="I95" s="386" t="n">
        <v>24</v>
      </c>
      <c r="J95" s="386" t="n">
        <v>24</v>
      </c>
      <c r="K95" s="386" t="n">
        <v>24</v>
      </c>
      <c r="L95" s="386" t="n">
        <v>24</v>
      </c>
      <c r="M95" s="386" t="n">
        <v>24</v>
      </c>
      <c r="N95" s="500"/>
    </row>
    <row r="96" customFormat="false" ht="12.75" hidden="false" customHeight="false" outlineLevel="0" collapsed="false">
      <c r="A96" s="444"/>
      <c r="B96" s="444" t="s">
        <v>976</v>
      </c>
      <c r="D96" s="402" t="n">
        <v>0.1</v>
      </c>
      <c r="E96" s="402" t="n">
        <f aca="false">D96+0.1</f>
        <v>0.2</v>
      </c>
      <c r="F96" s="402" t="n">
        <f aca="false">E96+0.1</f>
        <v>0.3</v>
      </c>
      <c r="G96" s="402" t="n">
        <f aca="false">F96+0.1</f>
        <v>0.4</v>
      </c>
      <c r="H96" s="402" t="n">
        <f aca="false">G96+0.1</f>
        <v>0.5</v>
      </c>
      <c r="I96" s="402" t="n">
        <v>0.7</v>
      </c>
      <c r="J96" s="402" t="n">
        <v>0.8</v>
      </c>
      <c r="K96" s="402" t="n">
        <v>0.85</v>
      </c>
      <c r="L96" s="402" t="n">
        <v>0.87</v>
      </c>
      <c r="M96" s="402" t="n">
        <v>0.9</v>
      </c>
      <c r="N96" s="500"/>
    </row>
    <row r="97" customFormat="false" ht="12.75" hidden="false" customHeight="false" outlineLevel="0" collapsed="false">
      <c r="A97" s="444"/>
      <c r="B97" s="444" t="s">
        <v>977</v>
      </c>
      <c r="D97" s="63" t="n">
        <f aca="false">D90*D95*12*D96</f>
        <v>115200</v>
      </c>
      <c r="E97" s="63" t="n">
        <f aca="false">E90*E95*12*E96</f>
        <v>230400</v>
      </c>
      <c r="F97" s="63" t="n">
        <f aca="false">F90*F95*12*F96</f>
        <v>345600</v>
      </c>
      <c r="G97" s="63" t="n">
        <f aca="false">G90*G95*12*G96</f>
        <v>460800</v>
      </c>
      <c r="H97" s="63" t="n">
        <f aca="false">H90*H95*12*H96</f>
        <v>576000</v>
      </c>
      <c r="I97" s="63" t="n">
        <f aca="false">I90*I95*12*I96</f>
        <v>806400</v>
      </c>
      <c r="J97" s="63" t="n">
        <f aca="false">J90*J95*12*J96</f>
        <v>921600</v>
      </c>
      <c r="K97" s="63" t="n">
        <f aca="false">K90*K95*12*K96</f>
        <v>979200</v>
      </c>
      <c r="L97" s="63" t="n">
        <f aca="false">L90*L95*12*L96</f>
        <v>1002240</v>
      </c>
      <c r="M97" s="63" t="n">
        <f aca="false">M90*M95*12*M96</f>
        <v>1036800</v>
      </c>
      <c r="N97" s="500"/>
    </row>
    <row r="98" customFormat="false" ht="12.75" hidden="false" customHeight="false" outlineLevel="0" collapsed="false">
      <c r="A98" s="444"/>
      <c r="B98" s="444"/>
      <c r="D98" s="63"/>
      <c r="E98" s="63"/>
      <c r="F98" s="63"/>
      <c r="G98" s="63"/>
      <c r="H98" s="63"/>
      <c r="I98" s="63"/>
      <c r="J98" s="63"/>
      <c r="K98" s="63"/>
      <c r="L98" s="63"/>
      <c r="M98" s="63"/>
      <c r="N98" s="500"/>
    </row>
    <row r="99" customFormat="false" ht="12.75" hidden="false" customHeight="false" outlineLevel="0" collapsed="false">
      <c r="A99" s="444"/>
      <c r="D99" s="381"/>
      <c r="E99" s="381"/>
      <c r="F99" s="381"/>
      <c r="G99" s="381"/>
      <c r="H99" s="381"/>
      <c r="I99" s="381"/>
      <c r="J99" s="381"/>
      <c r="K99" s="381"/>
      <c r="L99" s="381"/>
      <c r="M99" s="381"/>
    </row>
    <row r="100" customFormat="false" ht="18.75" hidden="false" customHeight="false" outlineLevel="0" collapsed="false">
      <c r="A100" s="445" t="s">
        <v>978</v>
      </c>
      <c r="B100" s="444"/>
      <c r="C100" s="501"/>
      <c r="E100" s="502"/>
      <c r="F100" s="503"/>
    </row>
    <row r="101" customFormat="false" ht="12.75" hidden="false" customHeight="false" outlineLevel="0" collapsed="false">
      <c r="A101" s="468"/>
      <c r="B101" s="444"/>
      <c r="D101" s="381"/>
      <c r="E101" s="381"/>
      <c r="F101" s="381"/>
      <c r="G101" s="381"/>
      <c r="H101" s="381"/>
      <c r="I101" s="381"/>
      <c r="J101" s="381"/>
      <c r="K101" s="381"/>
      <c r="L101" s="381"/>
      <c r="M101" s="381"/>
    </row>
    <row r="102" customFormat="false" ht="12.75" hidden="false" customHeight="false" outlineLevel="0" collapsed="false">
      <c r="A102" s="468" t="s">
        <v>979</v>
      </c>
      <c r="B102" s="444"/>
      <c r="C102" s="468" t="s">
        <v>857</v>
      </c>
      <c r="D102" s="504" t="n">
        <v>1</v>
      </c>
      <c r="E102" s="468" t="n">
        <v>2</v>
      </c>
      <c r="F102" s="468" t="n">
        <v>3</v>
      </c>
      <c r="G102" s="468" t="n">
        <v>4</v>
      </c>
      <c r="H102" s="468" t="n">
        <v>5</v>
      </c>
      <c r="I102" s="468" t="n">
        <v>6</v>
      </c>
      <c r="J102" s="468" t="n">
        <v>7</v>
      </c>
      <c r="K102" s="468" t="n">
        <v>8</v>
      </c>
      <c r="L102" s="468" t="n">
        <v>9</v>
      </c>
      <c r="M102" s="468" t="n">
        <v>10</v>
      </c>
    </row>
    <row r="103" customFormat="false" ht="12.75" hidden="false" customHeight="false" outlineLevel="0" collapsed="false">
      <c r="A103" s="468"/>
      <c r="B103" s="444" t="s">
        <v>980</v>
      </c>
      <c r="C103" s="488" t="n">
        <v>0</v>
      </c>
      <c r="D103" s="505" t="n">
        <f aca="false">C65</f>
        <v>56663438.0526106</v>
      </c>
      <c r="E103" s="506" t="n">
        <f aca="false">(D103+E105)*(1+$D$104)-E105</f>
        <v>57258542.8860967</v>
      </c>
      <c r="F103" s="506" t="n">
        <f aca="false">(E103+F105)*(1+$D$104)-F105</f>
        <v>57849186.4843441</v>
      </c>
      <c r="G103" s="507" t="n">
        <f aca="false">(F103+G105)*(1+$D$104)-G105</f>
        <v>58446622.4839714</v>
      </c>
      <c r="H103" s="507" t="n">
        <f aca="false">(G103+H105)*(1+$D$104)-H105</f>
        <v>59050928.9975944</v>
      </c>
      <c r="I103" s="507" t="n">
        <f aca="false">(H103+I105)*(1+$D$104)-I105</f>
        <v>59662185.0361241</v>
      </c>
      <c r="J103" s="507" t="n">
        <f aca="false">(I103+J105)*(1+$D$104)-J105</f>
        <v>60280470.5190968</v>
      </c>
      <c r="K103" s="507" t="n">
        <f aca="false">(J103+K105)*(1+$D$104)-K105</f>
        <v>60905866.2851238</v>
      </c>
      <c r="L103" s="507" t="n">
        <f aca="false">(K103+L105)*(1+$D$104)-L105</f>
        <v>61538454.10246</v>
      </c>
      <c r="M103" s="507" t="n">
        <f aca="false">(L103+M105)*(1+$D$104)-M105</f>
        <v>62178316.6796956</v>
      </c>
      <c r="N103" s="501" t="n">
        <f aca="false">SUM(D103:M103)</f>
        <v>593834011.527118</v>
      </c>
    </row>
    <row r="104" customFormat="false" ht="12.75" hidden="false" customHeight="false" outlineLevel="0" collapsed="false">
      <c r="A104" s="484"/>
      <c r="B104" s="508" t="s">
        <v>981</v>
      </c>
      <c r="C104" s="509"/>
      <c r="D104" s="510" t="n">
        <f aca="false">C13</f>
        <v>0.0115</v>
      </c>
      <c r="E104" s="511" t="n">
        <f aca="false">D104</f>
        <v>0.0115</v>
      </c>
      <c r="F104" s="511" t="n">
        <f aca="false">E104</f>
        <v>0.0115</v>
      </c>
      <c r="G104" s="511" t="n">
        <f aca="false">F104</f>
        <v>0.0115</v>
      </c>
      <c r="H104" s="511" t="n">
        <f aca="false">G104</f>
        <v>0.0115</v>
      </c>
      <c r="I104" s="511" t="n">
        <f aca="false">H104</f>
        <v>0.0115</v>
      </c>
      <c r="J104" s="511" t="n">
        <f aca="false">I104</f>
        <v>0.0115</v>
      </c>
      <c r="K104" s="511" t="n">
        <f aca="false">J104</f>
        <v>0.0115</v>
      </c>
      <c r="L104" s="511" t="n">
        <f aca="false">K104</f>
        <v>0.0115</v>
      </c>
      <c r="M104" s="511" t="n">
        <f aca="false">L104</f>
        <v>0.0115</v>
      </c>
      <c r="N104" s="509"/>
      <c r="O104" s="509"/>
      <c r="P104" s="509"/>
      <c r="Q104" s="509"/>
      <c r="R104" s="509"/>
      <c r="S104" s="509"/>
      <c r="T104" s="509"/>
      <c r="U104" s="509"/>
      <c r="V104" s="509"/>
      <c r="W104" s="509"/>
      <c r="X104" s="509"/>
      <c r="Y104" s="509"/>
      <c r="Z104" s="509"/>
      <c r="AA104" s="509"/>
      <c r="AB104" s="509"/>
      <c r="AC104" s="509"/>
      <c r="AD104" s="509"/>
      <c r="AE104" s="509"/>
      <c r="AF104" s="509"/>
      <c r="AG104" s="509"/>
      <c r="AH104" s="509"/>
      <c r="AI104" s="509"/>
      <c r="AJ104" s="509"/>
      <c r="AK104" s="509"/>
      <c r="AL104" s="509"/>
      <c r="AM104" s="509"/>
      <c r="AN104" s="509"/>
      <c r="AO104" s="509"/>
      <c r="AP104" s="509"/>
      <c r="AQ104" s="509"/>
      <c r="AR104" s="509"/>
      <c r="AS104" s="509"/>
      <c r="AT104" s="509"/>
      <c r="AU104" s="509"/>
      <c r="AV104" s="509"/>
      <c r="AW104" s="509"/>
      <c r="AX104" s="509"/>
      <c r="AY104" s="509"/>
      <c r="AZ104" s="509"/>
      <c r="BA104" s="509"/>
      <c r="BB104" s="509"/>
      <c r="BC104" s="509"/>
      <c r="BD104" s="509"/>
      <c r="BE104" s="509"/>
      <c r="BF104" s="509"/>
      <c r="BG104" s="509"/>
      <c r="BH104" s="509"/>
      <c r="BI104" s="509"/>
      <c r="BJ104" s="509"/>
      <c r="BK104" s="509"/>
      <c r="BL104" s="509"/>
      <c r="BM104" s="509"/>
      <c r="BN104" s="509"/>
      <c r="BO104" s="509"/>
      <c r="BP104" s="509"/>
      <c r="BQ104" s="509"/>
      <c r="BR104" s="509"/>
      <c r="BS104" s="509"/>
      <c r="BT104" s="509"/>
      <c r="BU104" s="509"/>
      <c r="BV104" s="509"/>
      <c r="BW104" s="509"/>
      <c r="BX104" s="509"/>
      <c r="BY104" s="509"/>
      <c r="BZ104" s="509"/>
      <c r="CA104" s="509"/>
      <c r="CB104" s="509"/>
      <c r="CC104" s="509"/>
      <c r="CD104" s="509"/>
      <c r="CE104" s="509"/>
      <c r="CF104" s="509"/>
      <c r="CG104" s="509"/>
      <c r="CH104" s="509"/>
      <c r="CI104" s="509"/>
      <c r="CJ104" s="509"/>
      <c r="CK104" s="509"/>
      <c r="CL104" s="509"/>
      <c r="CM104" s="509"/>
      <c r="CN104" s="509"/>
      <c r="CO104" s="509"/>
      <c r="CP104" s="509"/>
      <c r="CQ104" s="509"/>
      <c r="CR104" s="509"/>
      <c r="CS104" s="509"/>
      <c r="CT104" s="509"/>
      <c r="CU104" s="509"/>
      <c r="CV104" s="509"/>
      <c r="CW104" s="509"/>
      <c r="CX104" s="509"/>
      <c r="CY104" s="509"/>
      <c r="CZ104" s="509"/>
      <c r="DA104" s="509"/>
      <c r="DB104" s="509"/>
      <c r="DC104" s="509"/>
      <c r="DD104" s="509"/>
      <c r="DE104" s="509"/>
      <c r="DF104" s="509"/>
      <c r="DG104" s="509"/>
      <c r="DH104" s="509"/>
      <c r="DI104" s="509"/>
      <c r="DJ104" s="509"/>
      <c r="DK104" s="509"/>
      <c r="DL104" s="509"/>
      <c r="DM104" s="509"/>
      <c r="DN104" s="509"/>
      <c r="DO104" s="509"/>
      <c r="DP104" s="509"/>
      <c r="DQ104" s="509"/>
      <c r="DR104" s="509"/>
      <c r="DS104" s="509"/>
      <c r="DT104" s="509"/>
      <c r="DU104" s="509"/>
      <c r="DV104" s="509"/>
      <c r="DW104" s="509"/>
      <c r="DX104" s="509"/>
      <c r="DY104" s="509"/>
      <c r="DZ104" s="509"/>
      <c r="EA104" s="509"/>
      <c r="EB104" s="509"/>
      <c r="EC104" s="509"/>
      <c r="ED104" s="509"/>
      <c r="EE104" s="509"/>
      <c r="EF104" s="509"/>
      <c r="EG104" s="509"/>
      <c r="EH104" s="509"/>
      <c r="EI104" s="509"/>
      <c r="EJ104" s="509"/>
      <c r="EK104" s="509"/>
      <c r="EL104" s="509"/>
      <c r="EM104" s="509"/>
      <c r="EN104" s="509"/>
      <c r="EO104" s="509"/>
      <c r="EP104" s="509"/>
      <c r="EQ104" s="509"/>
      <c r="ER104" s="509"/>
      <c r="ES104" s="509"/>
      <c r="ET104" s="509"/>
      <c r="EU104" s="509"/>
      <c r="EV104" s="509"/>
      <c r="EW104" s="509"/>
      <c r="EX104" s="509"/>
      <c r="EY104" s="509"/>
      <c r="EZ104" s="509"/>
      <c r="FA104" s="509"/>
      <c r="FB104" s="509"/>
      <c r="FC104" s="509"/>
      <c r="FD104" s="509"/>
      <c r="FE104" s="509"/>
      <c r="FF104" s="509"/>
      <c r="FG104" s="509"/>
      <c r="FH104" s="509"/>
      <c r="FI104" s="509"/>
      <c r="FJ104" s="509"/>
      <c r="FK104" s="509"/>
      <c r="FL104" s="509"/>
      <c r="FM104" s="509"/>
      <c r="FN104" s="509"/>
      <c r="FO104" s="509"/>
      <c r="FP104" s="509"/>
      <c r="FQ104" s="509"/>
      <c r="FR104" s="509"/>
      <c r="FS104" s="509"/>
      <c r="FT104" s="509"/>
      <c r="FU104" s="509"/>
      <c r="FV104" s="509"/>
      <c r="FW104" s="509"/>
      <c r="FX104" s="509"/>
      <c r="FY104" s="509"/>
      <c r="FZ104" s="509"/>
      <c r="GA104" s="509"/>
      <c r="GB104" s="509"/>
      <c r="GC104" s="509"/>
      <c r="GD104" s="509"/>
      <c r="GE104" s="509"/>
      <c r="GF104" s="509"/>
      <c r="GG104" s="509"/>
      <c r="GH104" s="509"/>
      <c r="GI104" s="509"/>
      <c r="GJ104" s="509"/>
      <c r="GK104" s="509"/>
      <c r="GL104" s="509"/>
      <c r="GM104" s="509"/>
      <c r="GN104" s="509"/>
      <c r="GO104" s="509"/>
      <c r="GP104" s="509"/>
      <c r="GQ104" s="509"/>
      <c r="GR104" s="509"/>
      <c r="GS104" s="509"/>
      <c r="GT104" s="509"/>
      <c r="GU104" s="509"/>
      <c r="GV104" s="509"/>
      <c r="GW104" s="509"/>
      <c r="GX104" s="509"/>
      <c r="GY104" s="509"/>
      <c r="GZ104" s="509"/>
      <c r="HA104" s="509"/>
      <c r="HB104" s="509"/>
      <c r="HC104" s="509"/>
      <c r="HD104" s="509"/>
      <c r="HE104" s="509"/>
      <c r="HF104" s="509"/>
      <c r="HG104" s="509"/>
      <c r="HH104" s="509"/>
      <c r="HI104" s="509"/>
      <c r="HJ104" s="509"/>
      <c r="HK104" s="509"/>
      <c r="HL104" s="509"/>
      <c r="HM104" s="509"/>
      <c r="HN104" s="509"/>
      <c r="HO104" s="509"/>
      <c r="HP104" s="509"/>
      <c r="HQ104" s="509"/>
      <c r="HR104" s="509"/>
      <c r="HS104" s="509"/>
      <c r="HT104" s="509"/>
      <c r="HU104" s="509"/>
      <c r="HV104" s="509"/>
      <c r="HW104" s="509"/>
      <c r="HX104" s="509"/>
      <c r="HY104" s="509"/>
      <c r="HZ104" s="509"/>
      <c r="IA104" s="509"/>
      <c r="IB104" s="509"/>
      <c r="IC104" s="509"/>
      <c r="ID104" s="509"/>
      <c r="IE104" s="509"/>
      <c r="IF104" s="509"/>
      <c r="IG104" s="509"/>
      <c r="IH104" s="509"/>
      <c r="II104" s="509"/>
      <c r="IJ104" s="509"/>
      <c r="IK104" s="509"/>
      <c r="IL104" s="509"/>
      <c r="IM104" s="509"/>
      <c r="IN104" s="509"/>
      <c r="IO104" s="509"/>
      <c r="IP104" s="509"/>
      <c r="IQ104" s="509"/>
      <c r="IR104" s="509"/>
      <c r="IS104" s="509"/>
      <c r="IT104" s="509"/>
      <c r="IU104" s="509"/>
      <c r="IV104" s="509"/>
      <c r="IW104" s="509"/>
    </row>
    <row r="105" customFormat="false" ht="12.75" hidden="false" customHeight="false" outlineLevel="0" collapsed="false">
      <c r="A105" s="468"/>
      <c r="B105" s="476" t="s">
        <v>982</v>
      </c>
      <c r="C105" s="502"/>
      <c r="D105" s="476" t="n">
        <f aca="false">-SUM('RMPM-Whole'!$L$12:$L$23)</f>
        <v>-0</v>
      </c>
      <c r="E105" s="476" t="n">
        <f aca="false">-SUM('RMPM-Whole'!$L$24:$L$35)</f>
        <v>-4915191.66251281</v>
      </c>
      <c r="F105" s="512" t="n">
        <f aca="false">-SUM('RMPM-Whole'!$L$36:$L$47)</f>
        <v>-5898229.99501537</v>
      </c>
      <c r="G105" s="476" t="n">
        <f aca="false">-SUM('RMPM-Whole'!$L$48:$L$59)</f>
        <v>-5898229.99501537</v>
      </c>
      <c r="H105" s="476" t="n">
        <f aca="false">-SUM('RMPM-Whole'!$L$60:$L$71)</f>
        <v>-5898229.99501537</v>
      </c>
      <c r="I105" s="476" t="n">
        <f aca="false">-SUM('RMPM-Whole'!$L$72:$L$83)</f>
        <v>-5898229.99501537</v>
      </c>
      <c r="J105" s="476" t="n">
        <f aca="false">-SUM('RMPM-Whole'!$L$84:$L$95)</f>
        <v>-5898229.99501537</v>
      </c>
      <c r="K105" s="476" t="n">
        <f aca="false">-SUM('RMPM-Whole'!$L$96:$L$107)</f>
        <v>-5898229.99501537</v>
      </c>
      <c r="L105" s="476" t="n">
        <f aca="false">-SUM('RMPM-Whole'!$L$108:$L$119)</f>
        <v>-5898229.99501537</v>
      </c>
      <c r="M105" s="476" t="n">
        <f aca="false">-SUM('RMPM-Whole'!$L$120:$L$131)</f>
        <v>-5898229.99501537</v>
      </c>
    </row>
    <row r="106" customFormat="false" ht="12.75" hidden="true" customHeight="false" outlineLevel="0" collapsed="false">
      <c r="A106" s="468"/>
      <c r="B106" s="476"/>
      <c r="D106" s="498" t="n">
        <f aca="false">D103/0.96</f>
        <v>59024414.638136</v>
      </c>
      <c r="E106" s="498" t="n">
        <f aca="false">E103/0.96</f>
        <v>59644315.5063507</v>
      </c>
      <c r="F106" s="498" t="n">
        <f aca="false">F103/0.96</f>
        <v>60259569.2545251</v>
      </c>
      <c r="G106" s="498" t="n">
        <f aca="false">G103/0.96</f>
        <v>60881898.4208036</v>
      </c>
      <c r="H106" s="498" t="n">
        <f aca="false">H103/0.96</f>
        <v>61511384.3724942</v>
      </c>
      <c r="I106" s="498" t="n">
        <f aca="false">I103/0.96</f>
        <v>62148109.4126292</v>
      </c>
      <c r="J106" s="498" t="n">
        <f aca="false">J103/0.96</f>
        <v>62792156.7907259</v>
      </c>
      <c r="K106" s="498" t="n">
        <f aca="false">K103/0.96</f>
        <v>63443610.7136706</v>
      </c>
      <c r="L106" s="498" t="n">
        <f aca="false">L103/0.96</f>
        <v>64102556.3567292</v>
      </c>
      <c r="M106" s="498" t="n">
        <f aca="false">M103/0.96</f>
        <v>64769079.874683</v>
      </c>
    </row>
    <row r="107" customFormat="false" ht="12.75" hidden="true" customHeight="false" outlineLevel="0" collapsed="false">
      <c r="A107" s="468"/>
      <c r="B107" s="476"/>
      <c r="D107" s="498" t="n">
        <f aca="false">D106-D103</f>
        <v>2360976.58552545</v>
      </c>
      <c r="E107" s="498" t="n">
        <f aca="false">E106-E103</f>
        <v>2385772.62025403</v>
      </c>
      <c r="F107" s="498" t="n">
        <f aca="false">F106-F103</f>
        <v>2410382.77018101</v>
      </c>
      <c r="G107" s="498" t="n">
        <f aca="false">G106-G103</f>
        <v>2435275.93683215</v>
      </c>
      <c r="H107" s="498" t="n">
        <f aca="false">H106-H103</f>
        <v>2460455.37489977</v>
      </c>
      <c r="I107" s="498" t="n">
        <f aca="false">I106-I103</f>
        <v>2485924.37650517</v>
      </c>
      <c r="J107" s="498" t="n">
        <f aca="false">J106-J103</f>
        <v>2511686.27162904</v>
      </c>
      <c r="K107" s="498" t="n">
        <f aca="false">K106-K103</f>
        <v>2537744.42854682</v>
      </c>
      <c r="L107" s="498" t="n">
        <f aca="false">L106-L103</f>
        <v>2564102.25426917</v>
      </c>
      <c r="M107" s="498" t="n">
        <f aca="false">M106-M103</f>
        <v>2590763.19498732</v>
      </c>
      <c r="N107" s="103" t="n">
        <f aca="false">NPV(0.06,'wholesale services'!E107:M107)+'wholesale services'!D107</f>
        <v>19208783.5381877</v>
      </c>
      <c r="O107" s="513" t="n">
        <f aca="false">NPV(0.06,D107:M107)</f>
        <v>18121493.9039507</v>
      </c>
    </row>
    <row r="108" customFormat="false" ht="12.75" hidden="false" customHeight="false" outlineLevel="0" collapsed="false">
      <c r="A108" s="468" t="s">
        <v>983</v>
      </c>
      <c r="B108" s="468"/>
      <c r="C108" s="468"/>
      <c r="D108" s="504" t="n">
        <v>1</v>
      </c>
      <c r="E108" s="468" t="n">
        <v>2</v>
      </c>
      <c r="F108" s="468" t="n">
        <v>3</v>
      </c>
      <c r="G108" s="468" t="n">
        <v>4</v>
      </c>
      <c r="H108" s="468" t="n">
        <v>5</v>
      </c>
      <c r="I108" s="468" t="n">
        <v>6</v>
      </c>
      <c r="J108" s="468" t="n">
        <v>7</v>
      </c>
      <c r="K108" s="468" t="n">
        <v>8</v>
      </c>
      <c r="L108" s="468" t="n">
        <v>9</v>
      </c>
      <c r="M108" s="468" t="n">
        <v>10</v>
      </c>
      <c r="N108" s="468"/>
      <c r="O108" s="468"/>
      <c r="P108" s="468"/>
      <c r="Q108" s="468"/>
      <c r="R108" s="468"/>
      <c r="S108" s="468"/>
      <c r="T108" s="468"/>
      <c r="U108" s="468"/>
      <c r="V108" s="468"/>
      <c r="W108" s="468"/>
      <c r="X108" s="468"/>
      <c r="Y108" s="468"/>
      <c r="Z108" s="468"/>
      <c r="AA108" s="468"/>
      <c r="AB108" s="468"/>
      <c r="AC108" s="468"/>
      <c r="AD108" s="468"/>
      <c r="AE108" s="468"/>
      <c r="AF108" s="468"/>
      <c r="AG108" s="468"/>
      <c r="AH108" s="468"/>
      <c r="AI108" s="468"/>
      <c r="AJ108" s="468"/>
      <c r="AK108" s="468"/>
      <c r="AL108" s="468"/>
      <c r="AM108" s="468"/>
      <c r="AN108" s="468"/>
      <c r="AO108" s="468"/>
      <c r="AP108" s="468"/>
      <c r="AQ108" s="468"/>
      <c r="AR108" s="468"/>
      <c r="AS108" s="468"/>
      <c r="AT108" s="468"/>
      <c r="AU108" s="468"/>
      <c r="AV108" s="468"/>
      <c r="AW108" s="468"/>
      <c r="AX108" s="468"/>
      <c r="AY108" s="468"/>
      <c r="AZ108" s="468"/>
      <c r="BA108" s="468"/>
      <c r="BB108" s="468"/>
      <c r="BC108" s="468"/>
      <c r="BD108" s="468"/>
      <c r="BE108" s="468"/>
      <c r="BF108" s="468"/>
      <c r="BG108" s="468"/>
      <c r="BH108" s="468"/>
      <c r="BI108" s="468"/>
      <c r="BJ108" s="468"/>
      <c r="BK108" s="468"/>
      <c r="BL108" s="468"/>
      <c r="BM108" s="468"/>
      <c r="BN108" s="468"/>
      <c r="BO108" s="468"/>
      <c r="BP108" s="468"/>
      <c r="BQ108" s="468"/>
      <c r="BR108" s="468"/>
      <c r="BS108" s="468"/>
      <c r="BT108" s="468"/>
      <c r="BU108" s="468"/>
      <c r="BV108" s="468"/>
      <c r="BW108" s="468"/>
      <c r="BX108" s="468"/>
      <c r="BY108" s="468"/>
      <c r="BZ108" s="468"/>
      <c r="CA108" s="468"/>
      <c r="CB108" s="468"/>
      <c r="CC108" s="468"/>
      <c r="CD108" s="468"/>
      <c r="CE108" s="468"/>
      <c r="CF108" s="468"/>
      <c r="CG108" s="468"/>
      <c r="CH108" s="468"/>
      <c r="CI108" s="468"/>
      <c r="CJ108" s="468"/>
      <c r="CK108" s="468"/>
      <c r="CL108" s="468"/>
      <c r="CM108" s="468"/>
      <c r="CN108" s="468"/>
      <c r="CO108" s="468"/>
      <c r="CP108" s="468"/>
      <c r="CQ108" s="468"/>
      <c r="CR108" s="468"/>
      <c r="CS108" s="468"/>
      <c r="CT108" s="468"/>
      <c r="CU108" s="468"/>
      <c r="CV108" s="468"/>
      <c r="CW108" s="468"/>
      <c r="CX108" s="468"/>
      <c r="CY108" s="468"/>
      <c r="CZ108" s="468"/>
      <c r="DA108" s="468"/>
      <c r="DB108" s="468"/>
      <c r="DC108" s="468"/>
      <c r="DD108" s="468"/>
      <c r="DE108" s="468"/>
      <c r="DF108" s="468"/>
      <c r="DG108" s="468"/>
      <c r="DH108" s="468"/>
      <c r="DI108" s="468"/>
      <c r="DJ108" s="468"/>
      <c r="DK108" s="468"/>
      <c r="DL108" s="468"/>
      <c r="DM108" s="468"/>
      <c r="DN108" s="468"/>
      <c r="DO108" s="468"/>
      <c r="DP108" s="468"/>
      <c r="DQ108" s="468"/>
      <c r="DR108" s="468"/>
      <c r="DS108" s="468"/>
      <c r="DT108" s="468"/>
      <c r="DU108" s="468"/>
      <c r="DV108" s="468"/>
      <c r="DW108" s="468"/>
      <c r="DX108" s="468"/>
      <c r="DY108" s="468"/>
      <c r="DZ108" s="468"/>
      <c r="EA108" s="468"/>
      <c r="EB108" s="468"/>
      <c r="EC108" s="468"/>
      <c r="ED108" s="468"/>
      <c r="EE108" s="468"/>
      <c r="EF108" s="468"/>
      <c r="EG108" s="468"/>
      <c r="EH108" s="468"/>
      <c r="EI108" s="468"/>
      <c r="EJ108" s="468"/>
      <c r="EK108" s="468"/>
      <c r="EL108" s="468"/>
      <c r="EM108" s="468"/>
      <c r="EN108" s="468"/>
      <c r="EO108" s="468"/>
      <c r="EP108" s="468"/>
      <c r="EQ108" s="468"/>
      <c r="ER108" s="468"/>
      <c r="ES108" s="468"/>
      <c r="ET108" s="468"/>
      <c r="EU108" s="468"/>
      <c r="EV108" s="468"/>
      <c r="EW108" s="468"/>
      <c r="EX108" s="468"/>
      <c r="EY108" s="468"/>
      <c r="EZ108" s="468"/>
      <c r="FA108" s="468"/>
      <c r="FB108" s="468"/>
      <c r="FC108" s="468"/>
      <c r="FD108" s="468"/>
      <c r="FE108" s="468"/>
      <c r="FF108" s="468"/>
      <c r="FG108" s="468"/>
      <c r="FH108" s="468"/>
      <c r="FI108" s="468"/>
      <c r="FJ108" s="468"/>
      <c r="FK108" s="468"/>
      <c r="FL108" s="468"/>
      <c r="FM108" s="468"/>
      <c r="FN108" s="468"/>
      <c r="FO108" s="468"/>
      <c r="FP108" s="468"/>
      <c r="FQ108" s="468"/>
      <c r="FR108" s="468"/>
      <c r="FS108" s="468"/>
      <c r="FT108" s="468"/>
      <c r="FU108" s="468"/>
      <c r="FV108" s="468"/>
      <c r="FW108" s="468"/>
      <c r="FX108" s="468"/>
      <c r="FY108" s="468"/>
      <c r="FZ108" s="468"/>
      <c r="GA108" s="468"/>
      <c r="GB108" s="468"/>
      <c r="GC108" s="468"/>
      <c r="GD108" s="468"/>
      <c r="GE108" s="468"/>
      <c r="GF108" s="468"/>
      <c r="GG108" s="468"/>
      <c r="GH108" s="468"/>
      <c r="GI108" s="468"/>
      <c r="GJ108" s="468"/>
      <c r="GK108" s="468"/>
      <c r="GL108" s="468"/>
      <c r="GM108" s="468"/>
      <c r="GN108" s="468"/>
      <c r="GO108" s="468"/>
      <c r="GP108" s="468"/>
      <c r="GQ108" s="468"/>
      <c r="GR108" s="468"/>
      <c r="GS108" s="468"/>
      <c r="GT108" s="468"/>
      <c r="GU108" s="468"/>
      <c r="GV108" s="468"/>
      <c r="GW108" s="468"/>
      <c r="GX108" s="468"/>
      <c r="GY108" s="468"/>
      <c r="GZ108" s="468"/>
      <c r="HA108" s="468"/>
      <c r="HB108" s="468"/>
      <c r="HC108" s="468"/>
      <c r="HD108" s="468"/>
      <c r="HE108" s="468"/>
      <c r="HF108" s="468"/>
      <c r="HG108" s="468"/>
      <c r="HH108" s="468"/>
      <c r="HI108" s="468"/>
      <c r="HJ108" s="468"/>
      <c r="HK108" s="468"/>
      <c r="HL108" s="468"/>
      <c r="HM108" s="468"/>
      <c r="HN108" s="468"/>
      <c r="HO108" s="468"/>
      <c r="HP108" s="468"/>
      <c r="HQ108" s="468"/>
      <c r="HR108" s="468"/>
      <c r="HS108" s="468"/>
      <c r="HT108" s="468"/>
      <c r="HU108" s="468"/>
      <c r="HV108" s="468"/>
      <c r="HW108" s="468"/>
      <c r="HX108" s="468"/>
      <c r="HY108" s="468"/>
      <c r="HZ108" s="468"/>
      <c r="IA108" s="468"/>
      <c r="IB108" s="468"/>
      <c r="IC108" s="468"/>
      <c r="ID108" s="468"/>
      <c r="IE108" s="468"/>
      <c r="IF108" s="468"/>
      <c r="IG108" s="468"/>
      <c r="IH108" s="468"/>
      <c r="II108" s="468"/>
      <c r="IJ108" s="468"/>
      <c r="IK108" s="468"/>
      <c r="IL108" s="468"/>
      <c r="IM108" s="468"/>
      <c r="IN108" s="468"/>
      <c r="IO108" s="468"/>
      <c r="IP108" s="468"/>
      <c r="IQ108" s="468"/>
      <c r="IR108" s="468"/>
      <c r="IS108" s="468"/>
      <c r="IT108" s="468"/>
      <c r="IU108" s="468"/>
      <c r="IV108" s="468"/>
      <c r="IW108" s="468"/>
    </row>
    <row r="109" customFormat="false" ht="12.75" hidden="false" customHeight="false" outlineLevel="0" collapsed="false">
      <c r="A109" s="444" t="s">
        <v>984</v>
      </c>
      <c r="B109" s="444"/>
      <c r="C109" s="514" t="n">
        <v>0</v>
      </c>
      <c r="D109" s="515" t="n">
        <f aca="false">D103*$C$8/(1-$C$9)</f>
        <v>3246342.80509748</v>
      </c>
      <c r="E109" s="515" t="n">
        <f aca="false">E103*$C$8/(1-$C$9)</f>
        <v>3280437.35284929</v>
      </c>
      <c r="F109" s="516" t="n">
        <f aca="false">F103*$C$8/(1-$C$9)</f>
        <v>3314276.30899888</v>
      </c>
      <c r="G109" s="515" t="n">
        <f aca="false">G103*$C$8/(1-$C$9)</f>
        <v>3348504.4131442</v>
      </c>
      <c r="H109" s="515" t="n">
        <f aca="false">H103*$C$8/(1-$C$9)</f>
        <v>3383126.14048718</v>
      </c>
      <c r="I109" s="515" t="n">
        <f aca="false">I103*$C$8/(1-$C$9)</f>
        <v>3418146.01769461</v>
      </c>
      <c r="J109" s="515" t="n">
        <f aca="false">J103*$C$8/(1-$C$9)</f>
        <v>3453568.62348992</v>
      </c>
      <c r="K109" s="515" t="n">
        <f aca="false">K103*$C$8/(1-$C$9)</f>
        <v>3489398.58925188</v>
      </c>
      <c r="L109" s="515" t="n">
        <f aca="false">L103*$C$8/(1-$C$9)</f>
        <v>3525640.59962011</v>
      </c>
      <c r="M109" s="515" t="n">
        <f aca="false">M103*$C$8/(1-$C$9)</f>
        <v>3562299.39310756</v>
      </c>
      <c r="N109" s="517" t="n">
        <f aca="false">NPV(0.06,E109:M109)+D109</f>
        <v>26412077.3650081</v>
      </c>
    </row>
    <row r="110" customFormat="false" ht="12.75" hidden="false" customHeight="false" outlineLevel="0" collapsed="false">
      <c r="A110" s="444" t="s">
        <v>985</v>
      </c>
      <c r="C110" s="502" t="n">
        <f aca="false">F20</f>
        <v>582541666.666667</v>
      </c>
      <c r="D110" s="103" t="n">
        <f aca="false">$F$20</f>
        <v>582541666.666667</v>
      </c>
      <c r="E110" s="103" t="n">
        <f aca="false">$F$20*(1-$C$76*$C$79)</f>
        <v>488156384.837963</v>
      </c>
      <c r="F110" s="455" t="n">
        <f aca="false">$F$20*(1-$C$76)</f>
        <v>469279328.472222</v>
      </c>
      <c r="G110" s="103" t="n">
        <f aca="false">$F$20*(1-$C$76)</f>
        <v>469279328.472222</v>
      </c>
      <c r="H110" s="103" t="n">
        <f aca="false">$F$20*(1-$C$76)</f>
        <v>469279328.472222</v>
      </c>
      <c r="I110" s="103" t="n">
        <f aca="false">$F$20*(1-$C$76)</f>
        <v>469279328.472222</v>
      </c>
      <c r="J110" s="103" t="n">
        <f aca="false">$F$20*(1-$C$76)</f>
        <v>469279328.472222</v>
      </c>
      <c r="K110" s="103" t="n">
        <f aca="false">$F$20*(1-$C$76)</f>
        <v>469279328.472222</v>
      </c>
      <c r="L110" s="103" t="n">
        <f aca="false">$F$20*(1-$C$76)</f>
        <v>469279328.472222</v>
      </c>
      <c r="M110" s="103" t="n">
        <f aca="false">$F$20*(1-$C$76)</f>
        <v>469279328.472222</v>
      </c>
      <c r="N110" s="517" t="n">
        <f aca="false">N107+N109</f>
        <v>45620860.9031958</v>
      </c>
    </row>
    <row r="111" customFormat="false" ht="12.75" hidden="false" customHeight="false" outlineLevel="0" collapsed="false">
      <c r="A111" s="444" t="s">
        <v>986</v>
      </c>
      <c r="C111" s="444" t="n">
        <f aca="false">'commodity information'!C21</f>
        <v>0.072</v>
      </c>
      <c r="D111" s="444" t="n">
        <f aca="false">IF($C$10="mid",'commodity information'!D21,IF($C$10="offer",'commodity information'!D23))</f>
        <v>0.06696</v>
      </c>
      <c r="E111" s="444" t="n">
        <f aca="false">IF($C$10="mid",'commodity information'!E21,IF($C$10="offer",'commodity information'!E23))</f>
        <v>0.06696</v>
      </c>
      <c r="F111" s="518" t="n">
        <f aca="false">IF($C$10="mid",'commodity information'!F21,IF($C$10="offer",'commodity information'!F23))</f>
        <v>0.06696</v>
      </c>
      <c r="G111" s="444" t="n">
        <f aca="false">IF($C$10="mid",'commodity information'!G21,IF($C$10="offer",'commodity information'!G23))</f>
        <v>0.06696</v>
      </c>
      <c r="H111" s="444" t="n">
        <f aca="false">IF($C$10="mid",'commodity information'!H21,IF($C$10="offer",'commodity information'!H23))</f>
        <v>0.06696</v>
      </c>
      <c r="I111" s="444" t="n">
        <f aca="false">IF($C$10="mid",'commodity information'!I21,IF($C$10="offer",'commodity information'!I23))</f>
        <v>0.06696</v>
      </c>
      <c r="J111" s="444" t="n">
        <f aca="false">IF($C$10="mid",'commodity information'!J21,IF($C$10="offer",'commodity information'!J23))</f>
        <v>0.06696</v>
      </c>
      <c r="K111" s="444" t="n">
        <f aca="false">IF($C$10="mid",'commodity information'!K21,IF($C$10="offer",'commodity information'!K23))</f>
        <v>0.06696</v>
      </c>
      <c r="L111" s="444" t="n">
        <f aca="false">IF($C$10="mid",'commodity information'!L21,IF($C$10="offer",'commodity information'!L23))</f>
        <v>0.06696</v>
      </c>
      <c r="M111" s="444" t="n">
        <f aca="false">IF($C$10="mid",'commodity information'!M21,IF($C$10="offer",'commodity information'!M23))</f>
        <v>0.06696</v>
      </c>
    </row>
    <row r="112" customFormat="false" ht="12.75" hidden="false" customHeight="false" outlineLevel="0" collapsed="false">
      <c r="B112" s="444" t="s">
        <v>987</v>
      </c>
      <c r="C112" s="519" t="n">
        <f aca="false">F54</f>
        <v>41943000</v>
      </c>
      <c r="D112" s="378" t="n">
        <f aca="false">D110*D111</f>
        <v>39006990</v>
      </c>
      <c r="E112" s="378" t="n">
        <f aca="false">E110*E111</f>
        <v>32686951.52875</v>
      </c>
      <c r="F112" s="379" t="n">
        <f aca="false">F110*F111</f>
        <v>31422943.8345</v>
      </c>
      <c r="G112" s="378" t="n">
        <f aca="false">G110*G111</f>
        <v>31422943.8345</v>
      </c>
      <c r="H112" s="378" t="n">
        <f aca="false">H110*H111</f>
        <v>31422943.8345</v>
      </c>
      <c r="I112" s="378" t="n">
        <f aca="false">I110*I111</f>
        <v>31422943.8345</v>
      </c>
      <c r="J112" s="378" t="n">
        <f aca="false">J110*J111</f>
        <v>31422943.8345</v>
      </c>
      <c r="K112" s="378" t="n">
        <f aca="false">K110*K111</f>
        <v>31422943.8345</v>
      </c>
      <c r="L112" s="378" t="n">
        <f aca="false">L110*L111</f>
        <v>31422943.8345</v>
      </c>
      <c r="M112" s="378" t="n">
        <f aca="false">M110*M111</f>
        <v>31422943.8345</v>
      </c>
    </row>
    <row r="113" customFormat="false" ht="12.75" hidden="false" customHeight="false" outlineLevel="0" collapsed="false">
      <c r="A113" s="444" t="s">
        <v>988</v>
      </c>
      <c r="C113" s="520" t="n">
        <f aca="false">F24</f>
        <v>297200</v>
      </c>
      <c r="D113" s="103" t="n">
        <f aca="false">$F$24</f>
        <v>297200</v>
      </c>
      <c r="E113" s="103" t="n">
        <f aca="false">$F$24*(1-$C$77*$C$79)</f>
        <v>225665.891666667</v>
      </c>
      <c r="F113" s="455" t="n">
        <f aca="false">$F$24*(1-$C$77)</f>
        <v>211359.07</v>
      </c>
      <c r="G113" s="103" t="n">
        <f aca="false">$F$24*(1-$C$77)</f>
        <v>211359.07</v>
      </c>
      <c r="H113" s="103" t="n">
        <f aca="false">$F$24*(1-$C$77)</f>
        <v>211359.07</v>
      </c>
      <c r="I113" s="103" t="n">
        <f aca="false">$F$24*(1-$C$77)</f>
        <v>211359.07</v>
      </c>
      <c r="J113" s="103" t="n">
        <f aca="false">$F$24*(1-$C$77)</f>
        <v>211359.07</v>
      </c>
      <c r="K113" s="103" t="n">
        <f aca="false">$F$24*(1-$C$77)</f>
        <v>211359.07</v>
      </c>
      <c r="L113" s="103" t="n">
        <f aca="false">$F$24*(1-$C$77)</f>
        <v>211359.07</v>
      </c>
      <c r="M113" s="103" t="n">
        <f aca="false">$F$24*(1-$C$77)</f>
        <v>211359.07</v>
      </c>
    </row>
    <row r="114" customFormat="false" ht="12.75" hidden="false" customHeight="false" outlineLevel="0" collapsed="false">
      <c r="A114" s="444" t="s">
        <v>989</v>
      </c>
      <c r="C114" s="458" t="n">
        <f aca="false">'commodity information'!C29</f>
        <v>5</v>
      </c>
      <c r="D114" s="521" t="n">
        <f aca="false">IF($C$11="n",$C$114,0)+IF(AND($C$11="y",$C$10="mid"),'commodity information'!D29,0)+IF(AND($C$11="y",$C$10="offer"),'commodity information'!D31,0)</f>
        <v>5.74768341422761</v>
      </c>
      <c r="E114" s="521" t="n">
        <f aca="false">IF($C$11="n",$C$114,0)+IF(AND($C$11="y",$C$10="mid"),'commodity information'!E29,0)+IF(AND($C$11="y",$C$10="offer"),'commodity information'!E31,0)</f>
        <v>5.76626851528286</v>
      </c>
      <c r="F114" s="521" t="n">
        <f aca="false">IF($C$11="n",$C$114,0)+IF(AND($C$11="y",$C$10="mid"),'commodity information'!F29,0)+IF(AND($C$11="y",$C$10="offer"),'commodity information'!F31,0)</f>
        <v>5.83033496059471</v>
      </c>
      <c r="G114" s="521" t="n">
        <f aca="false">IF($C$11="n",$C$114,0)+IF(AND($C$11="y",$C$10="mid"),'commodity information'!G29,0)+IF(AND($C$11="y",$C$10="offer"),'commodity information'!G31,0)</f>
        <v>5.9302533749421</v>
      </c>
      <c r="H114" s="521" t="n">
        <f aca="false">IF($C$11="n",$C$114,0)+IF(AND($C$11="y",$C$10="mid"),'commodity information'!H29,0)+IF(AND($C$11="y",$C$10="offer"),'commodity information'!H31,0)</f>
        <v>6.05192033516709</v>
      </c>
      <c r="I114" s="521" t="n">
        <f aca="false">IF($C$11="n",$C$114,0)+IF(AND($C$11="y",$C$10="mid"),'commodity information'!I29,0)+IF(AND($C$11="y",$C$10="offer"),'commodity information'!I31,0)</f>
        <v>6.1951848934968</v>
      </c>
      <c r="J114" s="521" t="n">
        <f aca="false">IF($C$11="n",$C$114,0)+IF(AND($C$11="y",$C$10="mid"),'commodity information'!J29,0)+IF(AND($C$11="y",$C$10="offer"),'commodity information'!J31,0)</f>
        <v>6.35990412903796</v>
      </c>
      <c r="K114" s="521" t="n">
        <f aca="false">IF($C$11="n",$C$114,0)+IF(AND($C$11="y",$C$10="mid"),'commodity information'!K29,0)+IF(AND($C$11="y",$C$10="offer"),'commodity information'!K31,0)</f>
        <v>6.54594348231601</v>
      </c>
      <c r="L114" s="521" t="n">
        <f aca="false">IF($C$11="n",$C$114,0)+IF(AND($C$11="y",$C$10="mid"),'commodity information'!L29,0)+IF(AND($C$11="y",$C$10="offer"),'commodity information'!L31,0)</f>
        <v>6.75317691370433</v>
      </c>
      <c r="M114" s="521" t="n">
        <f aca="false">IF($C$11="n",$C$114,0)+IF(AND($C$11="y",$C$10="mid"),'commodity information'!M29,0)+IF(AND($C$11="y",$C$10="offer"),'commodity information'!M31,0)</f>
        <v>6.98148690581895</v>
      </c>
    </row>
    <row r="115" customFormat="false" ht="12.75" hidden="false" customHeight="false" outlineLevel="0" collapsed="false">
      <c r="A115" s="444"/>
      <c r="B115" s="442" t="s">
        <v>990</v>
      </c>
      <c r="C115" s="379" t="n">
        <f aca="false">C113*C114</f>
        <v>1486000</v>
      </c>
      <c r="D115" s="378" t="n">
        <f aca="false">D113*D114</f>
        <v>1708211.51070845</v>
      </c>
      <c r="E115" s="378" t="n">
        <f aca="false">E113*E114</f>
        <v>1301250.12609073</v>
      </c>
      <c r="F115" s="379" t="n">
        <f aca="false">F113*F114</f>
        <v>1232294.17505978</v>
      </c>
      <c r="G115" s="378" t="n">
        <f aca="false">G113*G114</f>
        <v>1253412.83819212</v>
      </c>
      <c r="H115" s="378" t="n">
        <f aca="false">H113*H114</f>
        <v>1279128.253755</v>
      </c>
      <c r="I115" s="378" t="n">
        <f aca="false">I113*I114</f>
        <v>1309408.51756753</v>
      </c>
      <c r="J115" s="378" t="n">
        <f aca="false">J113*J114</f>
        <v>1344223.42200262</v>
      </c>
      <c r="K115" s="378" t="n">
        <f aca="false">K113*K114</f>
        <v>1383544.52669487</v>
      </c>
      <c r="L115" s="378" t="n">
        <f aca="false">L113*L114</f>
        <v>1427345.19202602</v>
      </c>
      <c r="M115" s="378" t="n">
        <f aca="false">M113*M114</f>
        <v>1475600.57963107</v>
      </c>
    </row>
    <row r="116" customFormat="false" ht="12.75" hidden="false" customHeight="false" outlineLevel="0" collapsed="false">
      <c r="A116" s="444"/>
      <c r="B116" s="442" t="s">
        <v>991</v>
      </c>
      <c r="C116" s="379" t="n">
        <f aca="false">F56</f>
        <v>748000</v>
      </c>
      <c r="D116" s="378" t="n">
        <f aca="false">$C$116*D84</f>
        <v>695640</v>
      </c>
      <c r="E116" s="378" t="n">
        <f aca="false">$C$116*E84</f>
        <v>716509.2</v>
      </c>
      <c r="F116" s="379" t="n">
        <f aca="false">$C$116*F84</f>
        <v>738004.476</v>
      </c>
      <c r="G116" s="378" t="n">
        <f aca="false">$C$116*G84</f>
        <v>760144.61028</v>
      </c>
      <c r="H116" s="378" t="n">
        <f aca="false">$C$116*H84</f>
        <v>782948.9485884</v>
      </c>
      <c r="I116" s="378" t="n">
        <f aca="false">$C$116*I84</f>
        <v>806437.417046052</v>
      </c>
      <c r="J116" s="378" t="n">
        <f aca="false">$C$116*J84</f>
        <v>830630.539557434</v>
      </c>
      <c r="K116" s="378" t="n">
        <f aca="false">$C$116*K84</f>
        <v>855549.455744157</v>
      </c>
      <c r="L116" s="378" t="n">
        <f aca="false">$C$116*L84</f>
        <v>881215.939416482</v>
      </c>
      <c r="M116" s="378" t="n">
        <f aca="false">$C$116*M84</f>
        <v>907652.417598976</v>
      </c>
    </row>
    <row r="117" customFormat="false" ht="12.75" hidden="false" customHeight="false" outlineLevel="0" collapsed="false">
      <c r="A117" s="444"/>
      <c r="B117" s="442" t="s">
        <v>992</v>
      </c>
      <c r="C117" s="488" t="n">
        <f aca="false">F57</f>
        <v>5441000</v>
      </c>
      <c r="D117" s="522" t="n">
        <f aca="false">$F$57*D85</f>
        <v>4654731.78330612</v>
      </c>
      <c r="E117" s="522" t="n">
        <f aca="false">$F$57*E85</f>
        <v>4756204.93618219</v>
      </c>
      <c r="F117" s="523" t="n">
        <f aca="false">$F$57*F85</f>
        <v>4855609.6193484</v>
      </c>
      <c r="G117" s="522" t="n">
        <f aca="false">$F$57*G85</f>
        <v>4953207.3726973</v>
      </c>
      <c r="H117" s="522" t="n">
        <f aca="false">$F$57*H85</f>
        <v>5049299.59572763</v>
      </c>
      <c r="I117" s="522" t="n">
        <f aca="false">$F$57*I85</f>
        <v>5143721.49816774</v>
      </c>
      <c r="J117" s="522" t="n">
        <f aca="false">$F$57*J85</f>
        <v>5236308.48513476</v>
      </c>
      <c r="K117" s="522" t="n">
        <f aca="false">$F$57*K85</f>
        <v>5327943.88362462</v>
      </c>
      <c r="L117" s="522" t="n">
        <f aca="false">$F$57*L85</f>
        <v>5417453.34086951</v>
      </c>
      <c r="M117" s="522" t="n">
        <f aca="false">$F$57*M85</f>
        <v>5506299.57565977</v>
      </c>
    </row>
    <row r="118" customFormat="false" ht="12.75" hidden="false" customHeight="false" outlineLevel="0" collapsed="false">
      <c r="B118" s="444" t="s">
        <v>42</v>
      </c>
      <c r="C118" s="488" t="n">
        <f aca="false">$F$58</f>
        <v>5006132.356</v>
      </c>
      <c r="D118" s="522" t="n">
        <f aca="false">$F$58*D86</f>
        <v>4611490.93256475</v>
      </c>
      <c r="E118" s="522" t="n">
        <f aca="false">$F$58*E86</f>
        <v>4712021.43489466</v>
      </c>
      <c r="F118" s="523" t="n">
        <f aca="false">$F$58*F86</f>
        <v>4810502.68288396</v>
      </c>
      <c r="G118" s="522" t="n">
        <f aca="false">$F$58*G86</f>
        <v>4907193.78680993</v>
      </c>
      <c r="H118" s="522" t="n">
        <f aca="false">$F$58*H86</f>
        <v>5002393.34627404</v>
      </c>
      <c r="I118" s="522" t="n">
        <f aca="false">$F$58*I86</f>
        <v>5095938.10184937</v>
      </c>
      <c r="J118" s="522" t="n">
        <f aca="false">$F$58*J86</f>
        <v>5187664.98768265</v>
      </c>
      <c r="K118" s="522" t="n">
        <f aca="false">$F$58*K86</f>
        <v>5278449.1249671</v>
      </c>
      <c r="L118" s="522" t="n">
        <f aca="false">$F$58*L86</f>
        <v>5367127.07026655</v>
      </c>
      <c r="M118" s="522" t="n">
        <f aca="false">$F$58*M86</f>
        <v>5455147.95421892</v>
      </c>
    </row>
    <row r="119" customFormat="false" ht="12.75" hidden="false" customHeight="false" outlineLevel="0" collapsed="false">
      <c r="B119" s="444" t="s">
        <v>993</v>
      </c>
      <c r="C119" s="442" t="n">
        <v>0</v>
      </c>
      <c r="D119" s="522" t="n">
        <f aca="false">-SUM('RMPM-Whole'!C12:C23)</f>
        <v>28439040</v>
      </c>
      <c r="E119" s="479" t="n">
        <f aca="false">-SUM('RMPM-Whole'!C24:C25)</f>
        <v>4739840</v>
      </c>
      <c r="F119" s="523" t="n">
        <v>0</v>
      </c>
      <c r="G119" s="522" t="n">
        <v>0</v>
      </c>
      <c r="H119" s="522" t="n">
        <v>0</v>
      </c>
      <c r="I119" s="522" t="n">
        <v>0</v>
      </c>
      <c r="J119" s="522" t="n">
        <v>0</v>
      </c>
      <c r="K119" s="522" t="n">
        <v>0</v>
      </c>
      <c r="L119" s="522" t="n">
        <v>0</v>
      </c>
      <c r="M119" s="522" t="n">
        <v>0</v>
      </c>
    </row>
    <row r="120" customFormat="false" ht="12.75" hidden="false" customHeight="false" outlineLevel="0" collapsed="false">
      <c r="B120" s="444" t="s">
        <v>994</v>
      </c>
      <c r="C120" s="524" t="n">
        <f aca="false">F59</f>
        <v>3798248</v>
      </c>
      <c r="D120" s="522" t="n">
        <f aca="false">$F$59*D87</f>
        <v>3798248</v>
      </c>
      <c r="E120" s="522" t="n">
        <f aca="false">$F$59*E87</f>
        <v>3798248</v>
      </c>
      <c r="F120" s="523" t="n">
        <f aca="false">$F$59*F87</f>
        <v>3798248</v>
      </c>
      <c r="G120" s="522" t="n">
        <f aca="false">$F$59*G87</f>
        <v>3798248</v>
      </c>
      <c r="H120" s="522" t="n">
        <f aca="false">$F$59*H87</f>
        <v>3798248</v>
      </c>
      <c r="I120" s="522" t="n">
        <f aca="false">$F$59*I87</f>
        <v>3798248</v>
      </c>
      <c r="J120" s="522" t="n">
        <f aca="false">$F$59*J87</f>
        <v>3798248</v>
      </c>
      <c r="K120" s="522" t="n">
        <f aca="false">$F$59*K87</f>
        <v>3798248</v>
      </c>
      <c r="L120" s="522" t="n">
        <f aca="false">$F$59*L87</f>
        <v>3798248</v>
      </c>
      <c r="M120" s="522" t="n">
        <f aca="false">$F$59*M87</f>
        <v>3798248</v>
      </c>
    </row>
    <row r="121" customFormat="false" ht="12.75" hidden="false" customHeight="false" outlineLevel="0" collapsed="false">
      <c r="B121" s="444" t="s">
        <v>995</v>
      </c>
      <c r="C121" s="524" t="n">
        <f aca="false">IF(C12="y",F61,0)</f>
        <v>0</v>
      </c>
      <c r="D121" s="525" t="str">
        <f aca="false">IF($C$12="y",D93,"NA")</f>
        <v>NA</v>
      </c>
      <c r="E121" s="525" t="str">
        <f aca="false">IF($C$12="y",E93,"NA")</f>
        <v>NA</v>
      </c>
      <c r="F121" s="525" t="str">
        <f aca="false">IF($C$12="y",F93,"NA")</f>
        <v>NA</v>
      </c>
      <c r="G121" s="525" t="str">
        <f aca="false">IF($C$12="y",G93,"NA")</f>
        <v>NA</v>
      </c>
      <c r="H121" s="525" t="str">
        <f aca="false">IF($C$12="y",H93,"NA")</f>
        <v>NA</v>
      </c>
      <c r="I121" s="525" t="str">
        <f aca="false">IF($C$12="y",I93,"NA")</f>
        <v>NA</v>
      </c>
      <c r="J121" s="525" t="str">
        <f aca="false">IF($C$12="y",J93,"NA")</f>
        <v>NA</v>
      </c>
      <c r="K121" s="525" t="str">
        <f aca="false">IF($C$12="y",K93,"NA")</f>
        <v>NA</v>
      </c>
      <c r="L121" s="525" t="str">
        <f aca="false">IF($C$12="y",L93,"NA")</f>
        <v>NA</v>
      </c>
      <c r="M121" s="525" t="str">
        <f aca="false">IF($C$12="y",M93,"NA")</f>
        <v>NA</v>
      </c>
    </row>
    <row r="122" customFormat="false" ht="12.75" hidden="false" customHeight="false" outlineLevel="0" collapsed="false">
      <c r="B122" s="444" t="s">
        <v>996</v>
      </c>
      <c r="C122" s="524" t="n">
        <v>0</v>
      </c>
      <c r="D122" s="525" t="str">
        <f aca="false">IF($C$12="y",D97,"NA")</f>
        <v>NA</v>
      </c>
      <c r="E122" s="525" t="str">
        <f aca="false">IF($C$12="y",E97,"NA")</f>
        <v>NA</v>
      </c>
      <c r="F122" s="525" t="str">
        <f aca="false">IF($C$12="y",F97,"NA")</f>
        <v>NA</v>
      </c>
      <c r="G122" s="525" t="str">
        <f aca="false">IF($C$12="y",G97,"NA")</f>
        <v>NA</v>
      </c>
      <c r="H122" s="525" t="str">
        <f aca="false">IF($C$12="y",H97,"NA")</f>
        <v>NA</v>
      </c>
      <c r="I122" s="525" t="str">
        <f aca="false">IF($C$12="y",I97,"NA")</f>
        <v>NA</v>
      </c>
      <c r="J122" s="525" t="str">
        <f aca="false">IF($C$12="y",J97,"NA")</f>
        <v>NA</v>
      </c>
      <c r="K122" s="525" t="str">
        <f aca="false">IF($C$12="y",K97,"NA")</f>
        <v>NA</v>
      </c>
      <c r="L122" s="525" t="str">
        <f aca="false">IF($C$12="y",L97,"NA")</f>
        <v>NA</v>
      </c>
      <c r="M122" s="525" t="str">
        <f aca="false">IF($C$12="y",M97,"NA")</f>
        <v>NA</v>
      </c>
    </row>
    <row r="123" customFormat="false" ht="12.75" hidden="false" customHeight="false" outlineLevel="0" collapsed="false">
      <c r="B123" s="444" t="s">
        <v>997</v>
      </c>
      <c r="C123" s="524"/>
      <c r="D123" s="525" t="str">
        <f aca="false">IF(C12="y",100000,"NA")</f>
        <v>NA</v>
      </c>
      <c r="E123" s="522"/>
      <c r="F123" s="522"/>
      <c r="G123" s="522"/>
      <c r="H123" s="522"/>
      <c r="I123" s="522"/>
      <c r="J123" s="522"/>
      <c r="K123" s="522"/>
      <c r="L123" s="522"/>
      <c r="M123" s="522"/>
      <c r="N123" s="456"/>
    </row>
    <row r="124" customFormat="false" ht="12.75" hidden="false" customHeight="false" outlineLevel="0" collapsed="false">
      <c r="A124" s="444"/>
      <c r="B124" s="468" t="s">
        <v>998</v>
      </c>
      <c r="C124" s="526" t="n">
        <f aca="false">C109+C112+C115+SUM(C116:C123)</f>
        <v>58422380.356</v>
      </c>
      <c r="D124" s="527" t="n">
        <f aca="false">D109+D112+D115+SUM(D116:D123)</f>
        <v>86160695.0316768</v>
      </c>
      <c r="E124" s="527" t="n">
        <f aca="false">E109+E112+E115+SUM(E116:E123)</f>
        <v>55991462.5787669</v>
      </c>
      <c r="F124" s="527" t="n">
        <f aca="false">F109+F112+F115+SUM(F116:F123)</f>
        <v>50171879.096791</v>
      </c>
      <c r="G124" s="527" t="n">
        <f aca="false">G109+G112+G115+SUM(G116:G123)</f>
        <v>50443654.8556235</v>
      </c>
      <c r="H124" s="527" t="n">
        <f aca="false">H109+H112+H115+SUM(H116:H123)</f>
        <v>50718088.1193323</v>
      </c>
      <c r="I124" s="527" t="n">
        <f aca="false">I109+I112+I115+SUM(I116:I123)</f>
        <v>50994843.3868253</v>
      </c>
      <c r="J124" s="527" t="n">
        <f aca="false">J109+J112+J115+SUM(J116:J123)</f>
        <v>51273587.8923674</v>
      </c>
      <c r="K124" s="527" t="n">
        <f aca="false">K109+K112+K115+SUM(K116:K123)</f>
        <v>51556077.4147826</v>
      </c>
      <c r="L124" s="527" t="n">
        <f aca="false">L109+L112+L115+SUM(L116:L123)</f>
        <v>51839973.9766987</v>
      </c>
      <c r="M124" s="528" t="n">
        <f aca="false">M109+M112+M115+SUM(M116:M123)</f>
        <v>52128191.7547163</v>
      </c>
    </row>
    <row r="125" customFormat="false" ht="12.75" hidden="false" customHeight="false" outlineLevel="0" collapsed="false">
      <c r="A125" s="444"/>
      <c r="B125" s="468"/>
      <c r="C125" s="378"/>
      <c r="D125" s="378"/>
      <c r="E125" s="378"/>
      <c r="F125" s="378"/>
      <c r="G125" s="378"/>
      <c r="H125" s="378"/>
      <c r="I125" s="378"/>
      <c r="J125" s="378"/>
      <c r="K125" s="378"/>
      <c r="L125" s="378"/>
      <c r="M125" s="378"/>
    </row>
    <row r="126" customFormat="false" ht="12.75" hidden="false" customHeight="false" outlineLevel="0" collapsed="false">
      <c r="A126" s="444"/>
      <c r="B126" s="468" t="s">
        <v>999</v>
      </c>
      <c r="C126" s="378"/>
      <c r="D126" s="378" t="n">
        <f aca="false">D103-D124</f>
        <v>-29497256.9790662</v>
      </c>
      <c r="E126" s="378" t="n">
        <f aca="false">E103-E124</f>
        <v>1267080.30732981</v>
      </c>
      <c r="F126" s="378" t="n">
        <f aca="false">F103-F124</f>
        <v>7677307.3875531</v>
      </c>
      <c r="G126" s="378" t="n">
        <f aca="false">G103-G124</f>
        <v>8002967.62834786</v>
      </c>
      <c r="H126" s="378" t="n">
        <f aca="false">H103-H124</f>
        <v>8332840.87826215</v>
      </c>
      <c r="I126" s="378" t="n">
        <f aca="false">I103-I124</f>
        <v>8667341.64929877</v>
      </c>
      <c r="J126" s="378" t="n">
        <f aca="false">J103-J124</f>
        <v>9006882.62672944</v>
      </c>
      <c r="K126" s="378" t="n">
        <f aca="false">K103-K124</f>
        <v>9349788.87034115</v>
      </c>
      <c r="L126" s="378" t="n">
        <f aca="false">L103-L124</f>
        <v>9698480.12576135</v>
      </c>
      <c r="M126" s="378" t="n">
        <f aca="false">M103-M124</f>
        <v>10050124.9249793</v>
      </c>
    </row>
    <row r="127" customFormat="false" ht="12.75" hidden="false" customHeight="false" outlineLevel="0" collapsed="false">
      <c r="A127" s="444"/>
      <c r="B127" s="444" t="s">
        <v>1000</v>
      </c>
      <c r="C127" s="378" t="n">
        <f aca="false">-C29</f>
        <v>-2150000</v>
      </c>
      <c r="D127" s="378"/>
      <c r="E127" s="378"/>
      <c r="F127" s="378"/>
      <c r="G127" s="378"/>
      <c r="H127" s="378"/>
      <c r="I127" s="378"/>
      <c r="J127" s="378"/>
      <c r="K127" s="378"/>
      <c r="L127" s="378"/>
      <c r="M127" s="378"/>
    </row>
    <row r="128" customFormat="false" ht="12" hidden="false" customHeight="true" outlineLevel="0" collapsed="false">
      <c r="A128" s="444"/>
      <c r="B128" s="444" t="s">
        <v>1001</v>
      </c>
      <c r="C128" s="529"/>
      <c r="D128" s="530" t="n">
        <f aca="false">-(C112+C115+C116)*C28</f>
        <v>-662655</v>
      </c>
      <c r="E128" s="530" t="n">
        <f aca="false">D128</f>
        <v>-662655</v>
      </c>
      <c r="F128" s="530" t="n">
        <f aca="false">E128</f>
        <v>-662655</v>
      </c>
      <c r="G128" s="531" t="n">
        <f aca="false">F128</f>
        <v>-662655</v>
      </c>
      <c r="H128" s="531" t="n">
        <f aca="false">G128</f>
        <v>-662655</v>
      </c>
      <c r="I128" s="531" t="n">
        <f aca="false">H128</f>
        <v>-662655</v>
      </c>
      <c r="J128" s="531" t="n">
        <f aca="false">I128</f>
        <v>-662655</v>
      </c>
      <c r="K128" s="531" t="n">
        <f aca="false">J128</f>
        <v>-662655</v>
      </c>
      <c r="L128" s="531" t="n">
        <f aca="false">K128</f>
        <v>-662655</v>
      </c>
      <c r="M128" s="531" t="n">
        <f aca="false">L128</f>
        <v>-662655</v>
      </c>
    </row>
    <row r="129" customFormat="false" ht="12.75" hidden="false" customHeight="false" outlineLevel="0" collapsed="false">
      <c r="A129" s="444"/>
      <c r="B129" s="468" t="s">
        <v>1002</v>
      </c>
      <c r="C129" s="453" t="n">
        <f aca="false">C126+C127+C128</f>
        <v>-2150000</v>
      </c>
      <c r="D129" s="453" t="n">
        <f aca="false">D126+D127+D128</f>
        <v>-30159911.9790662</v>
      </c>
      <c r="E129" s="453" t="n">
        <f aca="false">E126+E127+E128</f>
        <v>604425.307329811</v>
      </c>
      <c r="F129" s="453" t="n">
        <f aca="false">F126+F127+F128</f>
        <v>7014652.3875531</v>
      </c>
      <c r="G129" s="453" t="n">
        <f aca="false">G126+G127+G128</f>
        <v>7340312.62834786</v>
      </c>
      <c r="H129" s="453" t="n">
        <f aca="false">H126+H127+H128</f>
        <v>7670185.87826215</v>
      </c>
      <c r="I129" s="453" t="n">
        <f aca="false">I126+I127+I128</f>
        <v>8004686.64929877</v>
      </c>
      <c r="J129" s="453" t="n">
        <f aca="false">J126+J127+J128</f>
        <v>8344227.62672944</v>
      </c>
      <c r="K129" s="453" t="n">
        <f aca="false">K126+K127+K128</f>
        <v>8687133.87034115</v>
      </c>
      <c r="L129" s="453" t="n">
        <f aca="false">L126+L127+L128</f>
        <v>9035825.12576135</v>
      </c>
      <c r="M129" s="453" t="n">
        <f aca="false">M126+M127+M128</f>
        <v>9387469.92497934</v>
      </c>
    </row>
    <row r="130" customFormat="false" ht="12.75" hidden="false" customHeight="false" outlineLevel="0" collapsed="false">
      <c r="A130" s="444"/>
      <c r="B130" s="444"/>
      <c r="C130" s="444"/>
      <c r="D130" s="462"/>
      <c r="F130" s="444"/>
      <c r="G130" s="444"/>
      <c r="H130" s="444"/>
      <c r="I130" s="444"/>
      <c r="J130" s="444"/>
      <c r="K130" s="444"/>
      <c r="L130" s="444"/>
    </row>
    <row r="131" customFormat="false" ht="12.75" hidden="false" customHeight="false" outlineLevel="0" collapsed="false">
      <c r="A131" s="444"/>
      <c r="B131" s="532" t="s">
        <v>1003</v>
      </c>
      <c r="C131" s="533" t="n">
        <f aca="false">NPV('general info'!B45,D129:M129)+C129</f>
        <v>913657.543293821</v>
      </c>
      <c r="D131" s="462"/>
      <c r="F131" s="444"/>
      <c r="G131" s="444"/>
      <c r="H131" s="444"/>
      <c r="I131" s="444"/>
      <c r="J131" s="444"/>
      <c r="K131" s="444"/>
      <c r="L131" s="444"/>
    </row>
    <row r="132" customFormat="false" ht="12.75" hidden="false" customHeight="false" outlineLevel="0" collapsed="false">
      <c r="B132" s="534"/>
      <c r="C132" s="535"/>
      <c r="F132" s="444"/>
      <c r="G132" s="444"/>
      <c r="H132" s="444"/>
      <c r="I132" s="444"/>
      <c r="J132" s="444"/>
      <c r="K132" s="444"/>
      <c r="L132" s="444"/>
    </row>
    <row r="133" customFormat="false" ht="12.75" hidden="false" customHeight="false" outlineLevel="0" collapsed="false">
      <c r="A133" s="469"/>
      <c r="B133" s="442" t="s">
        <v>1004</v>
      </c>
      <c r="C133" s="103" t="n">
        <f aca="false">'general info'!D8</f>
        <v>48800532.428</v>
      </c>
    </row>
    <row r="134" customFormat="false" ht="12.75" hidden="false" customHeight="false" outlineLevel="0" collapsed="false">
      <c r="A134" s="469"/>
      <c r="B134" s="442" t="s">
        <v>1005</v>
      </c>
      <c r="C134" s="103" t="n">
        <f aca="false">D34</f>
        <v>18622539</v>
      </c>
      <c r="D134" s="463" t="s">
        <v>1006</v>
      </c>
    </row>
    <row r="135" customFormat="false" ht="12.75" hidden="false" customHeight="false" outlineLevel="0" collapsed="false">
      <c r="A135" s="469"/>
      <c r="B135" s="444" t="s">
        <v>1007</v>
      </c>
      <c r="C135" s="500" t="n">
        <f aca="false">IRR(D129:M129)</f>
        <v>0.160372849014165</v>
      </c>
    </row>
    <row r="136" customFormat="false" ht="12.75" hidden="false" customHeight="false" outlineLevel="0" collapsed="false">
      <c r="A136" s="469"/>
      <c r="B136" s="444"/>
      <c r="C136" s="536"/>
    </row>
    <row r="137" customFormat="false" ht="12.75" hidden="false" customHeight="false" outlineLevel="0" collapsed="false">
      <c r="A137" s="468"/>
      <c r="B137" s="476" t="s">
        <v>982</v>
      </c>
      <c r="C137" s="502"/>
      <c r="D137" s="476" t="n">
        <f aca="false">-IF($C$10="mid",SUM('RMPM-Whole'!$DL$12:$DL$23),SUM('RMPM-Whole'!$L$12:$L$23))</f>
        <v>-0</v>
      </c>
      <c r="E137" s="476" t="n">
        <f aca="false">-IF($C$10="mid",SUM('RMPM-Whole'!$DL$24:$DL$35),SUM('RMPM-Whole'!$L$24:$L$35))</f>
        <v>-4748329.2700925</v>
      </c>
      <c r="F137" s="476" t="n">
        <f aca="false">-IF($C$10="mid",SUM('RMPM-Whole'!$DL$36:$DL$47),SUM('RMPM-Whole'!$L$36:$L$47))</f>
        <v>-5697995.124111</v>
      </c>
      <c r="G137" s="476" t="n">
        <f aca="false">-IF($C$10="mid",SUM('RMPM-Whole'!$DL$48:$DL$59),SUM('RMPM-Whole'!$L$48:$L$59))</f>
        <v>-5697995.124111</v>
      </c>
      <c r="H137" s="476" t="n">
        <f aca="false">-IF($C$10="mid",SUM('RMPM-Whole'!$DL$60:$DL$71),SUM('RMPM-Whole'!$L$60:$L$71))</f>
        <v>-5697995.124111</v>
      </c>
      <c r="I137" s="476" t="n">
        <f aca="false">-IF($C$10="mid",SUM('RMPM-Whole'!$DL$72:$DL$83),SUM('RMPM-Whole'!$L$72:$L$83))</f>
        <v>-5697995.124111</v>
      </c>
      <c r="J137" s="476" t="n">
        <f aca="false">-IF($C$10="mid",SUM('RMPM-Whole'!$DL$84:$DL$95),SUM('RMPM-Whole'!$L$84:$L$95))</f>
        <v>-5697995.124111</v>
      </c>
      <c r="K137" s="476" t="n">
        <f aca="false">-IF($C$10="mid",SUM('RMPM-Whole'!$DL$96:$DL$107),SUM('RMPM-Whole'!$L$96:$L$107))</f>
        <v>-5697995.124111</v>
      </c>
      <c r="L137" s="476" t="n">
        <f aca="false">-IF($C$10="mid",SUM('RMPM-Whole'!$DL$108:$DL$119),SUM('RMPM-Whole'!$L$108:$L$119))</f>
        <v>-5697995.124111</v>
      </c>
      <c r="M137" s="476" t="n">
        <f aca="false">-IF($C$10="mid",SUM('RMPM-Whole'!$DL$120:$DL$131),SUM('RMPM-Whole'!$L$120:$L$131))</f>
        <v>-5697995.124111</v>
      </c>
    </row>
    <row r="138" customFormat="false" ht="12.75" hidden="false" customHeight="false" outlineLevel="0" collapsed="false">
      <c r="A138" s="469"/>
      <c r="B138" s="444"/>
      <c r="C138" s="536"/>
    </row>
    <row r="139" customFormat="false" ht="12.75" hidden="false" customHeight="false" outlineLevel="0" collapsed="false">
      <c r="B139" s="469" t="s">
        <v>1008</v>
      </c>
      <c r="C139" s="488"/>
    </row>
    <row r="140" customFormat="false" ht="12.75" hidden="false" customHeight="false" outlineLevel="0" collapsed="false">
      <c r="B140" s="468" t="s">
        <v>1009</v>
      </c>
      <c r="C140" s="488" t="n">
        <f aca="false">C129+C119+C137</f>
        <v>-2150000</v>
      </c>
      <c r="D140" s="488" t="n">
        <f aca="false">D129+D119+D137</f>
        <v>-1720871.97906625</v>
      </c>
      <c r="E140" s="488" t="n">
        <f aca="false">E129+E119+E137</f>
        <v>595936.037237311</v>
      </c>
      <c r="F140" s="488" t="n">
        <f aca="false">F129+F119+F137</f>
        <v>1316657.2634421</v>
      </c>
      <c r="G140" s="488" t="n">
        <f aca="false">G129+G119+G137</f>
        <v>1642317.50423686</v>
      </c>
      <c r="H140" s="488" t="n">
        <f aca="false">H129+H119+H137</f>
        <v>1972190.75415115</v>
      </c>
      <c r="I140" s="488" t="n">
        <f aca="false">I129+I119+I137</f>
        <v>2306691.52518777</v>
      </c>
      <c r="J140" s="488" t="n">
        <f aca="false">J129+J119+J137</f>
        <v>2646232.50261844</v>
      </c>
      <c r="K140" s="488" t="n">
        <f aca="false">K129+K119+K137</f>
        <v>2989138.74623014</v>
      </c>
      <c r="L140" s="488" t="n">
        <f aca="false">L129+L119+L137</f>
        <v>3337830.00165035</v>
      </c>
      <c r="M140" s="488" t="n">
        <f aca="false">M129+M119+M137</f>
        <v>3689474.80086834</v>
      </c>
    </row>
    <row r="141" customFormat="false" ht="12.75" hidden="false" customHeight="false" outlineLevel="0" collapsed="false">
      <c r="B141" s="468" t="s">
        <v>1010</v>
      </c>
      <c r="C141" s="537" t="n">
        <f aca="false">NPV(0.0945,D140:M140)</f>
        <v>9505709.03134449</v>
      </c>
    </row>
    <row r="142" customFormat="false" ht="12.75" hidden="false" customHeight="false" outlineLevel="0" collapsed="false">
      <c r="B142" s="468"/>
      <c r="C142" s="537"/>
    </row>
    <row r="143" customFormat="false" ht="12.75" hidden="false" customHeight="false" outlineLevel="0" collapsed="false">
      <c r="B143" s="468" t="s">
        <v>1011</v>
      </c>
      <c r="C143" s="537" t="n">
        <f aca="false">NPV('general info'!$B$45,D140:M140)+C140</f>
        <v>5096302.96193024</v>
      </c>
    </row>
    <row r="144" customFormat="false" ht="12.75" hidden="false" customHeight="false" outlineLevel="0" collapsed="false">
      <c r="B144" s="468" t="s">
        <v>1000</v>
      </c>
      <c r="C144" s="537"/>
    </row>
    <row r="145" customFormat="false" ht="12.75" hidden="false" customHeight="false" outlineLevel="0" collapsed="false">
      <c r="B145" s="468" t="s">
        <v>1012</v>
      </c>
      <c r="C145" s="537"/>
    </row>
    <row r="146" customFormat="false" ht="12.75" hidden="false" customHeight="false" outlineLevel="0" collapsed="false">
      <c r="C146" s="513"/>
      <c r="D146" s="536"/>
    </row>
    <row r="147" customFormat="false" ht="12.75" hidden="false" customHeight="false" outlineLevel="0" collapsed="false">
      <c r="A147" s="468"/>
      <c r="B147" s="532" t="s">
        <v>1013</v>
      </c>
      <c r="C147" s="538" t="n">
        <f aca="false">SUM(D103:M103)</f>
        <v>593834011.527118</v>
      </c>
      <c r="D147" s="539"/>
      <c r="E147" s="539"/>
      <c r="F147" s="539"/>
      <c r="G147" s="539"/>
      <c r="H147" s="539"/>
      <c r="I147" s="539"/>
      <c r="J147" s="539"/>
      <c r="K147" s="539"/>
      <c r="L147" s="539"/>
      <c r="M147" s="539"/>
      <c r="N147" s="468"/>
      <c r="O147" s="468"/>
      <c r="P147" s="468"/>
      <c r="Q147" s="468"/>
      <c r="R147" s="468"/>
      <c r="S147" s="468"/>
      <c r="T147" s="468"/>
      <c r="U147" s="468"/>
      <c r="V147" s="468"/>
      <c r="W147" s="468"/>
      <c r="X147" s="468"/>
      <c r="Y147" s="468"/>
      <c r="Z147" s="468"/>
      <c r="AA147" s="468"/>
      <c r="AB147" s="468"/>
      <c r="AC147" s="468"/>
      <c r="AD147" s="468"/>
      <c r="AE147" s="468"/>
      <c r="AF147" s="468"/>
      <c r="AG147" s="468"/>
      <c r="AH147" s="468"/>
      <c r="AI147" s="468"/>
      <c r="AJ147" s="468"/>
      <c r="AK147" s="468"/>
      <c r="AL147" s="468"/>
      <c r="AM147" s="468"/>
      <c r="AN147" s="468"/>
      <c r="AO147" s="468"/>
      <c r="AP147" s="468"/>
      <c r="AQ147" s="468"/>
      <c r="AR147" s="468"/>
      <c r="AS147" s="468"/>
      <c r="AT147" s="468"/>
      <c r="AU147" s="468"/>
      <c r="AV147" s="468"/>
      <c r="AW147" s="468"/>
      <c r="AX147" s="468"/>
      <c r="AY147" s="468"/>
      <c r="AZ147" s="468"/>
      <c r="BA147" s="468"/>
      <c r="BB147" s="468"/>
      <c r="BC147" s="468"/>
      <c r="BD147" s="468"/>
      <c r="BE147" s="468"/>
      <c r="BF147" s="468"/>
      <c r="BG147" s="468"/>
      <c r="BH147" s="468"/>
      <c r="BI147" s="468"/>
      <c r="BJ147" s="468"/>
      <c r="BK147" s="468"/>
      <c r="BL147" s="468"/>
      <c r="BM147" s="468"/>
      <c r="BN147" s="468"/>
      <c r="BO147" s="468"/>
      <c r="BP147" s="468"/>
      <c r="BQ147" s="468"/>
      <c r="BR147" s="468"/>
      <c r="BS147" s="468"/>
      <c r="BT147" s="468"/>
      <c r="BU147" s="468"/>
      <c r="BV147" s="468"/>
      <c r="BW147" s="468"/>
      <c r="BX147" s="468"/>
      <c r="BY147" s="468"/>
      <c r="BZ147" s="468"/>
      <c r="CA147" s="468"/>
      <c r="CB147" s="468"/>
      <c r="CC147" s="468"/>
      <c r="CD147" s="468"/>
      <c r="CE147" s="468"/>
      <c r="CF147" s="468"/>
      <c r="CG147" s="468"/>
      <c r="CH147" s="468"/>
      <c r="CI147" s="468"/>
      <c r="CJ147" s="468"/>
      <c r="CK147" s="468"/>
      <c r="CL147" s="468"/>
      <c r="CM147" s="468"/>
      <c r="CN147" s="468"/>
      <c r="CO147" s="468"/>
      <c r="CP147" s="468"/>
      <c r="CQ147" s="468"/>
      <c r="CR147" s="468"/>
      <c r="CS147" s="468"/>
      <c r="CT147" s="468"/>
      <c r="CU147" s="468"/>
      <c r="CV147" s="468"/>
      <c r="CW147" s="468"/>
      <c r="CX147" s="468"/>
      <c r="CY147" s="468"/>
      <c r="CZ147" s="468"/>
      <c r="DA147" s="468"/>
      <c r="DB147" s="468"/>
      <c r="DC147" s="468"/>
      <c r="DD147" s="468"/>
      <c r="DE147" s="468"/>
      <c r="DF147" s="468"/>
      <c r="DG147" s="468"/>
      <c r="DH147" s="468"/>
      <c r="DI147" s="468"/>
      <c r="DJ147" s="468"/>
      <c r="DK147" s="468"/>
      <c r="DL147" s="468"/>
      <c r="DM147" s="468"/>
      <c r="DN147" s="468"/>
      <c r="DO147" s="468"/>
      <c r="DP147" s="468"/>
      <c r="DQ147" s="468"/>
      <c r="DR147" s="468"/>
      <c r="DS147" s="468"/>
      <c r="DT147" s="468"/>
      <c r="DU147" s="468"/>
      <c r="DV147" s="468"/>
      <c r="DW147" s="468"/>
      <c r="DX147" s="468"/>
      <c r="DY147" s="468"/>
      <c r="DZ147" s="468"/>
      <c r="EA147" s="468"/>
      <c r="EB147" s="468"/>
      <c r="EC147" s="468"/>
      <c r="ED147" s="468"/>
      <c r="EE147" s="468"/>
      <c r="EF147" s="468"/>
      <c r="EG147" s="468"/>
      <c r="EH147" s="468"/>
      <c r="EI147" s="468"/>
      <c r="EJ147" s="468"/>
      <c r="EK147" s="468"/>
      <c r="EL147" s="468"/>
      <c r="EM147" s="468"/>
      <c r="EN147" s="468"/>
      <c r="EO147" s="468"/>
      <c r="EP147" s="468"/>
      <c r="EQ147" s="468"/>
      <c r="ER147" s="468"/>
      <c r="ES147" s="468"/>
      <c r="ET147" s="468"/>
      <c r="EU147" s="468"/>
      <c r="EV147" s="468"/>
      <c r="EW147" s="468"/>
      <c r="EX147" s="468"/>
      <c r="EY147" s="468"/>
      <c r="EZ147" s="468"/>
      <c r="FA147" s="468"/>
      <c r="FB147" s="468"/>
      <c r="FC147" s="468"/>
      <c r="FD147" s="468"/>
      <c r="FE147" s="468"/>
      <c r="FF147" s="468"/>
      <c r="FG147" s="468"/>
      <c r="FH147" s="468"/>
      <c r="FI147" s="468"/>
      <c r="FJ147" s="468"/>
      <c r="FK147" s="468"/>
      <c r="FL147" s="468"/>
      <c r="FM147" s="468"/>
      <c r="FN147" s="468"/>
      <c r="FO147" s="468"/>
      <c r="FP147" s="468"/>
      <c r="FQ147" s="468"/>
      <c r="FR147" s="468"/>
      <c r="FS147" s="468"/>
      <c r="FT147" s="468"/>
      <c r="FU147" s="468"/>
      <c r="FV147" s="468"/>
      <c r="FW147" s="468"/>
      <c r="FX147" s="468"/>
      <c r="FY147" s="468"/>
      <c r="FZ147" s="468"/>
      <c r="GA147" s="468"/>
      <c r="GB147" s="468"/>
      <c r="GC147" s="468"/>
      <c r="GD147" s="468"/>
      <c r="GE147" s="468"/>
      <c r="GF147" s="468"/>
      <c r="GG147" s="468"/>
      <c r="GH147" s="468"/>
      <c r="GI147" s="468"/>
      <c r="GJ147" s="468"/>
      <c r="GK147" s="468"/>
      <c r="GL147" s="468"/>
      <c r="GM147" s="468"/>
      <c r="GN147" s="468"/>
      <c r="GO147" s="468"/>
      <c r="GP147" s="468"/>
      <c r="GQ147" s="468"/>
      <c r="GR147" s="468"/>
      <c r="GS147" s="468"/>
      <c r="GT147" s="468"/>
      <c r="GU147" s="468"/>
      <c r="GV147" s="468"/>
      <c r="GW147" s="468"/>
      <c r="GX147" s="468"/>
      <c r="GY147" s="468"/>
      <c r="GZ147" s="468"/>
      <c r="HA147" s="468"/>
      <c r="HB147" s="468"/>
      <c r="HC147" s="468"/>
      <c r="HD147" s="468"/>
      <c r="HE147" s="468"/>
      <c r="HF147" s="468"/>
      <c r="HG147" s="468"/>
      <c r="HH147" s="468"/>
      <c r="HI147" s="468"/>
      <c r="HJ147" s="468"/>
      <c r="HK147" s="468"/>
      <c r="HL147" s="468"/>
      <c r="HM147" s="468"/>
      <c r="HN147" s="468"/>
      <c r="HO147" s="468"/>
      <c r="HP147" s="468"/>
      <c r="HQ147" s="468"/>
      <c r="HR147" s="468"/>
      <c r="HS147" s="468"/>
      <c r="HT147" s="468"/>
      <c r="HU147" s="468"/>
      <c r="HV147" s="468"/>
      <c r="HW147" s="468"/>
      <c r="HX147" s="468"/>
      <c r="HY147" s="468"/>
      <c r="HZ147" s="468"/>
      <c r="IA147" s="468"/>
      <c r="IB147" s="468"/>
      <c r="IC147" s="468"/>
      <c r="ID147" s="468"/>
      <c r="IE147" s="468"/>
      <c r="IF147" s="468"/>
      <c r="IG147" s="468"/>
      <c r="IH147" s="468"/>
      <c r="II147" s="468"/>
      <c r="IJ147" s="468"/>
      <c r="IK147" s="468"/>
      <c r="IL147" s="468"/>
      <c r="IM147" s="468"/>
      <c r="IN147" s="468"/>
      <c r="IO147" s="468"/>
      <c r="IP147" s="468"/>
      <c r="IQ147" s="468"/>
      <c r="IR147" s="468"/>
      <c r="IS147" s="468"/>
      <c r="IT147" s="468"/>
      <c r="IU147" s="468"/>
      <c r="IV147" s="468"/>
      <c r="IW147" s="468"/>
    </row>
    <row r="148" customFormat="false" ht="12.75" hidden="false" customHeight="false" outlineLevel="0" collapsed="false">
      <c r="B148" s="540" t="s">
        <v>1014</v>
      </c>
      <c r="C148" s="541" t="n">
        <f aca="false">SUM(D129:M129)</f>
        <v>35929007.4195367</v>
      </c>
      <c r="D148" s="513"/>
    </row>
    <row r="149" customFormat="false" ht="12.75" hidden="false" customHeight="false" outlineLevel="0" collapsed="false">
      <c r="B149" s="542" t="s">
        <v>1015</v>
      </c>
      <c r="C149" s="543" t="n">
        <f aca="false">C148/C147</f>
        <v>0.0605034516752263</v>
      </c>
      <c r="D149" s="513"/>
    </row>
    <row r="150" customFormat="false" ht="12.75" hidden="false" customHeight="false" outlineLevel="0" collapsed="false">
      <c r="B150" s="540" t="s">
        <v>1016</v>
      </c>
      <c r="C150" s="544" t="n">
        <f aca="false">NPV('general info'!B45,E119)+D119</f>
        <v>32615110.4845815</v>
      </c>
    </row>
    <row r="151" customFormat="false" ht="12.75" hidden="false" customHeight="false" outlineLevel="0" collapsed="false">
      <c r="B151" s="534" t="s">
        <v>1007</v>
      </c>
      <c r="C151" s="545" t="n">
        <f aca="false">IRR(D129:M129)</f>
        <v>0.160372849014165</v>
      </c>
    </row>
    <row r="152" customFormat="false" ht="12.75" hidden="false" customHeight="false" outlineLevel="0" collapsed="false">
      <c r="B152" s="546"/>
      <c r="C152" s="547"/>
    </row>
    <row r="153" customFormat="false" ht="12.75" hidden="false" customHeight="false" outlineLevel="0" collapsed="false">
      <c r="B153" s="513"/>
    </row>
    <row r="157" customFormat="false" ht="12.75" hidden="false" customHeight="false" outlineLevel="0" collapsed="false">
      <c r="C157" s="103"/>
      <c r="D157" s="103"/>
      <c r="E157" s="103"/>
      <c r="F157" s="103"/>
      <c r="G157" s="103"/>
      <c r="H157" s="103"/>
      <c r="I157" s="103"/>
      <c r="J157" s="103"/>
      <c r="K157" s="103"/>
      <c r="L157" s="103"/>
      <c r="M157" s="103"/>
    </row>
    <row r="158" customFormat="false" ht="12.75" hidden="false" customHeight="false" outlineLevel="0" collapsed="false">
      <c r="C158" s="103"/>
      <c r="D158" s="103"/>
      <c r="E158" s="103"/>
      <c r="F158" s="103"/>
      <c r="G158" s="103"/>
      <c r="H158" s="103"/>
      <c r="I158" s="103"/>
      <c r="J158" s="103"/>
      <c r="K158" s="103"/>
      <c r="L158" s="103"/>
      <c r="M158" s="103"/>
    </row>
    <row r="159" customFormat="false" ht="12.75" hidden="false" customHeight="false" outlineLevel="0" collapsed="false">
      <c r="C159" s="103"/>
      <c r="D159" s="103"/>
      <c r="E159" s="103"/>
      <c r="F159" s="103"/>
      <c r="G159" s="103"/>
      <c r="H159" s="103"/>
      <c r="I159" s="103"/>
      <c r="J159" s="103"/>
      <c r="K159" s="103"/>
      <c r="L159" s="103"/>
      <c r="M159" s="103"/>
    </row>
    <row r="160" customFormat="false" ht="12.75" hidden="false" customHeight="false" outlineLevel="0" collapsed="false">
      <c r="C160" s="103"/>
      <c r="D160" s="103"/>
      <c r="E160" s="103"/>
      <c r="F160" s="103"/>
      <c r="G160" s="103"/>
      <c r="H160" s="103"/>
      <c r="I160" s="103"/>
      <c r="J160" s="103"/>
      <c r="K160" s="103"/>
      <c r="L160" s="103"/>
      <c r="M160" s="103"/>
    </row>
    <row r="161" customFormat="false" ht="12.75" hidden="false" customHeight="false" outlineLevel="0" collapsed="false">
      <c r="C161" s="103"/>
      <c r="D161" s="103"/>
      <c r="E161" s="103"/>
      <c r="F161" s="103"/>
      <c r="G161" s="103"/>
      <c r="H161" s="103"/>
      <c r="I161" s="103"/>
      <c r="J161" s="103"/>
      <c r="K161" s="103"/>
      <c r="L161" s="103"/>
      <c r="M161" s="103"/>
    </row>
    <row r="162" customFormat="false" ht="12.75" hidden="false" customHeight="false" outlineLevel="0" collapsed="false">
      <c r="C162" s="103"/>
      <c r="D162" s="103"/>
      <c r="E162" s="103"/>
      <c r="F162" s="103"/>
      <c r="G162" s="103"/>
      <c r="H162" s="103"/>
      <c r="I162" s="103"/>
      <c r="J162" s="103"/>
      <c r="K162" s="103"/>
      <c r="L162" s="103"/>
      <c r="M162" s="103"/>
    </row>
    <row r="163" customFormat="false" ht="12.75" hidden="false" customHeight="false" outlineLevel="0" collapsed="false">
      <c r="C163" s="103"/>
      <c r="D163" s="103"/>
      <c r="E163" s="103"/>
      <c r="F163" s="103"/>
      <c r="G163" s="103"/>
      <c r="H163" s="103"/>
      <c r="I163" s="103"/>
      <c r="J163" s="103"/>
      <c r="K163" s="103"/>
      <c r="L163" s="103"/>
      <c r="M163" s="103"/>
    </row>
    <row r="164" customFormat="false" ht="12.75" hidden="false" customHeight="false" outlineLevel="0" collapsed="false">
      <c r="C164" s="103"/>
      <c r="D164" s="103"/>
      <c r="E164" s="103"/>
      <c r="F164" s="103"/>
      <c r="G164" s="103"/>
      <c r="H164" s="103"/>
      <c r="I164" s="103"/>
      <c r="J164" s="103"/>
      <c r="K164" s="103"/>
      <c r="L164" s="103"/>
      <c r="M164" s="103"/>
    </row>
    <row r="165" customFormat="false" ht="12.75" hidden="false" customHeight="false" outlineLevel="0" collapsed="false">
      <c r="C165" s="103"/>
      <c r="D165" s="103"/>
      <c r="E165" s="103"/>
      <c r="F165" s="103"/>
      <c r="G165" s="103"/>
      <c r="H165" s="103"/>
      <c r="I165" s="103"/>
      <c r="J165" s="103"/>
      <c r="K165" s="103"/>
      <c r="L165" s="103"/>
      <c r="M165" s="103"/>
    </row>
    <row r="166" customFormat="false" ht="12.75" hidden="false" customHeight="false" outlineLevel="0" collapsed="false">
      <c r="C166" s="103"/>
      <c r="D166" s="103"/>
      <c r="E166" s="103"/>
      <c r="F166" s="103"/>
      <c r="G166" s="103"/>
      <c r="H166" s="103"/>
      <c r="I166" s="103"/>
      <c r="J166" s="103"/>
      <c r="K166" s="103"/>
      <c r="L166" s="103"/>
      <c r="M166" s="103"/>
    </row>
    <row r="167" customFormat="false" ht="12.75" hidden="false" customHeight="false" outlineLevel="0" collapsed="false">
      <c r="C167" s="103"/>
      <c r="D167" s="103"/>
      <c r="E167" s="103"/>
      <c r="F167" s="103"/>
      <c r="G167" s="103"/>
      <c r="H167" s="103"/>
      <c r="I167" s="103"/>
      <c r="J167" s="103"/>
      <c r="K167" s="103"/>
      <c r="L167" s="103"/>
      <c r="M167" s="103"/>
    </row>
    <row r="168" customFormat="false" ht="12.75" hidden="false" customHeight="false" outlineLevel="0" collapsed="false">
      <c r="C168" s="103"/>
      <c r="D168" s="103"/>
      <c r="E168" s="103"/>
      <c r="F168" s="103"/>
      <c r="G168" s="103"/>
      <c r="H168" s="103"/>
      <c r="I168" s="103"/>
      <c r="J168" s="103"/>
      <c r="K168" s="103"/>
      <c r="L168" s="103"/>
      <c r="M168" s="103"/>
    </row>
    <row r="169" customFormat="false" ht="12.75" hidden="false" customHeight="false" outlineLevel="0" collapsed="false">
      <c r="C169" s="103"/>
      <c r="D169" s="103"/>
      <c r="E169" s="103"/>
      <c r="F169" s="103"/>
      <c r="G169" s="103"/>
      <c r="H169" s="103"/>
      <c r="I169" s="103"/>
      <c r="J169" s="103"/>
      <c r="K169" s="103"/>
      <c r="L169" s="103"/>
      <c r="M169" s="103"/>
    </row>
    <row r="170" customFormat="false" ht="12.75" hidden="false" customHeight="false" outlineLevel="0" collapsed="false">
      <c r="C170" s="103"/>
      <c r="D170" s="103"/>
      <c r="E170" s="103"/>
      <c r="F170" s="103"/>
      <c r="G170" s="103"/>
      <c r="H170" s="103"/>
      <c r="I170" s="103"/>
      <c r="J170" s="103"/>
      <c r="K170" s="103"/>
      <c r="L170" s="103"/>
      <c r="M170" s="103"/>
    </row>
    <row r="171" customFormat="false" ht="12.75" hidden="false" customHeight="false" outlineLevel="0" collapsed="false">
      <c r="C171" s="103"/>
      <c r="D171" s="103"/>
      <c r="E171" s="103"/>
      <c r="F171" s="103"/>
      <c r="G171" s="103"/>
      <c r="H171" s="103"/>
      <c r="I171" s="103"/>
      <c r="J171" s="103"/>
      <c r="K171" s="103"/>
      <c r="L171" s="103"/>
      <c r="M171" s="103"/>
    </row>
    <row r="172" customFormat="false" ht="12.75" hidden="false" customHeight="false" outlineLevel="0" collapsed="false">
      <c r="C172" s="103"/>
      <c r="D172" s="103"/>
      <c r="E172" s="103"/>
      <c r="F172" s="103"/>
      <c r="G172" s="103"/>
      <c r="H172" s="103"/>
      <c r="I172" s="103"/>
      <c r="J172" s="103"/>
      <c r="K172" s="103"/>
      <c r="L172" s="103"/>
      <c r="M172" s="103"/>
    </row>
    <row r="173" customFormat="false" ht="12.75" hidden="false" customHeight="false" outlineLevel="0" collapsed="false">
      <c r="C173" s="103"/>
      <c r="D173" s="103"/>
      <c r="E173" s="103"/>
      <c r="F173" s="103"/>
      <c r="G173" s="103"/>
      <c r="H173" s="103"/>
      <c r="I173" s="103"/>
      <c r="J173" s="103"/>
      <c r="K173" s="103"/>
      <c r="L173" s="103"/>
      <c r="M173" s="103"/>
    </row>
    <row r="174" customFormat="false" ht="12.75" hidden="false" customHeight="false" outlineLevel="0" collapsed="false">
      <c r="C174" s="103"/>
      <c r="D174" s="103"/>
      <c r="E174" s="103"/>
      <c r="F174" s="103"/>
      <c r="G174" s="103"/>
      <c r="H174" s="103"/>
      <c r="I174" s="103"/>
      <c r="J174" s="103"/>
      <c r="K174" s="103"/>
      <c r="L174" s="103"/>
      <c r="M174" s="103"/>
    </row>
    <row r="175" customFormat="false" ht="12.75" hidden="false" customHeight="false" outlineLevel="0" collapsed="false">
      <c r="C175" s="103"/>
      <c r="D175" s="103"/>
      <c r="E175" s="103"/>
      <c r="F175" s="103"/>
      <c r="G175" s="103"/>
      <c r="H175" s="103"/>
      <c r="I175" s="103"/>
      <c r="J175" s="103"/>
      <c r="K175" s="103"/>
      <c r="L175" s="103"/>
      <c r="M175" s="103"/>
    </row>
    <row r="176" customFormat="false" ht="12.75" hidden="false" customHeight="false" outlineLevel="0" collapsed="false">
      <c r="C176" s="103"/>
      <c r="D176" s="103"/>
      <c r="E176" s="103"/>
      <c r="F176" s="103"/>
      <c r="G176" s="103"/>
      <c r="H176" s="103"/>
      <c r="I176" s="103"/>
      <c r="J176" s="103"/>
      <c r="K176" s="103"/>
      <c r="L176" s="103"/>
      <c r="M176" s="103"/>
    </row>
    <row r="177" customFormat="false" ht="12.75" hidden="false" customHeight="false" outlineLevel="0" collapsed="false">
      <c r="C177" s="103"/>
      <c r="D177" s="103"/>
      <c r="E177" s="103"/>
      <c r="F177" s="103"/>
      <c r="G177" s="103"/>
      <c r="H177" s="103"/>
      <c r="I177" s="103"/>
      <c r="J177" s="103"/>
      <c r="K177" s="103"/>
      <c r="L177" s="103"/>
      <c r="M177" s="103"/>
    </row>
    <row r="178" customFormat="false" ht="12.75" hidden="false" customHeight="false" outlineLevel="0" collapsed="false">
      <c r="C178" s="103"/>
      <c r="D178" s="103"/>
      <c r="E178" s="103"/>
      <c r="F178" s="103"/>
      <c r="G178" s="103"/>
      <c r="H178" s="103"/>
      <c r="I178" s="103"/>
      <c r="J178" s="103"/>
      <c r="K178" s="103"/>
      <c r="L178" s="103"/>
      <c r="M178" s="103"/>
    </row>
    <row r="179" customFormat="false" ht="12.75" hidden="false" customHeight="false" outlineLevel="0" collapsed="false">
      <c r="C179" s="103"/>
      <c r="D179" s="103"/>
      <c r="E179" s="103"/>
      <c r="F179" s="103"/>
      <c r="G179" s="103"/>
      <c r="H179" s="103"/>
      <c r="I179" s="103"/>
      <c r="J179" s="103"/>
      <c r="K179" s="103"/>
      <c r="L179" s="103"/>
      <c r="M179" s="103"/>
    </row>
  </sheetData>
  <printOptions headings="false" gridLines="false" gridLinesSet="true" horizontalCentered="false" verticalCentered="false"/>
  <pageMargins left="0.209722222222222" right="0.2" top="0.190277777777778" bottom="0.309722222222222" header="0.511811023622047" footer="0.309722222222222"/>
  <pageSetup paperSize="1" scale="100" fitToWidth="1" fitToHeight="1" pageOrder="downThenOver" orientation="landscape" blackAndWhite="false" draft="false" cellComments="none" horizontalDpi="300" verticalDpi="300" copies="1"/>
  <headerFooter differentFirst="false" differentOddEven="false">
    <oddHeader/>
    <oddFooter>&amp;L&amp;A&amp;C&amp;D &amp;T</oddFooter>
  </headerFooter>
  <rowBreaks count="1" manualBreakCount="1">
    <brk id="66" man="true" max="16383" min="0"/>
  </rowBreaks>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46"/>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8" activeCellId="0" sqref="B8"/>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2" min="2" style="0" width="15.85"/>
    <col collapsed="false" customWidth="true" hidden="false" outlineLevel="0" max="4" min="3" style="0" width="10.28"/>
    <col collapsed="false" customWidth="true" hidden="false" outlineLevel="0" max="6" min="6" style="0" width="10.28"/>
    <col collapsed="false" customWidth="true" hidden="true" outlineLevel="0" max="8" min="8" style="0" width="9.85"/>
    <col collapsed="false" customWidth="true" hidden="true" outlineLevel="0" max="11" min="9" style="0" width="10.28"/>
    <col collapsed="false" customWidth="false" hidden="true" outlineLevel="0" max="12" min="12" style="0" width="9.06"/>
  </cols>
  <sheetData>
    <row r="1" customFormat="false" ht="12.75" hidden="false" customHeight="false" outlineLevel="0" collapsed="false">
      <c r="A1" s="439" t="s">
        <v>1017</v>
      </c>
    </row>
    <row r="3" customFormat="false" ht="12.75" hidden="false" customHeight="false" outlineLevel="0" collapsed="false">
      <c r="A3" s="423" t="s">
        <v>1018</v>
      </c>
      <c r="B3" s="423"/>
      <c r="C3" s="423"/>
      <c r="D3" s="423"/>
      <c r="E3" s="423"/>
      <c r="F3" s="423"/>
      <c r="G3" s="423"/>
      <c r="H3" s="423" t="s">
        <v>1018</v>
      </c>
      <c r="I3" s="423"/>
      <c r="J3" s="423"/>
      <c r="K3" s="423"/>
    </row>
    <row r="4" customFormat="false" ht="12.75" hidden="false" customHeight="false" outlineLevel="0" collapsed="false">
      <c r="A4" s="548" t="s">
        <v>1019</v>
      </c>
      <c r="B4" s="423"/>
      <c r="C4" s="423"/>
      <c r="D4" s="423"/>
      <c r="E4" s="423"/>
      <c r="F4" s="423"/>
      <c r="G4" s="423"/>
      <c r="H4" s="548" t="s">
        <v>1020</v>
      </c>
      <c r="I4" s="423"/>
      <c r="J4" s="423"/>
      <c r="K4" s="423"/>
    </row>
    <row r="6" customFormat="false" ht="12.75" hidden="false" customHeight="false" outlineLevel="0" collapsed="false">
      <c r="B6" s="549" t="n">
        <v>2002</v>
      </c>
      <c r="C6" s="549" t="n">
        <v>2003</v>
      </c>
      <c r="D6" s="549" t="n">
        <v>2004</v>
      </c>
      <c r="E6" s="549" t="n">
        <v>2005</v>
      </c>
      <c r="H6" s="549"/>
      <c r="I6" s="549" t="n">
        <v>2002</v>
      </c>
      <c r="J6" s="549" t="n">
        <v>2003</v>
      </c>
      <c r="K6" s="549" t="n">
        <v>2004</v>
      </c>
      <c r="L6" s="549" t="n">
        <v>2005</v>
      </c>
    </row>
    <row r="7" customFormat="false" ht="12.75" hidden="false" customHeight="false" outlineLevel="0" collapsed="false">
      <c r="A7" s="0" t="s">
        <v>1021</v>
      </c>
      <c r="B7" s="550" t="n">
        <v>0.0687135290128748</v>
      </c>
      <c r="C7" s="421" t="n">
        <v>0.073132522512874</v>
      </c>
      <c r="D7" s="421" t="n">
        <v>0.0773808985032207</v>
      </c>
      <c r="E7" s="421" t="n">
        <v>0.0812027307194362</v>
      </c>
      <c r="F7" s="421"/>
      <c r="G7" s="421"/>
      <c r="H7" s="0" t="s">
        <v>1021</v>
      </c>
      <c r="I7" s="421" t="n">
        <v>0.0687135290128748</v>
      </c>
      <c r="J7" s="421" t="n">
        <v>0.073132522512874</v>
      </c>
      <c r="K7" s="421" t="n">
        <v>0.0773808985032207</v>
      </c>
      <c r="L7" s="421" t="n">
        <v>0.0812027307194362</v>
      </c>
    </row>
    <row r="8" customFormat="false" ht="12.75" hidden="false" customHeight="false" outlineLevel="0" collapsed="false">
      <c r="B8" s="417" t="n">
        <f aca="false">(9.5%-B7)*'wholesale services'!$F$63</f>
        <v>1551543.56291741</v>
      </c>
      <c r="C8" s="417" t="n">
        <f aca="false">(9.5%-C7)*'wholesale services'!$F$63</f>
        <v>1290715.05829023</v>
      </c>
      <c r="D8" s="417" t="n">
        <f aca="false">(9.5%-D7)*'wholesale services'!$F$63</f>
        <v>1039957.1522973</v>
      </c>
      <c r="E8" s="417" t="n">
        <f aca="false">(9.5%-E7)*'wholesale services'!$F$63</f>
        <v>814375.742890013</v>
      </c>
      <c r="F8" s="417"/>
      <c r="G8" s="417"/>
      <c r="H8" s="417"/>
      <c r="I8" s="417" t="n">
        <f aca="false">(9.5%-I7)*'wholesale services'!$F$63</f>
        <v>1551543.56291741</v>
      </c>
      <c r="J8" s="417" t="n">
        <f aca="false">(9.5%-J7)*'wholesale services'!$F$63</f>
        <v>1290715.05829023</v>
      </c>
      <c r="K8" s="417" t="n">
        <f aca="false">(9.5%-K7)*'wholesale services'!$F$63</f>
        <v>1039957.1522973</v>
      </c>
      <c r="L8" s="417" t="n">
        <f aca="false">(9.5%-L7)*'wholesale services'!$F$63</f>
        <v>814375.742890013</v>
      </c>
    </row>
    <row r="9" customFormat="false" ht="12.75" hidden="false" customHeight="false" outlineLevel="0" collapsed="false">
      <c r="A9" s="0" t="s">
        <v>1022</v>
      </c>
      <c r="B9" s="421" t="n">
        <v>0.0783704800592051</v>
      </c>
      <c r="C9" s="421" t="n">
        <v>0.0813164757258712</v>
      </c>
      <c r="D9" s="421" t="n">
        <v>0.0841487263861023</v>
      </c>
      <c r="E9" s="421" t="n">
        <v>0.086696614530246</v>
      </c>
      <c r="F9" s="421"/>
      <c r="G9" s="421"/>
      <c r="H9" s="0" t="s">
        <v>1022</v>
      </c>
      <c r="I9" s="421" t="n">
        <v>0.0783704800592051</v>
      </c>
      <c r="J9" s="421" t="n">
        <v>0.0813164757258712</v>
      </c>
      <c r="K9" s="421" t="n">
        <v>0.0841487263861023</v>
      </c>
      <c r="L9" s="421" t="n">
        <v>0.086696614530246</v>
      </c>
    </row>
    <row r="10" customFormat="false" ht="12.75" hidden="false" customHeight="false" outlineLevel="0" collapsed="false">
      <c r="B10" s="417" t="n">
        <f aca="false">(9.5%-B9)*'wholesale services'!$F$63</f>
        <v>981547.680218631</v>
      </c>
      <c r="C10" s="417" t="n">
        <f aca="false">(9.5%-C9)*'wholesale services'!$F$63</f>
        <v>807662.010467177</v>
      </c>
      <c r="D10" s="417" t="n">
        <f aca="false">(9.5%-D9)*'wholesale services'!$F$63</f>
        <v>640490.07313856</v>
      </c>
      <c r="E10" s="417" t="n">
        <f aca="false">(9.5%-E9)*'wholesale services'!$F$63</f>
        <v>490102.466867032</v>
      </c>
      <c r="F10" s="417"/>
      <c r="G10" s="417"/>
      <c r="H10" s="417"/>
      <c r="I10" s="417" t="n">
        <f aca="false">(9.5%-I9)*'wholesale services'!$F$63</f>
        <v>981547.680218631</v>
      </c>
      <c r="J10" s="417" t="n">
        <f aca="false">(9.5%-J9)*'wholesale services'!$F$63</f>
        <v>807662.010467177</v>
      </c>
      <c r="K10" s="417" t="n">
        <f aca="false">(9.5%-K9)*'wholesale services'!$F$63</f>
        <v>640490.07313856</v>
      </c>
      <c r="L10" s="417" t="n">
        <f aca="false">(9.5%-L9)*'wholesale services'!$F$63</f>
        <v>490102.466867032</v>
      </c>
    </row>
    <row r="11" customFormat="false" ht="12.75" hidden="false" customHeight="false" outlineLevel="0" collapsed="false">
      <c r="A11" s="0" t="s">
        <v>1023</v>
      </c>
      <c r="B11" s="421" t="n">
        <v>0.0880274311055354</v>
      </c>
      <c r="C11" s="421" t="n">
        <v>0.0895004289388684</v>
      </c>
      <c r="D11" s="421" t="n">
        <v>0.090916554268984</v>
      </c>
      <c r="E11" s="421" t="n">
        <v>0.0921904983410559</v>
      </c>
      <c r="F11" s="421"/>
      <c r="G11" s="421"/>
      <c r="H11" s="0" t="s">
        <v>1023</v>
      </c>
      <c r="I11" s="421" t="n">
        <v>0.0880274311055354</v>
      </c>
      <c r="J11" s="421" t="n">
        <v>0.0895004289388684</v>
      </c>
      <c r="K11" s="421" t="n">
        <v>0.090916554268984</v>
      </c>
      <c r="L11" s="421" t="n">
        <v>0.0921904983410559</v>
      </c>
    </row>
    <row r="12" customFormat="false" ht="12.75" hidden="false" customHeight="false" outlineLevel="0" collapsed="false">
      <c r="B12" s="422"/>
      <c r="C12" s="422"/>
      <c r="D12" s="422"/>
      <c r="E12" s="422"/>
      <c r="I12" s="422"/>
      <c r="J12" s="422"/>
      <c r="K12" s="422"/>
      <c r="L12" s="422"/>
    </row>
    <row r="15" customFormat="false" ht="12.75" hidden="false" customHeight="false" outlineLevel="0" collapsed="false">
      <c r="A15" s="423" t="s">
        <v>1024</v>
      </c>
      <c r="B15" s="423"/>
      <c r="C15" s="423"/>
      <c r="D15" s="423"/>
      <c r="E15" s="423"/>
      <c r="F15" s="423"/>
      <c r="G15" s="423"/>
      <c r="H15" s="423" t="s">
        <v>1024</v>
      </c>
      <c r="I15" s="423"/>
      <c r="J15" s="423"/>
      <c r="K15" s="423"/>
    </row>
    <row r="16" customFormat="false" ht="12.75" hidden="false" customHeight="false" outlineLevel="0" collapsed="false">
      <c r="A16" s="548" t="s">
        <v>1019</v>
      </c>
      <c r="B16" s="423"/>
      <c r="C16" s="423"/>
      <c r="D16" s="423"/>
      <c r="E16" s="423"/>
      <c r="F16" s="423"/>
      <c r="G16" s="423"/>
      <c r="H16" s="548" t="s">
        <v>1020</v>
      </c>
      <c r="I16" s="423"/>
      <c r="J16" s="423"/>
      <c r="K16" s="423"/>
    </row>
    <row r="18" customFormat="false" ht="12.75" hidden="false" customHeight="false" outlineLevel="0" collapsed="false">
      <c r="B18" s="549" t="n">
        <v>2002</v>
      </c>
      <c r="C18" s="549" t="n">
        <v>2003</v>
      </c>
      <c r="D18" s="549" t="n">
        <v>2004</v>
      </c>
      <c r="E18" s="549" t="n">
        <v>2005</v>
      </c>
      <c r="H18" s="549"/>
      <c r="I18" s="549" t="n">
        <v>2002</v>
      </c>
      <c r="J18" s="549" t="n">
        <v>2003</v>
      </c>
      <c r="K18" s="549" t="n">
        <v>2004</v>
      </c>
      <c r="L18" s="549" t="n">
        <v>2005</v>
      </c>
    </row>
    <row r="19" customFormat="false" ht="12.75" hidden="false" customHeight="false" outlineLevel="0" collapsed="false">
      <c r="A19" s="0" t="s">
        <v>1021</v>
      </c>
      <c r="B19" s="421" t="n">
        <v>0.0673713379369419</v>
      </c>
      <c r="C19" s="421" t="n">
        <v>0.0717903314369411</v>
      </c>
      <c r="D19" s="421" t="n">
        <v>0.0760387074272879</v>
      </c>
      <c r="E19" s="421" t="n">
        <v>0.0798605396435034</v>
      </c>
      <c r="F19" s="421"/>
      <c r="G19" s="421"/>
      <c r="H19" s="0" t="s">
        <v>1021</v>
      </c>
      <c r="I19" s="421" t="n">
        <v>0.0673713379369419</v>
      </c>
      <c r="J19" s="421" t="n">
        <v>0.0717903314369411</v>
      </c>
      <c r="K19" s="421" t="n">
        <v>0.0760387074272879</v>
      </c>
      <c r="L19" s="421" t="n">
        <v>0.0798605396435034</v>
      </c>
    </row>
    <row r="20" customFormat="false" ht="12.75" hidden="false" customHeight="false" outlineLevel="0" collapsed="false">
      <c r="B20" s="417" t="n">
        <f aca="false">(9.5%-B19)*'wholesale services'!$F$63</f>
        <v>1630765.60550688</v>
      </c>
      <c r="C20" s="417" t="n">
        <f aca="false">(9.5%-C19)*'wholesale services'!$F$63</f>
        <v>1369937.1008797</v>
      </c>
      <c r="D20" s="417" t="n">
        <f aca="false">(9.5%-D19)*'wholesale services'!$F$63</f>
        <v>1119179.19488677</v>
      </c>
      <c r="E20" s="417" t="n">
        <f aca="false">(9.5%-E19)*'wholesale services'!$F$63</f>
        <v>893597.785479479</v>
      </c>
      <c r="I20" s="421"/>
      <c r="J20" s="421"/>
      <c r="K20" s="421"/>
      <c r="L20" s="421"/>
    </row>
    <row r="21" customFormat="false" ht="12.75" hidden="false" customHeight="false" outlineLevel="0" collapsed="false">
      <c r="A21" s="0" t="s">
        <v>1022</v>
      </c>
      <c r="B21" s="421" t="n">
        <v>0.0770282889832722</v>
      </c>
      <c r="C21" s="421" t="n">
        <v>0.0799742846499384</v>
      </c>
      <c r="D21" s="421" t="n">
        <v>0.0828065353101695</v>
      </c>
      <c r="E21" s="421" t="n">
        <v>0.0853544234543132</v>
      </c>
      <c r="F21" s="421"/>
      <c r="G21" s="421"/>
      <c r="H21" s="0" t="s">
        <v>1022</v>
      </c>
      <c r="I21" s="421" t="n">
        <v>0.0770282889832722</v>
      </c>
      <c r="J21" s="421" t="n">
        <v>0.0799742846499384</v>
      </c>
      <c r="K21" s="421" t="n">
        <v>0.0828065353101695</v>
      </c>
      <c r="L21" s="421" t="n">
        <v>0.0853544234543132</v>
      </c>
    </row>
    <row r="22" customFormat="false" ht="12.75" hidden="false" customHeight="false" outlineLevel="0" collapsed="false">
      <c r="B22" s="417" t="n">
        <f aca="false">(9.5%-B21)*'wholesale services'!$F$63</f>
        <v>1060769.7228081</v>
      </c>
      <c r="C22" s="417" t="n">
        <f aca="false">(9.5%-C21)*'wholesale services'!$F$63</f>
        <v>886884.053056643</v>
      </c>
      <c r="D22" s="417" t="n">
        <f aca="false">(9.5%-D21)*'wholesale services'!$F$63</f>
        <v>719712.115728025</v>
      </c>
      <c r="E22" s="417" t="n">
        <f aca="false">(9.5%-E21)*'wholesale services'!$F$63</f>
        <v>569324.509456498</v>
      </c>
      <c r="I22" s="421"/>
      <c r="J22" s="421"/>
      <c r="K22" s="421"/>
      <c r="L22" s="421"/>
    </row>
    <row r="23" customFormat="false" ht="12.75" hidden="false" customHeight="false" outlineLevel="0" collapsed="false">
      <c r="A23" s="0" t="s">
        <v>1023</v>
      </c>
      <c r="B23" s="421" t="n">
        <v>0.0866852400296025</v>
      </c>
      <c r="C23" s="421" t="n">
        <v>0.0881582378629356</v>
      </c>
      <c r="D23" s="421" t="n">
        <v>0.0895743631930512</v>
      </c>
      <c r="E23" s="421" t="n">
        <v>0.090848307265123</v>
      </c>
      <c r="F23" s="421"/>
      <c r="G23" s="421"/>
      <c r="H23" s="0" t="s">
        <v>1023</v>
      </c>
      <c r="I23" s="421" t="n">
        <v>0.0866852400296025</v>
      </c>
      <c r="J23" s="421" t="n">
        <v>0.0881582378629356</v>
      </c>
      <c r="K23" s="421" t="n">
        <v>0.0895743631930512</v>
      </c>
      <c r="L23" s="421" t="n">
        <v>0.090848307265123</v>
      </c>
    </row>
    <row r="24" customFormat="false" ht="12.75" hidden="false" customHeight="false" outlineLevel="0" collapsed="false">
      <c r="B24" s="417" t="n">
        <f aca="false">(9.5%-B11)*'wholesale services'!$F$63</f>
        <v>411551.79751985</v>
      </c>
      <c r="C24" s="417" t="n">
        <f aca="false">(9.5%-C11)*'wholesale services'!$F$63</f>
        <v>324608.962644123</v>
      </c>
      <c r="D24" s="417" t="n">
        <f aca="false">(9.5%-D11)*'wholesale services'!$F$63</f>
        <v>241022.993979814</v>
      </c>
      <c r="E24" s="417" t="n">
        <f aca="false">(9.5%-E11)*'wholesale services'!$F$63</f>
        <v>165829.19084405</v>
      </c>
    </row>
    <row r="26" customFormat="false" ht="12.75" hidden="false" customHeight="false" outlineLevel="0" collapsed="false">
      <c r="A26" s="423" t="s">
        <v>1025</v>
      </c>
      <c r="B26" s="423"/>
      <c r="C26" s="423"/>
      <c r="D26" s="423"/>
      <c r="E26" s="423"/>
      <c r="F26" s="423"/>
      <c r="G26" s="423"/>
      <c r="H26" s="423" t="s">
        <v>1025</v>
      </c>
      <c r="I26" s="423"/>
      <c r="J26" s="423"/>
    </row>
    <row r="27" customFormat="false" ht="12.75" hidden="false" customHeight="false" outlineLevel="0" collapsed="false">
      <c r="A27" s="548" t="s">
        <v>1019</v>
      </c>
      <c r="B27" s="423"/>
      <c r="C27" s="423"/>
      <c r="D27" s="423"/>
      <c r="E27" s="423"/>
      <c r="F27" s="423"/>
      <c r="G27" s="423"/>
      <c r="H27" s="548" t="s">
        <v>1020</v>
      </c>
      <c r="I27" s="423"/>
      <c r="J27" s="423"/>
    </row>
    <row r="29" customFormat="false" ht="12.75" hidden="false" customHeight="false" outlineLevel="0" collapsed="false">
      <c r="B29" s="549" t="n">
        <v>2002</v>
      </c>
      <c r="C29" s="549" t="n">
        <v>2003</v>
      </c>
      <c r="D29" s="549" t="n">
        <v>2004</v>
      </c>
      <c r="E29" s="549" t="n">
        <v>2005</v>
      </c>
      <c r="H29" s="549"/>
      <c r="I29" s="549" t="n">
        <v>2002</v>
      </c>
      <c r="J29" s="549" t="n">
        <v>2003</v>
      </c>
      <c r="K29" s="549" t="n">
        <v>2004</v>
      </c>
      <c r="L29" s="549" t="n">
        <v>2005</v>
      </c>
    </row>
    <row r="30" customFormat="false" ht="12.75" hidden="false" customHeight="false" outlineLevel="0" collapsed="false">
      <c r="A30" s="0" t="s">
        <v>1021</v>
      </c>
      <c r="B30" s="421" t="n">
        <v>0.0700557200888076</v>
      </c>
      <c r="C30" s="421" t="n">
        <v>0.0744747135888068</v>
      </c>
      <c r="D30" s="421" t="n">
        <v>0.0787230895791535</v>
      </c>
      <c r="E30" s="421" t="n">
        <v>0.082544921795369</v>
      </c>
      <c r="F30" s="421"/>
      <c r="G30" s="421"/>
      <c r="H30" s="0" t="s">
        <v>1021</v>
      </c>
      <c r="I30" s="421" t="n">
        <v>0.0700557200888076</v>
      </c>
      <c r="J30" s="421" t="n">
        <v>0.0744747135888068</v>
      </c>
      <c r="K30" s="421" t="n">
        <v>0.0787230895791535</v>
      </c>
      <c r="L30" s="421" t="n">
        <v>0.082544921795369</v>
      </c>
    </row>
    <row r="31" customFormat="false" ht="12.75" hidden="false" customHeight="false" outlineLevel="0" collapsed="false">
      <c r="B31" s="417" t="n">
        <f aca="false">(9.5%-B30)*'wholesale services'!$F$63</f>
        <v>1472321.52032795</v>
      </c>
      <c r="C31" s="417" t="n">
        <f aca="false">(9.5%-C30)*'wholesale services'!$F$63</f>
        <v>1211493.01570077</v>
      </c>
      <c r="D31" s="417" t="n">
        <f aca="false">(9.5%-D30)*'wholesale services'!$F$63</f>
        <v>960735.10970784</v>
      </c>
      <c r="E31" s="417" t="n">
        <f aca="false">(9.5%-E30)*'wholesale services'!$F$63</f>
        <v>735153.700300548</v>
      </c>
      <c r="I31" s="421"/>
      <c r="J31" s="421"/>
      <c r="K31" s="421"/>
      <c r="L31" s="421"/>
    </row>
    <row r="32" customFormat="false" ht="12.75" hidden="false" customHeight="false" outlineLevel="0" collapsed="false">
      <c r="A32" s="0" t="s">
        <v>1022</v>
      </c>
      <c r="B32" s="421" t="n">
        <v>0.0797126711351379</v>
      </c>
      <c r="C32" s="421" t="n">
        <v>0.082658666801804</v>
      </c>
      <c r="D32" s="421" t="n">
        <v>0.0854909174620352</v>
      </c>
      <c r="E32" s="421" t="n">
        <v>0.0880388056061789</v>
      </c>
      <c r="F32" s="421"/>
      <c r="G32" s="421"/>
      <c r="H32" s="0" t="s">
        <v>1022</v>
      </c>
      <c r="I32" s="421" t="n">
        <v>0.0797126711351379</v>
      </c>
      <c r="J32" s="421" t="n">
        <v>0.082658666801804</v>
      </c>
      <c r="K32" s="421" t="n">
        <v>0.0854909174620352</v>
      </c>
      <c r="L32" s="421" t="n">
        <v>0.0880388056061789</v>
      </c>
      <c r="M32" s="421"/>
    </row>
    <row r="33" customFormat="false" ht="12.75" hidden="false" customHeight="false" outlineLevel="0" collapsed="false">
      <c r="B33" s="417" t="n">
        <f aca="false">(9.5%-B32)*'wholesale services'!$F$63</f>
        <v>902325.637629165</v>
      </c>
      <c r="C33" s="417" t="n">
        <f aca="false">(9.5%-C32)*'wholesale services'!$F$63</f>
        <v>728439.967877712</v>
      </c>
      <c r="D33" s="417" t="n">
        <f aca="false">(9.5%-D32)*'wholesale services'!$F$63</f>
        <v>561268.030549094</v>
      </c>
      <c r="E33" s="417" t="n">
        <f aca="false">(9.5%-E32)*'wholesale services'!$F$63</f>
        <v>410880.424277566</v>
      </c>
      <c r="I33" s="421"/>
      <c r="J33" s="421"/>
      <c r="K33" s="421"/>
      <c r="L33" s="421"/>
    </row>
    <row r="34" customFormat="false" ht="12.75" hidden="false" customHeight="false" outlineLevel="0" collapsed="false">
      <c r="A34" s="0" t="s">
        <v>1023</v>
      </c>
      <c r="B34" s="421" t="n">
        <v>0.0893696221814682</v>
      </c>
      <c r="C34" s="421" t="n">
        <v>0.0908426200148013</v>
      </c>
      <c r="D34" s="421" t="n">
        <v>0.0922587453449168</v>
      </c>
      <c r="E34" s="421" t="n">
        <v>0.0935326894169887</v>
      </c>
      <c r="F34" s="421"/>
      <c r="G34" s="421"/>
      <c r="H34" s="0" t="s">
        <v>1023</v>
      </c>
      <c r="I34" s="421" t="n">
        <v>0.0893696221814682</v>
      </c>
      <c r="J34" s="421" t="n">
        <v>0.0908426200148013</v>
      </c>
      <c r="K34" s="421" t="n">
        <v>0.0922587453449168</v>
      </c>
      <c r="L34" s="421" t="n">
        <v>0.0935326894169887</v>
      </c>
    </row>
    <row r="35" customFormat="false" ht="12.75" hidden="false" customHeight="false" outlineLevel="0" collapsed="false">
      <c r="B35" s="417" t="n">
        <f aca="false">(9.5%-B34)*'wholesale services'!$F$63</f>
        <v>332329.754930384</v>
      </c>
      <c r="C35" s="417" t="n">
        <f aca="false">(9.5%-C34)*'wholesale services'!$F$63</f>
        <v>245386.920054657</v>
      </c>
      <c r="D35" s="417" t="n">
        <f aca="false">(9.5%-D34)*'wholesale services'!$F$63</f>
        <v>161800.951390349</v>
      </c>
      <c r="E35" s="417" t="n">
        <f aca="false">(9.5%-E34)*'wholesale services'!$F$63</f>
        <v>86607.1482545852</v>
      </c>
    </row>
    <row r="42" customFormat="false" ht="12.75" hidden="false" customHeight="false" outlineLevel="0" collapsed="false">
      <c r="A42" s="551"/>
    </row>
    <row r="46" customFormat="false" ht="12.75" hidden="false" customHeight="false" outlineLevel="0" collapsed="false">
      <c r="A46" s="421"/>
    </row>
  </sheetData>
  <printOptions headings="false" gridLines="false" gridLinesSet="true" horizontalCentered="true" verticalCentered="false"/>
  <pageMargins left="0.747916666666667" right="0.747916666666667" top="0.984027777777778" bottom="0.984027777777778" header="0.511811023622047" footer="0.511811023622047"/>
  <pageSetup paperSize="1" scale="115"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46"/>
  <sheetViews>
    <sheetView showFormulas="false" showGridLines="true" showRowColHeaders="true" showZeros="true" rightToLeft="false" tabSelected="false" showOutlineSymbols="true" defaultGridColor="true" view="normal" topLeftCell="A12" colorId="64" zoomScale="100" zoomScaleNormal="100" zoomScalePageLayoutView="100" workbookViewId="0">
      <selection pane="topLeft" activeCell="O25" activeCellId="0" sqref="O25"/>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2" min="2" style="0" width="9.28"/>
    <col collapsed="false" customWidth="true" hidden="false" outlineLevel="0" max="8" min="8" style="0" width="9.85"/>
    <col collapsed="false" customWidth="true" hidden="false" outlineLevel="0" max="9" min="9" style="0" width="9.41"/>
  </cols>
  <sheetData>
    <row r="1" customFormat="false" ht="12.75" hidden="false" customHeight="false" outlineLevel="0" collapsed="false">
      <c r="A1" s="423" t="s">
        <v>1026</v>
      </c>
    </row>
    <row r="3" customFormat="false" ht="12.75" hidden="false" customHeight="false" outlineLevel="0" collapsed="false">
      <c r="A3" s="423" t="s">
        <v>1027</v>
      </c>
      <c r="B3" s="423"/>
      <c r="C3" s="423"/>
      <c r="D3" s="423"/>
      <c r="E3" s="423"/>
      <c r="F3" s="423"/>
      <c r="G3" s="423"/>
      <c r="H3" s="423" t="s">
        <v>1027</v>
      </c>
      <c r="I3" s="423"/>
      <c r="J3" s="423"/>
    </row>
    <row r="4" customFormat="false" ht="12.75" hidden="false" customHeight="false" outlineLevel="0" collapsed="false">
      <c r="A4" s="548" t="s">
        <v>1019</v>
      </c>
      <c r="B4" s="423"/>
      <c r="C4" s="423"/>
      <c r="D4" s="423"/>
      <c r="E4" s="423"/>
      <c r="F4" s="423"/>
      <c r="G4" s="423"/>
      <c r="H4" s="548" t="s">
        <v>1020</v>
      </c>
      <c r="I4" s="423"/>
      <c r="J4" s="423"/>
    </row>
    <row r="6" customFormat="false" ht="12.75" hidden="false" customHeight="false" outlineLevel="0" collapsed="false">
      <c r="B6" s="549" t="n">
        <v>2002</v>
      </c>
      <c r="C6" s="549" t="n">
        <v>2003</v>
      </c>
      <c r="D6" s="549" t="n">
        <v>2004</v>
      </c>
      <c r="E6" s="549" t="n">
        <v>2005</v>
      </c>
      <c r="H6" s="549"/>
      <c r="I6" s="549" t="n">
        <v>2002</v>
      </c>
      <c r="J6" s="549" t="n">
        <v>2003</v>
      </c>
      <c r="K6" s="549" t="n">
        <v>2004</v>
      </c>
      <c r="L6" s="549" t="n">
        <v>2005</v>
      </c>
    </row>
    <row r="7" customFormat="false" ht="12.75" hidden="false" customHeight="false" outlineLevel="0" collapsed="false">
      <c r="A7" s="0" t="s">
        <v>1021</v>
      </c>
      <c r="B7" s="421" t="n">
        <v>0.0745258988417025</v>
      </c>
      <c r="C7" s="421" t="n">
        <v>0.0789448923417018</v>
      </c>
      <c r="D7" s="421" t="n">
        <v>0.0831932683320485</v>
      </c>
      <c r="E7" s="421" t="n">
        <v>0.087015100548264</v>
      </c>
      <c r="H7" s="0" t="s">
        <v>1021</v>
      </c>
      <c r="I7" s="421" t="n">
        <v>0.0745258988417025</v>
      </c>
      <c r="J7" s="421" t="n">
        <v>0.0789448923417018</v>
      </c>
      <c r="K7" s="421" t="n">
        <v>0.0831932683320485</v>
      </c>
      <c r="L7" s="421" t="n">
        <v>0.087015100548264</v>
      </c>
    </row>
    <row r="8" customFormat="false" ht="12.75" hidden="false" customHeight="false" outlineLevel="0" collapsed="false">
      <c r="B8" s="421"/>
      <c r="C8" s="421"/>
      <c r="D8" s="421"/>
      <c r="E8" s="421"/>
      <c r="I8" s="421"/>
      <c r="J8" s="421"/>
      <c r="K8" s="421"/>
      <c r="L8" s="421"/>
    </row>
    <row r="9" customFormat="false" ht="12.75" hidden="false" customHeight="false" outlineLevel="0" collapsed="false">
      <c r="A9" s="0" t="s">
        <v>1022</v>
      </c>
      <c r="B9" s="421" t="n">
        <v>0.0841828498880329</v>
      </c>
      <c r="C9" s="421" t="n">
        <v>0.087128845554699</v>
      </c>
      <c r="D9" s="421" t="n">
        <v>0.0899610962149301</v>
      </c>
      <c r="E9" s="421" t="n">
        <v>0.0925089843590738</v>
      </c>
      <c r="F9" s="421"/>
      <c r="G9" s="421"/>
      <c r="H9" s="0" t="s">
        <v>1022</v>
      </c>
      <c r="I9" s="421" t="n">
        <v>0.0841828498880329</v>
      </c>
      <c r="J9" s="421" t="n">
        <v>0.087128845554699</v>
      </c>
      <c r="K9" s="421" t="n">
        <v>0.0899610962149301</v>
      </c>
      <c r="L9" s="421" t="n">
        <v>0.0925089843590738</v>
      </c>
    </row>
    <row r="10" customFormat="false" ht="12.75" hidden="false" customHeight="false" outlineLevel="0" collapsed="false">
      <c r="B10" s="421"/>
      <c r="C10" s="421"/>
      <c r="D10" s="421"/>
      <c r="E10" s="421"/>
      <c r="I10" s="421"/>
      <c r="J10" s="421"/>
      <c r="K10" s="421"/>
      <c r="L10" s="421"/>
    </row>
    <row r="11" customFormat="false" ht="12.75" hidden="false" customHeight="false" outlineLevel="0" collapsed="false">
      <c r="A11" s="0" t="s">
        <v>1023</v>
      </c>
      <c r="B11" s="421" t="n">
        <v>0.0938398009343632</v>
      </c>
      <c r="C11" s="421" t="n">
        <v>0.0953127987676962</v>
      </c>
      <c r="D11" s="421" t="n">
        <v>0.0967289240978118</v>
      </c>
      <c r="E11" s="421" t="n">
        <v>0.0980028681698836</v>
      </c>
      <c r="F11" s="421"/>
      <c r="G11" s="421"/>
      <c r="H11" s="0" t="s">
        <v>1023</v>
      </c>
      <c r="I11" s="421" t="n">
        <v>0.0938398009343632</v>
      </c>
      <c r="J11" s="421" t="n">
        <v>0.0953127987676962</v>
      </c>
      <c r="K11" s="421" t="n">
        <v>0.0967289240978118</v>
      </c>
      <c r="L11" s="421" t="n">
        <v>0.0980028681698836</v>
      </c>
    </row>
    <row r="12" customFormat="false" ht="12.75" hidden="false" customHeight="false" outlineLevel="0" collapsed="false">
      <c r="B12" s="422"/>
      <c r="C12" s="422"/>
      <c r="D12" s="422"/>
      <c r="E12" s="422"/>
      <c r="I12" s="422"/>
      <c r="J12" s="422"/>
      <c r="K12" s="422"/>
      <c r="L12" s="422"/>
    </row>
    <row r="15" customFormat="false" ht="12.75" hidden="false" customHeight="false" outlineLevel="0" collapsed="false">
      <c r="A15" s="423" t="s">
        <v>1028</v>
      </c>
      <c r="B15" s="423"/>
      <c r="C15" s="423"/>
      <c r="D15" s="423"/>
      <c r="E15" s="423"/>
      <c r="F15" s="423"/>
      <c r="G15" s="423"/>
      <c r="H15" s="423" t="s">
        <v>1028</v>
      </c>
      <c r="I15" s="423"/>
    </row>
    <row r="16" customFormat="false" ht="12.75" hidden="false" customHeight="false" outlineLevel="0" collapsed="false">
      <c r="A16" s="548" t="s">
        <v>1019</v>
      </c>
      <c r="B16" s="423"/>
      <c r="C16" s="423"/>
      <c r="D16" s="423"/>
      <c r="E16" s="423"/>
      <c r="F16" s="423"/>
      <c r="G16" s="423"/>
      <c r="H16" s="548" t="s">
        <v>1020</v>
      </c>
      <c r="I16" s="423"/>
    </row>
    <row r="18" customFormat="false" ht="12.75" hidden="false" customHeight="false" outlineLevel="0" collapsed="false">
      <c r="B18" s="549" t="n">
        <v>2002</v>
      </c>
      <c r="C18" s="549" t="n">
        <v>2003</v>
      </c>
      <c r="D18" s="549" t="n">
        <v>2004</v>
      </c>
      <c r="E18" s="549" t="n">
        <v>2005</v>
      </c>
      <c r="H18" s="549"/>
      <c r="I18" s="549" t="n">
        <v>2002</v>
      </c>
      <c r="J18" s="549" t="n">
        <v>2003</v>
      </c>
      <c r="K18" s="549" t="n">
        <v>2004</v>
      </c>
      <c r="L18" s="549" t="n">
        <v>2005</v>
      </c>
    </row>
    <row r="19" customFormat="false" ht="12.75" hidden="false" customHeight="false" outlineLevel="0" collapsed="false">
      <c r="A19" s="0" t="s">
        <v>1021</v>
      </c>
      <c r="B19" s="421" t="n">
        <v>0.0702775228513558</v>
      </c>
      <c r="C19" s="421" t="n">
        <v>0.074696516351355</v>
      </c>
      <c r="D19" s="421" t="n">
        <v>0.0789448923417018</v>
      </c>
      <c r="E19" s="421" t="n">
        <v>0.0827667245579173</v>
      </c>
      <c r="F19" s="421"/>
      <c r="G19" s="421"/>
      <c r="H19" s="0" t="s">
        <v>1021</v>
      </c>
      <c r="I19" s="421" t="n">
        <v>0.0702775228513558</v>
      </c>
      <c r="J19" s="421" t="n">
        <v>0.074696516351355</v>
      </c>
      <c r="K19" s="421" t="n">
        <v>0.0789448923417018</v>
      </c>
      <c r="L19" s="421" t="n">
        <v>0.0827667245579173</v>
      </c>
    </row>
    <row r="20" customFormat="false" ht="12.75" hidden="false" customHeight="false" outlineLevel="0" collapsed="false">
      <c r="B20" s="421"/>
      <c r="C20" s="421"/>
      <c r="D20" s="421"/>
      <c r="E20" s="421"/>
      <c r="I20" s="421"/>
      <c r="J20" s="421"/>
      <c r="K20" s="421"/>
      <c r="L20" s="421"/>
    </row>
    <row r="21" customFormat="false" ht="12.75" hidden="false" customHeight="false" outlineLevel="0" collapsed="false">
      <c r="A21" s="0" t="s">
        <v>1022</v>
      </c>
      <c r="B21" s="421" t="n">
        <v>0.0799344738976861</v>
      </c>
      <c r="C21" s="421" t="n">
        <v>0.0828804695643523</v>
      </c>
      <c r="D21" s="421" t="n">
        <v>0.0857127202245834</v>
      </c>
      <c r="E21" s="421" t="n">
        <v>0.0882606083687271</v>
      </c>
      <c r="F21" s="421"/>
      <c r="G21" s="421"/>
      <c r="H21" s="0" t="s">
        <v>1022</v>
      </c>
      <c r="I21" s="421" t="n">
        <v>0.0799344738976861</v>
      </c>
      <c r="J21" s="421" t="n">
        <v>0.0828804695643523</v>
      </c>
      <c r="K21" s="421" t="n">
        <v>0.0857127202245834</v>
      </c>
      <c r="L21" s="421" t="n">
        <v>0.0882606083687271</v>
      </c>
    </row>
    <row r="22" customFormat="false" ht="12.75" hidden="false" customHeight="false" outlineLevel="0" collapsed="false">
      <c r="B22" s="421"/>
      <c r="C22" s="421"/>
      <c r="D22" s="421"/>
      <c r="E22" s="421"/>
      <c r="I22" s="421"/>
      <c r="J22" s="421"/>
      <c r="K22" s="421"/>
      <c r="L22" s="421"/>
    </row>
    <row r="23" customFormat="false" ht="12.75" hidden="false" customHeight="false" outlineLevel="0" collapsed="false">
      <c r="A23" s="0" t="s">
        <v>1023</v>
      </c>
      <c r="B23" s="421" t="n">
        <v>0.0895914249440164</v>
      </c>
      <c r="C23" s="421" t="n">
        <v>0.0910644227773495</v>
      </c>
      <c r="D23" s="421" t="n">
        <v>0.0924805481074651</v>
      </c>
      <c r="E23" s="421" t="n">
        <v>0.0937544921795369</v>
      </c>
      <c r="F23" s="421"/>
      <c r="G23" s="421"/>
      <c r="H23" s="0" t="s">
        <v>1023</v>
      </c>
      <c r="I23" s="421" t="n">
        <v>0.0895914249440164</v>
      </c>
      <c r="J23" s="421" t="n">
        <v>0.0910644227773495</v>
      </c>
      <c r="K23" s="421" t="n">
        <v>0.0924805481074651</v>
      </c>
      <c r="L23" s="421" t="n">
        <v>0.0937544921795369</v>
      </c>
      <c r="M23" s="421"/>
    </row>
    <row r="26" customFormat="false" ht="12.75" hidden="false" customHeight="false" outlineLevel="0" collapsed="false">
      <c r="A26" s="423" t="s">
        <v>1029</v>
      </c>
      <c r="B26" s="423"/>
      <c r="C26" s="423"/>
      <c r="D26" s="423"/>
      <c r="E26" s="423"/>
      <c r="F26" s="423"/>
      <c r="G26" s="423"/>
      <c r="H26" s="423" t="s">
        <v>1029</v>
      </c>
      <c r="I26" s="423"/>
      <c r="J26" s="423"/>
    </row>
    <row r="27" customFormat="false" ht="12.75" hidden="false" customHeight="false" outlineLevel="0" collapsed="false">
      <c r="A27" s="548" t="s">
        <v>1019</v>
      </c>
      <c r="B27" s="423"/>
      <c r="C27" s="423"/>
      <c r="D27" s="423"/>
      <c r="E27" s="423"/>
      <c r="F27" s="423"/>
      <c r="G27" s="423"/>
      <c r="H27" s="548" t="s">
        <v>1020</v>
      </c>
      <c r="I27" s="423"/>
      <c r="J27" s="423"/>
    </row>
    <row r="29" customFormat="false" ht="12.75" hidden="false" customHeight="false" outlineLevel="0" collapsed="false">
      <c r="B29" s="549" t="n">
        <v>2002</v>
      </c>
      <c r="C29" s="549" t="n">
        <v>2003</v>
      </c>
      <c r="D29" s="549" t="n">
        <v>2004</v>
      </c>
      <c r="E29" s="549" t="n">
        <v>2005</v>
      </c>
      <c r="H29" s="549"/>
      <c r="I29" s="549" t="n">
        <v>2002</v>
      </c>
      <c r="J29" s="549" t="n">
        <v>2003</v>
      </c>
      <c r="K29" s="549" t="n">
        <v>2004</v>
      </c>
      <c r="L29" s="549" t="n">
        <v>2005</v>
      </c>
    </row>
    <row r="30" customFormat="false" ht="12.75" hidden="false" customHeight="false" outlineLevel="0" collapsed="false">
      <c r="A30" s="0" t="s">
        <v>1021</v>
      </c>
      <c r="B30" s="421" t="n">
        <v>0.0787742748320493</v>
      </c>
      <c r="C30" s="421" t="n">
        <v>0.0831932683320485</v>
      </c>
      <c r="D30" s="421" t="n">
        <v>0.0874416443223952</v>
      </c>
      <c r="E30" s="421" t="n">
        <v>0.0912634765386107</v>
      </c>
      <c r="F30" s="421"/>
      <c r="G30" s="421"/>
      <c r="H30" s="0" t="s">
        <v>1021</v>
      </c>
      <c r="I30" s="421" t="n">
        <v>0.0787742748320493</v>
      </c>
      <c r="J30" s="421" t="n">
        <v>0.0831932683320485</v>
      </c>
      <c r="K30" s="421" t="n">
        <v>0.0874416443223952</v>
      </c>
      <c r="L30" s="421" t="n">
        <v>0.0912634765386107</v>
      </c>
    </row>
    <row r="31" customFormat="false" ht="12.75" hidden="false" customHeight="false" outlineLevel="0" collapsed="false">
      <c r="B31" s="421"/>
      <c r="C31" s="421"/>
      <c r="D31" s="421"/>
      <c r="E31" s="421"/>
      <c r="I31" s="421"/>
      <c r="J31" s="421"/>
      <c r="K31" s="421"/>
      <c r="L31" s="421"/>
    </row>
    <row r="32" customFormat="false" ht="12.75" hidden="false" customHeight="false" outlineLevel="0" collapsed="false">
      <c r="A32" s="0" t="s">
        <v>1022</v>
      </c>
      <c r="B32" s="421" t="n">
        <v>0.0884312258783796</v>
      </c>
      <c r="C32" s="421" t="n">
        <v>0.0913772215450457</v>
      </c>
      <c r="D32" s="421" t="n">
        <v>0.0942094722052769</v>
      </c>
      <c r="E32" s="421" t="n">
        <v>0.0967573603494206</v>
      </c>
      <c r="F32" s="421"/>
      <c r="G32" s="421"/>
      <c r="H32" s="0" t="s">
        <v>1022</v>
      </c>
      <c r="I32" s="421" t="n">
        <v>0.0884312258783796</v>
      </c>
      <c r="J32" s="421" t="n">
        <v>0.0913772215450457</v>
      </c>
      <c r="K32" s="421" t="n">
        <v>0.0942094722052769</v>
      </c>
      <c r="L32" s="421" t="n">
        <v>0.0967573603494206</v>
      </c>
    </row>
    <row r="33" customFormat="false" ht="12.75" hidden="false" customHeight="false" outlineLevel="0" collapsed="false">
      <c r="B33" s="421"/>
      <c r="C33" s="421"/>
      <c r="D33" s="421"/>
      <c r="E33" s="421"/>
      <c r="I33" s="421"/>
      <c r="J33" s="421"/>
      <c r="K33" s="421"/>
      <c r="L33" s="421"/>
    </row>
    <row r="34" customFormat="false" ht="12.75" hidden="false" customHeight="false" outlineLevel="0" collapsed="false">
      <c r="A34" s="0" t="s">
        <v>1023</v>
      </c>
      <c r="B34" s="421" t="n">
        <v>0.0980881769247099</v>
      </c>
      <c r="C34" s="421" t="n">
        <v>0.0995611747580429</v>
      </c>
      <c r="D34" s="421" t="n">
        <v>0.100977300088159</v>
      </c>
      <c r="E34" s="421" t="n">
        <v>0.10225124416023</v>
      </c>
      <c r="F34" s="421"/>
      <c r="G34" s="421"/>
      <c r="H34" s="0" t="s">
        <v>1023</v>
      </c>
      <c r="I34" s="421" t="n">
        <v>0.0980881769247099</v>
      </c>
      <c r="J34" s="421" t="n">
        <v>0.0995611747580429</v>
      </c>
      <c r="K34" s="421" t="n">
        <v>0.100977300088159</v>
      </c>
      <c r="L34" s="421" t="n">
        <v>0.10225124416023</v>
      </c>
    </row>
    <row r="42" customFormat="false" ht="12.75" hidden="false" customHeight="false" outlineLevel="0" collapsed="false">
      <c r="A42" s="551"/>
    </row>
    <row r="46" customFormat="false" ht="12.75" hidden="false" customHeight="false" outlineLevel="0" collapsed="false">
      <c r="A46" s="421" t="n">
        <v>0.06</v>
      </c>
    </row>
  </sheetData>
  <printOptions headings="false" gridLines="false" gridLinesSet="true" horizontalCentered="true" verticalCentered="false"/>
  <pageMargins left="0.747916666666667" right="0.747916666666667" top="0.984027777777778" bottom="0.984027777777778" header="0.511811023622047" footer="0.511811023622047"/>
  <pageSetup paperSize="1" scale="115"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2:N624"/>
  <sheetViews>
    <sheetView showFormulas="false" showGridLines="true" showRowColHeaders="true" showZeros="true" rightToLeft="false" tabSelected="false" showOutlineSymbols="true" defaultGridColor="true" view="normal" topLeftCell="A1" colorId="64" zoomScale="85" zoomScaleNormal="85" zoomScalePageLayoutView="100" workbookViewId="0">
      <selection pane="topLeft" activeCell="B70" activeCellId="0" sqref="B70"/>
    </sheetView>
  </sheetViews>
  <sheetFormatPr defaultColWidth="9.0546875" defaultRowHeight="12.75" customHeight="true" zeroHeight="false" outlineLevelRow="0" outlineLevelCol="0"/>
  <cols>
    <col collapsed="false" customWidth="true" hidden="false" outlineLevel="0" max="1" min="1" style="0" width="36.28"/>
    <col collapsed="false" customWidth="true" hidden="false" outlineLevel="0" max="2" min="2" style="0" width="13.56"/>
    <col collapsed="false" customWidth="true" hidden="false" outlineLevel="0" max="3" min="3" style="0" width="14.56"/>
    <col collapsed="false" customWidth="true" hidden="false" outlineLevel="0" max="4" min="4" style="0" width="15.7"/>
    <col collapsed="false" customWidth="true" hidden="false" outlineLevel="0" max="9" min="5" style="0" width="13.56"/>
    <col collapsed="false" customWidth="true" hidden="false" outlineLevel="0" max="10" min="10" style="0" width="13.7"/>
    <col collapsed="false" customWidth="true" hidden="false" outlineLevel="0" max="11" min="11" style="0" width="12.56"/>
    <col collapsed="false" customWidth="true" hidden="false" outlineLevel="0" max="14" min="13" style="0" width="17.7"/>
  </cols>
  <sheetData>
    <row r="2" customFormat="false" ht="16.5" hidden="false" customHeight="false" outlineLevel="0" collapsed="false">
      <c r="A2" s="552" t="s">
        <v>1030</v>
      </c>
    </row>
    <row r="3" customFormat="false" ht="16.5" hidden="false" customHeight="false" outlineLevel="0" collapsed="false">
      <c r="A3" s="552"/>
      <c r="D3" s="553" t="s">
        <v>1031</v>
      </c>
      <c r="E3" s="554"/>
      <c r="F3" s="554"/>
      <c r="G3" s="554"/>
      <c r="H3" s="554"/>
      <c r="I3" s="554"/>
      <c r="J3" s="555"/>
    </row>
    <row r="4" customFormat="false" ht="16.5" hidden="false" customHeight="false" outlineLevel="0" collapsed="false">
      <c r="A4" s="552"/>
      <c r="D4" s="430" t="s">
        <v>1032</v>
      </c>
      <c r="E4" s="556" t="n">
        <v>100</v>
      </c>
      <c r="F4" s="556"/>
      <c r="G4" s="556"/>
      <c r="H4" s="556"/>
      <c r="I4" s="556"/>
      <c r="J4" s="557"/>
      <c r="M4" s="558" t="s">
        <v>1033</v>
      </c>
      <c r="N4" s="559" t="n">
        <v>4.80663044053042</v>
      </c>
    </row>
    <row r="5" customFormat="false" ht="15.75" hidden="false" customHeight="false" outlineLevel="0" collapsed="false">
      <c r="A5" s="552"/>
      <c r="D5" s="430"/>
      <c r="E5" s="556" t="n">
        <v>1</v>
      </c>
      <c r="F5" s="556" t="n">
        <v>2</v>
      </c>
      <c r="G5" s="556" t="n">
        <v>3</v>
      </c>
      <c r="H5" s="556" t="n">
        <v>4</v>
      </c>
      <c r="I5" s="556" t="n">
        <v>5</v>
      </c>
      <c r="J5" s="557" t="n">
        <v>6</v>
      </c>
      <c r="M5" s="560"/>
      <c r="N5" s="561"/>
    </row>
    <row r="6" customFormat="false" ht="12.75" hidden="false" customHeight="false" outlineLevel="0" collapsed="false">
      <c r="A6" s="439" t="s">
        <v>1034</v>
      </c>
      <c r="B6" s="562" t="n">
        <v>0.08</v>
      </c>
      <c r="D6" s="430" t="s">
        <v>1035</v>
      </c>
      <c r="E6" s="563" t="n">
        <f aca="false">E4/B7</f>
        <v>25.8721602416959</v>
      </c>
      <c r="F6" s="563" t="n">
        <f aca="false">E6</f>
        <v>25.8721602416959</v>
      </c>
      <c r="G6" s="563" t="n">
        <f aca="false">F6</f>
        <v>25.8721602416959</v>
      </c>
      <c r="H6" s="563" t="n">
        <f aca="false">G6</f>
        <v>25.8721602416959</v>
      </c>
      <c r="I6" s="563" t="n">
        <f aca="false">H6</f>
        <v>25.8721602416959</v>
      </c>
      <c r="J6" s="564" t="n">
        <f aca="false">I6</f>
        <v>25.8721602416959</v>
      </c>
      <c r="M6" s="560" t="s">
        <v>1036</v>
      </c>
      <c r="N6" s="565" t="n">
        <f aca="false">-'RMPM-Whole'!K5</f>
        <v>35490271.4390492</v>
      </c>
    </row>
    <row r="7" customFormat="false" ht="12.75" hidden="false" customHeight="false" outlineLevel="0" collapsed="false">
      <c r="A7" s="439" t="s">
        <v>1037</v>
      </c>
      <c r="B7" s="566" t="n">
        <f aca="false">'wholesale services'!C73</f>
        <v>3.86515849723436</v>
      </c>
      <c r="D7" s="430" t="s">
        <v>1038</v>
      </c>
      <c r="E7" s="563" t="n">
        <f aca="false">E6/(1+$B$6)^B12</f>
        <v>23.9557039274962</v>
      </c>
      <c r="F7" s="563" t="n">
        <f aca="false">F6/(1+$B$6)^C12</f>
        <v>22.1812073402743</v>
      </c>
      <c r="G7" s="563" t="n">
        <f aca="false">G6/(1+$B$6)^D12</f>
        <v>20.5381549446984</v>
      </c>
      <c r="H7" s="563" t="n">
        <f aca="false">H6/(1+$B$6)^E12</f>
        <v>19.01681013398</v>
      </c>
      <c r="I7" s="563" t="n">
        <f aca="false">I6/(1+$B$6)^F12</f>
        <v>17.608157531463</v>
      </c>
      <c r="J7" s="564" t="n">
        <f aca="false">J6/(1+$B$6)^G12</f>
        <v>16.3038495661694</v>
      </c>
      <c r="M7" s="560" t="s">
        <v>1039</v>
      </c>
      <c r="N7" s="567" t="n">
        <f aca="false">B7</f>
        <v>3.86515849723436</v>
      </c>
    </row>
    <row r="8" customFormat="false" ht="13.5" hidden="false" customHeight="false" outlineLevel="0" collapsed="false">
      <c r="A8" s="439" t="s">
        <v>1040</v>
      </c>
      <c r="B8" s="566" t="n">
        <f aca="false">4+(100-H8)/(I8-H8)</f>
        <v>4.81258494126854</v>
      </c>
      <c r="D8" s="436" t="s">
        <v>1041</v>
      </c>
      <c r="E8" s="568" t="n">
        <f aca="false">E7</f>
        <v>23.9557039274962</v>
      </c>
      <c r="F8" s="568" t="n">
        <f aca="false">E8+F7</f>
        <v>46.1369112677705</v>
      </c>
      <c r="G8" s="568" t="n">
        <f aca="false">F8+G7</f>
        <v>66.6750662124689</v>
      </c>
      <c r="H8" s="568" t="n">
        <f aca="false">G8+H7</f>
        <v>85.6918763464489</v>
      </c>
      <c r="I8" s="568" t="n">
        <f aca="false">H8+I7</f>
        <v>103.300033877912</v>
      </c>
      <c r="J8" s="569" t="n">
        <f aca="false">I8+J7</f>
        <v>119.603883444081</v>
      </c>
      <c r="M8" s="560" t="s">
        <v>1042</v>
      </c>
      <c r="N8" s="570" t="n">
        <f aca="false">N6/N7</f>
        <v>9182099.89692366</v>
      </c>
    </row>
    <row r="9" customFormat="false" ht="12.75" hidden="false" customHeight="false" outlineLevel="0" collapsed="false">
      <c r="A9" s="439"/>
      <c r="B9" s="566"/>
      <c r="D9" s="556"/>
      <c r="E9" s="563"/>
      <c r="F9" s="563"/>
      <c r="G9" s="563"/>
      <c r="H9" s="563"/>
      <c r="I9" s="563"/>
      <c r="J9" s="563"/>
      <c r="M9" s="560"/>
      <c r="N9" s="570"/>
    </row>
    <row r="10" customFormat="false" ht="13.5" hidden="false" customHeight="false" outlineLevel="0" collapsed="false">
      <c r="A10" s="204" t="s">
        <v>1043</v>
      </c>
      <c r="B10" s="571" t="s">
        <v>49</v>
      </c>
      <c r="C10" s="556" t="s">
        <v>1044</v>
      </c>
      <c r="D10" s="556"/>
      <c r="E10" s="556"/>
      <c r="F10" s="556"/>
      <c r="G10" s="563"/>
      <c r="H10" s="563"/>
      <c r="I10" s="563"/>
      <c r="J10" s="563"/>
      <c r="M10" s="572" t="s">
        <v>1045</v>
      </c>
      <c r="N10" s="573" t="n">
        <f aca="false">PMT($B$6,N4,-N6)</f>
        <v>9182100.00005853</v>
      </c>
    </row>
    <row r="11" customFormat="false" ht="13.5" hidden="false" customHeight="false" outlineLevel="0" collapsed="false">
      <c r="A11" s="204"/>
      <c r="B11" s="574"/>
      <c r="C11" s="556"/>
      <c r="D11" s="556"/>
      <c r="E11" s="556"/>
      <c r="F11" s="556"/>
      <c r="G11" s="563"/>
      <c r="H11" s="563"/>
      <c r="I11" s="563"/>
      <c r="J11" s="563"/>
      <c r="M11" s="556"/>
      <c r="N11" s="575"/>
    </row>
    <row r="12" customFormat="false" ht="12.75" hidden="false" customHeight="false" outlineLevel="0" collapsed="false">
      <c r="B12" s="0" t="n">
        <v>1</v>
      </c>
      <c r="C12" s="0" t="n">
        <v>2</v>
      </c>
      <c r="D12" s="0" t="n">
        <v>3</v>
      </c>
      <c r="E12" s="0" t="n">
        <v>4</v>
      </c>
      <c r="F12" s="0" t="n">
        <v>5</v>
      </c>
      <c r="G12" s="0" t="n">
        <v>6</v>
      </c>
      <c r="H12" s="0" t="n">
        <v>7</v>
      </c>
      <c r="I12" s="0" t="n">
        <v>8</v>
      </c>
      <c r="J12" s="0" t="n">
        <v>9</v>
      </c>
      <c r="K12" s="0" t="n">
        <v>10</v>
      </c>
    </row>
    <row r="13" customFormat="false" ht="12.75" hidden="false" customHeight="false" outlineLevel="0" collapsed="false">
      <c r="A13" s="0" t="s">
        <v>1046</v>
      </c>
      <c r="B13" s="576" t="n">
        <f aca="false">'wholesale services'!D103</f>
        <v>56663438.0526106</v>
      </c>
      <c r="C13" s="576" t="n">
        <f aca="false">'wholesale services'!E103</f>
        <v>57258542.8860967</v>
      </c>
      <c r="D13" s="576" t="n">
        <f aca="false">'wholesale services'!F103</f>
        <v>57849186.4843441</v>
      </c>
      <c r="E13" s="576" t="n">
        <f aca="false">'wholesale services'!G103</f>
        <v>58446622.4839714</v>
      </c>
      <c r="F13" s="576" t="n">
        <f aca="false">'wholesale services'!H103</f>
        <v>59050928.9975944</v>
      </c>
      <c r="G13" s="576" t="n">
        <f aca="false">'wholesale services'!I103</f>
        <v>59662185.0361241</v>
      </c>
      <c r="H13" s="576" t="n">
        <f aca="false">'wholesale services'!J103</f>
        <v>60280470.5190968</v>
      </c>
      <c r="I13" s="576" t="n">
        <f aca="false">'wholesale services'!K103</f>
        <v>60905866.2851238</v>
      </c>
      <c r="J13" s="576" t="n">
        <f aca="false">'wholesale services'!L103</f>
        <v>61538454.10246</v>
      </c>
      <c r="K13" s="576" t="n">
        <f aca="false">'wholesale services'!M103</f>
        <v>62178316.6796956</v>
      </c>
    </row>
    <row r="14" customFormat="false" ht="12.75" hidden="false" customHeight="false" outlineLevel="0" collapsed="false">
      <c r="B14" s="576"/>
      <c r="C14" s="576"/>
      <c r="D14" s="576"/>
      <c r="E14" s="576"/>
      <c r="F14" s="576"/>
      <c r="G14" s="576"/>
      <c r="H14" s="576"/>
      <c r="I14" s="576"/>
      <c r="J14" s="576"/>
      <c r="K14" s="576"/>
    </row>
    <row r="15" customFormat="false" ht="12.75" hidden="false" customHeight="false" outlineLevel="0" collapsed="false">
      <c r="A15" s="0" t="s">
        <v>1047</v>
      </c>
      <c r="B15" s="576"/>
      <c r="C15" s="576"/>
      <c r="D15" s="576"/>
      <c r="E15" s="576"/>
      <c r="F15" s="576"/>
      <c r="G15" s="576"/>
      <c r="H15" s="576"/>
      <c r="I15" s="576"/>
      <c r="J15" s="576"/>
      <c r="K15" s="576"/>
    </row>
    <row r="16" customFormat="false" ht="12.75" hidden="false" customHeight="false" outlineLevel="0" collapsed="false">
      <c r="A16" s="0" t="s">
        <v>1048</v>
      </c>
      <c r="B16" s="576" t="n">
        <f aca="false">'wholesale services'!D112</f>
        <v>39006990</v>
      </c>
      <c r="C16" s="576" t="n">
        <f aca="false">'wholesale services'!E112</f>
        <v>32686951.52875</v>
      </c>
      <c r="D16" s="576" t="n">
        <f aca="false">'wholesale services'!F112</f>
        <v>31422943.8345</v>
      </c>
      <c r="E16" s="576" t="n">
        <f aca="false">'wholesale services'!G112</f>
        <v>31422943.8345</v>
      </c>
      <c r="F16" s="576" t="n">
        <f aca="false">'wholesale services'!H112</f>
        <v>31422943.8345</v>
      </c>
      <c r="G16" s="576" t="n">
        <f aca="false">'wholesale services'!I112</f>
        <v>31422943.8345</v>
      </c>
      <c r="H16" s="576" t="n">
        <f aca="false">'wholesale services'!J112</f>
        <v>31422943.8345</v>
      </c>
      <c r="I16" s="576" t="n">
        <f aca="false">'wholesale services'!K112</f>
        <v>31422943.8345</v>
      </c>
      <c r="J16" s="576" t="n">
        <f aca="false">'wholesale services'!L112</f>
        <v>31422943.8345</v>
      </c>
      <c r="K16" s="576" t="n">
        <f aca="false">'wholesale services'!M112</f>
        <v>31422943.8345</v>
      </c>
    </row>
    <row r="17" customFormat="false" ht="12.75" hidden="false" customHeight="false" outlineLevel="0" collapsed="false">
      <c r="A17" s="0" t="s">
        <v>1049</v>
      </c>
      <c r="B17" s="576" t="n">
        <f aca="false">'wholesale services'!D115</f>
        <v>1708211.51070845</v>
      </c>
      <c r="C17" s="576" t="n">
        <f aca="false">'wholesale services'!E115</f>
        <v>1301250.12609073</v>
      </c>
      <c r="D17" s="576" t="n">
        <f aca="false">'wholesale services'!F115</f>
        <v>1232294.17505978</v>
      </c>
      <c r="E17" s="576" t="n">
        <f aca="false">'wholesale services'!G115</f>
        <v>1253412.83819212</v>
      </c>
      <c r="F17" s="576" t="n">
        <f aca="false">'wholesale services'!H115</f>
        <v>1279128.253755</v>
      </c>
      <c r="G17" s="576" t="n">
        <f aca="false">'wholesale services'!I115</f>
        <v>1309408.51756753</v>
      </c>
      <c r="H17" s="576" t="n">
        <f aca="false">'wholesale services'!J115</f>
        <v>1344223.42200262</v>
      </c>
      <c r="I17" s="576" t="n">
        <f aca="false">'wholesale services'!K115</f>
        <v>1383544.52669487</v>
      </c>
      <c r="J17" s="576" t="n">
        <f aca="false">'wholesale services'!L115</f>
        <v>1427345.19202602</v>
      </c>
      <c r="K17" s="576" t="n">
        <f aca="false">'wholesale services'!M115</f>
        <v>1475600.57963107</v>
      </c>
    </row>
    <row r="18" customFormat="false" ht="12.75" hidden="false" customHeight="false" outlineLevel="0" collapsed="false">
      <c r="A18" s="0" t="s">
        <v>991</v>
      </c>
      <c r="B18" s="576" t="n">
        <f aca="false">'wholesale services'!D116</f>
        <v>695640</v>
      </c>
      <c r="C18" s="576" t="n">
        <f aca="false">'wholesale services'!E116</f>
        <v>716509.2</v>
      </c>
      <c r="D18" s="576" t="n">
        <f aca="false">'wholesale services'!F116</f>
        <v>738004.476</v>
      </c>
      <c r="E18" s="576" t="n">
        <f aca="false">'wholesale services'!G116</f>
        <v>760144.61028</v>
      </c>
      <c r="F18" s="576" t="n">
        <f aca="false">'wholesale services'!H116</f>
        <v>782948.9485884</v>
      </c>
      <c r="G18" s="576" t="n">
        <f aca="false">'wholesale services'!I116</f>
        <v>806437.417046052</v>
      </c>
      <c r="H18" s="576" t="n">
        <f aca="false">'wholesale services'!J116</f>
        <v>830630.539557434</v>
      </c>
      <c r="I18" s="576" t="n">
        <f aca="false">'wholesale services'!K116</f>
        <v>855549.455744157</v>
      </c>
      <c r="J18" s="576" t="n">
        <f aca="false">'wholesale services'!L116</f>
        <v>881215.939416482</v>
      </c>
      <c r="K18" s="576" t="n">
        <f aca="false">'wholesale services'!M116</f>
        <v>907652.417598976</v>
      </c>
    </row>
    <row r="19" customFormat="false" ht="12.75" hidden="false" customHeight="false" outlineLevel="0" collapsed="false">
      <c r="A19" s="0" t="s">
        <v>992</v>
      </c>
      <c r="B19" s="576" t="n">
        <f aca="false">'wholesale services'!D117</f>
        <v>4654731.78330612</v>
      </c>
      <c r="C19" s="576" t="n">
        <f aca="false">'wholesale services'!E117</f>
        <v>4756204.93618219</v>
      </c>
      <c r="D19" s="576" t="n">
        <f aca="false">'wholesale services'!F117</f>
        <v>4855609.6193484</v>
      </c>
      <c r="E19" s="576" t="n">
        <f aca="false">'wholesale services'!G117</f>
        <v>4953207.3726973</v>
      </c>
      <c r="F19" s="576" t="n">
        <f aca="false">'wholesale services'!H117</f>
        <v>5049299.59572763</v>
      </c>
      <c r="G19" s="576" t="n">
        <f aca="false">'wholesale services'!I117</f>
        <v>5143721.49816774</v>
      </c>
      <c r="H19" s="576" t="n">
        <f aca="false">'wholesale services'!J117</f>
        <v>5236308.48513476</v>
      </c>
      <c r="I19" s="576" t="n">
        <f aca="false">'wholesale services'!K117</f>
        <v>5327943.88362462</v>
      </c>
      <c r="J19" s="576" t="n">
        <f aca="false">'wholesale services'!L117</f>
        <v>5417453.34086951</v>
      </c>
      <c r="K19" s="576" t="n">
        <f aca="false">'wholesale services'!M117</f>
        <v>5506299.57565977</v>
      </c>
    </row>
    <row r="20" customFormat="false" ht="12.75" hidden="false" customHeight="false" outlineLevel="0" collapsed="false">
      <c r="A20" s="0" t="s">
        <v>42</v>
      </c>
      <c r="B20" s="576" t="n">
        <f aca="false">'wholesale services'!D118</f>
        <v>4611490.93256475</v>
      </c>
      <c r="C20" s="576" t="n">
        <f aca="false">'wholesale services'!E118</f>
        <v>4712021.43489466</v>
      </c>
      <c r="D20" s="576" t="n">
        <f aca="false">'wholesale services'!F118</f>
        <v>4810502.68288396</v>
      </c>
      <c r="E20" s="576" t="n">
        <f aca="false">'wholesale services'!G118</f>
        <v>4907193.78680993</v>
      </c>
      <c r="F20" s="576" t="n">
        <f aca="false">'wholesale services'!H118</f>
        <v>5002393.34627404</v>
      </c>
      <c r="G20" s="576" t="n">
        <f aca="false">'wholesale services'!I118</f>
        <v>5095938.10184937</v>
      </c>
      <c r="H20" s="576" t="n">
        <f aca="false">'wholesale services'!J118</f>
        <v>5187664.98768265</v>
      </c>
      <c r="I20" s="576" t="n">
        <f aca="false">'wholesale services'!K118</f>
        <v>5278449.1249671</v>
      </c>
      <c r="J20" s="576" t="n">
        <f aca="false">'wholesale services'!L118</f>
        <v>5367127.07026655</v>
      </c>
      <c r="K20" s="576" t="n">
        <f aca="false">'wholesale services'!M118</f>
        <v>5455147.95421892</v>
      </c>
    </row>
    <row r="21" customFormat="false" ht="12.75" hidden="false" customHeight="false" outlineLevel="0" collapsed="false">
      <c r="A21" s="0" t="s">
        <v>994</v>
      </c>
      <c r="B21" s="576" t="n">
        <f aca="false">'wholesale services'!D120</f>
        <v>3798248</v>
      </c>
      <c r="C21" s="576" t="n">
        <f aca="false">'wholesale services'!E120</f>
        <v>3798248</v>
      </c>
      <c r="D21" s="576" t="n">
        <f aca="false">'wholesale services'!F120</f>
        <v>3798248</v>
      </c>
      <c r="E21" s="576" t="n">
        <f aca="false">'wholesale services'!G120</f>
        <v>3798248</v>
      </c>
      <c r="F21" s="576" t="n">
        <f aca="false">'wholesale services'!H120</f>
        <v>3798248</v>
      </c>
      <c r="G21" s="576" t="n">
        <f aca="false">'wholesale services'!I120</f>
        <v>3798248</v>
      </c>
      <c r="H21" s="576" t="n">
        <f aca="false">'wholesale services'!J120</f>
        <v>3798248</v>
      </c>
      <c r="I21" s="576" t="n">
        <f aca="false">'wholesale services'!K120</f>
        <v>3798248</v>
      </c>
      <c r="J21" s="576" t="n">
        <f aca="false">'wholesale services'!L120</f>
        <v>3798248</v>
      </c>
      <c r="K21" s="576" t="n">
        <f aca="false">'wholesale services'!M120</f>
        <v>3798248</v>
      </c>
    </row>
    <row r="22" customFormat="false" ht="12.75" hidden="false" customHeight="false" outlineLevel="0" collapsed="false">
      <c r="A22" s="0" t="s">
        <v>995</v>
      </c>
      <c r="B22" s="576" t="str">
        <f aca="false">'wholesale services'!D121</f>
        <v>NA</v>
      </c>
      <c r="C22" s="576" t="str">
        <f aca="false">'wholesale services'!E121</f>
        <v>NA</v>
      </c>
      <c r="D22" s="576" t="str">
        <f aca="false">'wholesale services'!F121</f>
        <v>NA</v>
      </c>
      <c r="E22" s="576" t="str">
        <f aca="false">'wholesale services'!G121</f>
        <v>NA</v>
      </c>
      <c r="F22" s="576" t="str">
        <f aca="false">'wholesale services'!H121</f>
        <v>NA</v>
      </c>
      <c r="G22" s="576" t="str">
        <f aca="false">'wholesale services'!I121</f>
        <v>NA</v>
      </c>
      <c r="H22" s="576" t="str">
        <f aca="false">'wholesale services'!J121</f>
        <v>NA</v>
      </c>
      <c r="I22" s="576" t="str">
        <f aca="false">'wholesale services'!K121</f>
        <v>NA</v>
      </c>
      <c r="J22" s="576" t="str">
        <f aca="false">'wholesale services'!L121</f>
        <v>NA</v>
      </c>
      <c r="K22" s="576" t="str">
        <f aca="false">'wholesale services'!M121</f>
        <v>NA</v>
      </c>
    </row>
    <row r="23" customFormat="false" ht="12.75" hidden="false" customHeight="false" outlineLevel="0" collapsed="false">
      <c r="A23" s="0" t="s">
        <v>996</v>
      </c>
      <c r="B23" s="576" t="str">
        <f aca="false">'wholesale services'!D122</f>
        <v>NA</v>
      </c>
      <c r="C23" s="576" t="str">
        <f aca="false">'wholesale services'!E122</f>
        <v>NA</v>
      </c>
      <c r="D23" s="576" t="str">
        <f aca="false">'wholesale services'!F122</f>
        <v>NA</v>
      </c>
      <c r="E23" s="576" t="str">
        <f aca="false">'wholesale services'!G122</f>
        <v>NA</v>
      </c>
      <c r="F23" s="576" t="str">
        <f aca="false">'wholesale services'!H122</f>
        <v>NA</v>
      </c>
      <c r="G23" s="576" t="str">
        <f aca="false">'wholesale services'!I122</f>
        <v>NA</v>
      </c>
      <c r="H23" s="576" t="str">
        <f aca="false">'wholesale services'!J122</f>
        <v>NA</v>
      </c>
      <c r="I23" s="576" t="str">
        <f aca="false">'wholesale services'!K122</f>
        <v>NA</v>
      </c>
      <c r="J23" s="576" t="str">
        <f aca="false">'wholesale services'!L122</f>
        <v>NA</v>
      </c>
      <c r="K23" s="576" t="str">
        <f aca="false">'wholesale services'!M122</f>
        <v>NA</v>
      </c>
    </row>
    <row r="24" customFormat="false" ht="12.75" hidden="false" customHeight="false" outlineLevel="0" collapsed="false">
      <c r="A24" s="577" t="s">
        <v>1050</v>
      </c>
      <c r="B24" s="578" t="n">
        <f aca="false">IF($B$10="y",SUM('RMPM-Whole'!$CU$12:$CV$23),SUM('RMPM-Whole'!$DB$12:$DC$23))</f>
        <v>0</v>
      </c>
      <c r="C24" s="578" t="n">
        <f aca="false">IF($B$10="y",SUM('RMPM-Whole'!$CU$24:$CV$35),SUM('RMPM-Whole'!$DB$24:$DC$35))</f>
        <v>4953980.71671614</v>
      </c>
      <c r="D24" s="578" t="n">
        <f aca="false">IF($B$10="y",SUM('RMPM-Whole'!$CU$36:$CV$47),SUM('RMPM-Whole'!$DB$36:$DC$47))</f>
        <v>5944776.86005937</v>
      </c>
      <c r="E24" s="578" t="n">
        <f aca="false">IF($B$10="y",SUM('RMPM-Whole'!$CU$48:$CV$59),SUM('RMPM-Whole'!$DB$48:$DC$59))</f>
        <v>5944776.86005937</v>
      </c>
      <c r="F24" s="578" t="n">
        <f aca="false">IF($B$10="y",SUM('RMPM-Whole'!$CU$60:$CV$71),SUM('RMPM-Whole'!$DB$60:$DC$71))</f>
        <v>5944776.86005937</v>
      </c>
      <c r="G24" s="578" t="n">
        <f aca="false">IF($B$10="y",SUM('RMPM-Whole'!$CU$72:$CV$83),SUM('RMPM-Whole'!$DB$72:$DC$83))</f>
        <v>5944776.86005937</v>
      </c>
      <c r="H24" s="578" t="n">
        <f aca="false">IF($B$10="y",SUM('RMPM-Whole'!$CU$84:$CV$95),SUM('RMPM-Whole'!$DB$84:$DC$95))</f>
        <v>5944776.86005936</v>
      </c>
      <c r="I24" s="578" t="n">
        <f aca="false">IF($B$10="y",SUM('RMPM-Whole'!$CU$96:$CV$107),SUM('RMPM-Whole'!$DB$96:$DC$107))</f>
        <v>5944776.86005936</v>
      </c>
      <c r="J24" s="578" t="n">
        <f aca="false">IF($B$10="y",SUM('RMPM-Whole'!$CU$108:$CV$119),SUM('RMPM-Whole'!$DB$108:$DC$119))</f>
        <v>5944776.86005936</v>
      </c>
      <c r="K24" s="578" t="n">
        <f aca="false">IF($B$10="y",SUM('RMPM-Whole'!$CU$120:$CV$131),SUM('RMPM-Whole'!$DB$120:$DC$131))</f>
        <v>5944776.86005936</v>
      </c>
      <c r="L24" s="579"/>
      <c r="M24" s="580"/>
      <c r="N24" s="580"/>
    </row>
    <row r="25" customFormat="false" ht="12.75" hidden="false" customHeight="false" outlineLevel="0" collapsed="false">
      <c r="A25" s="0" t="s">
        <v>1001</v>
      </c>
      <c r="B25" s="576" t="n">
        <f aca="false">-'wholesale services'!D128</f>
        <v>662655</v>
      </c>
      <c r="C25" s="576" t="n">
        <f aca="false">-'wholesale services'!E128</f>
        <v>662655</v>
      </c>
      <c r="D25" s="576" t="n">
        <f aca="false">-'wholesale services'!F128</f>
        <v>662655</v>
      </c>
      <c r="E25" s="576" t="n">
        <f aca="false">-'wholesale services'!G128</f>
        <v>662655</v>
      </c>
      <c r="F25" s="576" t="n">
        <f aca="false">-'wholesale services'!H128</f>
        <v>662655</v>
      </c>
      <c r="G25" s="576" t="n">
        <f aca="false">-'wholesale services'!I128</f>
        <v>662655</v>
      </c>
      <c r="H25" s="576" t="n">
        <f aca="false">-'wholesale services'!J128</f>
        <v>662655</v>
      </c>
      <c r="I25" s="576" t="n">
        <f aca="false">-'wholesale services'!K128</f>
        <v>662655</v>
      </c>
      <c r="J25" s="576" t="n">
        <f aca="false">-'wholesale services'!L128</f>
        <v>662655</v>
      </c>
      <c r="K25" s="576" t="n">
        <f aca="false">-'wholesale services'!M128</f>
        <v>662655</v>
      </c>
    </row>
    <row r="26" customFormat="false" ht="12.75" hidden="false" customHeight="false" outlineLevel="0" collapsed="false">
      <c r="A26" s="0" t="s">
        <v>1051</v>
      </c>
      <c r="B26" s="576" t="n">
        <f aca="false">'wholesale services'!D109</f>
        <v>3246342.80509748</v>
      </c>
      <c r="C26" s="576" t="n">
        <f aca="false">'wholesale services'!E109</f>
        <v>3280437.35284929</v>
      </c>
      <c r="D26" s="576" t="n">
        <f aca="false">'wholesale services'!F109</f>
        <v>3314276.30899888</v>
      </c>
      <c r="E26" s="576" t="n">
        <f aca="false">'wholesale services'!G109</f>
        <v>3348504.4131442</v>
      </c>
      <c r="F26" s="576" t="n">
        <f aca="false">'wholesale services'!H109</f>
        <v>3383126.14048718</v>
      </c>
      <c r="G26" s="576" t="n">
        <f aca="false">'wholesale services'!I109</f>
        <v>3418146.01769461</v>
      </c>
      <c r="H26" s="576" t="n">
        <f aca="false">'wholesale services'!J109</f>
        <v>3453568.62348992</v>
      </c>
      <c r="I26" s="576" t="n">
        <f aca="false">'wholesale services'!K109</f>
        <v>3489398.58925188</v>
      </c>
      <c r="J26" s="576" t="n">
        <f aca="false">'wholesale services'!L109</f>
        <v>3525640.59962011</v>
      </c>
      <c r="K26" s="576" t="n">
        <f aca="false">'wholesale services'!M109</f>
        <v>3562299.39310756</v>
      </c>
    </row>
    <row r="27" customFormat="false" ht="12.75" hidden="false" customHeight="false" outlineLevel="0" collapsed="false">
      <c r="B27" s="576"/>
      <c r="C27" s="576"/>
      <c r="D27" s="576"/>
      <c r="E27" s="576"/>
      <c r="F27" s="576"/>
      <c r="G27" s="576"/>
      <c r="H27" s="576"/>
      <c r="I27" s="576"/>
      <c r="J27" s="576"/>
      <c r="K27" s="576"/>
    </row>
    <row r="28" customFormat="false" ht="12.75" hidden="false" customHeight="false" outlineLevel="0" collapsed="false">
      <c r="A28" s="0" t="s">
        <v>1008</v>
      </c>
      <c r="B28" s="576" t="n">
        <f aca="false">B13-SUM(B16:B26)</f>
        <v>-1720871.97906624</v>
      </c>
      <c r="C28" s="576" t="n">
        <f aca="false">C13-SUM(C16:C26)</f>
        <v>390284.590613663</v>
      </c>
      <c r="D28" s="576" t="n">
        <f aca="false">D13-SUM(D16:D26)</f>
        <v>1069875.52749372</v>
      </c>
      <c r="E28" s="576" t="n">
        <f aca="false">E13-SUM(E16:E26)</f>
        <v>1395535.76828849</v>
      </c>
      <c r="F28" s="576" t="n">
        <f aca="false">F13-SUM(F16:F26)</f>
        <v>1725409.01820278</v>
      </c>
      <c r="G28" s="576" t="n">
        <f aca="false">G13-SUM(G16:G26)</f>
        <v>2059909.78923941</v>
      </c>
      <c r="H28" s="576" t="n">
        <f aca="false">H13-SUM(H16:H26)</f>
        <v>2399450.76667007</v>
      </c>
      <c r="I28" s="576" t="n">
        <f aca="false">I13-SUM(I16:I26)</f>
        <v>2742357.01028178</v>
      </c>
      <c r="J28" s="576" t="n">
        <f aca="false">J13-SUM(J16:J26)</f>
        <v>3091048.265702</v>
      </c>
      <c r="K28" s="576" t="n">
        <f aca="false">K13-SUM(K16:K26)</f>
        <v>3442693.06491999</v>
      </c>
    </row>
    <row r="29" customFormat="false" ht="12.75" hidden="false" customHeight="false" outlineLevel="0" collapsed="false">
      <c r="B29" s="441"/>
      <c r="C29" s="576"/>
      <c r="D29" s="576"/>
      <c r="E29" s="576"/>
      <c r="F29" s="576"/>
      <c r="G29" s="576"/>
      <c r="H29" s="576"/>
      <c r="I29" s="576"/>
      <c r="J29" s="576"/>
      <c r="K29" s="576"/>
      <c r="L29" s="576"/>
    </row>
    <row r="30" customFormat="false" ht="12.75" hidden="false" customHeight="false" outlineLevel="0" collapsed="false">
      <c r="A30" s="0" t="s">
        <v>1052</v>
      </c>
      <c r="B30" s="576" t="n">
        <f aca="false">B28</f>
        <v>-1720871.97906624</v>
      </c>
      <c r="C30" s="576" t="n">
        <f aca="false">B30*(1+$B$6)+C28</f>
        <v>-1468257.14677787</v>
      </c>
      <c r="D30" s="576" t="n">
        <f aca="false">C30*(1+$B$6)+D28</f>
        <v>-515842.191026381</v>
      </c>
      <c r="E30" s="576" t="n">
        <f aca="false">D30*(1+$B$6)+E28</f>
        <v>838426.201980001</v>
      </c>
      <c r="F30" s="576" t="n">
        <f aca="false">E30*(1+$B$6)+F28</f>
        <v>2630909.31634118</v>
      </c>
      <c r="G30" s="576" t="n">
        <f aca="false">F30*(1+$B$6)+G28</f>
        <v>4901291.85088788</v>
      </c>
      <c r="H30" s="576" t="n">
        <f aca="false">G30*(1+$B$6)+H28</f>
        <v>7692845.96562899</v>
      </c>
      <c r="I30" s="576" t="n">
        <f aca="false">H30*(1+$B$6)+I28</f>
        <v>11050630.6531611</v>
      </c>
      <c r="J30" s="576" t="n">
        <f aca="false">I30*(1+$B$6)+J28</f>
        <v>15025729.371116</v>
      </c>
      <c r="K30" s="576" t="n">
        <f aca="false">J30*(1+$B$6)+K28</f>
        <v>19670480.7857252</v>
      </c>
    </row>
    <row r="31" customFormat="false" ht="12.75" hidden="false" customHeight="false" outlineLevel="0" collapsed="false">
      <c r="A31" s="0" t="s">
        <v>1053</v>
      </c>
      <c r="B31" s="576" t="n">
        <f aca="false">NPV($B$6,unwinds!C13:$K$13)</f>
        <v>370896472.480644</v>
      </c>
      <c r="C31" s="576" t="n">
        <f aca="false">NPV($B$6,unwinds!D13:$K$13)</f>
        <v>343309647.392999</v>
      </c>
      <c r="D31" s="576" t="n">
        <f aca="false">NPV($B$6,unwinds!E13:$K$13)</f>
        <v>312925232.700095</v>
      </c>
      <c r="E31" s="576" t="n">
        <f aca="false">NPV($B$6,unwinds!F13:$K$13)</f>
        <v>279512628.832131</v>
      </c>
      <c r="F31" s="576" t="n">
        <f aca="false">NPV($B$6,unwinds!G13:$K$13)</f>
        <v>242822710.141107</v>
      </c>
      <c r="G31" s="576" t="n">
        <f aca="false">NPV($B$6,unwinds!H13:$K$13)</f>
        <v>202586341.916272</v>
      </c>
      <c r="H31" s="576" t="n">
        <f aca="false">NPV($B$6,unwinds!I13:$K$13)</f>
        <v>158512778.750477</v>
      </c>
      <c r="I31" s="576" t="n">
        <f aca="false">NPV($B$6,unwinds!J13:$K$13)</f>
        <v>110287934.765391</v>
      </c>
      <c r="J31" s="576" t="n">
        <f aca="false">NPV($B$6,unwinds!K13:$K$13)</f>
        <v>57572515.4441626</v>
      </c>
      <c r="K31" s="576" t="n">
        <f aca="false">NPV($B$6,unwinds!$K13:L$13)</f>
        <v>57572515.4441626</v>
      </c>
    </row>
    <row r="32" customFormat="false" ht="12.75" hidden="false" customHeight="false" outlineLevel="0" collapsed="false">
      <c r="A32" s="0" t="s">
        <v>1054</v>
      </c>
      <c r="B32" s="576" t="n">
        <f aca="false">NPV('general info'!$B$45,unwinds!C28:$K28)</f>
        <v>8738463.4147165</v>
      </c>
      <c r="C32" s="576" t="n">
        <f aca="false">NPV('general info'!$B$45,unwinds!D28:$K28)</f>
        <v>9527871.38508957</v>
      </c>
      <c r="D32" s="576" t="n">
        <f aca="false">NPV('general info'!$B$45,unwinds!E28:$K28)</f>
        <v>9744258.49458294</v>
      </c>
      <c r="E32" s="576" t="n">
        <f aca="false">NPV('general info'!$B$45,unwinds!F28:$K28)</f>
        <v>9664197.62306314</v>
      </c>
      <c r="F32" s="576" t="n">
        <f aca="false">NPV('general info'!$B$45,unwinds!G28:$K28)</f>
        <v>9243455.28397388</v>
      </c>
      <c r="G32" s="576" t="n">
        <f aca="false">NPV('general info'!$B$45,unwinds!H28:$K28)</f>
        <v>8431411.95807095</v>
      </c>
      <c r="H32" s="576" t="n">
        <f aca="false">NPV('general info'!$B$45,unwinds!I28:$K28)</f>
        <v>7170201.80574046</v>
      </c>
      <c r="I32" s="576" t="n">
        <f aca="false">NPV('general info'!$B$45,unwinds!J28:$K28)</f>
        <v>5395822.03923364</v>
      </c>
      <c r="J32" s="576" t="n">
        <f aca="false">NPV('general info'!$B$45,unwinds!K28:$K28)</f>
        <v>3033209.74882818</v>
      </c>
      <c r="K32" s="576" t="n">
        <f aca="false">NPV('general info'!$B$45,unwinds!$K28:L28)</f>
        <v>3033209.74882818</v>
      </c>
    </row>
    <row r="33" customFormat="false" ht="12.75" hidden="false" customHeight="false" outlineLevel="0" collapsed="false">
      <c r="B33" s="576"/>
    </row>
    <row r="34" customFormat="false" ht="12.75" hidden="false" customHeight="false" outlineLevel="0" collapsed="false">
      <c r="A34" s="0" t="s">
        <v>1055</v>
      </c>
    </row>
    <row r="35" customFormat="false" ht="12.75" hidden="false" customHeight="false" outlineLevel="0" collapsed="false">
      <c r="A35" s="413" t="s">
        <v>1056</v>
      </c>
      <c r="B35" s="581" t="n">
        <v>0.1</v>
      </c>
      <c r="C35" s="581" t="n">
        <v>0.1</v>
      </c>
      <c r="D35" s="581" t="n">
        <v>0.1</v>
      </c>
      <c r="E35" s="581" t="n">
        <v>0.1</v>
      </c>
      <c r="F35" s="581" t="n">
        <v>0.1</v>
      </c>
      <c r="G35" s="581" t="n">
        <v>0.1</v>
      </c>
      <c r="H35" s="582" t="n">
        <f aca="false">G35-1%</f>
        <v>0.09</v>
      </c>
      <c r="I35" s="582" t="n">
        <f aca="false">H35-1%</f>
        <v>0.08</v>
      </c>
      <c r="J35" s="582" t="n">
        <f aca="false">I35-1%</f>
        <v>0.07</v>
      </c>
      <c r="K35" s="582" t="n">
        <f aca="false">J35-1%</f>
        <v>0.06</v>
      </c>
      <c r="L35" s="413"/>
      <c r="M35" s="413"/>
      <c r="N35" s="413"/>
    </row>
    <row r="36" customFormat="false" ht="12.75" hidden="false" customHeight="false" outlineLevel="0" collapsed="false">
      <c r="A36" s="413" t="s">
        <v>1057</v>
      </c>
      <c r="B36" s="581" t="n">
        <f aca="false">0.8*B35</f>
        <v>0.08</v>
      </c>
      <c r="C36" s="581" t="n">
        <f aca="false">0.8*C35</f>
        <v>0.08</v>
      </c>
      <c r="D36" s="581" t="n">
        <f aca="false">0.8*D35</f>
        <v>0.08</v>
      </c>
      <c r="E36" s="581" t="n">
        <f aca="false">0.8*E35</f>
        <v>0.08</v>
      </c>
      <c r="F36" s="581" t="n">
        <f aca="false">0.8*F35</f>
        <v>0.08</v>
      </c>
      <c r="G36" s="581" t="n">
        <f aca="false">0.8*G35</f>
        <v>0.08</v>
      </c>
      <c r="H36" s="581" t="n">
        <f aca="false">0.8*H35</f>
        <v>0.072</v>
      </c>
      <c r="I36" s="581" t="n">
        <f aca="false">0.8*I35</f>
        <v>0.064</v>
      </c>
      <c r="J36" s="581" t="n">
        <f aca="false">0.8*J35</f>
        <v>0.056</v>
      </c>
      <c r="K36" s="581" t="n">
        <f aca="false">0.8*K35</f>
        <v>0.048</v>
      </c>
      <c r="L36" s="413"/>
      <c r="M36" s="413"/>
      <c r="N36" s="413"/>
    </row>
    <row r="37" customFormat="false" ht="12.75" hidden="false" customHeight="false" outlineLevel="0" collapsed="false">
      <c r="A37" s="413" t="s">
        <v>1058</v>
      </c>
      <c r="B37" s="581" t="n">
        <v>0.06</v>
      </c>
      <c r="C37" s="581" t="n">
        <v>0.06</v>
      </c>
      <c r="D37" s="581" t="n">
        <v>0.06</v>
      </c>
      <c r="E37" s="581" t="n">
        <v>0.06</v>
      </c>
      <c r="F37" s="581" t="n">
        <v>0.06</v>
      </c>
      <c r="G37" s="581" t="n">
        <v>0.06</v>
      </c>
      <c r="H37" s="581" t="n">
        <v>0.06</v>
      </c>
      <c r="I37" s="581" t="n">
        <v>0.06</v>
      </c>
      <c r="J37" s="581" t="n">
        <v>0.06</v>
      </c>
      <c r="K37" s="581" t="n">
        <v>0.06</v>
      </c>
      <c r="L37" s="413"/>
      <c r="M37" s="413"/>
      <c r="N37" s="413"/>
    </row>
    <row r="38" customFormat="false" ht="13.5" hidden="false" customHeight="false" outlineLevel="0" collapsed="false"/>
    <row r="39" customFormat="false" ht="12.75" hidden="false" customHeight="false" outlineLevel="0" collapsed="false">
      <c r="A39" s="426"/>
      <c r="B39" s="554" t="n">
        <v>1</v>
      </c>
      <c r="C39" s="554" t="n">
        <v>2</v>
      </c>
      <c r="D39" s="554" t="n">
        <v>3</v>
      </c>
      <c r="E39" s="554" t="n">
        <v>4</v>
      </c>
      <c r="F39" s="554" t="n">
        <v>5</v>
      </c>
      <c r="G39" s="554" t="n">
        <v>6</v>
      </c>
      <c r="H39" s="554" t="n">
        <v>7</v>
      </c>
      <c r="I39" s="554" t="n">
        <v>8</v>
      </c>
      <c r="J39" s="554" t="n">
        <v>9</v>
      </c>
      <c r="K39" s="555" t="s">
        <v>43</v>
      </c>
    </row>
    <row r="40" customFormat="false" ht="12.75" hidden="false" customHeight="false" outlineLevel="0" collapsed="false">
      <c r="A40" s="583" t="s">
        <v>1059</v>
      </c>
      <c r="B40" s="556"/>
      <c r="C40" s="556"/>
      <c r="D40" s="556"/>
      <c r="E40" s="556"/>
      <c r="F40" s="556"/>
      <c r="G40" s="556"/>
      <c r="H40" s="556"/>
      <c r="I40" s="556"/>
      <c r="J40" s="556"/>
      <c r="K40" s="557"/>
    </row>
    <row r="41" customFormat="false" ht="12.75" hidden="false" customHeight="false" outlineLevel="0" collapsed="false">
      <c r="A41" s="430" t="s">
        <v>1060</v>
      </c>
      <c r="B41" s="584" t="n">
        <f aca="false">B31*B35</f>
        <v>37089647.2480644</v>
      </c>
      <c r="C41" s="584" t="n">
        <f aca="false">C31*C35</f>
        <v>34330964.7392999</v>
      </c>
      <c r="D41" s="584" t="n">
        <f aca="false">D31*D35</f>
        <v>31292523.2700095</v>
      </c>
      <c r="E41" s="584" t="n">
        <f aca="false">E31*E35</f>
        <v>27951262.8832131</v>
      </c>
      <c r="F41" s="584" t="n">
        <f aca="false">F31*F35</f>
        <v>24282271.0141107</v>
      </c>
      <c r="G41" s="584" t="n">
        <f aca="false">G31*G35</f>
        <v>20258634.1916272</v>
      </c>
      <c r="H41" s="584" t="n">
        <f aca="false">H31*H35</f>
        <v>14266150.0875429</v>
      </c>
      <c r="I41" s="584" t="n">
        <f aca="false">I31*I35</f>
        <v>8823034.78123131</v>
      </c>
      <c r="J41" s="584" t="n">
        <f aca="false">J31*J35</f>
        <v>4030076.08109139</v>
      </c>
      <c r="K41" s="584" t="n">
        <f aca="false">K31*K35</f>
        <v>3454350.92664976</v>
      </c>
    </row>
    <row r="42" customFormat="false" ht="12.75" hidden="false" customHeight="false" outlineLevel="0" collapsed="false">
      <c r="A42" s="430"/>
      <c r="B42" s="584"/>
      <c r="C42" s="584"/>
      <c r="D42" s="584"/>
      <c r="E42" s="584"/>
      <c r="F42" s="584"/>
      <c r="G42" s="584"/>
      <c r="H42" s="584"/>
      <c r="I42" s="584"/>
      <c r="J42" s="584"/>
      <c r="K42" s="584"/>
    </row>
    <row r="43" customFormat="false" ht="12.75" hidden="false" customHeight="false" outlineLevel="0" collapsed="false">
      <c r="A43" s="430" t="s">
        <v>1057</v>
      </c>
      <c r="B43" s="584" t="n">
        <f aca="false">B31*B36</f>
        <v>29671717.7984516</v>
      </c>
      <c r="C43" s="584" t="n">
        <f aca="false">C31*C36</f>
        <v>27464771.7914399</v>
      </c>
      <c r="D43" s="584" t="n">
        <f aca="false">D31*D36</f>
        <v>25034018.6160076</v>
      </c>
      <c r="E43" s="584" t="n">
        <f aca="false">E31*E36</f>
        <v>22361010.3065705</v>
      </c>
      <c r="F43" s="584" t="n">
        <f aca="false">F31*F36</f>
        <v>19425816.8112886</v>
      </c>
      <c r="G43" s="584" t="n">
        <f aca="false">G31*G36</f>
        <v>16206907.3533018</v>
      </c>
      <c r="H43" s="584" t="n">
        <f aca="false">H31*H36</f>
        <v>11412920.0700343</v>
      </c>
      <c r="I43" s="584" t="n">
        <f aca="false">I31*I36</f>
        <v>7058427.82498505</v>
      </c>
      <c r="J43" s="584" t="n">
        <f aca="false">J31*J36</f>
        <v>3224060.86487311</v>
      </c>
      <c r="K43" s="584" t="n">
        <f aca="false">K31*K36</f>
        <v>2763480.74131981</v>
      </c>
    </row>
    <row r="44" customFormat="false" ht="12.75" hidden="false" customHeight="false" outlineLevel="0" collapsed="false">
      <c r="A44" s="430"/>
      <c r="B44" s="584"/>
      <c r="C44" s="584"/>
      <c r="D44" s="584"/>
      <c r="E44" s="584"/>
      <c r="F44" s="584"/>
      <c r="G44" s="584"/>
      <c r="H44" s="584"/>
      <c r="I44" s="584"/>
      <c r="J44" s="584"/>
      <c r="K44" s="584"/>
    </row>
    <row r="45" customFormat="false" ht="12.75" hidden="false" customHeight="false" outlineLevel="0" collapsed="false">
      <c r="A45" s="430" t="s">
        <v>1058</v>
      </c>
      <c r="B45" s="584" t="n">
        <f aca="false">B31*B37</f>
        <v>22253788.3488387</v>
      </c>
      <c r="C45" s="584" t="n">
        <f aca="false">C31*C37</f>
        <v>20598578.84358</v>
      </c>
      <c r="D45" s="584" t="n">
        <f aca="false">D31*D37</f>
        <v>18775513.9620057</v>
      </c>
      <c r="E45" s="584" t="n">
        <f aca="false">E31*E37</f>
        <v>16770757.7299279</v>
      </c>
      <c r="F45" s="584" t="n">
        <f aca="false">F31*F37</f>
        <v>14569362.6084664</v>
      </c>
      <c r="G45" s="584" t="n">
        <f aca="false">G31*G37</f>
        <v>12155180.5149763</v>
      </c>
      <c r="H45" s="584" t="n">
        <f aca="false">H31*H37</f>
        <v>9510766.72502862</v>
      </c>
      <c r="I45" s="584" t="n">
        <f aca="false">I31*I37</f>
        <v>6617276.08592348</v>
      </c>
      <c r="J45" s="584" t="n">
        <f aca="false">J31*J37</f>
        <v>3454350.92664976</v>
      </c>
      <c r="K45" s="584" t="n">
        <f aca="false">K31*K37</f>
        <v>3454350.92664976</v>
      </c>
    </row>
    <row r="46" customFormat="false" ht="13.5" hidden="false" customHeight="false" outlineLevel="0" collapsed="false">
      <c r="A46" s="436"/>
      <c r="B46" s="585"/>
      <c r="C46" s="585"/>
      <c r="D46" s="585"/>
      <c r="E46" s="585"/>
      <c r="F46" s="585"/>
      <c r="G46" s="585"/>
      <c r="H46" s="585"/>
      <c r="I46" s="585"/>
      <c r="J46" s="585"/>
      <c r="K46" s="586"/>
    </row>
    <row r="47" customFormat="false" ht="12.75" hidden="false" customHeight="false" outlineLevel="0" collapsed="false">
      <c r="A47" s="426"/>
      <c r="B47" s="554"/>
      <c r="C47" s="554"/>
      <c r="D47" s="554"/>
      <c r="E47" s="554"/>
      <c r="F47" s="554"/>
      <c r="G47" s="554"/>
      <c r="H47" s="554"/>
      <c r="I47" s="554"/>
      <c r="J47" s="554"/>
      <c r="K47" s="555"/>
    </row>
    <row r="48" customFormat="false" ht="12.75" hidden="false" customHeight="false" outlineLevel="0" collapsed="false">
      <c r="G48" s="556"/>
      <c r="H48" s="556"/>
      <c r="I48" s="556"/>
      <c r="J48" s="556"/>
      <c r="K48" s="556"/>
    </row>
    <row r="49" customFormat="false" ht="12.75" hidden="false" customHeight="false" outlineLevel="0" collapsed="false">
      <c r="A49" s="556"/>
      <c r="B49" s="556"/>
      <c r="C49" s="556"/>
      <c r="D49" s="556"/>
      <c r="E49" s="556"/>
      <c r="F49" s="556"/>
      <c r="G49" s="556"/>
      <c r="H49" s="556"/>
      <c r="I49" s="556"/>
      <c r="J49" s="556"/>
      <c r="K49" s="556"/>
    </row>
    <row r="50" customFormat="false" ht="12.75" hidden="false" customHeight="false" outlineLevel="0" collapsed="false">
      <c r="A50" s="577" t="s">
        <v>1061</v>
      </c>
      <c r="B50" s="578" t="n">
        <f aca="false">'RMPM-Whole'!$CX$23</f>
        <v>30145719.1746095</v>
      </c>
      <c r="C50" s="578" t="n">
        <f aca="false">'RMPM-Whole'!$CX$35</f>
        <v>30438645.7813817</v>
      </c>
      <c r="D50" s="578" t="n">
        <f aca="false">'RMPM-Whole'!$CX$47</f>
        <v>23828454.9564951</v>
      </c>
      <c r="E50" s="578" t="n">
        <f aca="false">'RMPM-Whole'!$CX$59</f>
        <v>16564381.1160307</v>
      </c>
      <c r="F50" s="578" t="n">
        <f aca="false">'RMPM-Whole'!$CX$71</f>
        <v>8581741.86134251</v>
      </c>
      <c r="G50" s="578" t="e">
        <f aca="false">'RMPM-Whole'!$CX$83</f>
        <v>#VALUE!</v>
      </c>
      <c r="H50" s="578" t="e">
        <f aca="false">'RMPM-Whole'!$CX$95</f>
        <v>#VALUE!</v>
      </c>
      <c r="I50" s="578" t="e">
        <f aca="false">'RMPM-Whole'!$CX$107</f>
        <v>#VALUE!</v>
      </c>
      <c r="J50" s="578" t="e">
        <f aca="false">'RMPM-Whole'!$CX$119</f>
        <v>#VALUE!</v>
      </c>
      <c r="K50" s="578"/>
      <c r="L50" s="579"/>
      <c r="M50" s="580"/>
      <c r="N50" s="580"/>
    </row>
    <row r="51" customFormat="false" ht="12.75" hidden="false" customHeight="false" outlineLevel="0" collapsed="false">
      <c r="A51" s="587" t="s">
        <v>1062</v>
      </c>
      <c r="B51" s="588" t="n">
        <f aca="false">95%*B50</f>
        <v>28638433.215879</v>
      </c>
      <c r="C51" s="588" t="n">
        <f aca="false">95%*C50</f>
        <v>28916713.4923126</v>
      </c>
      <c r="D51" s="588" t="n">
        <f aca="false">95%*D50</f>
        <v>22637032.2086703</v>
      </c>
      <c r="E51" s="588" t="n">
        <f aca="false">95%*E50</f>
        <v>15736162.0602292</v>
      </c>
      <c r="F51" s="588" t="n">
        <f aca="false">95%*F50</f>
        <v>8152654.76827538</v>
      </c>
      <c r="G51" s="588" t="e">
        <f aca="false">95%*G50</f>
        <v>#VALUE!</v>
      </c>
      <c r="H51" s="588" t="e">
        <f aca="false">95%*H50</f>
        <v>#VALUE!</v>
      </c>
      <c r="I51" s="588" t="e">
        <f aca="false">95%*I50</f>
        <v>#VALUE!</v>
      </c>
      <c r="J51" s="588" t="e">
        <f aca="false">95%*J50</f>
        <v>#VALUE!</v>
      </c>
      <c r="K51" s="588" t="n">
        <f aca="false">95%*K50</f>
        <v>0</v>
      </c>
    </row>
    <row r="52" customFormat="false" ht="12.75" hidden="false" customHeight="false" outlineLevel="0" collapsed="false">
      <c r="A52" s="556"/>
      <c r="B52" s="556"/>
      <c r="C52" s="556"/>
      <c r="D52" s="556"/>
      <c r="E52" s="556"/>
      <c r="F52" s="556"/>
      <c r="G52" s="556"/>
      <c r="H52" s="556"/>
      <c r="I52" s="556"/>
      <c r="J52" s="556"/>
      <c r="K52" s="556"/>
    </row>
    <row r="53" customFormat="false" ht="12.75" hidden="false" customHeight="false" outlineLevel="0" collapsed="false">
      <c r="A53" s="587"/>
      <c r="B53" s="587"/>
      <c r="C53" s="587"/>
      <c r="D53" s="587"/>
      <c r="E53" s="587"/>
      <c r="F53" s="587"/>
      <c r="G53" s="587"/>
      <c r="H53" s="587"/>
      <c r="I53" s="587"/>
      <c r="J53" s="587"/>
      <c r="K53" s="587"/>
      <c r="L53" s="587"/>
      <c r="M53" s="587"/>
      <c r="N53" s="587"/>
    </row>
    <row r="55" customFormat="false" ht="51" hidden="false" customHeight="false" outlineLevel="0" collapsed="false">
      <c r="A55" s="589" t="s">
        <v>1063</v>
      </c>
    </row>
    <row r="56" customFormat="false" ht="12.75" hidden="false" customHeight="false" outlineLevel="0" collapsed="false">
      <c r="A56" s="590"/>
      <c r="B56" s="0" t="n">
        <v>1</v>
      </c>
      <c r="C56" s="0" t="n">
        <v>2</v>
      </c>
      <c r="D56" s="0" t="n">
        <v>3</v>
      </c>
      <c r="E56" s="0" t="n">
        <v>4</v>
      </c>
      <c r="F56" s="0" t="n">
        <v>5</v>
      </c>
      <c r="G56" s="0" t="n">
        <v>6</v>
      </c>
      <c r="H56" s="0" t="n">
        <v>7</v>
      </c>
      <c r="I56" s="0" t="n">
        <v>8</v>
      </c>
      <c r="J56" s="0" t="n">
        <v>9</v>
      </c>
      <c r="K56" s="0" t="n">
        <v>10</v>
      </c>
    </row>
    <row r="57" customFormat="false" ht="25.5" hidden="false" customHeight="true" outlineLevel="0" collapsed="false">
      <c r="A57" s="591" t="s">
        <v>1064</v>
      </c>
      <c r="B57" s="592" t="n">
        <f aca="false">B$41-B$32+B51</f>
        <v>56989617.0492269</v>
      </c>
      <c r="C57" s="592" t="n">
        <f aca="false">C$41-C$32+C51</f>
        <v>53719806.8465229</v>
      </c>
      <c r="D57" s="592" t="n">
        <f aca="false">D$41-D$32+D51</f>
        <v>44185296.9840969</v>
      </c>
      <c r="E57" s="592" t="n">
        <f aca="false">E$41-E$32+E51</f>
        <v>34023227.3203792</v>
      </c>
      <c r="F57" s="592" t="n">
        <f aca="false">F$41-F$32+F51</f>
        <v>23191470.4984122</v>
      </c>
      <c r="G57" s="592" t="e">
        <f aca="false">G$41-G$32+G51</f>
        <v>#VALUE!</v>
      </c>
      <c r="H57" s="592" t="e">
        <f aca="false">H$41-H$32+H51</f>
        <v>#VALUE!</v>
      </c>
      <c r="I57" s="592" t="e">
        <f aca="false">I$41-I$32+I51</f>
        <v>#VALUE!</v>
      </c>
      <c r="J57" s="592" t="e">
        <f aca="false">J$41-J$32+J51</f>
        <v>#VALUE!</v>
      </c>
      <c r="K57" s="592" t="n">
        <f aca="false">K$41-K$32+K51</f>
        <v>421141.177821577</v>
      </c>
    </row>
    <row r="58" customFormat="false" ht="12.75" hidden="true" customHeight="false" outlineLevel="0" collapsed="false">
      <c r="A58" s="590" t="s">
        <v>1065</v>
      </c>
      <c r="B58" s="592" t="n">
        <f aca="false">B41+B50</f>
        <v>67235366.4226739</v>
      </c>
      <c r="C58" s="592" t="n">
        <f aca="false">C41+C50</f>
        <v>64769610.5206816</v>
      </c>
      <c r="D58" s="592" t="n">
        <f aca="false">D41+D50</f>
        <v>55120978.2265046</v>
      </c>
      <c r="E58" s="592" t="n">
        <f aca="false">E41+E50</f>
        <v>44515643.9992438</v>
      </c>
      <c r="F58" s="592" t="n">
        <f aca="false">F41+F50</f>
        <v>32864012.8754533</v>
      </c>
      <c r="G58" s="592" t="e">
        <f aca="false">G41+G50</f>
        <v>#VALUE!</v>
      </c>
      <c r="H58" s="592" t="e">
        <f aca="false">H41+H50</f>
        <v>#VALUE!</v>
      </c>
      <c r="I58" s="592" t="e">
        <f aca="false">I41+I50</f>
        <v>#VALUE!</v>
      </c>
      <c r="J58" s="592" t="e">
        <f aca="false">J41+J50</f>
        <v>#VALUE!</v>
      </c>
      <c r="K58" s="592" t="n">
        <f aca="false">K41+K50</f>
        <v>3454350.92664976</v>
      </c>
    </row>
    <row r="59" customFormat="false" ht="12.75" hidden="false" customHeight="false" outlineLevel="0" collapsed="false">
      <c r="A59" s="590"/>
      <c r="B59" s="0" t="s">
        <v>43</v>
      </c>
      <c r="C59" s="0" t="s">
        <v>43</v>
      </c>
      <c r="D59" s="0" t="s">
        <v>43</v>
      </c>
      <c r="E59" s="0" t="s">
        <v>43</v>
      </c>
      <c r="F59" s="0" t="s">
        <v>43</v>
      </c>
      <c r="G59" s="0" t="s">
        <v>43</v>
      </c>
      <c r="H59" s="0" t="s">
        <v>43</v>
      </c>
      <c r="I59" s="0" t="s">
        <v>43</v>
      </c>
      <c r="J59" s="0" t="s">
        <v>43</v>
      </c>
      <c r="K59" s="0" t="s">
        <v>43</v>
      </c>
    </row>
    <row r="60" customFormat="false" ht="24" hidden="false" customHeight="true" outlineLevel="0" collapsed="false">
      <c r="A60" s="593" t="s">
        <v>1066</v>
      </c>
      <c r="B60" s="592" t="n">
        <f aca="false">B$43-B$32+B51</f>
        <v>49571687.5996141</v>
      </c>
      <c r="C60" s="592" t="n">
        <f aca="false">C$43-C$32+C51</f>
        <v>46853613.898663</v>
      </c>
      <c r="D60" s="592" t="n">
        <f aca="false">D$43-D$32+D51</f>
        <v>37926792.330095</v>
      </c>
      <c r="E60" s="592" t="n">
        <f aca="false">E$43-E$32+E51</f>
        <v>28432974.7437365</v>
      </c>
      <c r="F60" s="592" t="n">
        <f aca="false">F$43-F$32+F51</f>
        <v>18335016.2955901</v>
      </c>
      <c r="G60" s="592" t="e">
        <f aca="false">G$43-G$32+G51</f>
        <v>#VALUE!</v>
      </c>
      <c r="H60" s="592" t="e">
        <f aca="false">H$43-H$32+H51</f>
        <v>#VALUE!</v>
      </c>
      <c r="I60" s="592" t="e">
        <f aca="false">I$43-I$32+I51</f>
        <v>#VALUE!</v>
      </c>
      <c r="J60" s="592" t="e">
        <f aca="false">J$43-J$32+J51</f>
        <v>#VALUE!</v>
      </c>
      <c r="K60" s="592" t="n">
        <f aca="false">K$43-K$32+K51</f>
        <v>-269729.007508375</v>
      </c>
    </row>
    <row r="61" customFormat="false" ht="25.5" hidden="true" customHeight="true" outlineLevel="0" collapsed="false">
      <c r="A61" s="590" t="s">
        <v>1067</v>
      </c>
      <c r="B61" s="592" t="n">
        <f aca="false">B$43+B50</f>
        <v>59817436.973061</v>
      </c>
      <c r="C61" s="592" t="n">
        <f aca="false">C$43+C50</f>
        <v>57903417.5728216</v>
      </c>
      <c r="D61" s="592" t="n">
        <f aca="false">D$43+D50</f>
        <v>48862473.5725027</v>
      </c>
      <c r="E61" s="592" t="n">
        <f aca="false">E$43+E50</f>
        <v>38925391.4226012</v>
      </c>
      <c r="F61" s="592" t="n">
        <f aca="false">F$43+F50</f>
        <v>28007558.6726311</v>
      </c>
      <c r="G61" s="592" t="e">
        <f aca="false">G$43+G50</f>
        <v>#VALUE!</v>
      </c>
      <c r="H61" s="592" t="e">
        <f aca="false">H$43+H50</f>
        <v>#VALUE!</v>
      </c>
      <c r="I61" s="592" t="e">
        <f aca="false">I$43+I50</f>
        <v>#VALUE!</v>
      </c>
      <c r="J61" s="592" t="e">
        <f aca="false">J$43+J50</f>
        <v>#VALUE!</v>
      </c>
      <c r="K61" s="592" t="n">
        <f aca="false">K$43+K50</f>
        <v>2763480.74131981</v>
      </c>
    </row>
    <row r="62" customFormat="false" ht="12.75" hidden="false" customHeight="false" outlineLevel="0" collapsed="false">
      <c r="A62" s="590"/>
    </row>
    <row r="63" customFormat="false" ht="23.25" hidden="false" customHeight="true" outlineLevel="0" collapsed="false">
      <c r="A63" s="591" t="s">
        <v>1068</v>
      </c>
      <c r="B63" s="592" t="n">
        <f aca="false">B$45-B$32+B51</f>
        <v>42153758.1500012</v>
      </c>
      <c r="C63" s="592" t="n">
        <f aca="false">C$45-C$32+C51</f>
        <v>39987420.950803</v>
      </c>
      <c r="D63" s="592" t="n">
        <f aca="false">D$45-D$32+D51</f>
        <v>31668287.6760931</v>
      </c>
      <c r="E63" s="592" t="n">
        <f aca="false">E$45-E$32+E51</f>
        <v>22842722.1670939</v>
      </c>
      <c r="F63" s="592" t="n">
        <f aca="false">F$45-F$32+F51</f>
        <v>13478562.0927679</v>
      </c>
      <c r="G63" s="592" t="e">
        <f aca="false">G$45-G$32+G51</f>
        <v>#VALUE!</v>
      </c>
      <c r="H63" s="592" t="e">
        <f aca="false">H$45-H$32+H51</f>
        <v>#VALUE!</v>
      </c>
      <c r="I63" s="592" t="e">
        <f aca="false">I$45-I$32+I51</f>
        <v>#VALUE!</v>
      </c>
      <c r="J63" s="592" t="e">
        <f aca="false">J$45-J$32+J51</f>
        <v>#VALUE!</v>
      </c>
      <c r="K63" s="592" t="n">
        <f aca="false">K$45-K$32+K51</f>
        <v>421141.177821576</v>
      </c>
    </row>
    <row r="64" customFormat="false" ht="22.5" hidden="true" customHeight="false" outlineLevel="0" collapsed="false">
      <c r="A64" s="590" t="s">
        <v>1069</v>
      </c>
      <c r="B64" s="592" t="n">
        <f aca="false">B$45+B50</f>
        <v>52399507.5234481</v>
      </c>
      <c r="C64" s="592" t="n">
        <f aca="false">C$45+C50</f>
        <v>51037224.6249616</v>
      </c>
      <c r="D64" s="592" t="n">
        <f aca="false">D$45+D50</f>
        <v>42603968.9185008</v>
      </c>
      <c r="E64" s="592" t="n">
        <f aca="false">E$45+E50</f>
        <v>33335138.8459586</v>
      </c>
      <c r="F64" s="592" t="n">
        <f aca="false">F$45+F50</f>
        <v>23151104.469809</v>
      </c>
      <c r="G64" s="592" t="e">
        <f aca="false">G$45+G50</f>
        <v>#VALUE!</v>
      </c>
      <c r="H64" s="592" t="e">
        <f aca="false">H$45+H50</f>
        <v>#VALUE!</v>
      </c>
      <c r="I64" s="592" t="e">
        <f aca="false">I$45+I50</f>
        <v>#VALUE!</v>
      </c>
      <c r="J64" s="592" t="e">
        <f aca="false">J$45+J50</f>
        <v>#VALUE!</v>
      </c>
    </row>
    <row r="66" customFormat="false" ht="12.75" hidden="false" customHeight="false" outlineLevel="0" collapsed="false">
      <c r="A66" s="0" t="s">
        <v>1070</v>
      </c>
      <c r="B66" s="210" t="n">
        <f aca="false">B30/B31</f>
        <v>-0.0046397636719396</v>
      </c>
      <c r="C66" s="210" t="n">
        <f aca="false">C30/C31</f>
        <v>-0.00427677217324774</v>
      </c>
      <c r="D66" s="210" t="n">
        <f aca="false">D30/D31</f>
        <v>-0.00164845188921138</v>
      </c>
      <c r="E66" s="210" t="n">
        <f aca="false">E30/E31</f>
        <v>0.00299960043123325</v>
      </c>
      <c r="F66" s="210" t="n">
        <f aca="false">F30/F31</f>
        <v>0.0108346921703177</v>
      </c>
      <c r="G66" s="210" t="n">
        <f aca="false">G30/G31</f>
        <v>0.0241935947138705</v>
      </c>
      <c r="H66" s="210" t="n">
        <f aca="false">H30/H31</f>
        <v>0.048531393028815</v>
      </c>
      <c r="I66" s="210" t="n">
        <f aca="false">I30/I31</f>
        <v>0.100198001500966</v>
      </c>
      <c r="J66" s="210" t="n">
        <f aca="false">J30/J31</f>
        <v>0.260987890752991</v>
      </c>
    </row>
    <row r="68" customFormat="false" ht="12.75" hidden="false" customHeight="false" outlineLevel="0" collapsed="false">
      <c r="A68" s="0" t="s">
        <v>1071</v>
      </c>
      <c r="B68" s="210" t="n">
        <f aca="false">B32/B31</f>
        <v>0.0235603842664547</v>
      </c>
      <c r="C68" s="210" t="n">
        <f aca="false">C32/C31</f>
        <v>0.0277529963327324</v>
      </c>
      <c r="D68" s="210" t="n">
        <f aca="false">D32/D31</f>
        <v>0.0311392546088533</v>
      </c>
      <c r="E68" s="210" t="n">
        <f aca="false">E32/E31</f>
        <v>0.0345751734490223</v>
      </c>
      <c r="F68" s="210" t="n">
        <f aca="false">F32/F31</f>
        <v>0.038066683625277</v>
      </c>
      <c r="G68" s="210" t="n">
        <f aca="false">G32/G31</f>
        <v>0.0416188568208395</v>
      </c>
      <c r="H68" s="210" t="n">
        <f aca="false">H32/H31</f>
        <v>0.0452342193623862</v>
      </c>
      <c r="I68" s="210" t="n">
        <f aca="false">I32/I31</f>
        <v>0.048924862458544</v>
      </c>
      <c r="J68" s="210" t="n">
        <f aca="false">J32/J31</f>
        <v>0.0526850307899084</v>
      </c>
    </row>
    <row r="69" customFormat="false" ht="12.75" hidden="false" customHeight="false" outlineLevel="0" collapsed="false">
      <c r="B69" s="210"/>
      <c r="C69" s="210"/>
      <c r="D69" s="210"/>
      <c r="E69" s="210"/>
      <c r="F69" s="210"/>
      <c r="G69" s="210"/>
      <c r="H69" s="210"/>
      <c r="I69" s="210"/>
      <c r="J69" s="210"/>
    </row>
    <row r="71" customFormat="false" ht="12.75" hidden="false" customHeight="false" outlineLevel="0" collapsed="false">
      <c r="B71" s="592"/>
      <c r="C71" s="592"/>
      <c r="D71" s="592"/>
      <c r="E71" s="592"/>
      <c r="F71" s="592"/>
      <c r="G71" s="592"/>
      <c r="H71" s="592"/>
      <c r="I71" s="592"/>
      <c r="J71" s="592"/>
      <c r="K71" s="592"/>
    </row>
    <row r="73" customFormat="false" ht="12.75" hidden="false" customHeight="false" outlineLevel="0" collapsed="false">
      <c r="B73" s="592"/>
      <c r="C73" s="592"/>
      <c r="D73" s="592"/>
      <c r="E73" s="592"/>
      <c r="F73" s="592"/>
      <c r="G73" s="592"/>
      <c r="H73" s="592"/>
      <c r="I73" s="592"/>
      <c r="J73" s="592"/>
      <c r="K73" s="592"/>
    </row>
    <row r="74" customFormat="false" ht="12.75" hidden="false" customHeight="false" outlineLevel="0" collapsed="false">
      <c r="B74" s="592"/>
      <c r="C74" s="592"/>
      <c r="D74" s="592"/>
      <c r="E74" s="592"/>
      <c r="F74" s="592"/>
      <c r="G74" s="592"/>
      <c r="H74" s="592"/>
      <c r="I74" s="592"/>
      <c r="J74" s="592"/>
      <c r="K74" s="592"/>
    </row>
    <row r="75" customFormat="false" ht="12.75" hidden="false" customHeight="false" outlineLevel="0" collapsed="false">
      <c r="B75" s="592"/>
      <c r="C75" s="592"/>
      <c r="D75" s="592"/>
      <c r="E75" s="592"/>
      <c r="F75" s="592"/>
      <c r="G75" s="592"/>
      <c r="H75" s="592"/>
      <c r="I75" s="592"/>
      <c r="J75" s="592"/>
      <c r="K75" s="592"/>
    </row>
    <row r="76" customFormat="false" ht="12.75" hidden="false" customHeight="false" outlineLevel="0" collapsed="false">
      <c r="B76" s="592"/>
      <c r="C76" s="592"/>
      <c r="D76" s="592"/>
      <c r="E76" s="592"/>
      <c r="F76" s="592"/>
      <c r="G76" s="592"/>
      <c r="H76" s="592"/>
      <c r="I76" s="592"/>
      <c r="J76" s="592"/>
      <c r="K76" s="592"/>
    </row>
    <row r="77" customFormat="false" ht="12.75" hidden="false" customHeight="false" outlineLevel="0" collapsed="false">
      <c r="B77" s="592"/>
      <c r="C77" s="592"/>
      <c r="D77" s="592"/>
      <c r="E77" s="592"/>
      <c r="F77" s="592"/>
      <c r="G77" s="592"/>
      <c r="H77" s="592"/>
      <c r="I77" s="592"/>
      <c r="J77" s="592"/>
      <c r="K77" s="592"/>
    </row>
    <row r="78" customFormat="false" ht="12.75" hidden="false" customHeight="false" outlineLevel="0" collapsed="false">
      <c r="B78" s="592"/>
      <c r="C78" s="592"/>
      <c r="D78" s="592"/>
      <c r="E78" s="592"/>
      <c r="F78" s="592"/>
      <c r="G78" s="592"/>
      <c r="H78" s="592"/>
      <c r="I78" s="592"/>
      <c r="J78" s="592"/>
      <c r="K78" s="592"/>
    </row>
    <row r="79" customFormat="false" ht="12.75" hidden="false" customHeight="false" outlineLevel="0" collapsed="false">
      <c r="B79" s="592"/>
      <c r="C79" s="592"/>
      <c r="D79" s="592"/>
      <c r="E79" s="592"/>
      <c r="F79" s="592"/>
      <c r="G79" s="592"/>
      <c r="H79" s="592"/>
      <c r="I79" s="592"/>
      <c r="J79" s="592"/>
      <c r="K79" s="592"/>
    </row>
    <row r="80" customFormat="false" ht="12.75" hidden="false" customHeight="false" outlineLevel="0" collapsed="false">
      <c r="B80" s="592"/>
      <c r="C80" s="592"/>
      <c r="D80" s="592"/>
      <c r="E80" s="592"/>
      <c r="F80" s="592"/>
      <c r="G80" s="592"/>
      <c r="H80" s="592"/>
      <c r="I80" s="592"/>
      <c r="J80" s="592"/>
      <c r="K80" s="592"/>
    </row>
    <row r="81" customFormat="false" ht="12.75" hidden="false" customHeight="false" outlineLevel="0" collapsed="false">
      <c r="B81" s="592"/>
      <c r="C81" s="592"/>
      <c r="D81" s="592"/>
      <c r="E81" s="592"/>
      <c r="F81" s="592"/>
      <c r="G81" s="592"/>
      <c r="H81" s="592"/>
      <c r="I81" s="592"/>
      <c r="J81" s="592"/>
      <c r="K81" s="592"/>
    </row>
    <row r="82" customFormat="false" ht="12.75" hidden="false" customHeight="false" outlineLevel="0" collapsed="false">
      <c r="B82" s="592"/>
      <c r="C82" s="592"/>
      <c r="D82" s="592"/>
      <c r="E82" s="592"/>
      <c r="F82" s="592"/>
      <c r="G82" s="592"/>
      <c r="H82" s="592"/>
      <c r="I82" s="592"/>
      <c r="J82" s="592"/>
      <c r="K82" s="592"/>
    </row>
    <row r="83" customFormat="false" ht="12.75" hidden="false" customHeight="false" outlineLevel="0" collapsed="false">
      <c r="B83" s="592"/>
      <c r="C83" s="592"/>
      <c r="D83" s="592"/>
      <c r="E83" s="592"/>
      <c r="F83" s="592"/>
      <c r="G83" s="592"/>
      <c r="H83" s="592"/>
      <c r="I83" s="592"/>
      <c r="J83" s="592"/>
      <c r="K83" s="592"/>
    </row>
    <row r="84" customFormat="false" ht="12.75" hidden="false" customHeight="false" outlineLevel="0" collapsed="false">
      <c r="B84" s="592"/>
      <c r="C84" s="592"/>
      <c r="D84" s="592"/>
      <c r="E84" s="592"/>
      <c r="F84" s="592"/>
      <c r="G84" s="592"/>
      <c r="H84" s="592"/>
      <c r="I84" s="592"/>
      <c r="J84" s="592"/>
      <c r="K84" s="592"/>
    </row>
    <row r="85" customFormat="false" ht="12.75" hidden="false" customHeight="false" outlineLevel="0" collapsed="false">
      <c r="B85" s="592"/>
      <c r="C85" s="592"/>
      <c r="D85" s="592"/>
      <c r="E85" s="592"/>
      <c r="F85" s="592"/>
      <c r="G85" s="592"/>
      <c r="H85" s="592"/>
      <c r="I85" s="592"/>
      <c r="J85" s="592"/>
    </row>
    <row r="86" customFormat="false" ht="12.75" hidden="false" customHeight="false" outlineLevel="0" collapsed="false">
      <c r="B86" s="592"/>
      <c r="C86" s="592"/>
      <c r="D86" s="592"/>
      <c r="E86" s="592"/>
      <c r="F86" s="592"/>
      <c r="G86" s="592"/>
      <c r="H86" s="592"/>
      <c r="I86" s="592"/>
      <c r="J86" s="592"/>
    </row>
    <row r="87" customFormat="false" ht="12.75" hidden="false" customHeight="false" outlineLevel="0" collapsed="false">
      <c r="B87" s="592"/>
      <c r="C87" s="592"/>
      <c r="D87" s="592"/>
      <c r="E87" s="592"/>
      <c r="F87" s="592"/>
      <c r="G87" s="592"/>
      <c r="H87" s="592"/>
      <c r="I87" s="592"/>
      <c r="J87" s="592"/>
    </row>
    <row r="88" customFormat="false" ht="12.75" hidden="false" customHeight="false" outlineLevel="0" collapsed="false">
      <c r="B88" s="592"/>
      <c r="C88" s="592"/>
      <c r="D88" s="592"/>
      <c r="E88" s="592"/>
      <c r="F88" s="592"/>
      <c r="G88" s="592"/>
      <c r="H88" s="592"/>
      <c r="I88" s="592"/>
      <c r="J88" s="592"/>
    </row>
    <row r="89" customFormat="false" ht="12.75" hidden="false" customHeight="false" outlineLevel="0" collapsed="false">
      <c r="B89" s="592"/>
      <c r="C89" s="592"/>
      <c r="D89" s="592"/>
      <c r="E89" s="592"/>
      <c r="F89" s="592"/>
      <c r="G89" s="592"/>
      <c r="H89" s="592"/>
      <c r="I89" s="592"/>
      <c r="J89" s="592"/>
    </row>
    <row r="90" customFormat="false" ht="12.75" hidden="false" customHeight="false" outlineLevel="0" collapsed="false">
      <c r="B90" s="592"/>
      <c r="C90" s="592"/>
      <c r="D90" s="592"/>
      <c r="E90" s="592"/>
      <c r="F90" s="592"/>
      <c r="G90" s="592"/>
      <c r="H90" s="592"/>
      <c r="I90" s="592"/>
      <c r="J90" s="592"/>
    </row>
    <row r="91" customFormat="false" ht="12.75" hidden="false" customHeight="false" outlineLevel="0" collapsed="false">
      <c r="B91" s="592"/>
      <c r="C91" s="592"/>
      <c r="D91" s="592"/>
      <c r="E91" s="592"/>
      <c r="F91" s="592"/>
      <c r="G91" s="592"/>
      <c r="H91" s="592"/>
      <c r="I91" s="592"/>
      <c r="J91" s="592"/>
    </row>
    <row r="92" customFormat="false" ht="12.75" hidden="false" customHeight="false" outlineLevel="0" collapsed="false">
      <c r="B92" s="592"/>
      <c r="C92" s="592"/>
      <c r="D92" s="592"/>
      <c r="E92" s="592"/>
      <c r="F92" s="592"/>
      <c r="G92" s="592"/>
      <c r="H92" s="592"/>
      <c r="I92" s="592"/>
      <c r="J92" s="592"/>
    </row>
    <row r="93" customFormat="false" ht="12.75" hidden="false" customHeight="false" outlineLevel="0" collapsed="false">
      <c r="B93" s="592"/>
      <c r="C93" s="592"/>
      <c r="D93" s="592"/>
      <c r="E93" s="592"/>
      <c r="F93" s="592"/>
      <c r="G93" s="592"/>
      <c r="H93" s="592"/>
      <c r="I93" s="592"/>
      <c r="J93" s="592"/>
    </row>
    <row r="94" customFormat="false" ht="12.75" hidden="false" customHeight="false" outlineLevel="0" collapsed="false">
      <c r="B94" s="592"/>
      <c r="C94" s="592"/>
      <c r="D94" s="592"/>
      <c r="E94" s="592"/>
      <c r="F94" s="592"/>
      <c r="G94" s="592"/>
      <c r="H94" s="592"/>
      <c r="I94" s="592"/>
      <c r="J94" s="592"/>
    </row>
    <row r="95" customFormat="false" ht="12.75" hidden="false" customHeight="false" outlineLevel="0" collapsed="false">
      <c r="B95" s="592"/>
      <c r="C95" s="592"/>
      <c r="D95" s="592"/>
      <c r="E95" s="592"/>
      <c r="F95" s="592"/>
      <c r="G95" s="592"/>
      <c r="H95" s="592"/>
      <c r="I95" s="592"/>
      <c r="J95" s="592"/>
    </row>
    <row r="96" customFormat="false" ht="12.75" hidden="false" customHeight="false" outlineLevel="0" collapsed="false">
      <c r="B96" s="592"/>
      <c r="C96" s="592"/>
      <c r="D96" s="592"/>
      <c r="E96" s="592"/>
      <c r="F96" s="592"/>
      <c r="G96" s="592"/>
      <c r="H96" s="592"/>
      <c r="I96" s="592"/>
      <c r="J96" s="592"/>
    </row>
    <row r="97" customFormat="false" ht="12.75" hidden="false" customHeight="false" outlineLevel="0" collapsed="false">
      <c r="B97" s="592"/>
      <c r="C97" s="592"/>
      <c r="D97" s="592"/>
      <c r="E97" s="592"/>
      <c r="F97" s="592"/>
      <c r="G97" s="592"/>
      <c r="H97" s="592"/>
      <c r="I97" s="592"/>
      <c r="J97" s="592"/>
    </row>
    <row r="98" customFormat="false" ht="12.75" hidden="false" customHeight="false" outlineLevel="0" collapsed="false">
      <c r="B98" s="592"/>
      <c r="C98" s="592"/>
      <c r="D98" s="592"/>
      <c r="E98" s="592"/>
      <c r="F98" s="592"/>
      <c r="G98" s="592"/>
      <c r="H98" s="592"/>
      <c r="I98" s="592"/>
      <c r="J98" s="592"/>
    </row>
    <row r="99" customFormat="false" ht="12.75" hidden="false" customHeight="false" outlineLevel="0" collapsed="false">
      <c r="B99" s="592"/>
      <c r="C99" s="592"/>
      <c r="D99" s="592"/>
      <c r="E99" s="592"/>
      <c r="F99" s="592"/>
      <c r="G99" s="592"/>
      <c r="H99" s="592"/>
      <c r="I99" s="592"/>
      <c r="J99" s="592"/>
    </row>
    <row r="100" customFormat="false" ht="12.75" hidden="false" customHeight="false" outlineLevel="0" collapsed="false">
      <c r="B100" s="592"/>
      <c r="C100" s="592"/>
      <c r="D100" s="592"/>
      <c r="E100" s="592"/>
      <c r="F100" s="592"/>
      <c r="G100" s="592"/>
      <c r="H100" s="592"/>
      <c r="I100" s="592"/>
      <c r="J100" s="592"/>
    </row>
    <row r="101" customFormat="false" ht="12.75" hidden="false" customHeight="false" outlineLevel="0" collapsed="false">
      <c r="B101" s="592"/>
      <c r="C101" s="592"/>
      <c r="D101" s="592"/>
      <c r="E101" s="592"/>
      <c r="F101" s="592"/>
      <c r="G101" s="592"/>
      <c r="H101" s="592"/>
      <c r="I101" s="592"/>
      <c r="J101" s="592"/>
    </row>
    <row r="102" customFormat="false" ht="12.75" hidden="false" customHeight="false" outlineLevel="0" collapsed="false">
      <c r="B102" s="592"/>
      <c r="C102" s="592"/>
      <c r="D102" s="592"/>
      <c r="E102" s="592"/>
      <c r="F102" s="592"/>
      <c r="G102" s="592"/>
      <c r="H102" s="592"/>
      <c r="I102" s="592"/>
      <c r="J102" s="592"/>
    </row>
    <row r="103" customFormat="false" ht="12.75" hidden="false" customHeight="false" outlineLevel="0" collapsed="false">
      <c r="B103" s="592"/>
      <c r="C103" s="592"/>
      <c r="D103" s="592"/>
      <c r="E103" s="592"/>
      <c r="F103" s="592"/>
      <c r="G103" s="592"/>
      <c r="H103" s="592"/>
      <c r="I103" s="592"/>
      <c r="J103" s="592"/>
    </row>
    <row r="104" customFormat="false" ht="12.75" hidden="false" customHeight="false" outlineLevel="0" collapsed="false">
      <c r="B104" s="592"/>
      <c r="C104" s="592"/>
      <c r="D104" s="592"/>
      <c r="E104" s="592"/>
      <c r="F104" s="592"/>
      <c r="G104" s="592"/>
      <c r="H104" s="592"/>
      <c r="I104" s="592"/>
      <c r="J104" s="592"/>
    </row>
    <row r="105" customFormat="false" ht="12.75" hidden="false" customHeight="false" outlineLevel="0" collapsed="false">
      <c r="B105" s="592"/>
      <c r="C105" s="592"/>
      <c r="D105" s="592"/>
      <c r="E105" s="592"/>
      <c r="F105" s="592"/>
      <c r="G105" s="592"/>
      <c r="H105" s="592"/>
      <c r="I105" s="592"/>
      <c r="J105" s="592"/>
    </row>
    <row r="106" customFormat="false" ht="12.75" hidden="false" customHeight="false" outlineLevel="0" collapsed="false">
      <c r="B106" s="592"/>
      <c r="C106" s="592"/>
      <c r="D106" s="592"/>
      <c r="E106" s="592"/>
      <c r="F106" s="592"/>
      <c r="G106" s="592"/>
      <c r="H106" s="592"/>
      <c r="I106" s="592"/>
      <c r="J106" s="592"/>
    </row>
    <row r="107" customFormat="false" ht="12.75" hidden="false" customHeight="false" outlineLevel="0" collapsed="false">
      <c r="B107" s="592"/>
      <c r="C107" s="592"/>
      <c r="D107" s="592"/>
      <c r="E107" s="592"/>
      <c r="F107" s="592"/>
      <c r="G107" s="592"/>
      <c r="H107" s="592"/>
      <c r="I107" s="592"/>
      <c r="J107" s="592"/>
    </row>
    <row r="108" customFormat="false" ht="12.75" hidden="false" customHeight="false" outlineLevel="0" collapsed="false">
      <c r="B108" s="592"/>
      <c r="C108" s="592"/>
      <c r="D108" s="592"/>
      <c r="E108" s="592"/>
      <c r="F108" s="592"/>
      <c r="G108" s="592"/>
      <c r="H108" s="592"/>
      <c r="I108" s="592"/>
      <c r="J108" s="592"/>
    </row>
    <row r="109" customFormat="false" ht="12.75" hidden="false" customHeight="false" outlineLevel="0" collapsed="false">
      <c r="B109" s="592"/>
      <c r="C109" s="592"/>
      <c r="D109" s="592"/>
      <c r="E109" s="592"/>
      <c r="F109" s="592"/>
      <c r="G109" s="592"/>
      <c r="H109" s="592"/>
      <c r="I109" s="592"/>
      <c r="J109" s="592"/>
    </row>
    <row r="110" customFormat="false" ht="12.75" hidden="false" customHeight="false" outlineLevel="0" collapsed="false">
      <c r="B110" s="592"/>
      <c r="C110" s="592"/>
      <c r="D110" s="592"/>
      <c r="E110" s="592"/>
      <c r="F110" s="592"/>
      <c r="G110" s="592"/>
      <c r="H110" s="592"/>
      <c r="I110" s="592"/>
      <c r="J110" s="592"/>
    </row>
    <row r="111" customFormat="false" ht="12.75" hidden="false" customHeight="false" outlineLevel="0" collapsed="false">
      <c r="B111" s="592"/>
      <c r="C111" s="592"/>
      <c r="D111" s="592"/>
      <c r="E111" s="592"/>
      <c r="F111" s="592"/>
      <c r="G111" s="592"/>
      <c r="H111" s="592"/>
      <c r="I111" s="592"/>
      <c r="J111" s="592"/>
    </row>
    <row r="112" customFormat="false" ht="12.75" hidden="false" customHeight="false" outlineLevel="0" collapsed="false">
      <c r="B112" s="592"/>
      <c r="C112" s="592"/>
      <c r="D112" s="592"/>
      <c r="E112" s="592"/>
      <c r="F112" s="592"/>
      <c r="G112" s="592"/>
      <c r="H112" s="592"/>
      <c r="I112" s="592"/>
      <c r="J112" s="592"/>
    </row>
    <row r="113" customFormat="false" ht="12.75" hidden="false" customHeight="false" outlineLevel="0" collapsed="false">
      <c r="B113" s="592"/>
      <c r="C113" s="592"/>
      <c r="D113" s="592"/>
      <c r="E113" s="592"/>
      <c r="F113" s="592"/>
      <c r="G113" s="592"/>
      <c r="H113" s="592"/>
      <c r="I113" s="592"/>
      <c r="J113" s="592"/>
    </row>
    <row r="114" customFormat="false" ht="12.75" hidden="false" customHeight="false" outlineLevel="0" collapsed="false">
      <c r="B114" s="592"/>
      <c r="C114" s="592"/>
      <c r="D114" s="592"/>
      <c r="E114" s="592"/>
      <c r="F114" s="592"/>
      <c r="G114" s="592"/>
      <c r="H114" s="592"/>
      <c r="I114" s="592"/>
      <c r="J114" s="592"/>
    </row>
    <row r="115" customFormat="false" ht="12.75" hidden="false" customHeight="false" outlineLevel="0" collapsed="false">
      <c r="B115" s="592"/>
      <c r="C115" s="592"/>
      <c r="D115" s="592"/>
      <c r="E115" s="592"/>
      <c r="F115" s="592"/>
      <c r="G115" s="592"/>
      <c r="H115" s="592"/>
      <c r="I115" s="592"/>
      <c r="J115" s="592"/>
    </row>
    <row r="116" customFormat="false" ht="12.75" hidden="false" customHeight="false" outlineLevel="0" collapsed="false">
      <c r="B116" s="592"/>
      <c r="C116" s="592"/>
      <c r="D116" s="592"/>
      <c r="E116" s="592"/>
      <c r="F116" s="592"/>
      <c r="G116" s="592"/>
      <c r="H116" s="592"/>
      <c r="I116" s="592"/>
      <c r="J116" s="592"/>
    </row>
    <row r="117" customFormat="false" ht="12.75" hidden="false" customHeight="false" outlineLevel="0" collapsed="false">
      <c r="B117" s="592"/>
      <c r="C117" s="592"/>
      <c r="D117" s="592"/>
      <c r="E117" s="592"/>
      <c r="F117" s="592"/>
      <c r="G117" s="592"/>
      <c r="H117" s="592"/>
      <c r="I117" s="592"/>
      <c r="J117" s="592"/>
    </row>
    <row r="118" customFormat="false" ht="12.75" hidden="false" customHeight="false" outlineLevel="0" collapsed="false">
      <c r="B118" s="592"/>
      <c r="C118" s="592"/>
      <c r="D118" s="592"/>
      <c r="E118" s="592"/>
      <c r="F118" s="592"/>
      <c r="G118" s="592"/>
      <c r="H118" s="592"/>
      <c r="I118" s="592"/>
      <c r="J118" s="592"/>
    </row>
    <row r="119" customFormat="false" ht="12.75" hidden="false" customHeight="false" outlineLevel="0" collapsed="false">
      <c r="B119" s="592"/>
      <c r="C119" s="592"/>
      <c r="D119" s="592"/>
      <c r="E119" s="592"/>
      <c r="F119" s="592"/>
      <c r="G119" s="592"/>
      <c r="H119" s="592"/>
      <c r="I119" s="592"/>
      <c r="J119" s="592"/>
    </row>
    <row r="120" customFormat="false" ht="12.75" hidden="false" customHeight="false" outlineLevel="0" collapsed="false">
      <c r="B120" s="592"/>
      <c r="C120" s="592"/>
      <c r="D120" s="592"/>
      <c r="E120" s="592"/>
      <c r="F120" s="592"/>
      <c r="G120" s="592"/>
      <c r="H120" s="592"/>
      <c r="I120" s="592"/>
      <c r="J120" s="592"/>
    </row>
    <row r="121" customFormat="false" ht="12.75" hidden="false" customHeight="false" outlineLevel="0" collapsed="false">
      <c r="B121" s="592"/>
      <c r="C121" s="592"/>
      <c r="D121" s="592"/>
      <c r="E121" s="592"/>
      <c r="F121" s="592"/>
      <c r="G121" s="592"/>
      <c r="H121" s="592"/>
      <c r="I121" s="592"/>
      <c r="J121" s="592"/>
    </row>
    <row r="122" customFormat="false" ht="12.75" hidden="false" customHeight="false" outlineLevel="0" collapsed="false">
      <c r="B122" s="592"/>
      <c r="C122" s="592"/>
      <c r="D122" s="592"/>
      <c r="E122" s="592"/>
      <c r="F122" s="592"/>
      <c r="G122" s="592"/>
      <c r="H122" s="592"/>
      <c r="I122" s="592"/>
      <c r="J122" s="592"/>
    </row>
    <row r="123" customFormat="false" ht="12.75" hidden="false" customHeight="false" outlineLevel="0" collapsed="false">
      <c r="B123" s="592"/>
      <c r="C123" s="592"/>
      <c r="D123" s="592"/>
      <c r="E123" s="592"/>
      <c r="F123" s="592"/>
      <c r="G123" s="592"/>
      <c r="H123" s="592"/>
      <c r="I123" s="592"/>
      <c r="J123" s="592"/>
    </row>
    <row r="124" customFormat="false" ht="12.75" hidden="false" customHeight="false" outlineLevel="0" collapsed="false">
      <c r="B124" s="592"/>
      <c r="C124" s="592"/>
      <c r="D124" s="592"/>
      <c r="E124" s="592"/>
      <c r="F124" s="592"/>
      <c r="G124" s="592"/>
      <c r="H124" s="592"/>
      <c r="I124" s="592"/>
      <c r="J124" s="592"/>
    </row>
    <row r="125" customFormat="false" ht="12.75" hidden="false" customHeight="false" outlineLevel="0" collapsed="false">
      <c r="B125" s="592"/>
      <c r="C125" s="592"/>
      <c r="D125" s="592"/>
      <c r="E125" s="592"/>
      <c r="F125" s="592"/>
      <c r="G125" s="592"/>
      <c r="H125" s="592"/>
      <c r="I125" s="592"/>
      <c r="J125" s="592"/>
    </row>
    <row r="126" customFormat="false" ht="12.75" hidden="false" customHeight="false" outlineLevel="0" collapsed="false">
      <c r="B126" s="592"/>
      <c r="C126" s="592"/>
      <c r="D126" s="592"/>
      <c r="E126" s="592"/>
      <c r="F126" s="592"/>
      <c r="G126" s="592"/>
      <c r="H126" s="592"/>
      <c r="I126" s="592"/>
      <c r="J126" s="592"/>
    </row>
    <row r="127" customFormat="false" ht="12.75" hidden="false" customHeight="false" outlineLevel="0" collapsed="false">
      <c r="B127" s="592"/>
      <c r="C127" s="592"/>
      <c r="D127" s="592"/>
      <c r="E127" s="592"/>
      <c r="F127" s="592"/>
      <c r="G127" s="592"/>
      <c r="H127" s="592"/>
      <c r="I127" s="592"/>
      <c r="J127" s="592"/>
    </row>
    <row r="128" customFormat="false" ht="12.75" hidden="false" customHeight="false" outlineLevel="0" collapsed="false">
      <c r="B128" s="592"/>
      <c r="C128" s="592"/>
      <c r="D128" s="592"/>
      <c r="E128" s="592"/>
      <c r="F128" s="592"/>
      <c r="G128" s="592"/>
      <c r="H128" s="592"/>
      <c r="I128" s="592"/>
      <c r="J128" s="592"/>
    </row>
    <row r="129" customFormat="false" ht="12.75" hidden="false" customHeight="false" outlineLevel="0" collapsed="false">
      <c r="B129" s="592"/>
      <c r="C129" s="592"/>
      <c r="D129" s="592"/>
      <c r="E129" s="592"/>
      <c r="F129" s="592"/>
      <c r="G129" s="592"/>
      <c r="H129" s="592"/>
      <c r="I129" s="592"/>
      <c r="J129" s="592"/>
    </row>
    <row r="130" customFormat="false" ht="12.75" hidden="false" customHeight="false" outlineLevel="0" collapsed="false">
      <c r="B130" s="592"/>
      <c r="C130" s="592"/>
      <c r="D130" s="592"/>
      <c r="E130" s="592"/>
      <c r="F130" s="592"/>
      <c r="G130" s="592"/>
      <c r="H130" s="592"/>
      <c r="I130" s="592"/>
      <c r="J130" s="592"/>
    </row>
    <row r="131" customFormat="false" ht="12.75" hidden="false" customHeight="false" outlineLevel="0" collapsed="false">
      <c r="B131" s="592"/>
      <c r="C131" s="592"/>
      <c r="D131" s="592"/>
      <c r="E131" s="592"/>
      <c r="F131" s="592"/>
      <c r="G131" s="592"/>
      <c r="H131" s="592"/>
      <c r="I131" s="592"/>
      <c r="J131" s="592"/>
    </row>
    <row r="132" customFormat="false" ht="12.75" hidden="false" customHeight="false" outlineLevel="0" collapsed="false">
      <c r="B132" s="592"/>
      <c r="C132" s="592"/>
      <c r="D132" s="592"/>
      <c r="E132" s="592"/>
      <c r="F132" s="592"/>
      <c r="G132" s="592"/>
      <c r="H132" s="592"/>
      <c r="I132" s="592"/>
      <c r="J132" s="592"/>
    </row>
    <row r="133" customFormat="false" ht="12.75" hidden="false" customHeight="false" outlineLevel="0" collapsed="false">
      <c r="B133" s="592"/>
      <c r="C133" s="592"/>
      <c r="D133" s="592"/>
      <c r="E133" s="592"/>
      <c r="F133" s="592"/>
      <c r="G133" s="592"/>
      <c r="H133" s="592"/>
      <c r="I133" s="592"/>
      <c r="J133" s="592"/>
    </row>
    <row r="134" customFormat="false" ht="12.75" hidden="false" customHeight="false" outlineLevel="0" collapsed="false">
      <c r="B134" s="592"/>
      <c r="C134" s="592"/>
      <c r="D134" s="592"/>
      <c r="E134" s="592"/>
      <c r="F134" s="592"/>
      <c r="G134" s="592"/>
      <c r="H134" s="592"/>
      <c r="I134" s="592"/>
      <c r="J134" s="592"/>
    </row>
    <row r="135" customFormat="false" ht="12.75" hidden="false" customHeight="false" outlineLevel="0" collapsed="false">
      <c r="B135" s="592"/>
      <c r="C135" s="592"/>
      <c r="D135" s="592"/>
      <c r="E135" s="592"/>
      <c r="F135" s="592"/>
      <c r="G135" s="592"/>
      <c r="H135" s="592"/>
      <c r="I135" s="592"/>
      <c r="J135" s="592"/>
    </row>
    <row r="136" customFormat="false" ht="12.75" hidden="false" customHeight="false" outlineLevel="0" collapsed="false">
      <c r="B136" s="592"/>
      <c r="C136" s="592"/>
      <c r="D136" s="592"/>
      <c r="E136" s="592"/>
      <c r="F136" s="592"/>
      <c r="G136" s="592"/>
      <c r="H136" s="592"/>
      <c r="I136" s="592"/>
      <c r="J136" s="592"/>
    </row>
    <row r="137" customFormat="false" ht="12.75" hidden="false" customHeight="false" outlineLevel="0" collapsed="false">
      <c r="B137" s="592"/>
      <c r="C137" s="592"/>
      <c r="D137" s="592"/>
      <c r="E137" s="592"/>
      <c r="F137" s="592"/>
      <c r="G137" s="592"/>
      <c r="H137" s="592"/>
      <c r="I137" s="592"/>
      <c r="J137" s="592"/>
    </row>
    <row r="138" customFormat="false" ht="12.75" hidden="false" customHeight="false" outlineLevel="0" collapsed="false">
      <c r="B138" s="592"/>
      <c r="C138" s="592"/>
      <c r="D138" s="592"/>
      <c r="E138" s="592"/>
      <c r="F138" s="592"/>
      <c r="G138" s="592"/>
      <c r="H138" s="592"/>
      <c r="I138" s="592"/>
      <c r="J138" s="592"/>
    </row>
    <row r="139" customFormat="false" ht="12.75" hidden="false" customHeight="false" outlineLevel="0" collapsed="false">
      <c r="B139" s="592"/>
      <c r="C139" s="592"/>
      <c r="D139" s="592"/>
      <c r="E139" s="592"/>
      <c r="F139" s="592"/>
      <c r="G139" s="592"/>
      <c r="H139" s="592"/>
      <c r="I139" s="592"/>
      <c r="J139" s="592"/>
    </row>
    <row r="140" customFormat="false" ht="12.75" hidden="false" customHeight="false" outlineLevel="0" collapsed="false">
      <c r="B140" s="592"/>
      <c r="C140" s="592"/>
      <c r="D140" s="592"/>
      <c r="E140" s="592"/>
      <c r="F140" s="592"/>
      <c r="G140" s="592"/>
      <c r="H140" s="592"/>
      <c r="I140" s="592"/>
      <c r="J140" s="592"/>
    </row>
    <row r="141" customFormat="false" ht="12.75" hidden="false" customHeight="false" outlineLevel="0" collapsed="false">
      <c r="B141" s="592"/>
      <c r="C141" s="592"/>
      <c r="D141" s="592"/>
      <c r="E141" s="592"/>
      <c r="F141" s="592"/>
      <c r="G141" s="592"/>
      <c r="H141" s="592"/>
      <c r="I141" s="592"/>
      <c r="J141" s="592"/>
    </row>
    <row r="142" customFormat="false" ht="12.75" hidden="false" customHeight="false" outlineLevel="0" collapsed="false">
      <c r="B142" s="592"/>
      <c r="C142" s="592"/>
      <c r="D142" s="592"/>
      <c r="E142" s="592"/>
      <c r="F142" s="592"/>
      <c r="G142" s="592"/>
      <c r="H142" s="592"/>
      <c r="I142" s="592"/>
      <c r="J142" s="592"/>
    </row>
    <row r="143" customFormat="false" ht="12.75" hidden="false" customHeight="false" outlineLevel="0" collapsed="false">
      <c r="B143" s="592"/>
      <c r="C143" s="592"/>
      <c r="D143" s="592"/>
      <c r="E143" s="592"/>
      <c r="F143" s="592"/>
      <c r="G143" s="592"/>
      <c r="H143" s="592"/>
      <c r="I143" s="592"/>
      <c r="J143" s="592"/>
    </row>
    <row r="144" customFormat="false" ht="12.75" hidden="false" customHeight="false" outlineLevel="0" collapsed="false">
      <c r="B144" s="592"/>
      <c r="C144" s="592"/>
      <c r="D144" s="592"/>
      <c r="E144" s="592"/>
      <c r="F144" s="592"/>
      <c r="G144" s="592"/>
      <c r="H144" s="592"/>
      <c r="I144" s="592"/>
      <c r="J144" s="592"/>
    </row>
    <row r="145" customFormat="false" ht="12.75" hidden="false" customHeight="false" outlineLevel="0" collapsed="false">
      <c r="B145" s="592"/>
      <c r="C145" s="592"/>
      <c r="D145" s="592"/>
      <c r="E145" s="592"/>
      <c r="F145" s="592"/>
      <c r="G145" s="592"/>
      <c r="H145" s="592"/>
      <c r="I145" s="592"/>
      <c r="J145" s="592"/>
    </row>
    <row r="146" customFormat="false" ht="12.75" hidden="false" customHeight="false" outlineLevel="0" collapsed="false">
      <c r="B146" s="592"/>
      <c r="C146" s="592"/>
      <c r="D146" s="592"/>
      <c r="E146" s="592"/>
      <c r="F146" s="592"/>
      <c r="G146" s="592"/>
      <c r="H146" s="592"/>
      <c r="I146" s="592"/>
      <c r="J146" s="592"/>
    </row>
    <row r="147" customFormat="false" ht="12.75" hidden="false" customHeight="false" outlineLevel="0" collapsed="false">
      <c r="B147" s="592"/>
      <c r="C147" s="592"/>
      <c r="D147" s="592"/>
      <c r="E147" s="592"/>
      <c r="F147" s="592"/>
      <c r="G147" s="592"/>
      <c r="H147" s="592"/>
      <c r="I147" s="592"/>
      <c r="J147" s="592"/>
    </row>
    <row r="148" customFormat="false" ht="12.75" hidden="false" customHeight="false" outlineLevel="0" collapsed="false">
      <c r="B148" s="592"/>
      <c r="C148" s="592"/>
      <c r="D148" s="592"/>
      <c r="E148" s="592"/>
      <c r="F148" s="592"/>
      <c r="G148" s="592"/>
      <c r="H148" s="592"/>
      <c r="I148" s="592"/>
      <c r="J148" s="592"/>
    </row>
    <row r="149" customFormat="false" ht="12.75" hidden="false" customHeight="false" outlineLevel="0" collapsed="false">
      <c r="B149" s="592"/>
      <c r="C149" s="592"/>
      <c r="D149" s="592"/>
      <c r="E149" s="592"/>
      <c r="F149" s="592"/>
      <c r="G149" s="592"/>
      <c r="H149" s="592"/>
      <c r="I149" s="592"/>
      <c r="J149" s="592"/>
    </row>
    <row r="150" customFormat="false" ht="12.75" hidden="false" customHeight="false" outlineLevel="0" collapsed="false">
      <c r="B150" s="592"/>
      <c r="C150" s="592"/>
      <c r="D150" s="592"/>
      <c r="E150" s="592"/>
      <c r="F150" s="592"/>
      <c r="G150" s="592"/>
      <c r="H150" s="592"/>
      <c r="I150" s="592"/>
      <c r="J150" s="592"/>
    </row>
    <row r="151" customFormat="false" ht="12.75" hidden="false" customHeight="false" outlineLevel="0" collapsed="false">
      <c r="B151" s="592"/>
      <c r="C151" s="592"/>
      <c r="D151" s="592"/>
      <c r="E151" s="592"/>
      <c r="F151" s="592"/>
      <c r="G151" s="592"/>
      <c r="H151" s="592"/>
      <c r="I151" s="592"/>
      <c r="J151" s="592"/>
    </row>
    <row r="152" customFormat="false" ht="12.75" hidden="false" customHeight="false" outlineLevel="0" collapsed="false">
      <c r="B152" s="592"/>
      <c r="C152" s="592"/>
      <c r="D152" s="592"/>
      <c r="E152" s="592"/>
      <c r="F152" s="592"/>
      <c r="G152" s="592"/>
      <c r="H152" s="592"/>
      <c r="I152" s="592"/>
      <c r="J152" s="592"/>
    </row>
    <row r="153" customFormat="false" ht="12.75" hidden="false" customHeight="false" outlineLevel="0" collapsed="false">
      <c r="B153" s="592"/>
      <c r="C153" s="592"/>
      <c r="D153" s="592"/>
      <c r="E153" s="592"/>
      <c r="F153" s="592"/>
      <c r="G153" s="592"/>
      <c r="H153" s="592"/>
      <c r="I153" s="592"/>
      <c r="J153" s="592"/>
    </row>
    <row r="154" customFormat="false" ht="12.75" hidden="false" customHeight="false" outlineLevel="0" collapsed="false">
      <c r="B154" s="592"/>
      <c r="C154" s="592"/>
      <c r="D154" s="592"/>
      <c r="E154" s="592"/>
      <c r="F154" s="592"/>
      <c r="G154" s="592"/>
      <c r="H154" s="592"/>
      <c r="I154" s="592"/>
      <c r="J154" s="592"/>
    </row>
    <row r="155" customFormat="false" ht="12.75" hidden="false" customHeight="false" outlineLevel="0" collapsed="false">
      <c r="B155" s="592"/>
      <c r="C155" s="592"/>
      <c r="D155" s="592"/>
      <c r="E155" s="592"/>
      <c r="F155" s="592"/>
      <c r="G155" s="592"/>
      <c r="H155" s="592"/>
      <c r="I155" s="592"/>
      <c r="J155" s="592"/>
    </row>
    <row r="156" customFormat="false" ht="12.75" hidden="false" customHeight="false" outlineLevel="0" collapsed="false">
      <c r="B156" s="592"/>
      <c r="C156" s="592"/>
      <c r="D156" s="592"/>
      <c r="E156" s="592"/>
      <c r="F156" s="592"/>
      <c r="G156" s="592"/>
      <c r="H156" s="592"/>
      <c r="I156" s="592"/>
      <c r="J156" s="592"/>
    </row>
    <row r="157" customFormat="false" ht="12.75" hidden="false" customHeight="false" outlineLevel="0" collapsed="false">
      <c r="B157" s="592"/>
      <c r="C157" s="592"/>
      <c r="D157" s="592"/>
      <c r="E157" s="592"/>
      <c r="F157" s="592"/>
      <c r="G157" s="592"/>
      <c r="H157" s="592"/>
      <c r="I157" s="592"/>
      <c r="J157" s="592"/>
    </row>
    <row r="158" customFormat="false" ht="12.75" hidden="false" customHeight="false" outlineLevel="0" collapsed="false">
      <c r="B158" s="592"/>
      <c r="C158" s="592"/>
      <c r="D158" s="592"/>
      <c r="E158" s="592"/>
      <c r="F158" s="592"/>
      <c r="G158" s="592"/>
      <c r="H158" s="592"/>
      <c r="I158" s="592"/>
      <c r="J158" s="592"/>
    </row>
    <row r="159" customFormat="false" ht="12.75" hidden="false" customHeight="false" outlineLevel="0" collapsed="false">
      <c r="B159" s="592"/>
      <c r="C159" s="592"/>
      <c r="D159" s="592"/>
      <c r="E159" s="592"/>
      <c r="F159" s="592"/>
      <c r="G159" s="592"/>
      <c r="H159" s="592"/>
      <c r="I159" s="592"/>
      <c r="J159" s="592"/>
    </row>
    <row r="160" customFormat="false" ht="12.75" hidden="false" customHeight="false" outlineLevel="0" collapsed="false">
      <c r="B160" s="592"/>
      <c r="C160" s="592"/>
      <c r="D160" s="592"/>
      <c r="E160" s="592"/>
      <c r="F160" s="592"/>
      <c r="G160" s="592"/>
      <c r="H160" s="592"/>
      <c r="I160" s="592"/>
      <c r="J160" s="592"/>
    </row>
    <row r="161" customFormat="false" ht="12.75" hidden="false" customHeight="false" outlineLevel="0" collapsed="false">
      <c r="B161" s="592"/>
      <c r="C161" s="592"/>
      <c r="D161" s="592"/>
      <c r="E161" s="592"/>
      <c r="F161" s="592"/>
      <c r="G161" s="592"/>
      <c r="H161" s="592"/>
      <c r="I161" s="592"/>
      <c r="J161" s="592"/>
    </row>
    <row r="162" customFormat="false" ht="12.75" hidden="false" customHeight="false" outlineLevel="0" collapsed="false">
      <c r="B162" s="592"/>
      <c r="C162" s="592"/>
      <c r="D162" s="592"/>
      <c r="E162" s="592"/>
      <c r="F162" s="592"/>
      <c r="G162" s="592"/>
      <c r="H162" s="592"/>
      <c r="I162" s="592"/>
      <c r="J162" s="592"/>
    </row>
    <row r="163" customFormat="false" ht="12.75" hidden="false" customHeight="false" outlineLevel="0" collapsed="false">
      <c r="B163" s="592"/>
      <c r="C163" s="592"/>
      <c r="D163" s="592"/>
      <c r="E163" s="592"/>
      <c r="F163" s="592"/>
      <c r="G163" s="592"/>
      <c r="H163" s="592"/>
      <c r="I163" s="592"/>
      <c r="J163" s="592"/>
    </row>
    <row r="164" customFormat="false" ht="12.75" hidden="false" customHeight="false" outlineLevel="0" collapsed="false">
      <c r="B164" s="592"/>
      <c r="C164" s="592"/>
      <c r="D164" s="592"/>
      <c r="E164" s="592"/>
      <c r="F164" s="592"/>
      <c r="G164" s="592"/>
      <c r="H164" s="592"/>
      <c r="I164" s="592"/>
      <c r="J164" s="592"/>
    </row>
    <row r="165" customFormat="false" ht="12.75" hidden="false" customHeight="false" outlineLevel="0" collapsed="false">
      <c r="B165" s="592"/>
      <c r="C165" s="592"/>
      <c r="D165" s="592"/>
      <c r="E165" s="592"/>
      <c r="F165" s="592"/>
      <c r="G165" s="592"/>
      <c r="H165" s="592"/>
      <c r="I165" s="592"/>
      <c r="J165" s="592"/>
    </row>
    <row r="166" customFormat="false" ht="12.75" hidden="false" customHeight="false" outlineLevel="0" collapsed="false">
      <c r="B166" s="592"/>
      <c r="C166" s="592"/>
      <c r="D166" s="592"/>
      <c r="E166" s="592"/>
      <c r="F166" s="592"/>
      <c r="G166" s="592"/>
      <c r="H166" s="592"/>
      <c r="I166" s="592"/>
      <c r="J166" s="592"/>
    </row>
    <row r="167" customFormat="false" ht="12.75" hidden="false" customHeight="false" outlineLevel="0" collapsed="false">
      <c r="B167" s="592"/>
      <c r="C167" s="592"/>
      <c r="D167" s="592"/>
      <c r="E167" s="592"/>
      <c r="F167" s="592"/>
      <c r="G167" s="592"/>
      <c r="H167" s="592"/>
      <c r="I167" s="592"/>
      <c r="J167" s="592"/>
    </row>
    <row r="168" customFormat="false" ht="12.75" hidden="false" customHeight="false" outlineLevel="0" collapsed="false">
      <c r="B168" s="592"/>
      <c r="C168" s="592"/>
      <c r="D168" s="592"/>
      <c r="E168" s="592"/>
      <c r="F168" s="592"/>
      <c r="G168" s="592"/>
      <c r="H168" s="592"/>
      <c r="I168" s="592"/>
      <c r="J168" s="592"/>
    </row>
    <row r="169" customFormat="false" ht="12.75" hidden="false" customHeight="false" outlineLevel="0" collapsed="false">
      <c r="B169" s="592"/>
      <c r="C169" s="592"/>
      <c r="D169" s="592"/>
      <c r="E169" s="592"/>
      <c r="F169" s="592"/>
      <c r="G169" s="592"/>
      <c r="H169" s="592"/>
      <c r="I169" s="592"/>
      <c r="J169" s="592"/>
    </row>
    <row r="170" customFormat="false" ht="12.75" hidden="false" customHeight="false" outlineLevel="0" collapsed="false">
      <c r="B170" s="592"/>
      <c r="C170" s="592"/>
      <c r="D170" s="592"/>
      <c r="E170" s="592"/>
      <c r="F170" s="592"/>
      <c r="G170" s="592"/>
      <c r="H170" s="592"/>
      <c r="I170" s="592"/>
      <c r="J170" s="592"/>
    </row>
    <row r="171" customFormat="false" ht="12.75" hidden="false" customHeight="false" outlineLevel="0" collapsed="false">
      <c r="B171" s="592"/>
      <c r="C171" s="592"/>
      <c r="D171" s="592"/>
      <c r="E171" s="592"/>
      <c r="F171" s="592"/>
      <c r="G171" s="592"/>
      <c r="H171" s="592"/>
      <c r="I171" s="592"/>
      <c r="J171" s="592"/>
    </row>
    <row r="172" customFormat="false" ht="12.75" hidden="false" customHeight="false" outlineLevel="0" collapsed="false">
      <c r="B172" s="592"/>
      <c r="C172" s="592"/>
      <c r="D172" s="592"/>
      <c r="E172" s="592"/>
      <c r="F172" s="592"/>
      <c r="G172" s="592"/>
      <c r="H172" s="592"/>
      <c r="I172" s="592"/>
      <c r="J172" s="592"/>
    </row>
    <row r="173" customFormat="false" ht="12.75" hidden="false" customHeight="false" outlineLevel="0" collapsed="false">
      <c r="B173" s="592"/>
      <c r="C173" s="592"/>
      <c r="D173" s="592"/>
      <c r="E173" s="592"/>
      <c r="F173" s="592"/>
      <c r="G173" s="592"/>
      <c r="H173" s="592"/>
      <c r="I173" s="592"/>
      <c r="J173" s="592"/>
    </row>
    <row r="174" customFormat="false" ht="12.75" hidden="false" customHeight="false" outlineLevel="0" collapsed="false">
      <c r="B174" s="592"/>
      <c r="C174" s="592"/>
      <c r="D174" s="592"/>
      <c r="E174" s="592"/>
      <c r="F174" s="592"/>
      <c r="G174" s="592"/>
      <c r="H174" s="592"/>
      <c r="I174" s="592"/>
      <c r="J174" s="592"/>
    </row>
    <row r="175" customFormat="false" ht="12.75" hidden="false" customHeight="false" outlineLevel="0" collapsed="false">
      <c r="B175" s="592"/>
      <c r="C175" s="592"/>
      <c r="D175" s="592"/>
      <c r="E175" s="592"/>
      <c r="F175" s="592"/>
      <c r="G175" s="592"/>
      <c r="H175" s="592"/>
      <c r="I175" s="592"/>
      <c r="J175" s="592"/>
    </row>
    <row r="176" customFormat="false" ht="12.75" hidden="false" customHeight="false" outlineLevel="0" collapsed="false">
      <c r="B176" s="592"/>
      <c r="C176" s="592"/>
      <c r="D176" s="592"/>
      <c r="E176" s="592"/>
      <c r="F176" s="592"/>
      <c r="G176" s="592"/>
      <c r="H176" s="592"/>
      <c r="I176" s="592"/>
      <c r="J176" s="592"/>
    </row>
    <row r="177" customFormat="false" ht="12.75" hidden="false" customHeight="false" outlineLevel="0" collapsed="false">
      <c r="B177" s="592"/>
      <c r="C177" s="592"/>
      <c r="D177" s="592"/>
      <c r="E177" s="592"/>
      <c r="F177" s="592"/>
      <c r="G177" s="592"/>
      <c r="H177" s="592"/>
      <c r="I177" s="592"/>
      <c r="J177" s="592"/>
    </row>
    <row r="178" customFormat="false" ht="12.75" hidden="false" customHeight="false" outlineLevel="0" collapsed="false">
      <c r="B178" s="592"/>
      <c r="C178" s="592"/>
      <c r="D178" s="592"/>
      <c r="E178" s="592"/>
      <c r="F178" s="592"/>
      <c r="G178" s="592"/>
      <c r="H178" s="592"/>
      <c r="I178" s="592"/>
      <c r="J178" s="592"/>
    </row>
    <row r="179" customFormat="false" ht="12.75" hidden="false" customHeight="false" outlineLevel="0" collapsed="false">
      <c r="B179" s="592"/>
      <c r="C179" s="592"/>
      <c r="D179" s="592"/>
      <c r="E179" s="592"/>
      <c r="F179" s="592"/>
      <c r="G179" s="592"/>
      <c r="H179" s="592"/>
      <c r="I179" s="592"/>
      <c r="J179" s="592"/>
    </row>
    <row r="180" customFormat="false" ht="12.75" hidden="false" customHeight="false" outlineLevel="0" collapsed="false">
      <c r="B180" s="592"/>
      <c r="C180" s="592"/>
      <c r="D180" s="592"/>
      <c r="E180" s="592"/>
      <c r="F180" s="592"/>
      <c r="G180" s="592"/>
      <c r="H180" s="592"/>
      <c r="I180" s="592"/>
      <c r="J180" s="592"/>
    </row>
    <row r="181" customFormat="false" ht="12.75" hidden="false" customHeight="false" outlineLevel="0" collapsed="false">
      <c r="B181" s="592"/>
      <c r="C181" s="592"/>
      <c r="D181" s="592"/>
      <c r="E181" s="592"/>
      <c r="F181" s="592"/>
      <c r="G181" s="592"/>
      <c r="H181" s="592"/>
      <c r="I181" s="592"/>
      <c r="J181" s="592"/>
    </row>
    <row r="182" customFormat="false" ht="12.75" hidden="false" customHeight="false" outlineLevel="0" collapsed="false">
      <c r="B182" s="592"/>
      <c r="C182" s="592"/>
      <c r="D182" s="592"/>
      <c r="E182" s="592"/>
      <c r="F182" s="592"/>
      <c r="G182" s="592"/>
      <c r="H182" s="592"/>
      <c r="I182" s="592"/>
      <c r="J182" s="592"/>
    </row>
    <row r="183" customFormat="false" ht="12.75" hidden="false" customHeight="false" outlineLevel="0" collapsed="false">
      <c r="B183" s="592"/>
      <c r="C183" s="592"/>
      <c r="D183" s="592"/>
      <c r="E183" s="592"/>
      <c r="F183" s="592"/>
      <c r="G183" s="592"/>
      <c r="H183" s="592"/>
      <c r="I183" s="592"/>
      <c r="J183" s="592"/>
    </row>
    <row r="184" customFormat="false" ht="12.75" hidden="false" customHeight="false" outlineLevel="0" collapsed="false">
      <c r="B184" s="592"/>
      <c r="C184" s="592"/>
      <c r="D184" s="592"/>
      <c r="E184" s="592"/>
      <c r="F184" s="592"/>
      <c r="G184" s="592"/>
      <c r="H184" s="592"/>
      <c r="I184" s="592"/>
      <c r="J184" s="592"/>
    </row>
    <row r="185" customFormat="false" ht="12.75" hidden="false" customHeight="false" outlineLevel="0" collapsed="false">
      <c r="B185" s="592"/>
      <c r="C185" s="592"/>
      <c r="D185" s="592"/>
      <c r="E185" s="592"/>
      <c r="F185" s="592"/>
      <c r="G185" s="592"/>
      <c r="H185" s="592"/>
      <c r="I185" s="592"/>
      <c r="J185" s="592"/>
    </row>
    <row r="186" customFormat="false" ht="12.75" hidden="false" customHeight="false" outlineLevel="0" collapsed="false">
      <c r="B186" s="592"/>
      <c r="C186" s="592"/>
      <c r="D186" s="592"/>
      <c r="E186" s="592"/>
      <c r="F186" s="592"/>
      <c r="G186" s="592"/>
      <c r="H186" s="592"/>
      <c r="I186" s="592"/>
      <c r="J186" s="592"/>
    </row>
    <row r="187" customFormat="false" ht="12.75" hidden="false" customHeight="false" outlineLevel="0" collapsed="false">
      <c r="B187" s="592"/>
      <c r="C187" s="592"/>
      <c r="D187" s="592"/>
      <c r="E187" s="592"/>
      <c r="F187" s="592"/>
      <c r="G187" s="592"/>
      <c r="H187" s="592"/>
      <c r="I187" s="592"/>
      <c r="J187" s="592"/>
    </row>
    <row r="188" customFormat="false" ht="12.75" hidden="false" customHeight="false" outlineLevel="0" collapsed="false">
      <c r="B188" s="592"/>
      <c r="C188" s="592"/>
      <c r="D188" s="592"/>
      <c r="E188" s="592"/>
      <c r="F188" s="592"/>
      <c r="G188" s="592"/>
      <c r="H188" s="592"/>
      <c r="I188" s="592"/>
      <c r="J188" s="592"/>
    </row>
    <row r="189" customFormat="false" ht="12.75" hidden="false" customHeight="false" outlineLevel="0" collapsed="false">
      <c r="B189" s="592"/>
      <c r="C189" s="592"/>
      <c r="D189" s="592"/>
      <c r="E189" s="592"/>
      <c r="F189" s="592"/>
      <c r="G189" s="592"/>
      <c r="H189" s="592"/>
      <c r="I189" s="592"/>
      <c r="J189" s="592"/>
    </row>
    <row r="190" customFormat="false" ht="12.75" hidden="false" customHeight="false" outlineLevel="0" collapsed="false">
      <c r="B190" s="592"/>
      <c r="C190" s="592"/>
      <c r="D190" s="592"/>
      <c r="E190" s="592"/>
      <c r="F190" s="592"/>
      <c r="G190" s="592"/>
      <c r="H190" s="592"/>
      <c r="I190" s="592"/>
      <c r="J190" s="592"/>
    </row>
    <row r="191" customFormat="false" ht="12.75" hidden="false" customHeight="false" outlineLevel="0" collapsed="false">
      <c r="B191" s="592"/>
      <c r="C191" s="592"/>
      <c r="D191" s="592"/>
      <c r="E191" s="592"/>
      <c r="F191" s="592"/>
      <c r="G191" s="592"/>
      <c r="H191" s="592"/>
      <c r="I191" s="592"/>
      <c r="J191" s="592"/>
    </row>
    <row r="192" customFormat="false" ht="12.75" hidden="false" customHeight="false" outlineLevel="0" collapsed="false">
      <c r="B192" s="592"/>
      <c r="C192" s="592"/>
      <c r="D192" s="592"/>
      <c r="E192" s="592"/>
      <c r="F192" s="592"/>
      <c r="G192" s="592"/>
      <c r="H192" s="592"/>
      <c r="I192" s="592"/>
      <c r="J192" s="592"/>
    </row>
    <row r="193" customFormat="false" ht="12.75" hidden="false" customHeight="false" outlineLevel="0" collapsed="false">
      <c r="B193" s="592"/>
      <c r="C193" s="592"/>
      <c r="D193" s="592"/>
      <c r="E193" s="592"/>
      <c r="F193" s="592"/>
      <c r="G193" s="592"/>
      <c r="H193" s="592"/>
      <c r="I193" s="592"/>
      <c r="J193" s="592"/>
    </row>
    <row r="194" customFormat="false" ht="12.75" hidden="false" customHeight="false" outlineLevel="0" collapsed="false">
      <c r="B194" s="592"/>
      <c r="C194" s="592"/>
      <c r="D194" s="592"/>
      <c r="E194" s="592"/>
      <c r="F194" s="592"/>
      <c r="G194" s="592"/>
      <c r="H194" s="592"/>
      <c r="I194" s="592"/>
      <c r="J194" s="592"/>
    </row>
    <row r="195" customFormat="false" ht="12.75" hidden="false" customHeight="false" outlineLevel="0" collapsed="false">
      <c r="B195" s="592"/>
      <c r="C195" s="592"/>
      <c r="D195" s="592"/>
      <c r="E195" s="592"/>
      <c r="F195" s="592"/>
      <c r="G195" s="592"/>
      <c r="H195" s="592"/>
      <c r="I195" s="592"/>
      <c r="J195" s="592"/>
    </row>
    <row r="196" customFormat="false" ht="12.75" hidden="false" customHeight="false" outlineLevel="0" collapsed="false">
      <c r="B196" s="592"/>
      <c r="C196" s="592"/>
      <c r="D196" s="592"/>
      <c r="E196" s="592"/>
      <c r="F196" s="592"/>
      <c r="G196" s="592"/>
      <c r="H196" s="592"/>
      <c r="I196" s="592"/>
      <c r="J196" s="592"/>
    </row>
    <row r="197" customFormat="false" ht="12.75" hidden="false" customHeight="false" outlineLevel="0" collapsed="false">
      <c r="B197" s="592"/>
      <c r="C197" s="592"/>
      <c r="D197" s="592"/>
      <c r="E197" s="592"/>
      <c r="F197" s="592"/>
      <c r="G197" s="592"/>
      <c r="H197" s="592"/>
      <c r="I197" s="592"/>
      <c r="J197" s="592"/>
    </row>
    <row r="198" customFormat="false" ht="12.75" hidden="false" customHeight="false" outlineLevel="0" collapsed="false">
      <c r="B198" s="592"/>
      <c r="C198" s="592"/>
      <c r="D198" s="592"/>
      <c r="E198" s="592"/>
      <c r="F198" s="592"/>
      <c r="G198" s="592"/>
      <c r="H198" s="592"/>
      <c r="I198" s="592"/>
      <c r="J198" s="592"/>
    </row>
    <row r="199" customFormat="false" ht="12.75" hidden="false" customHeight="false" outlineLevel="0" collapsed="false">
      <c r="B199" s="592"/>
      <c r="C199" s="592"/>
      <c r="D199" s="592"/>
      <c r="E199" s="592"/>
      <c r="F199" s="592"/>
      <c r="G199" s="592"/>
      <c r="H199" s="592"/>
      <c r="I199" s="592"/>
      <c r="J199" s="592"/>
    </row>
    <row r="200" customFormat="false" ht="12.75" hidden="false" customHeight="false" outlineLevel="0" collapsed="false">
      <c r="B200" s="592"/>
      <c r="C200" s="592"/>
      <c r="D200" s="592"/>
      <c r="E200" s="592"/>
      <c r="F200" s="592"/>
      <c r="G200" s="592"/>
      <c r="H200" s="592"/>
      <c r="I200" s="592"/>
      <c r="J200" s="592"/>
    </row>
    <row r="201" customFormat="false" ht="12.75" hidden="false" customHeight="false" outlineLevel="0" collapsed="false">
      <c r="B201" s="592"/>
      <c r="C201" s="592"/>
      <c r="D201" s="592"/>
      <c r="E201" s="592"/>
      <c r="F201" s="592"/>
      <c r="G201" s="592"/>
      <c r="H201" s="592"/>
      <c r="I201" s="592"/>
      <c r="J201" s="592"/>
    </row>
    <row r="202" customFormat="false" ht="12.75" hidden="false" customHeight="false" outlineLevel="0" collapsed="false">
      <c r="B202" s="592"/>
      <c r="C202" s="592"/>
      <c r="D202" s="592"/>
      <c r="E202" s="592"/>
      <c r="F202" s="592"/>
      <c r="G202" s="592"/>
      <c r="H202" s="592"/>
      <c r="I202" s="592"/>
      <c r="J202" s="592"/>
    </row>
    <row r="203" customFormat="false" ht="12.75" hidden="false" customHeight="false" outlineLevel="0" collapsed="false">
      <c r="B203" s="592"/>
      <c r="C203" s="592"/>
      <c r="D203" s="592"/>
      <c r="E203" s="592"/>
      <c r="F203" s="592"/>
      <c r="G203" s="592"/>
      <c r="H203" s="592"/>
      <c r="I203" s="592"/>
      <c r="J203" s="592"/>
    </row>
    <row r="204" customFormat="false" ht="12.75" hidden="false" customHeight="false" outlineLevel="0" collapsed="false">
      <c r="B204" s="592"/>
      <c r="C204" s="592"/>
      <c r="D204" s="592"/>
      <c r="E204" s="592"/>
      <c r="F204" s="592"/>
      <c r="G204" s="592"/>
      <c r="H204" s="592"/>
      <c r="I204" s="592"/>
      <c r="J204" s="592"/>
    </row>
    <row r="205" customFormat="false" ht="12.75" hidden="false" customHeight="false" outlineLevel="0" collapsed="false">
      <c r="B205" s="592"/>
      <c r="C205" s="592"/>
      <c r="D205" s="592"/>
      <c r="E205" s="592"/>
      <c r="F205" s="592"/>
      <c r="G205" s="592"/>
      <c r="H205" s="592"/>
      <c r="I205" s="592"/>
      <c r="J205" s="592"/>
    </row>
    <row r="206" customFormat="false" ht="12.75" hidden="false" customHeight="false" outlineLevel="0" collapsed="false">
      <c r="B206" s="592"/>
      <c r="C206" s="592"/>
      <c r="D206" s="592"/>
      <c r="E206" s="592"/>
      <c r="F206" s="592"/>
      <c r="G206" s="592"/>
      <c r="H206" s="592"/>
      <c r="I206" s="592"/>
      <c r="J206" s="592"/>
    </row>
    <row r="207" customFormat="false" ht="12.75" hidden="false" customHeight="false" outlineLevel="0" collapsed="false">
      <c r="B207" s="592"/>
      <c r="C207" s="592"/>
      <c r="D207" s="592"/>
      <c r="E207" s="592"/>
      <c r="F207" s="592"/>
      <c r="G207" s="592"/>
      <c r="H207" s="592"/>
      <c r="I207" s="592"/>
      <c r="J207" s="592"/>
    </row>
    <row r="208" customFormat="false" ht="12.75" hidden="false" customHeight="false" outlineLevel="0" collapsed="false">
      <c r="B208" s="592"/>
      <c r="C208" s="592"/>
      <c r="D208" s="592"/>
      <c r="E208" s="592"/>
      <c r="F208" s="592"/>
      <c r="G208" s="592"/>
      <c r="H208" s="592"/>
      <c r="I208" s="592"/>
      <c r="J208" s="592"/>
    </row>
    <row r="209" customFormat="false" ht="12.75" hidden="false" customHeight="false" outlineLevel="0" collapsed="false">
      <c r="B209" s="592"/>
      <c r="C209" s="592"/>
      <c r="D209" s="592"/>
      <c r="E209" s="592"/>
      <c r="F209" s="592"/>
      <c r="G209" s="592"/>
      <c r="H209" s="592"/>
      <c r="I209" s="592"/>
      <c r="J209" s="592"/>
    </row>
    <row r="210" customFormat="false" ht="12.75" hidden="false" customHeight="false" outlineLevel="0" collapsed="false">
      <c r="B210" s="592"/>
      <c r="C210" s="592"/>
      <c r="D210" s="592"/>
      <c r="E210" s="592"/>
      <c r="F210" s="592"/>
      <c r="G210" s="592"/>
      <c r="H210" s="592"/>
      <c r="I210" s="592"/>
      <c r="J210" s="592"/>
    </row>
    <row r="211" customFormat="false" ht="12.75" hidden="false" customHeight="false" outlineLevel="0" collapsed="false">
      <c r="B211" s="592"/>
      <c r="C211" s="592"/>
      <c r="D211" s="592"/>
      <c r="E211" s="592"/>
      <c r="F211" s="592"/>
      <c r="G211" s="592"/>
      <c r="H211" s="592"/>
      <c r="I211" s="592"/>
      <c r="J211" s="592"/>
    </row>
    <row r="212" customFormat="false" ht="12.75" hidden="false" customHeight="false" outlineLevel="0" collapsed="false">
      <c r="B212" s="592"/>
      <c r="C212" s="592"/>
      <c r="D212" s="592"/>
      <c r="E212" s="592"/>
      <c r="F212" s="592"/>
      <c r="G212" s="592"/>
      <c r="H212" s="592"/>
      <c r="I212" s="592"/>
      <c r="J212" s="592"/>
    </row>
    <row r="213" customFormat="false" ht="12.75" hidden="false" customHeight="false" outlineLevel="0" collapsed="false">
      <c r="B213" s="592"/>
      <c r="C213" s="592"/>
      <c r="D213" s="592"/>
      <c r="E213" s="592"/>
      <c r="F213" s="592"/>
      <c r="G213" s="592"/>
      <c r="H213" s="592"/>
      <c r="I213" s="592"/>
      <c r="J213" s="592"/>
    </row>
    <row r="214" customFormat="false" ht="12.75" hidden="false" customHeight="false" outlineLevel="0" collapsed="false">
      <c r="B214" s="592"/>
      <c r="C214" s="592"/>
      <c r="D214" s="592"/>
      <c r="E214" s="592"/>
      <c r="F214" s="592"/>
      <c r="G214" s="592"/>
      <c r="H214" s="592"/>
      <c r="I214" s="592"/>
      <c r="J214" s="592"/>
    </row>
    <row r="215" customFormat="false" ht="12.75" hidden="false" customHeight="false" outlineLevel="0" collapsed="false">
      <c r="B215" s="592"/>
      <c r="C215" s="592"/>
      <c r="D215" s="592"/>
      <c r="E215" s="592"/>
      <c r="F215" s="592"/>
      <c r="G215" s="592"/>
      <c r="H215" s="592"/>
      <c r="I215" s="592"/>
      <c r="J215" s="592"/>
    </row>
    <row r="216" customFormat="false" ht="12.75" hidden="false" customHeight="false" outlineLevel="0" collapsed="false">
      <c r="B216" s="592"/>
      <c r="C216" s="592"/>
      <c r="D216" s="592"/>
      <c r="E216" s="592"/>
      <c r="F216" s="592"/>
      <c r="G216" s="592"/>
      <c r="H216" s="592"/>
      <c r="I216" s="592"/>
      <c r="J216" s="592"/>
    </row>
    <row r="217" customFormat="false" ht="12.75" hidden="false" customHeight="false" outlineLevel="0" collapsed="false">
      <c r="B217" s="592"/>
      <c r="C217" s="592"/>
      <c r="D217" s="592"/>
      <c r="E217" s="592"/>
      <c r="F217" s="592"/>
      <c r="G217" s="592"/>
      <c r="H217" s="592"/>
      <c r="I217" s="592"/>
      <c r="J217" s="592"/>
    </row>
    <row r="218" customFormat="false" ht="12.75" hidden="false" customHeight="false" outlineLevel="0" collapsed="false">
      <c r="B218" s="592"/>
      <c r="C218" s="592"/>
      <c r="D218" s="592"/>
      <c r="E218" s="592"/>
      <c r="F218" s="592"/>
      <c r="G218" s="592"/>
      <c r="H218" s="592"/>
      <c r="I218" s="592"/>
      <c r="J218" s="592"/>
    </row>
    <row r="219" customFormat="false" ht="12.75" hidden="false" customHeight="false" outlineLevel="0" collapsed="false">
      <c r="B219" s="592"/>
      <c r="C219" s="592"/>
      <c r="D219" s="592"/>
      <c r="E219" s="592"/>
      <c r="F219" s="592"/>
      <c r="G219" s="592"/>
      <c r="H219" s="592"/>
      <c r="I219" s="592"/>
      <c r="J219" s="592"/>
    </row>
    <row r="220" customFormat="false" ht="12.75" hidden="false" customHeight="false" outlineLevel="0" collapsed="false">
      <c r="B220" s="592"/>
      <c r="C220" s="592"/>
      <c r="D220" s="592"/>
      <c r="E220" s="592"/>
      <c r="F220" s="592"/>
      <c r="G220" s="592"/>
      <c r="H220" s="592"/>
      <c r="I220" s="592"/>
      <c r="J220" s="592"/>
    </row>
    <row r="221" customFormat="false" ht="12.75" hidden="false" customHeight="false" outlineLevel="0" collapsed="false">
      <c r="B221" s="592"/>
      <c r="C221" s="592"/>
      <c r="D221" s="592"/>
      <c r="E221" s="592"/>
      <c r="F221" s="592"/>
      <c r="G221" s="592"/>
      <c r="H221" s="592"/>
      <c r="I221" s="592"/>
      <c r="J221" s="592"/>
    </row>
    <row r="222" customFormat="false" ht="12.75" hidden="false" customHeight="false" outlineLevel="0" collapsed="false">
      <c r="B222" s="592"/>
      <c r="C222" s="592"/>
      <c r="D222" s="592"/>
      <c r="E222" s="592"/>
      <c r="F222" s="592"/>
      <c r="G222" s="592"/>
      <c r="H222" s="592"/>
      <c r="I222" s="592"/>
      <c r="J222" s="592"/>
    </row>
    <row r="223" customFormat="false" ht="12.75" hidden="false" customHeight="false" outlineLevel="0" collapsed="false">
      <c r="B223" s="592"/>
      <c r="C223" s="592"/>
      <c r="D223" s="592"/>
      <c r="E223" s="592"/>
      <c r="F223" s="592"/>
      <c r="G223" s="592"/>
      <c r="H223" s="592"/>
      <c r="I223" s="592"/>
      <c r="J223" s="592"/>
    </row>
    <row r="224" customFormat="false" ht="12.75" hidden="false" customHeight="false" outlineLevel="0" collapsed="false">
      <c r="B224" s="592"/>
      <c r="C224" s="592"/>
      <c r="D224" s="592"/>
      <c r="E224" s="592"/>
      <c r="F224" s="592"/>
      <c r="G224" s="592"/>
      <c r="H224" s="592"/>
      <c r="I224" s="592"/>
      <c r="J224" s="592"/>
    </row>
    <row r="225" customFormat="false" ht="12.75" hidden="false" customHeight="false" outlineLevel="0" collapsed="false">
      <c r="B225" s="592"/>
      <c r="C225" s="592"/>
      <c r="D225" s="592"/>
      <c r="E225" s="592"/>
      <c r="F225" s="592"/>
      <c r="G225" s="592"/>
      <c r="H225" s="592"/>
      <c r="I225" s="592"/>
      <c r="J225" s="592"/>
    </row>
    <row r="226" customFormat="false" ht="12.75" hidden="false" customHeight="false" outlineLevel="0" collapsed="false">
      <c r="B226" s="592"/>
      <c r="C226" s="592"/>
      <c r="D226" s="592"/>
      <c r="E226" s="592"/>
      <c r="F226" s="592"/>
      <c r="G226" s="592"/>
      <c r="H226" s="592"/>
      <c r="I226" s="592"/>
      <c r="J226" s="592"/>
    </row>
    <row r="227" customFormat="false" ht="12.75" hidden="false" customHeight="false" outlineLevel="0" collapsed="false">
      <c r="B227" s="592"/>
      <c r="C227" s="592"/>
      <c r="D227" s="592"/>
      <c r="E227" s="592"/>
      <c r="F227" s="592"/>
      <c r="G227" s="592"/>
      <c r="H227" s="592"/>
      <c r="I227" s="592"/>
      <c r="J227" s="592"/>
    </row>
    <row r="228" customFormat="false" ht="12.75" hidden="false" customHeight="false" outlineLevel="0" collapsed="false">
      <c r="B228" s="592"/>
      <c r="C228" s="592"/>
      <c r="D228" s="592"/>
      <c r="E228" s="592"/>
      <c r="F228" s="592"/>
      <c r="G228" s="592"/>
      <c r="H228" s="592"/>
      <c r="I228" s="592"/>
      <c r="J228" s="592"/>
    </row>
    <row r="229" customFormat="false" ht="12.75" hidden="false" customHeight="false" outlineLevel="0" collapsed="false">
      <c r="B229" s="592"/>
      <c r="C229" s="592"/>
      <c r="D229" s="592"/>
      <c r="E229" s="592"/>
      <c r="F229" s="592"/>
      <c r="G229" s="592"/>
      <c r="H229" s="592"/>
      <c r="I229" s="592"/>
      <c r="J229" s="592"/>
    </row>
    <row r="230" customFormat="false" ht="12.75" hidden="false" customHeight="false" outlineLevel="0" collapsed="false">
      <c r="B230" s="592"/>
      <c r="C230" s="592"/>
      <c r="D230" s="592"/>
      <c r="E230" s="592"/>
      <c r="F230" s="592"/>
      <c r="G230" s="592"/>
      <c r="H230" s="592"/>
      <c r="I230" s="592"/>
      <c r="J230" s="592"/>
    </row>
    <row r="231" customFormat="false" ht="12.75" hidden="false" customHeight="false" outlineLevel="0" collapsed="false">
      <c r="B231" s="592"/>
      <c r="C231" s="592"/>
      <c r="D231" s="592"/>
      <c r="E231" s="592"/>
      <c r="F231" s="592"/>
      <c r="G231" s="592"/>
      <c r="H231" s="592"/>
      <c r="I231" s="592"/>
      <c r="J231" s="592"/>
    </row>
    <row r="232" customFormat="false" ht="12.75" hidden="false" customHeight="false" outlineLevel="0" collapsed="false">
      <c r="B232" s="592"/>
      <c r="C232" s="592"/>
      <c r="D232" s="592"/>
      <c r="E232" s="592"/>
      <c r="F232" s="592"/>
      <c r="G232" s="592"/>
      <c r="H232" s="592"/>
      <c r="I232" s="592"/>
      <c r="J232" s="592"/>
    </row>
    <row r="233" customFormat="false" ht="12.75" hidden="false" customHeight="false" outlineLevel="0" collapsed="false">
      <c r="B233" s="592"/>
      <c r="C233" s="592"/>
      <c r="D233" s="592"/>
      <c r="E233" s="592"/>
      <c r="F233" s="592"/>
      <c r="G233" s="592"/>
      <c r="H233" s="592"/>
      <c r="I233" s="592"/>
      <c r="J233" s="592"/>
    </row>
    <row r="234" customFormat="false" ht="12.75" hidden="false" customHeight="false" outlineLevel="0" collapsed="false">
      <c r="B234" s="592"/>
      <c r="C234" s="592"/>
      <c r="D234" s="592"/>
      <c r="E234" s="592"/>
      <c r="F234" s="592"/>
      <c r="G234" s="592"/>
      <c r="H234" s="592"/>
      <c r="I234" s="592"/>
      <c r="J234" s="592"/>
    </row>
    <row r="235" customFormat="false" ht="12.75" hidden="false" customHeight="false" outlineLevel="0" collapsed="false">
      <c r="B235" s="592"/>
      <c r="C235" s="592"/>
      <c r="D235" s="592"/>
      <c r="E235" s="592"/>
      <c r="F235" s="592"/>
      <c r="G235" s="592"/>
      <c r="H235" s="592"/>
      <c r="I235" s="592"/>
      <c r="J235" s="592"/>
    </row>
    <row r="236" customFormat="false" ht="12.75" hidden="false" customHeight="false" outlineLevel="0" collapsed="false">
      <c r="B236" s="592"/>
      <c r="C236" s="592"/>
      <c r="D236" s="592"/>
      <c r="E236" s="592"/>
      <c r="F236" s="592"/>
      <c r="G236" s="592"/>
      <c r="H236" s="592"/>
      <c r="I236" s="592"/>
      <c r="J236" s="592"/>
    </row>
    <row r="237" customFormat="false" ht="12.75" hidden="false" customHeight="false" outlineLevel="0" collapsed="false">
      <c r="B237" s="592"/>
      <c r="C237" s="592"/>
      <c r="D237" s="592"/>
      <c r="E237" s="592"/>
      <c r="F237" s="592"/>
      <c r="G237" s="592"/>
      <c r="H237" s="592"/>
      <c r="I237" s="592"/>
      <c r="J237" s="592"/>
    </row>
    <row r="238" customFormat="false" ht="12.75" hidden="false" customHeight="false" outlineLevel="0" collapsed="false">
      <c r="B238" s="592"/>
      <c r="C238" s="592"/>
      <c r="D238" s="592"/>
      <c r="E238" s="592"/>
      <c r="F238" s="592"/>
      <c r="G238" s="592"/>
      <c r="H238" s="592"/>
      <c r="I238" s="592"/>
      <c r="J238" s="592"/>
    </row>
    <row r="239" customFormat="false" ht="12.75" hidden="false" customHeight="false" outlineLevel="0" collapsed="false">
      <c r="B239" s="592"/>
      <c r="C239" s="592"/>
      <c r="D239" s="592"/>
      <c r="E239" s="592"/>
      <c r="F239" s="592"/>
      <c r="G239" s="592"/>
      <c r="H239" s="592"/>
      <c r="I239" s="592"/>
      <c r="J239" s="592"/>
    </row>
    <row r="240" customFormat="false" ht="12.75" hidden="false" customHeight="false" outlineLevel="0" collapsed="false">
      <c r="B240" s="592"/>
      <c r="C240" s="592"/>
      <c r="D240" s="592"/>
      <c r="E240" s="592"/>
      <c r="F240" s="592"/>
      <c r="G240" s="592"/>
      <c r="H240" s="592"/>
      <c r="I240" s="592"/>
      <c r="J240" s="592"/>
    </row>
    <row r="241" customFormat="false" ht="12.75" hidden="false" customHeight="false" outlineLevel="0" collapsed="false">
      <c r="B241" s="592"/>
      <c r="C241" s="592"/>
      <c r="D241" s="592"/>
      <c r="E241" s="592"/>
      <c r="F241" s="592"/>
      <c r="G241" s="592"/>
      <c r="H241" s="592"/>
      <c r="I241" s="592"/>
      <c r="J241" s="592"/>
    </row>
    <row r="242" customFormat="false" ht="12.75" hidden="false" customHeight="false" outlineLevel="0" collapsed="false">
      <c r="B242" s="592"/>
      <c r="C242" s="592"/>
      <c r="D242" s="592"/>
      <c r="E242" s="592"/>
      <c r="F242" s="592"/>
      <c r="G242" s="592"/>
      <c r="H242" s="592"/>
      <c r="I242" s="592"/>
      <c r="J242" s="592"/>
    </row>
    <row r="243" customFormat="false" ht="12.75" hidden="false" customHeight="false" outlineLevel="0" collapsed="false">
      <c r="B243" s="592"/>
      <c r="C243" s="592"/>
      <c r="D243" s="592"/>
      <c r="E243" s="592"/>
      <c r="F243" s="592"/>
      <c r="G243" s="592"/>
      <c r="H243" s="592"/>
      <c r="I243" s="592"/>
      <c r="J243" s="592"/>
    </row>
    <row r="244" customFormat="false" ht="12.75" hidden="false" customHeight="false" outlineLevel="0" collapsed="false">
      <c r="B244" s="592"/>
      <c r="C244" s="592"/>
      <c r="D244" s="592"/>
      <c r="E244" s="592"/>
      <c r="F244" s="592"/>
      <c r="G244" s="592"/>
      <c r="H244" s="592"/>
      <c r="I244" s="592"/>
      <c r="J244" s="592"/>
    </row>
    <row r="245" customFormat="false" ht="12.75" hidden="false" customHeight="false" outlineLevel="0" collapsed="false">
      <c r="B245" s="592"/>
      <c r="C245" s="592"/>
      <c r="D245" s="592"/>
      <c r="E245" s="592"/>
      <c r="F245" s="592"/>
      <c r="G245" s="592"/>
      <c r="H245" s="592"/>
      <c r="I245" s="592"/>
      <c r="J245" s="592"/>
    </row>
    <row r="246" customFormat="false" ht="12.75" hidden="false" customHeight="false" outlineLevel="0" collapsed="false">
      <c r="B246" s="592"/>
      <c r="C246" s="592"/>
      <c r="D246" s="592"/>
      <c r="E246" s="592"/>
      <c r="F246" s="592"/>
      <c r="G246" s="592"/>
      <c r="H246" s="592"/>
      <c r="I246" s="592"/>
      <c r="J246" s="592"/>
    </row>
    <row r="247" customFormat="false" ht="12.75" hidden="false" customHeight="false" outlineLevel="0" collapsed="false">
      <c r="B247" s="592"/>
      <c r="C247" s="592"/>
      <c r="D247" s="592"/>
      <c r="E247" s="592"/>
      <c r="F247" s="592"/>
      <c r="G247" s="592"/>
      <c r="H247" s="592"/>
      <c r="I247" s="592"/>
      <c r="J247" s="592"/>
    </row>
    <row r="248" customFormat="false" ht="12.75" hidden="false" customHeight="false" outlineLevel="0" collapsed="false">
      <c r="B248" s="592"/>
      <c r="C248" s="592"/>
      <c r="D248" s="592"/>
      <c r="E248" s="592"/>
      <c r="F248" s="592"/>
      <c r="G248" s="592"/>
      <c r="H248" s="592"/>
      <c r="I248" s="592"/>
      <c r="J248" s="592"/>
    </row>
    <row r="249" customFormat="false" ht="12.75" hidden="false" customHeight="false" outlineLevel="0" collapsed="false">
      <c r="B249" s="592"/>
      <c r="C249" s="592"/>
      <c r="D249" s="592"/>
      <c r="E249" s="592"/>
      <c r="F249" s="592"/>
      <c r="G249" s="592"/>
      <c r="H249" s="592"/>
      <c r="I249" s="592"/>
      <c r="J249" s="592"/>
    </row>
    <row r="250" customFormat="false" ht="12.75" hidden="false" customHeight="false" outlineLevel="0" collapsed="false">
      <c r="B250" s="592"/>
      <c r="C250" s="592"/>
      <c r="D250" s="592"/>
      <c r="E250" s="592"/>
      <c r="F250" s="592"/>
      <c r="G250" s="592"/>
      <c r="H250" s="592"/>
      <c r="I250" s="592"/>
      <c r="J250" s="592"/>
    </row>
    <row r="251" customFormat="false" ht="12.75" hidden="false" customHeight="false" outlineLevel="0" collapsed="false">
      <c r="B251" s="592"/>
      <c r="C251" s="592"/>
      <c r="D251" s="592"/>
      <c r="E251" s="592"/>
      <c r="F251" s="592"/>
      <c r="G251" s="592"/>
      <c r="H251" s="592"/>
      <c r="I251" s="592"/>
      <c r="J251" s="592"/>
    </row>
    <row r="252" customFormat="false" ht="12.75" hidden="false" customHeight="false" outlineLevel="0" collapsed="false">
      <c r="B252" s="592"/>
      <c r="C252" s="592"/>
      <c r="D252" s="592"/>
      <c r="E252" s="592"/>
      <c r="F252" s="592"/>
      <c r="G252" s="592"/>
      <c r="H252" s="592"/>
      <c r="I252" s="592"/>
      <c r="J252" s="592"/>
    </row>
    <row r="253" customFormat="false" ht="12.75" hidden="false" customHeight="false" outlineLevel="0" collapsed="false">
      <c r="B253" s="592"/>
      <c r="C253" s="592"/>
      <c r="D253" s="592"/>
      <c r="E253" s="592"/>
      <c r="F253" s="592"/>
      <c r="G253" s="592"/>
      <c r="H253" s="592"/>
      <c r="I253" s="592"/>
      <c r="J253" s="592"/>
    </row>
    <row r="254" customFormat="false" ht="12.75" hidden="false" customHeight="false" outlineLevel="0" collapsed="false">
      <c r="B254" s="592"/>
      <c r="C254" s="592"/>
      <c r="D254" s="592"/>
      <c r="E254" s="592"/>
      <c r="F254" s="592"/>
      <c r="G254" s="592"/>
      <c r="H254" s="592"/>
      <c r="I254" s="592"/>
      <c r="J254" s="592"/>
    </row>
    <row r="255" customFormat="false" ht="12.75" hidden="false" customHeight="false" outlineLevel="0" collapsed="false">
      <c r="B255" s="592"/>
      <c r="C255" s="592"/>
      <c r="D255" s="592"/>
      <c r="E255" s="592"/>
      <c r="F255" s="592"/>
      <c r="G255" s="592"/>
      <c r="H255" s="592"/>
      <c r="I255" s="592"/>
      <c r="J255" s="592"/>
    </row>
    <row r="256" customFormat="false" ht="12.75" hidden="false" customHeight="false" outlineLevel="0" collapsed="false">
      <c r="B256" s="592"/>
      <c r="C256" s="592"/>
      <c r="D256" s="592"/>
      <c r="E256" s="592"/>
      <c r="F256" s="592"/>
      <c r="G256" s="592"/>
      <c r="H256" s="592"/>
      <c r="I256" s="592"/>
      <c r="J256" s="592"/>
    </row>
    <row r="257" customFormat="false" ht="12.75" hidden="false" customHeight="false" outlineLevel="0" collapsed="false">
      <c r="B257" s="592"/>
      <c r="C257" s="592"/>
      <c r="D257" s="592"/>
      <c r="E257" s="592"/>
      <c r="F257" s="592"/>
      <c r="G257" s="592"/>
      <c r="H257" s="592"/>
      <c r="I257" s="592"/>
      <c r="J257" s="592"/>
    </row>
    <row r="258" customFormat="false" ht="12.75" hidden="false" customHeight="false" outlineLevel="0" collapsed="false">
      <c r="B258" s="592"/>
      <c r="C258" s="592"/>
      <c r="D258" s="592"/>
      <c r="E258" s="592"/>
      <c r="F258" s="592"/>
      <c r="G258" s="592"/>
      <c r="H258" s="592"/>
      <c r="I258" s="592"/>
      <c r="J258" s="592"/>
    </row>
    <row r="259" customFormat="false" ht="12.75" hidden="false" customHeight="false" outlineLevel="0" collapsed="false">
      <c r="B259" s="592"/>
      <c r="C259" s="592"/>
      <c r="D259" s="592"/>
      <c r="E259" s="592"/>
      <c r="F259" s="592"/>
      <c r="G259" s="592"/>
      <c r="H259" s="592"/>
      <c r="I259" s="592"/>
      <c r="J259" s="592"/>
    </row>
    <row r="260" customFormat="false" ht="12.75" hidden="false" customHeight="false" outlineLevel="0" collapsed="false">
      <c r="B260" s="592"/>
      <c r="C260" s="592"/>
      <c r="D260" s="592"/>
      <c r="E260" s="592"/>
      <c r="F260" s="592"/>
      <c r="G260" s="592"/>
      <c r="H260" s="592"/>
      <c r="I260" s="592"/>
      <c r="J260" s="592"/>
    </row>
    <row r="261" customFormat="false" ht="12.75" hidden="false" customHeight="false" outlineLevel="0" collapsed="false">
      <c r="B261" s="592"/>
      <c r="C261" s="592"/>
      <c r="D261" s="592"/>
      <c r="E261" s="592"/>
      <c r="F261" s="592"/>
      <c r="G261" s="592"/>
      <c r="H261" s="592"/>
      <c r="I261" s="592"/>
      <c r="J261" s="592"/>
    </row>
    <row r="262" customFormat="false" ht="12.75" hidden="false" customHeight="false" outlineLevel="0" collapsed="false">
      <c r="B262" s="592"/>
      <c r="C262" s="592"/>
      <c r="D262" s="592"/>
      <c r="E262" s="592"/>
      <c r="F262" s="592"/>
      <c r="G262" s="592"/>
      <c r="H262" s="592"/>
      <c r="I262" s="592"/>
      <c r="J262" s="592"/>
    </row>
    <row r="263" customFormat="false" ht="12.75" hidden="false" customHeight="false" outlineLevel="0" collapsed="false">
      <c r="B263" s="592"/>
      <c r="C263" s="592"/>
      <c r="D263" s="592"/>
      <c r="E263" s="592"/>
      <c r="F263" s="592"/>
      <c r="G263" s="592"/>
      <c r="H263" s="592"/>
      <c r="I263" s="592"/>
      <c r="J263" s="592"/>
    </row>
    <row r="264" customFormat="false" ht="12.75" hidden="false" customHeight="false" outlineLevel="0" collapsed="false">
      <c r="B264" s="592"/>
      <c r="C264" s="592"/>
      <c r="D264" s="592"/>
      <c r="E264" s="592"/>
      <c r="F264" s="592"/>
      <c r="G264" s="592"/>
      <c r="H264" s="592"/>
      <c r="I264" s="592"/>
      <c r="J264" s="592"/>
    </row>
    <row r="265" customFormat="false" ht="12.75" hidden="false" customHeight="false" outlineLevel="0" collapsed="false">
      <c r="B265" s="592"/>
      <c r="C265" s="592"/>
      <c r="D265" s="592"/>
      <c r="E265" s="592"/>
      <c r="F265" s="592"/>
      <c r="G265" s="592"/>
      <c r="H265" s="592"/>
      <c r="I265" s="592"/>
      <c r="J265" s="592"/>
    </row>
    <row r="266" customFormat="false" ht="12.75" hidden="false" customHeight="false" outlineLevel="0" collapsed="false">
      <c r="B266" s="592"/>
      <c r="C266" s="592"/>
      <c r="D266" s="592"/>
      <c r="E266" s="592"/>
      <c r="F266" s="592"/>
      <c r="G266" s="592"/>
      <c r="H266" s="592"/>
      <c r="I266" s="592"/>
      <c r="J266" s="592"/>
    </row>
    <row r="267" customFormat="false" ht="12.75" hidden="false" customHeight="false" outlineLevel="0" collapsed="false">
      <c r="B267" s="592"/>
      <c r="C267" s="592"/>
      <c r="D267" s="592"/>
      <c r="E267" s="592"/>
      <c r="F267" s="592"/>
      <c r="G267" s="592"/>
      <c r="H267" s="592"/>
      <c r="I267" s="592"/>
      <c r="J267" s="592"/>
    </row>
    <row r="268" customFormat="false" ht="12.75" hidden="false" customHeight="false" outlineLevel="0" collapsed="false">
      <c r="B268" s="592"/>
      <c r="C268" s="592"/>
      <c r="D268" s="592"/>
      <c r="E268" s="592"/>
      <c r="F268" s="592"/>
      <c r="G268" s="592"/>
      <c r="H268" s="592"/>
      <c r="I268" s="592"/>
      <c r="J268" s="592"/>
    </row>
    <row r="269" customFormat="false" ht="12.75" hidden="false" customHeight="false" outlineLevel="0" collapsed="false">
      <c r="B269" s="592"/>
      <c r="C269" s="592"/>
      <c r="D269" s="592"/>
      <c r="E269" s="592"/>
      <c r="F269" s="592"/>
      <c r="G269" s="592"/>
      <c r="H269" s="592"/>
      <c r="I269" s="592"/>
      <c r="J269" s="592"/>
    </row>
    <row r="270" customFormat="false" ht="12.75" hidden="false" customHeight="false" outlineLevel="0" collapsed="false">
      <c r="B270" s="592"/>
      <c r="C270" s="592"/>
      <c r="D270" s="592"/>
      <c r="E270" s="592"/>
      <c r="F270" s="592"/>
      <c r="G270" s="592"/>
      <c r="H270" s="592"/>
      <c r="I270" s="592"/>
      <c r="J270" s="592"/>
    </row>
    <row r="271" customFormat="false" ht="12.75" hidden="false" customHeight="false" outlineLevel="0" collapsed="false">
      <c r="B271" s="592"/>
      <c r="C271" s="592"/>
      <c r="D271" s="592"/>
      <c r="E271" s="592"/>
      <c r="F271" s="592"/>
      <c r="G271" s="592"/>
      <c r="H271" s="592"/>
      <c r="I271" s="592"/>
      <c r="J271" s="592"/>
    </row>
    <row r="272" customFormat="false" ht="12.75" hidden="false" customHeight="false" outlineLevel="0" collapsed="false">
      <c r="B272" s="592"/>
      <c r="C272" s="592"/>
      <c r="D272" s="592"/>
      <c r="E272" s="592"/>
      <c r="F272" s="592"/>
      <c r="G272" s="592"/>
      <c r="H272" s="592"/>
      <c r="I272" s="592"/>
      <c r="J272" s="592"/>
    </row>
    <row r="273" customFormat="false" ht="12.75" hidden="false" customHeight="false" outlineLevel="0" collapsed="false">
      <c r="B273" s="592"/>
      <c r="C273" s="592"/>
      <c r="D273" s="592"/>
      <c r="E273" s="592"/>
      <c r="F273" s="592"/>
      <c r="G273" s="592"/>
      <c r="H273" s="592"/>
      <c r="I273" s="592"/>
      <c r="J273" s="592"/>
    </row>
    <row r="274" customFormat="false" ht="12.75" hidden="false" customHeight="false" outlineLevel="0" collapsed="false">
      <c r="B274" s="592"/>
      <c r="C274" s="592"/>
      <c r="D274" s="592"/>
      <c r="E274" s="592"/>
      <c r="F274" s="592"/>
      <c r="G274" s="592"/>
      <c r="H274" s="592"/>
      <c r="I274" s="592"/>
      <c r="J274" s="592"/>
    </row>
    <row r="275" customFormat="false" ht="12.75" hidden="false" customHeight="false" outlineLevel="0" collapsed="false">
      <c r="B275" s="592"/>
      <c r="C275" s="592"/>
      <c r="D275" s="592"/>
      <c r="E275" s="592"/>
      <c r="F275" s="592"/>
      <c r="G275" s="592"/>
      <c r="H275" s="592"/>
      <c r="I275" s="592"/>
      <c r="J275" s="592"/>
    </row>
    <row r="276" customFormat="false" ht="12.75" hidden="false" customHeight="false" outlineLevel="0" collapsed="false">
      <c r="B276" s="592"/>
      <c r="C276" s="592"/>
      <c r="D276" s="592"/>
      <c r="E276" s="592"/>
      <c r="F276" s="592"/>
      <c r="G276" s="592"/>
      <c r="H276" s="592"/>
      <c r="I276" s="592"/>
      <c r="J276" s="592"/>
    </row>
    <row r="277" customFormat="false" ht="12.75" hidden="false" customHeight="false" outlineLevel="0" collapsed="false">
      <c r="B277" s="592"/>
      <c r="C277" s="592"/>
      <c r="D277" s="592"/>
      <c r="E277" s="592"/>
      <c r="F277" s="592"/>
      <c r="G277" s="592"/>
      <c r="H277" s="592"/>
      <c r="I277" s="592"/>
      <c r="J277" s="592"/>
    </row>
    <row r="278" customFormat="false" ht="12.75" hidden="false" customHeight="false" outlineLevel="0" collapsed="false">
      <c r="B278" s="592"/>
      <c r="C278" s="592"/>
      <c r="D278" s="592"/>
      <c r="E278" s="592"/>
      <c r="F278" s="592"/>
      <c r="G278" s="592"/>
      <c r="H278" s="592"/>
      <c r="I278" s="592"/>
      <c r="J278" s="592"/>
    </row>
    <row r="279" customFormat="false" ht="12.75" hidden="false" customHeight="false" outlineLevel="0" collapsed="false">
      <c r="B279" s="592"/>
      <c r="C279" s="592"/>
      <c r="D279" s="592"/>
      <c r="E279" s="592"/>
      <c r="F279" s="592"/>
      <c r="G279" s="592"/>
      <c r="H279" s="592"/>
      <c r="I279" s="592"/>
      <c r="J279" s="592"/>
    </row>
    <row r="280" customFormat="false" ht="12.75" hidden="false" customHeight="false" outlineLevel="0" collapsed="false">
      <c r="B280" s="592"/>
      <c r="C280" s="592"/>
      <c r="D280" s="592"/>
      <c r="E280" s="592"/>
      <c r="F280" s="592"/>
      <c r="G280" s="592"/>
      <c r="H280" s="592"/>
      <c r="I280" s="592"/>
      <c r="J280" s="592"/>
    </row>
    <row r="281" customFormat="false" ht="12.75" hidden="false" customHeight="false" outlineLevel="0" collapsed="false">
      <c r="B281" s="592"/>
      <c r="C281" s="592"/>
      <c r="D281" s="592"/>
      <c r="E281" s="592"/>
      <c r="F281" s="592"/>
      <c r="G281" s="592"/>
      <c r="H281" s="592"/>
      <c r="I281" s="592"/>
      <c r="J281" s="592"/>
    </row>
    <row r="282" customFormat="false" ht="12.75" hidden="false" customHeight="false" outlineLevel="0" collapsed="false">
      <c r="B282" s="592"/>
      <c r="C282" s="592"/>
      <c r="D282" s="592"/>
      <c r="E282" s="592"/>
      <c r="F282" s="592"/>
      <c r="G282" s="592"/>
      <c r="H282" s="592"/>
      <c r="I282" s="592"/>
      <c r="J282" s="592"/>
    </row>
    <row r="283" customFormat="false" ht="12.75" hidden="false" customHeight="false" outlineLevel="0" collapsed="false">
      <c r="B283" s="592"/>
      <c r="C283" s="592"/>
      <c r="D283" s="592"/>
      <c r="E283" s="592"/>
      <c r="F283" s="592"/>
      <c r="G283" s="592"/>
      <c r="H283" s="592"/>
      <c r="I283" s="592"/>
      <c r="J283" s="592"/>
    </row>
    <row r="284" customFormat="false" ht="12.75" hidden="false" customHeight="false" outlineLevel="0" collapsed="false">
      <c r="B284" s="592"/>
      <c r="C284" s="592"/>
      <c r="D284" s="592"/>
      <c r="E284" s="592"/>
      <c r="F284" s="592"/>
      <c r="G284" s="592"/>
      <c r="H284" s="592"/>
      <c r="I284" s="592"/>
      <c r="J284" s="592"/>
    </row>
    <row r="285" customFormat="false" ht="12.75" hidden="false" customHeight="false" outlineLevel="0" collapsed="false">
      <c r="B285" s="592"/>
      <c r="C285" s="592"/>
      <c r="D285" s="592"/>
      <c r="E285" s="592"/>
      <c r="F285" s="592"/>
      <c r="G285" s="592"/>
      <c r="H285" s="592"/>
      <c r="I285" s="592"/>
      <c r="J285" s="592"/>
    </row>
    <row r="286" customFormat="false" ht="12.75" hidden="false" customHeight="false" outlineLevel="0" collapsed="false">
      <c r="B286" s="592"/>
      <c r="C286" s="592"/>
      <c r="D286" s="592"/>
      <c r="E286" s="592"/>
      <c r="F286" s="592"/>
      <c r="G286" s="592"/>
      <c r="H286" s="592"/>
      <c r="I286" s="592"/>
      <c r="J286" s="592"/>
    </row>
    <row r="287" customFormat="false" ht="12.75" hidden="false" customHeight="false" outlineLevel="0" collapsed="false">
      <c r="B287" s="592"/>
      <c r="C287" s="592"/>
      <c r="D287" s="592"/>
      <c r="E287" s="592"/>
      <c r="F287" s="592"/>
      <c r="G287" s="592"/>
      <c r="H287" s="592"/>
      <c r="I287" s="592"/>
      <c r="J287" s="592"/>
    </row>
    <row r="288" customFormat="false" ht="12.75" hidden="false" customHeight="false" outlineLevel="0" collapsed="false">
      <c r="B288" s="592"/>
      <c r="C288" s="592"/>
      <c r="D288" s="592"/>
      <c r="E288" s="592"/>
      <c r="F288" s="592"/>
      <c r="G288" s="592"/>
      <c r="H288" s="592"/>
      <c r="I288" s="592"/>
      <c r="J288" s="592"/>
    </row>
    <row r="289" customFormat="false" ht="12.75" hidden="false" customHeight="false" outlineLevel="0" collapsed="false">
      <c r="B289" s="592"/>
      <c r="C289" s="592"/>
      <c r="D289" s="592"/>
      <c r="E289" s="592"/>
      <c r="F289" s="592"/>
      <c r="G289" s="592"/>
      <c r="H289" s="592"/>
      <c r="I289" s="592"/>
      <c r="J289" s="592"/>
    </row>
    <row r="290" customFormat="false" ht="12.75" hidden="false" customHeight="false" outlineLevel="0" collapsed="false">
      <c r="B290" s="592"/>
      <c r="C290" s="592"/>
      <c r="D290" s="592"/>
      <c r="E290" s="592"/>
      <c r="F290" s="592"/>
      <c r="G290" s="592"/>
      <c r="H290" s="592"/>
      <c r="I290" s="592"/>
      <c r="J290" s="592"/>
    </row>
    <row r="291" customFormat="false" ht="12.75" hidden="false" customHeight="false" outlineLevel="0" collapsed="false">
      <c r="B291" s="592"/>
      <c r="C291" s="592"/>
      <c r="D291" s="592"/>
      <c r="E291" s="592"/>
      <c r="F291" s="592"/>
      <c r="G291" s="592"/>
      <c r="H291" s="592"/>
      <c r="I291" s="592"/>
      <c r="J291" s="592"/>
    </row>
    <row r="292" customFormat="false" ht="12.75" hidden="false" customHeight="false" outlineLevel="0" collapsed="false">
      <c r="B292" s="592"/>
      <c r="C292" s="592"/>
      <c r="D292" s="592"/>
      <c r="E292" s="592"/>
      <c r="F292" s="592"/>
      <c r="G292" s="592"/>
      <c r="H292" s="592"/>
      <c r="I292" s="592"/>
      <c r="J292" s="592"/>
    </row>
    <row r="293" customFormat="false" ht="12.75" hidden="false" customHeight="false" outlineLevel="0" collapsed="false">
      <c r="B293" s="592"/>
      <c r="C293" s="592"/>
      <c r="D293" s="592"/>
      <c r="E293" s="592"/>
      <c r="F293" s="592"/>
      <c r="G293" s="592"/>
      <c r="H293" s="592"/>
      <c r="I293" s="592"/>
      <c r="J293" s="592"/>
    </row>
    <row r="294" customFormat="false" ht="12.75" hidden="false" customHeight="false" outlineLevel="0" collapsed="false">
      <c r="B294" s="592"/>
      <c r="C294" s="592"/>
      <c r="D294" s="592"/>
      <c r="E294" s="592"/>
      <c r="F294" s="592"/>
      <c r="G294" s="592"/>
      <c r="H294" s="592"/>
      <c r="I294" s="592"/>
      <c r="J294" s="592"/>
    </row>
    <row r="295" customFormat="false" ht="12.75" hidden="false" customHeight="false" outlineLevel="0" collapsed="false">
      <c r="B295" s="592"/>
      <c r="C295" s="592"/>
      <c r="D295" s="592"/>
      <c r="E295" s="592"/>
      <c r="F295" s="592"/>
      <c r="G295" s="592"/>
      <c r="H295" s="592"/>
      <c r="I295" s="592"/>
      <c r="J295" s="592"/>
    </row>
    <row r="296" customFormat="false" ht="12.75" hidden="false" customHeight="false" outlineLevel="0" collapsed="false">
      <c r="B296" s="592"/>
      <c r="C296" s="592"/>
      <c r="D296" s="592"/>
      <c r="E296" s="592"/>
      <c r="F296" s="592"/>
      <c r="G296" s="592"/>
      <c r="H296" s="592"/>
      <c r="I296" s="592"/>
      <c r="J296" s="592"/>
    </row>
    <row r="297" customFormat="false" ht="12.75" hidden="false" customHeight="false" outlineLevel="0" collapsed="false">
      <c r="B297" s="592"/>
      <c r="C297" s="592"/>
      <c r="D297" s="592"/>
      <c r="E297" s="592"/>
      <c r="F297" s="592"/>
      <c r="G297" s="592"/>
      <c r="H297" s="592"/>
      <c r="I297" s="592"/>
      <c r="J297" s="592"/>
    </row>
    <row r="298" customFormat="false" ht="12.75" hidden="false" customHeight="false" outlineLevel="0" collapsed="false">
      <c r="B298" s="592"/>
      <c r="C298" s="592"/>
      <c r="D298" s="592"/>
      <c r="E298" s="592"/>
      <c r="F298" s="592"/>
      <c r="G298" s="592"/>
      <c r="H298" s="592"/>
      <c r="I298" s="592"/>
      <c r="J298" s="592"/>
    </row>
    <row r="299" customFormat="false" ht="12.75" hidden="false" customHeight="false" outlineLevel="0" collapsed="false">
      <c r="B299" s="592"/>
      <c r="C299" s="592"/>
      <c r="D299" s="592"/>
      <c r="E299" s="592"/>
      <c r="F299" s="592"/>
      <c r="G299" s="592"/>
      <c r="H299" s="592"/>
      <c r="I299" s="592"/>
      <c r="J299" s="592"/>
    </row>
    <row r="300" customFormat="false" ht="12.75" hidden="false" customHeight="false" outlineLevel="0" collapsed="false">
      <c r="B300" s="592"/>
      <c r="C300" s="592"/>
      <c r="D300" s="592"/>
      <c r="E300" s="592"/>
      <c r="F300" s="592"/>
      <c r="G300" s="592"/>
      <c r="H300" s="592"/>
      <c r="I300" s="592"/>
      <c r="J300" s="592"/>
    </row>
    <row r="301" customFormat="false" ht="12.75" hidden="false" customHeight="false" outlineLevel="0" collapsed="false">
      <c r="B301" s="592"/>
      <c r="C301" s="592"/>
      <c r="D301" s="592"/>
      <c r="E301" s="592"/>
      <c r="F301" s="592"/>
      <c r="G301" s="592"/>
      <c r="H301" s="592"/>
      <c r="I301" s="592"/>
      <c r="J301" s="592"/>
    </row>
    <row r="302" customFormat="false" ht="12.75" hidden="false" customHeight="false" outlineLevel="0" collapsed="false">
      <c r="B302" s="592"/>
      <c r="C302" s="592"/>
      <c r="D302" s="592"/>
      <c r="E302" s="592"/>
      <c r="F302" s="592"/>
      <c r="G302" s="592"/>
      <c r="H302" s="592"/>
      <c r="I302" s="592"/>
      <c r="J302" s="592"/>
    </row>
    <row r="303" customFormat="false" ht="12.75" hidden="false" customHeight="false" outlineLevel="0" collapsed="false">
      <c r="B303" s="592"/>
      <c r="C303" s="592"/>
      <c r="D303" s="592"/>
      <c r="E303" s="592"/>
      <c r="F303" s="592"/>
      <c r="G303" s="592"/>
      <c r="H303" s="592"/>
      <c r="I303" s="592"/>
      <c r="J303" s="592"/>
    </row>
    <row r="304" customFormat="false" ht="12.75" hidden="false" customHeight="false" outlineLevel="0" collapsed="false">
      <c r="B304" s="592"/>
      <c r="C304" s="592"/>
      <c r="D304" s="592"/>
      <c r="E304" s="592"/>
      <c r="F304" s="592"/>
      <c r="G304" s="592"/>
      <c r="H304" s="592"/>
      <c r="I304" s="592"/>
      <c r="J304" s="592"/>
    </row>
    <row r="305" customFormat="false" ht="12.75" hidden="false" customHeight="false" outlineLevel="0" collapsed="false">
      <c r="B305" s="592"/>
      <c r="C305" s="592"/>
      <c r="D305" s="592"/>
      <c r="E305" s="592"/>
      <c r="F305" s="592"/>
      <c r="G305" s="592"/>
      <c r="H305" s="592"/>
      <c r="I305" s="592"/>
      <c r="J305" s="592"/>
    </row>
    <row r="306" customFormat="false" ht="12.75" hidden="false" customHeight="false" outlineLevel="0" collapsed="false">
      <c r="B306" s="592"/>
      <c r="C306" s="592"/>
      <c r="D306" s="592"/>
      <c r="E306" s="592"/>
      <c r="F306" s="592"/>
      <c r="G306" s="592"/>
      <c r="H306" s="592"/>
      <c r="I306" s="592"/>
      <c r="J306" s="592"/>
    </row>
    <row r="307" customFormat="false" ht="12.75" hidden="false" customHeight="false" outlineLevel="0" collapsed="false">
      <c r="B307" s="592"/>
      <c r="C307" s="592"/>
      <c r="D307" s="592"/>
      <c r="E307" s="592"/>
      <c r="F307" s="592"/>
      <c r="G307" s="592"/>
      <c r="H307" s="592"/>
      <c r="I307" s="592"/>
      <c r="J307" s="592"/>
    </row>
    <row r="308" customFormat="false" ht="12.75" hidden="false" customHeight="false" outlineLevel="0" collapsed="false">
      <c r="B308" s="592"/>
      <c r="C308" s="592"/>
      <c r="D308" s="592"/>
      <c r="E308" s="592"/>
      <c r="F308" s="592"/>
      <c r="G308" s="592"/>
      <c r="H308" s="592"/>
      <c r="I308" s="592"/>
      <c r="J308" s="592"/>
    </row>
    <row r="309" customFormat="false" ht="12.75" hidden="false" customHeight="false" outlineLevel="0" collapsed="false">
      <c r="B309" s="592"/>
      <c r="C309" s="592"/>
      <c r="D309" s="592"/>
      <c r="E309" s="592"/>
      <c r="F309" s="592"/>
      <c r="G309" s="592"/>
      <c r="H309" s="592"/>
      <c r="I309" s="592"/>
      <c r="J309" s="592"/>
    </row>
    <row r="310" customFormat="false" ht="12.75" hidden="false" customHeight="false" outlineLevel="0" collapsed="false">
      <c r="B310" s="592"/>
      <c r="C310" s="592"/>
      <c r="D310" s="592"/>
      <c r="E310" s="592"/>
      <c r="F310" s="592"/>
      <c r="G310" s="592"/>
      <c r="H310" s="592"/>
      <c r="I310" s="592"/>
      <c r="J310" s="592"/>
    </row>
    <row r="311" customFormat="false" ht="12.75" hidden="false" customHeight="false" outlineLevel="0" collapsed="false">
      <c r="B311" s="592"/>
      <c r="C311" s="592"/>
      <c r="D311" s="592"/>
      <c r="E311" s="592"/>
      <c r="F311" s="592"/>
      <c r="G311" s="592"/>
      <c r="H311" s="592"/>
      <c r="I311" s="592"/>
      <c r="J311" s="592"/>
    </row>
    <row r="312" customFormat="false" ht="12.75" hidden="false" customHeight="false" outlineLevel="0" collapsed="false">
      <c r="B312" s="592"/>
      <c r="C312" s="592"/>
      <c r="D312" s="592"/>
      <c r="E312" s="592"/>
      <c r="F312" s="592"/>
      <c r="G312" s="592"/>
      <c r="H312" s="592"/>
      <c r="I312" s="592"/>
      <c r="J312" s="592"/>
    </row>
    <row r="313" customFormat="false" ht="12.75" hidden="false" customHeight="false" outlineLevel="0" collapsed="false">
      <c r="B313" s="592"/>
      <c r="C313" s="592"/>
      <c r="D313" s="592"/>
      <c r="E313" s="592"/>
      <c r="F313" s="592"/>
      <c r="G313" s="592"/>
      <c r="H313" s="592"/>
      <c r="I313" s="592"/>
      <c r="J313" s="592"/>
    </row>
    <row r="314" customFormat="false" ht="12.75" hidden="false" customHeight="false" outlineLevel="0" collapsed="false">
      <c r="B314" s="592"/>
      <c r="C314" s="592"/>
      <c r="D314" s="592"/>
      <c r="E314" s="592"/>
      <c r="F314" s="592"/>
      <c r="G314" s="592"/>
      <c r="H314" s="592"/>
      <c r="I314" s="592"/>
      <c r="J314" s="592"/>
    </row>
    <row r="315" customFormat="false" ht="12.75" hidden="false" customHeight="false" outlineLevel="0" collapsed="false">
      <c r="B315" s="592"/>
      <c r="C315" s="592"/>
      <c r="D315" s="592"/>
      <c r="E315" s="592"/>
      <c r="F315" s="592"/>
      <c r="G315" s="592"/>
      <c r="H315" s="592"/>
      <c r="I315" s="592"/>
      <c r="J315" s="592"/>
    </row>
    <row r="316" customFormat="false" ht="12.75" hidden="false" customHeight="false" outlineLevel="0" collapsed="false">
      <c r="B316" s="592"/>
      <c r="C316" s="592"/>
      <c r="D316" s="592"/>
      <c r="E316" s="592"/>
      <c r="F316" s="592"/>
      <c r="G316" s="592"/>
      <c r="H316" s="592"/>
      <c r="I316" s="592"/>
      <c r="J316" s="592"/>
    </row>
    <row r="317" customFormat="false" ht="12.75" hidden="false" customHeight="false" outlineLevel="0" collapsed="false">
      <c r="B317" s="592"/>
      <c r="C317" s="592"/>
      <c r="D317" s="592"/>
      <c r="E317" s="592"/>
      <c r="F317" s="592"/>
      <c r="G317" s="592"/>
      <c r="H317" s="592"/>
      <c r="I317" s="592"/>
      <c r="J317" s="592"/>
    </row>
    <row r="318" customFormat="false" ht="12.75" hidden="false" customHeight="false" outlineLevel="0" collapsed="false">
      <c r="B318" s="592"/>
      <c r="C318" s="592"/>
      <c r="D318" s="592"/>
      <c r="E318" s="592"/>
      <c r="F318" s="592"/>
      <c r="G318" s="592"/>
      <c r="H318" s="592"/>
      <c r="I318" s="592"/>
      <c r="J318" s="592"/>
    </row>
    <row r="319" customFormat="false" ht="12.75" hidden="false" customHeight="false" outlineLevel="0" collapsed="false">
      <c r="B319" s="592"/>
      <c r="C319" s="592"/>
      <c r="D319" s="592"/>
      <c r="E319" s="592"/>
      <c r="F319" s="592"/>
      <c r="G319" s="592"/>
      <c r="H319" s="592"/>
      <c r="I319" s="592"/>
      <c r="J319" s="592"/>
    </row>
    <row r="320" customFormat="false" ht="12.75" hidden="false" customHeight="false" outlineLevel="0" collapsed="false">
      <c r="B320" s="592"/>
      <c r="C320" s="592"/>
      <c r="D320" s="592"/>
      <c r="E320" s="592"/>
      <c r="F320" s="592"/>
      <c r="G320" s="592"/>
      <c r="H320" s="592"/>
      <c r="I320" s="592"/>
      <c r="J320" s="592"/>
    </row>
    <row r="321" customFormat="false" ht="12.75" hidden="false" customHeight="false" outlineLevel="0" collapsed="false">
      <c r="B321" s="592"/>
      <c r="C321" s="592"/>
      <c r="D321" s="592"/>
      <c r="E321" s="592"/>
      <c r="F321" s="592"/>
      <c r="G321" s="592"/>
      <c r="H321" s="592"/>
      <c r="I321" s="592"/>
      <c r="J321" s="592"/>
    </row>
    <row r="322" customFormat="false" ht="12.75" hidden="false" customHeight="false" outlineLevel="0" collapsed="false">
      <c r="B322" s="592"/>
      <c r="C322" s="592"/>
      <c r="D322" s="592"/>
      <c r="E322" s="592"/>
      <c r="F322" s="592"/>
      <c r="G322" s="592"/>
      <c r="H322" s="592"/>
      <c r="I322" s="592"/>
      <c r="J322" s="592"/>
    </row>
    <row r="323" customFormat="false" ht="12.75" hidden="false" customHeight="false" outlineLevel="0" collapsed="false">
      <c r="B323" s="592"/>
      <c r="C323" s="592"/>
      <c r="D323" s="592"/>
      <c r="E323" s="592"/>
      <c r="F323" s="592"/>
      <c r="G323" s="592"/>
      <c r="H323" s="592"/>
      <c r="I323" s="592"/>
      <c r="J323" s="592"/>
    </row>
    <row r="324" customFormat="false" ht="12.75" hidden="false" customHeight="false" outlineLevel="0" collapsed="false">
      <c r="B324" s="592"/>
      <c r="C324" s="592"/>
      <c r="D324" s="592"/>
      <c r="E324" s="592"/>
      <c r="F324" s="592"/>
      <c r="G324" s="592"/>
      <c r="H324" s="592"/>
      <c r="I324" s="592"/>
      <c r="J324" s="592"/>
    </row>
    <row r="325" customFormat="false" ht="12.75" hidden="false" customHeight="false" outlineLevel="0" collapsed="false">
      <c r="B325" s="592"/>
      <c r="C325" s="592"/>
      <c r="D325" s="592"/>
      <c r="E325" s="592"/>
      <c r="F325" s="592"/>
      <c r="G325" s="592"/>
      <c r="H325" s="592"/>
      <c r="I325" s="592"/>
      <c r="J325" s="592"/>
    </row>
    <row r="326" customFormat="false" ht="12.75" hidden="false" customHeight="false" outlineLevel="0" collapsed="false">
      <c r="B326" s="592"/>
      <c r="C326" s="592"/>
      <c r="D326" s="592"/>
      <c r="E326" s="592"/>
      <c r="F326" s="592"/>
      <c r="G326" s="592"/>
      <c r="H326" s="592"/>
      <c r="I326" s="592"/>
      <c r="J326" s="592"/>
    </row>
    <row r="327" customFormat="false" ht="12.75" hidden="false" customHeight="false" outlineLevel="0" collapsed="false">
      <c r="B327" s="592"/>
      <c r="C327" s="592"/>
      <c r="D327" s="592"/>
      <c r="E327" s="592"/>
      <c r="F327" s="592"/>
      <c r="G327" s="592"/>
      <c r="H327" s="592"/>
      <c r="I327" s="592"/>
      <c r="J327" s="592"/>
    </row>
    <row r="328" customFormat="false" ht="12.75" hidden="false" customHeight="false" outlineLevel="0" collapsed="false">
      <c r="B328" s="592"/>
      <c r="C328" s="592"/>
      <c r="D328" s="592"/>
      <c r="E328" s="592"/>
      <c r="F328" s="592"/>
      <c r="G328" s="592"/>
      <c r="H328" s="592"/>
      <c r="I328" s="592"/>
      <c r="J328" s="592"/>
    </row>
    <row r="329" customFormat="false" ht="12.75" hidden="false" customHeight="false" outlineLevel="0" collapsed="false">
      <c r="B329" s="592"/>
      <c r="C329" s="592"/>
      <c r="D329" s="592"/>
      <c r="E329" s="592"/>
      <c r="F329" s="592"/>
      <c r="G329" s="592"/>
      <c r="H329" s="592"/>
      <c r="I329" s="592"/>
      <c r="J329" s="592"/>
    </row>
    <row r="330" customFormat="false" ht="12.75" hidden="false" customHeight="false" outlineLevel="0" collapsed="false">
      <c r="B330" s="592"/>
      <c r="C330" s="592"/>
      <c r="D330" s="592"/>
      <c r="E330" s="592"/>
      <c r="F330" s="592"/>
      <c r="G330" s="592"/>
      <c r="H330" s="592"/>
      <c r="I330" s="592"/>
      <c r="J330" s="592"/>
    </row>
    <row r="331" customFormat="false" ht="12.75" hidden="false" customHeight="false" outlineLevel="0" collapsed="false">
      <c r="B331" s="592"/>
      <c r="C331" s="592"/>
      <c r="D331" s="592"/>
      <c r="E331" s="592"/>
      <c r="F331" s="592"/>
      <c r="G331" s="592"/>
      <c r="H331" s="592"/>
      <c r="I331" s="592"/>
      <c r="J331" s="592"/>
    </row>
    <row r="332" customFormat="false" ht="12.75" hidden="false" customHeight="false" outlineLevel="0" collapsed="false">
      <c r="B332" s="592"/>
      <c r="C332" s="592"/>
      <c r="D332" s="592"/>
      <c r="E332" s="592"/>
      <c r="F332" s="592"/>
      <c r="G332" s="592"/>
      <c r="H332" s="592"/>
      <c r="I332" s="592"/>
      <c r="J332" s="592"/>
    </row>
    <row r="333" customFormat="false" ht="12.75" hidden="false" customHeight="false" outlineLevel="0" collapsed="false">
      <c r="B333" s="592"/>
      <c r="C333" s="592"/>
      <c r="D333" s="592"/>
      <c r="E333" s="592"/>
      <c r="F333" s="592"/>
      <c r="G333" s="592"/>
      <c r="H333" s="592"/>
      <c r="I333" s="592"/>
      <c r="J333" s="592"/>
    </row>
    <row r="334" customFormat="false" ht="12.75" hidden="false" customHeight="false" outlineLevel="0" collapsed="false">
      <c r="B334" s="592"/>
      <c r="C334" s="592"/>
      <c r="D334" s="592"/>
      <c r="E334" s="592"/>
      <c r="F334" s="592"/>
      <c r="G334" s="592"/>
      <c r="H334" s="592"/>
      <c r="I334" s="592"/>
      <c r="J334" s="592"/>
    </row>
    <row r="335" customFormat="false" ht="12.75" hidden="false" customHeight="false" outlineLevel="0" collapsed="false">
      <c r="B335" s="592"/>
      <c r="C335" s="592"/>
      <c r="D335" s="592"/>
      <c r="E335" s="592"/>
      <c r="F335" s="592"/>
      <c r="G335" s="592"/>
      <c r="H335" s="592"/>
      <c r="I335" s="592"/>
      <c r="J335" s="592"/>
    </row>
    <row r="336" customFormat="false" ht="12.75" hidden="false" customHeight="false" outlineLevel="0" collapsed="false">
      <c r="B336" s="592"/>
      <c r="C336" s="592"/>
      <c r="D336" s="592"/>
      <c r="E336" s="592"/>
      <c r="F336" s="592"/>
      <c r="G336" s="592"/>
      <c r="H336" s="592"/>
      <c r="I336" s="592"/>
      <c r="J336" s="592"/>
    </row>
    <row r="337" customFormat="false" ht="12.75" hidden="false" customHeight="false" outlineLevel="0" collapsed="false">
      <c r="B337" s="592"/>
      <c r="C337" s="592"/>
      <c r="D337" s="592"/>
      <c r="E337" s="592"/>
      <c r="F337" s="592"/>
      <c r="G337" s="592"/>
      <c r="H337" s="592"/>
      <c r="I337" s="592"/>
      <c r="J337" s="592"/>
    </row>
    <row r="338" customFormat="false" ht="12.75" hidden="false" customHeight="false" outlineLevel="0" collapsed="false">
      <c r="B338" s="592"/>
      <c r="C338" s="592"/>
      <c r="D338" s="592"/>
      <c r="E338" s="592"/>
      <c r="F338" s="592"/>
      <c r="G338" s="592"/>
      <c r="H338" s="592"/>
      <c r="I338" s="592"/>
      <c r="J338" s="592"/>
    </row>
    <row r="339" customFormat="false" ht="12.75" hidden="false" customHeight="false" outlineLevel="0" collapsed="false">
      <c r="B339" s="592"/>
      <c r="C339" s="592"/>
      <c r="D339" s="592"/>
      <c r="E339" s="592"/>
      <c r="F339" s="592"/>
      <c r="G339" s="592"/>
      <c r="H339" s="592"/>
      <c r="I339" s="592"/>
      <c r="J339" s="592"/>
    </row>
    <row r="340" customFormat="false" ht="12.75" hidden="false" customHeight="false" outlineLevel="0" collapsed="false">
      <c r="B340" s="592"/>
      <c r="C340" s="592"/>
      <c r="D340" s="592"/>
      <c r="E340" s="592"/>
      <c r="F340" s="592"/>
      <c r="G340" s="592"/>
      <c r="H340" s="592"/>
      <c r="I340" s="592"/>
      <c r="J340" s="592"/>
    </row>
    <row r="341" customFormat="false" ht="12.75" hidden="false" customHeight="false" outlineLevel="0" collapsed="false">
      <c r="B341" s="592"/>
      <c r="C341" s="592"/>
      <c r="D341" s="592"/>
      <c r="E341" s="592"/>
      <c r="F341" s="592"/>
      <c r="G341" s="592"/>
      <c r="H341" s="592"/>
      <c r="I341" s="592"/>
      <c r="J341" s="592"/>
    </row>
    <row r="342" customFormat="false" ht="12.75" hidden="false" customHeight="false" outlineLevel="0" collapsed="false">
      <c r="B342" s="592"/>
      <c r="C342" s="592"/>
      <c r="D342" s="592"/>
      <c r="E342" s="592"/>
      <c r="F342" s="592"/>
      <c r="G342" s="592"/>
      <c r="H342" s="592"/>
      <c r="I342" s="592"/>
      <c r="J342" s="592"/>
    </row>
    <row r="343" customFormat="false" ht="12.75" hidden="false" customHeight="false" outlineLevel="0" collapsed="false">
      <c r="B343" s="592"/>
      <c r="C343" s="592"/>
      <c r="D343" s="592"/>
      <c r="E343" s="592"/>
      <c r="F343" s="592"/>
      <c r="G343" s="592"/>
      <c r="H343" s="592"/>
      <c r="I343" s="592"/>
      <c r="J343" s="592"/>
    </row>
    <row r="344" customFormat="false" ht="12.75" hidden="false" customHeight="false" outlineLevel="0" collapsed="false">
      <c r="B344" s="592"/>
      <c r="C344" s="592"/>
      <c r="D344" s="592"/>
      <c r="E344" s="592"/>
      <c r="F344" s="592"/>
      <c r="G344" s="592"/>
      <c r="H344" s="592"/>
      <c r="I344" s="592"/>
      <c r="J344" s="592"/>
    </row>
    <row r="345" customFormat="false" ht="12.75" hidden="false" customHeight="false" outlineLevel="0" collapsed="false">
      <c r="B345" s="592"/>
      <c r="C345" s="592"/>
      <c r="D345" s="592"/>
      <c r="E345" s="592"/>
      <c r="F345" s="592"/>
      <c r="G345" s="592"/>
      <c r="H345" s="592"/>
      <c r="I345" s="592"/>
      <c r="J345" s="592"/>
    </row>
    <row r="346" customFormat="false" ht="12.75" hidden="false" customHeight="false" outlineLevel="0" collapsed="false">
      <c r="B346" s="592"/>
      <c r="C346" s="592"/>
      <c r="D346" s="592"/>
      <c r="E346" s="592"/>
      <c r="F346" s="592"/>
      <c r="G346" s="592"/>
      <c r="H346" s="592"/>
      <c r="I346" s="592"/>
      <c r="J346" s="592"/>
    </row>
    <row r="347" customFormat="false" ht="12.75" hidden="false" customHeight="false" outlineLevel="0" collapsed="false">
      <c r="B347" s="592"/>
      <c r="C347" s="592"/>
      <c r="D347" s="592"/>
      <c r="E347" s="592"/>
      <c r="F347" s="592"/>
      <c r="G347" s="592"/>
      <c r="H347" s="592"/>
      <c r="I347" s="592"/>
      <c r="J347" s="592"/>
    </row>
    <row r="348" customFormat="false" ht="12.75" hidden="false" customHeight="false" outlineLevel="0" collapsed="false">
      <c r="B348" s="592"/>
      <c r="C348" s="592"/>
      <c r="D348" s="592"/>
      <c r="E348" s="592"/>
      <c r="F348" s="592"/>
      <c r="G348" s="592"/>
      <c r="H348" s="592"/>
      <c r="I348" s="592"/>
      <c r="J348" s="592"/>
    </row>
    <row r="349" customFormat="false" ht="12.75" hidden="false" customHeight="false" outlineLevel="0" collapsed="false">
      <c r="B349" s="592"/>
      <c r="C349" s="592"/>
      <c r="D349" s="592"/>
      <c r="E349" s="592"/>
      <c r="F349" s="592"/>
      <c r="G349" s="592"/>
      <c r="H349" s="592"/>
      <c r="I349" s="592"/>
      <c r="J349" s="592"/>
    </row>
    <row r="350" customFormat="false" ht="12.75" hidden="false" customHeight="false" outlineLevel="0" collapsed="false">
      <c r="B350" s="592"/>
      <c r="C350" s="592"/>
      <c r="D350" s="592"/>
      <c r="E350" s="592"/>
      <c r="F350" s="592"/>
      <c r="G350" s="592"/>
      <c r="H350" s="592"/>
      <c r="I350" s="592"/>
      <c r="J350" s="592"/>
    </row>
    <row r="351" customFormat="false" ht="12.75" hidden="false" customHeight="false" outlineLevel="0" collapsed="false">
      <c r="B351" s="592"/>
      <c r="C351" s="592"/>
      <c r="D351" s="592"/>
      <c r="E351" s="592"/>
      <c r="F351" s="592"/>
      <c r="G351" s="592"/>
      <c r="H351" s="592"/>
      <c r="I351" s="592"/>
      <c r="J351" s="592"/>
    </row>
    <row r="352" customFormat="false" ht="12.75" hidden="false" customHeight="false" outlineLevel="0" collapsed="false">
      <c r="B352" s="592"/>
      <c r="C352" s="592"/>
      <c r="D352" s="592"/>
      <c r="E352" s="592"/>
      <c r="F352" s="592"/>
      <c r="G352" s="592"/>
      <c r="H352" s="592"/>
      <c r="I352" s="592"/>
      <c r="J352" s="592"/>
    </row>
    <row r="353" customFormat="false" ht="12.75" hidden="false" customHeight="false" outlineLevel="0" collapsed="false">
      <c r="B353" s="592"/>
      <c r="C353" s="592"/>
      <c r="D353" s="592"/>
      <c r="E353" s="592"/>
      <c r="F353" s="592"/>
      <c r="G353" s="592"/>
      <c r="H353" s="592"/>
      <c r="I353" s="592"/>
      <c r="J353" s="592"/>
    </row>
    <row r="354" customFormat="false" ht="12.75" hidden="false" customHeight="false" outlineLevel="0" collapsed="false">
      <c r="B354" s="592"/>
      <c r="C354" s="592"/>
      <c r="D354" s="592"/>
      <c r="E354" s="592"/>
      <c r="F354" s="592"/>
      <c r="G354" s="592"/>
      <c r="H354" s="592"/>
      <c r="I354" s="592"/>
      <c r="J354" s="592"/>
    </row>
    <row r="355" customFormat="false" ht="12.75" hidden="false" customHeight="false" outlineLevel="0" collapsed="false">
      <c r="B355" s="592"/>
      <c r="C355" s="592"/>
      <c r="D355" s="592"/>
      <c r="E355" s="592"/>
      <c r="F355" s="592"/>
      <c r="G355" s="592"/>
      <c r="H355" s="592"/>
      <c r="I355" s="592"/>
      <c r="J355" s="592"/>
    </row>
    <row r="356" customFormat="false" ht="12.75" hidden="false" customHeight="false" outlineLevel="0" collapsed="false">
      <c r="B356" s="592"/>
      <c r="C356" s="592"/>
      <c r="D356" s="592"/>
      <c r="E356" s="592"/>
      <c r="F356" s="592"/>
      <c r="G356" s="592"/>
      <c r="H356" s="592"/>
      <c r="I356" s="592"/>
      <c r="J356" s="592"/>
    </row>
    <row r="357" customFormat="false" ht="12.75" hidden="false" customHeight="false" outlineLevel="0" collapsed="false">
      <c r="B357" s="592"/>
      <c r="C357" s="592"/>
      <c r="D357" s="592"/>
      <c r="E357" s="592"/>
      <c r="F357" s="592"/>
      <c r="G357" s="592"/>
      <c r="H357" s="592"/>
      <c r="I357" s="592"/>
      <c r="J357" s="592"/>
    </row>
    <row r="358" customFormat="false" ht="12.75" hidden="false" customHeight="false" outlineLevel="0" collapsed="false">
      <c r="B358" s="592"/>
      <c r="C358" s="592"/>
      <c r="D358" s="592"/>
      <c r="E358" s="592"/>
      <c r="F358" s="592"/>
      <c r="G358" s="592"/>
      <c r="H358" s="592"/>
      <c r="I358" s="592"/>
      <c r="J358" s="592"/>
    </row>
    <row r="359" customFormat="false" ht="12.75" hidden="false" customHeight="false" outlineLevel="0" collapsed="false">
      <c r="B359" s="592"/>
      <c r="C359" s="592"/>
      <c r="D359" s="592"/>
      <c r="E359" s="592"/>
      <c r="F359" s="592"/>
      <c r="G359" s="592"/>
      <c r="H359" s="592"/>
      <c r="I359" s="592"/>
      <c r="J359" s="592"/>
    </row>
    <row r="360" customFormat="false" ht="12.75" hidden="false" customHeight="false" outlineLevel="0" collapsed="false">
      <c r="B360" s="592"/>
      <c r="C360" s="592"/>
      <c r="D360" s="592"/>
      <c r="E360" s="592"/>
      <c r="F360" s="592"/>
      <c r="G360" s="592"/>
      <c r="H360" s="592"/>
      <c r="I360" s="592"/>
      <c r="J360" s="592"/>
    </row>
    <row r="361" customFormat="false" ht="12.75" hidden="false" customHeight="false" outlineLevel="0" collapsed="false">
      <c r="B361" s="592"/>
      <c r="C361" s="592"/>
      <c r="D361" s="592"/>
      <c r="E361" s="592"/>
      <c r="F361" s="592"/>
      <c r="G361" s="592"/>
      <c r="H361" s="592"/>
      <c r="I361" s="592"/>
      <c r="J361" s="592"/>
    </row>
    <row r="362" customFormat="false" ht="12.75" hidden="false" customHeight="false" outlineLevel="0" collapsed="false">
      <c r="B362" s="592"/>
      <c r="C362" s="592"/>
      <c r="D362" s="592"/>
      <c r="E362" s="592"/>
      <c r="F362" s="592"/>
      <c r="G362" s="592"/>
      <c r="H362" s="592"/>
      <c r="I362" s="592"/>
      <c r="J362" s="592"/>
    </row>
    <row r="363" customFormat="false" ht="12.75" hidden="false" customHeight="false" outlineLevel="0" collapsed="false">
      <c r="B363" s="592"/>
      <c r="C363" s="592"/>
      <c r="D363" s="592"/>
      <c r="E363" s="592"/>
      <c r="F363" s="592"/>
      <c r="G363" s="592"/>
      <c r="H363" s="592"/>
      <c r="I363" s="592"/>
      <c r="J363" s="592"/>
    </row>
    <row r="364" customFormat="false" ht="12.75" hidden="false" customHeight="false" outlineLevel="0" collapsed="false">
      <c r="B364" s="592"/>
      <c r="C364" s="592"/>
      <c r="D364" s="592"/>
      <c r="E364" s="592"/>
      <c r="F364" s="592"/>
      <c r="G364" s="592"/>
      <c r="H364" s="592"/>
      <c r="I364" s="592"/>
      <c r="J364" s="592"/>
    </row>
    <row r="365" customFormat="false" ht="12.75" hidden="false" customHeight="false" outlineLevel="0" collapsed="false">
      <c r="B365" s="592"/>
      <c r="C365" s="592"/>
      <c r="D365" s="592"/>
      <c r="E365" s="592"/>
      <c r="F365" s="592"/>
      <c r="G365" s="592"/>
      <c r="H365" s="592"/>
      <c r="I365" s="592"/>
      <c r="J365" s="592"/>
    </row>
    <row r="366" customFormat="false" ht="12.75" hidden="false" customHeight="false" outlineLevel="0" collapsed="false">
      <c r="B366" s="592"/>
      <c r="C366" s="592"/>
      <c r="D366" s="592"/>
      <c r="E366" s="592"/>
      <c r="F366" s="592"/>
      <c r="G366" s="592"/>
      <c r="H366" s="592"/>
      <c r="I366" s="592"/>
      <c r="J366" s="592"/>
    </row>
    <row r="367" customFormat="false" ht="12.75" hidden="false" customHeight="false" outlineLevel="0" collapsed="false">
      <c r="B367" s="592"/>
      <c r="C367" s="592"/>
      <c r="D367" s="592"/>
      <c r="E367" s="592"/>
      <c r="F367" s="592"/>
      <c r="G367" s="592"/>
      <c r="H367" s="592"/>
      <c r="I367" s="592"/>
      <c r="J367" s="592"/>
    </row>
    <row r="368" customFormat="false" ht="12.75" hidden="false" customHeight="false" outlineLevel="0" collapsed="false">
      <c r="B368" s="592"/>
      <c r="C368" s="592"/>
      <c r="D368" s="592"/>
      <c r="E368" s="592"/>
      <c r="F368" s="592"/>
      <c r="G368" s="592"/>
      <c r="H368" s="592"/>
      <c r="I368" s="592"/>
      <c r="J368" s="592"/>
    </row>
    <row r="369" customFormat="false" ht="12.75" hidden="false" customHeight="false" outlineLevel="0" collapsed="false">
      <c r="B369" s="592"/>
      <c r="C369" s="592"/>
      <c r="D369" s="592"/>
      <c r="E369" s="592"/>
      <c r="F369" s="592"/>
      <c r="G369" s="592"/>
      <c r="H369" s="592"/>
      <c r="I369" s="592"/>
      <c r="J369" s="592"/>
    </row>
    <row r="370" customFormat="false" ht="12.75" hidden="false" customHeight="false" outlineLevel="0" collapsed="false">
      <c r="B370" s="592"/>
      <c r="C370" s="592"/>
      <c r="D370" s="592"/>
      <c r="E370" s="592"/>
      <c r="F370" s="592"/>
      <c r="G370" s="592"/>
      <c r="H370" s="592"/>
      <c r="I370" s="592"/>
      <c r="J370" s="592"/>
    </row>
    <row r="371" customFormat="false" ht="12.75" hidden="false" customHeight="false" outlineLevel="0" collapsed="false">
      <c r="B371" s="592"/>
      <c r="C371" s="592"/>
      <c r="D371" s="592"/>
      <c r="E371" s="592"/>
      <c r="F371" s="592"/>
      <c r="G371" s="592"/>
      <c r="H371" s="592"/>
      <c r="I371" s="592"/>
      <c r="J371" s="592"/>
    </row>
    <row r="372" customFormat="false" ht="12.75" hidden="false" customHeight="false" outlineLevel="0" collapsed="false">
      <c r="B372" s="592"/>
      <c r="C372" s="592"/>
      <c r="D372" s="592"/>
      <c r="E372" s="592"/>
      <c r="F372" s="592"/>
      <c r="G372" s="592"/>
      <c r="H372" s="592"/>
      <c r="I372" s="592"/>
      <c r="J372" s="592"/>
    </row>
    <row r="373" customFormat="false" ht="12.75" hidden="false" customHeight="false" outlineLevel="0" collapsed="false">
      <c r="B373" s="592"/>
      <c r="C373" s="592"/>
      <c r="D373" s="592"/>
      <c r="E373" s="592"/>
      <c r="F373" s="592"/>
      <c r="G373" s="592"/>
      <c r="H373" s="592"/>
      <c r="I373" s="592"/>
      <c r="J373" s="592"/>
    </row>
    <row r="374" customFormat="false" ht="12.75" hidden="false" customHeight="false" outlineLevel="0" collapsed="false">
      <c r="B374" s="592"/>
      <c r="C374" s="592"/>
      <c r="D374" s="592"/>
      <c r="E374" s="592"/>
      <c r="F374" s="592"/>
      <c r="G374" s="592"/>
      <c r="H374" s="592"/>
      <c r="I374" s="592"/>
      <c r="J374" s="592"/>
    </row>
    <row r="375" customFormat="false" ht="12.75" hidden="false" customHeight="false" outlineLevel="0" collapsed="false">
      <c r="B375" s="592"/>
      <c r="C375" s="592"/>
      <c r="D375" s="592"/>
      <c r="E375" s="592"/>
      <c r="F375" s="592"/>
      <c r="G375" s="592"/>
      <c r="H375" s="592"/>
      <c r="I375" s="592"/>
      <c r="J375" s="592"/>
    </row>
    <row r="376" customFormat="false" ht="12.75" hidden="false" customHeight="false" outlineLevel="0" collapsed="false">
      <c r="B376" s="592"/>
      <c r="C376" s="592"/>
      <c r="D376" s="592"/>
      <c r="E376" s="592"/>
      <c r="F376" s="592"/>
      <c r="G376" s="592"/>
      <c r="H376" s="592"/>
      <c r="I376" s="592"/>
      <c r="J376" s="592"/>
    </row>
    <row r="377" customFormat="false" ht="12.75" hidden="false" customHeight="false" outlineLevel="0" collapsed="false">
      <c r="B377" s="592"/>
      <c r="C377" s="592"/>
      <c r="D377" s="592"/>
      <c r="E377" s="592"/>
      <c r="F377" s="592"/>
      <c r="G377" s="592"/>
      <c r="H377" s="592"/>
      <c r="I377" s="592"/>
      <c r="J377" s="592"/>
    </row>
    <row r="378" customFormat="false" ht="12.75" hidden="false" customHeight="false" outlineLevel="0" collapsed="false">
      <c r="B378" s="592"/>
      <c r="C378" s="592"/>
      <c r="D378" s="592"/>
      <c r="E378" s="592"/>
      <c r="F378" s="592"/>
      <c r="G378" s="592"/>
      <c r="H378" s="592"/>
      <c r="I378" s="592"/>
      <c r="J378" s="592"/>
    </row>
    <row r="379" customFormat="false" ht="12.75" hidden="false" customHeight="false" outlineLevel="0" collapsed="false">
      <c r="B379" s="592"/>
      <c r="C379" s="592"/>
      <c r="D379" s="592"/>
      <c r="E379" s="592"/>
      <c r="F379" s="592"/>
      <c r="G379" s="592"/>
      <c r="H379" s="592"/>
      <c r="I379" s="592"/>
      <c r="J379" s="592"/>
    </row>
    <row r="380" customFormat="false" ht="12.75" hidden="false" customHeight="false" outlineLevel="0" collapsed="false">
      <c r="B380" s="592"/>
      <c r="C380" s="592"/>
      <c r="D380" s="592"/>
      <c r="E380" s="592"/>
      <c r="F380" s="592"/>
      <c r="G380" s="592"/>
      <c r="H380" s="592"/>
      <c r="I380" s="592"/>
      <c r="J380" s="592"/>
    </row>
    <row r="381" customFormat="false" ht="12.75" hidden="false" customHeight="false" outlineLevel="0" collapsed="false">
      <c r="B381" s="592"/>
      <c r="C381" s="592"/>
      <c r="D381" s="592"/>
      <c r="E381" s="592"/>
      <c r="F381" s="592"/>
      <c r="G381" s="592"/>
      <c r="H381" s="592"/>
      <c r="I381" s="592"/>
      <c r="J381" s="592"/>
    </row>
    <row r="382" customFormat="false" ht="12.75" hidden="false" customHeight="false" outlineLevel="0" collapsed="false">
      <c r="B382" s="592"/>
      <c r="C382" s="592"/>
      <c r="D382" s="592"/>
      <c r="E382" s="592"/>
      <c r="F382" s="592"/>
      <c r="G382" s="592"/>
      <c r="H382" s="592"/>
      <c r="I382" s="592"/>
      <c r="J382" s="592"/>
    </row>
    <row r="383" customFormat="false" ht="12.75" hidden="false" customHeight="false" outlineLevel="0" collapsed="false">
      <c r="B383" s="592"/>
      <c r="C383" s="592"/>
      <c r="D383" s="592"/>
      <c r="E383" s="592"/>
      <c r="F383" s="592"/>
      <c r="G383" s="592"/>
      <c r="H383" s="592"/>
      <c r="I383" s="592"/>
      <c r="J383" s="592"/>
    </row>
    <row r="384" customFormat="false" ht="12.75" hidden="false" customHeight="false" outlineLevel="0" collapsed="false">
      <c r="B384" s="592"/>
      <c r="C384" s="592"/>
      <c r="D384" s="592"/>
      <c r="E384" s="592"/>
      <c r="F384" s="592"/>
      <c r="G384" s="592"/>
      <c r="H384" s="592"/>
      <c r="I384" s="592"/>
      <c r="J384" s="592"/>
    </row>
    <row r="385" customFormat="false" ht="12.75" hidden="false" customHeight="false" outlineLevel="0" collapsed="false">
      <c r="B385" s="592"/>
      <c r="C385" s="592"/>
      <c r="D385" s="592"/>
      <c r="E385" s="592"/>
      <c r="F385" s="592"/>
      <c r="G385" s="592"/>
      <c r="H385" s="592"/>
      <c r="I385" s="592"/>
      <c r="J385" s="592"/>
    </row>
    <row r="386" customFormat="false" ht="12.75" hidden="false" customHeight="false" outlineLevel="0" collapsed="false">
      <c r="B386" s="592"/>
      <c r="C386" s="592"/>
      <c r="D386" s="592"/>
      <c r="E386" s="592"/>
      <c r="F386" s="592"/>
      <c r="G386" s="592"/>
      <c r="H386" s="592"/>
      <c r="I386" s="592"/>
      <c r="J386" s="592"/>
    </row>
    <row r="387" customFormat="false" ht="12.75" hidden="false" customHeight="false" outlineLevel="0" collapsed="false">
      <c r="B387" s="592"/>
      <c r="C387" s="592"/>
      <c r="D387" s="592"/>
      <c r="E387" s="592"/>
      <c r="F387" s="592"/>
      <c r="G387" s="592"/>
      <c r="H387" s="592"/>
      <c r="I387" s="592"/>
      <c r="J387" s="592"/>
    </row>
    <row r="388" customFormat="false" ht="12.75" hidden="false" customHeight="false" outlineLevel="0" collapsed="false">
      <c r="B388" s="592"/>
      <c r="C388" s="592"/>
      <c r="D388" s="592"/>
      <c r="E388" s="592"/>
      <c r="F388" s="592"/>
      <c r="G388" s="592"/>
      <c r="H388" s="592"/>
      <c r="I388" s="592"/>
      <c r="J388" s="592"/>
    </row>
    <row r="389" customFormat="false" ht="12.75" hidden="false" customHeight="false" outlineLevel="0" collapsed="false">
      <c r="B389" s="592"/>
      <c r="C389" s="592"/>
      <c r="D389" s="592"/>
      <c r="E389" s="592"/>
      <c r="F389" s="592"/>
      <c r="G389" s="592"/>
      <c r="H389" s="592"/>
      <c r="I389" s="592"/>
      <c r="J389" s="592"/>
    </row>
    <row r="390" customFormat="false" ht="12.75" hidden="false" customHeight="false" outlineLevel="0" collapsed="false">
      <c r="B390" s="592"/>
      <c r="C390" s="592"/>
      <c r="D390" s="592"/>
      <c r="E390" s="592"/>
      <c r="F390" s="592"/>
      <c r="G390" s="592"/>
      <c r="H390" s="592"/>
      <c r="I390" s="592"/>
      <c r="J390" s="592"/>
    </row>
    <row r="391" customFormat="false" ht="12.75" hidden="false" customHeight="false" outlineLevel="0" collapsed="false">
      <c r="B391" s="592"/>
      <c r="C391" s="592"/>
      <c r="D391" s="592"/>
      <c r="E391" s="592"/>
      <c r="F391" s="592"/>
      <c r="G391" s="592"/>
      <c r="H391" s="592"/>
      <c r="I391" s="592"/>
      <c r="J391" s="592"/>
    </row>
    <row r="392" customFormat="false" ht="12.75" hidden="false" customHeight="false" outlineLevel="0" collapsed="false">
      <c r="B392" s="592"/>
      <c r="C392" s="592"/>
      <c r="D392" s="592"/>
      <c r="E392" s="592"/>
      <c r="F392" s="592"/>
      <c r="G392" s="592"/>
      <c r="H392" s="592"/>
      <c r="I392" s="592"/>
      <c r="J392" s="592"/>
    </row>
    <row r="393" customFormat="false" ht="12.75" hidden="false" customHeight="false" outlineLevel="0" collapsed="false">
      <c r="B393" s="592"/>
      <c r="C393" s="592"/>
      <c r="D393" s="592"/>
      <c r="E393" s="592"/>
      <c r="F393" s="592"/>
      <c r="G393" s="592"/>
      <c r="H393" s="592"/>
      <c r="I393" s="592"/>
      <c r="J393" s="592"/>
    </row>
    <row r="394" customFormat="false" ht="12.75" hidden="false" customHeight="false" outlineLevel="0" collapsed="false">
      <c r="B394" s="592"/>
      <c r="C394" s="592"/>
      <c r="D394" s="592"/>
      <c r="E394" s="592"/>
      <c r="F394" s="592"/>
      <c r="G394" s="592"/>
      <c r="H394" s="592"/>
      <c r="I394" s="592"/>
      <c r="J394" s="592"/>
    </row>
    <row r="395" customFormat="false" ht="12.75" hidden="false" customHeight="false" outlineLevel="0" collapsed="false">
      <c r="B395" s="592"/>
      <c r="C395" s="592"/>
      <c r="D395" s="592"/>
      <c r="E395" s="592"/>
      <c r="F395" s="592"/>
      <c r="G395" s="592"/>
      <c r="H395" s="592"/>
      <c r="I395" s="592"/>
      <c r="J395" s="592"/>
    </row>
    <row r="396" customFormat="false" ht="12.75" hidden="false" customHeight="false" outlineLevel="0" collapsed="false">
      <c r="B396" s="592"/>
      <c r="C396" s="592"/>
      <c r="D396" s="592"/>
      <c r="E396" s="592"/>
      <c r="F396" s="592"/>
      <c r="G396" s="592"/>
      <c r="H396" s="592"/>
      <c r="I396" s="592"/>
      <c r="J396" s="592"/>
    </row>
    <row r="397" customFormat="false" ht="12.75" hidden="false" customHeight="false" outlineLevel="0" collapsed="false">
      <c r="B397" s="592"/>
      <c r="C397" s="592"/>
      <c r="D397" s="592"/>
      <c r="E397" s="592"/>
      <c r="F397" s="592"/>
      <c r="G397" s="592"/>
      <c r="H397" s="592"/>
      <c r="I397" s="592"/>
      <c r="J397" s="592"/>
    </row>
    <row r="398" customFormat="false" ht="12.75" hidden="false" customHeight="false" outlineLevel="0" collapsed="false">
      <c r="B398" s="592"/>
      <c r="C398" s="592"/>
      <c r="D398" s="592"/>
      <c r="E398" s="592"/>
      <c r="F398" s="592"/>
      <c r="G398" s="592"/>
      <c r="H398" s="592"/>
      <c r="I398" s="592"/>
      <c r="J398" s="592"/>
    </row>
    <row r="399" customFormat="false" ht="12.75" hidden="false" customHeight="false" outlineLevel="0" collapsed="false">
      <c r="B399" s="592"/>
      <c r="C399" s="592"/>
      <c r="D399" s="592"/>
      <c r="E399" s="592"/>
      <c r="F399" s="592"/>
      <c r="G399" s="592"/>
      <c r="H399" s="592"/>
      <c r="I399" s="592"/>
      <c r="J399" s="592"/>
    </row>
    <row r="400" customFormat="false" ht="12.75" hidden="false" customHeight="false" outlineLevel="0" collapsed="false">
      <c r="B400" s="592"/>
      <c r="C400" s="592"/>
      <c r="D400" s="592"/>
      <c r="E400" s="592"/>
      <c r="F400" s="592"/>
      <c r="G400" s="592"/>
      <c r="H400" s="592"/>
      <c r="I400" s="592"/>
      <c r="J400" s="592"/>
    </row>
    <row r="401" customFormat="false" ht="12.75" hidden="false" customHeight="false" outlineLevel="0" collapsed="false">
      <c r="B401" s="592"/>
      <c r="C401" s="592"/>
      <c r="D401" s="592"/>
      <c r="E401" s="592"/>
      <c r="F401" s="592"/>
      <c r="G401" s="592"/>
      <c r="H401" s="592"/>
      <c r="I401" s="592"/>
      <c r="J401" s="592"/>
    </row>
    <row r="402" customFormat="false" ht="12.75" hidden="false" customHeight="false" outlineLevel="0" collapsed="false">
      <c r="B402" s="592"/>
      <c r="C402" s="592"/>
      <c r="D402" s="592"/>
      <c r="E402" s="592"/>
      <c r="F402" s="592"/>
      <c r="G402" s="592"/>
      <c r="H402" s="592"/>
      <c r="I402" s="592"/>
      <c r="J402" s="592"/>
    </row>
    <row r="403" customFormat="false" ht="12.75" hidden="false" customHeight="false" outlineLevel="0" collapsed="false">
      <c r="B403" s="592"/>
      <c r="C403" s="592"/>
      <c r="D403" s="592"/>
      <c r="E403" s="592"/>
      <c r="F403" s="592"/>
      <c r="G403" s="592"/>
      <c r="H403" s="592"/>
      <c r="I403" s="592"/>
      <c r="J403" s="592"/>
    </row>
    <row r="404" customFormat="false" ht="12.75" hidden="false" customHeight="false" outlineLevel="0" collapsed="false">
      <c r="B404" s="592"/>
      <c r="C404" s="592"/>
      <c r="D404" s="592"/>
      <c r="E404" s="592"/>
      <c r="F404" s="592"/>
      <c r="G404" s="592"/>
      <c r="H404" s="592"/>
      <c r="I404" s="592"/>
      <c r="J404" s="592"/>
    </row>
    <row r="405" customFormat="false" ht="12.75" hidden="false" customHeight="false" outlineLevel="0" collapsed="false">
      <c r="B405" s="592"/>
      <c r="C405" s="592"/>
      <c r="D405" s="592"/>
      <c r="E405" s="592"/>
      <c r="F405" s="592"/>
      <c r="G405" s="592"/>
      <c r="H405" s="592"/>
      <c r="I405" s="592"/>
      <c r="J405" s="592"/>
    </row>
    <row r="406" customFormat="false" ht="12.75" hidden="false" customHeight="false" outlineLevel="0" collapsed="false">
      <c r="B406" s="592"/>
      <c r="C406" s="592"/>
      <c r="D406" s="592"/>
      <c r="E406" s="592"/>
      <c r="F406" s="592"/>
      <c r="G406" s="592"/>
      <c r="H406" s="592"/>
      <c r="I406" s="592"/>
      <c r="J406" s="592"/>
    </row>
    <row r="407" customFormat="false" ht="12.75" hidden="false" customHeight="false" outlineLevel="0" collapsed="false">
      <c r="B407" s="592"/>
      <c r="C407" s="592"/>
      <c r="D407" s="592"/>
      <c r="E407" s="592"/>
      <c r="F407" s="592"/>
      <c r="G407" s="592"/>
      <c r="H407" s="592"/>
      <c r="I407" s="592"/>
      <c r="J407" s="592"/>
    </row>
    <row r="408" customFormat="false" ht="12.75" hidden="false" customHeight="false" outlineLevel="0" collapsed="false">
      <c r="B408" s="592"/>
      <c r="C408" s="592"/>
      <c r="D408" s="592"/>
      <c r="E408" s="592"/>
      <c r="F408" s="592"/>
      <c r="G408" s="592"/>
      <c r="H408" s="592"/>
      <c r="I408" s="592"/>
      <c r="J408" s="592"/>
    </row>
    <row r="409" customFormat="false" ht="12.75" hidden="false" customHeight="false" outlineLevel="0" collapsed="false">
      <c r="B409" s="592"/>
      <c r="C409" s="592"/>
      <c r="D409" s="592"/>
      <c r="E409" s="592"/>
      <c r="F409" s="592"/>
      <c r="G409" s="592"/>
      <c r="H409" s="592"/>
      <c r="I409" s="592"/>
      <c r="J409" s="592"/>
    </row>
    <row r="410" customFormat="false" ht="12.75" hidden="false" customHeight="false" outlineLevel="0" collapsed="false">
      <c r="B410" s="592"/>
      <c r="C410" s="592"/>
      <c r="D410" s="592"/>
      <c r="E410" s="592"/>
      <c r="F410" s="592"/>
      <c r="G410" s="592"/>
      <c r="H410" s="592"/>
      <c r="I410" s="592"/>
      <c r="J410" s="592"/>
    </row>
    <row r="411" customFormat="false" ht="12.75" hidden="false" customHeight="false" outlineLevel="0" collapsed="false">
      <c r="B411" s="592"/>
      <c r="C411" s="592"/>
      <c r="D411" s="592"/>
      <c r="E411" s="592"/>
      <c r="F411" s="592"/>
      <c r="G411" s="592"/>
      <c r="H411" s="592"/>
      <c r="I411" s="592"/>
      <c r="J411" s="592"/>
    </row>
    <row r="412" customFormat="false" ht="12.75" hidden="false" customHeight="false" outlineLevel="0" collapsed="false">
      <c r="B412" s="592"/>
      <c r="C412" s="592"/>
      <c r="D412" s="592"/>
      <c r="E412" s="592"/>
      <c r="F412" s="592"/>
      <c r="G412" s="592"/>
      <c r="H412" s="592"/>
      <c r="I412" s="592"/>
      <c r="J412" s="592"/>
    </row>
    <row r="413" customFormat="false" ht="12.75" hidden="false" customHeight="false" outlineLevel="0" collapsed="false">
      <c r="B413" s="592"/>
      <c r="C413" s="592"/>
      <c r="D413" s="592"/>
      <c r="E413" s="592"/>
      <c r="F413" s="592"/>
      <c r="G413" s="592"/>
      <c r="H413" s="592"/>
      <c r="I413" s="592"/>
      <c r="J413" s="592"/>
    </row>
    <row r="414" customFormat="false" ht="12.75" hidden="false" customHeight="false" outlineLevel="0" collapsed="false">
      <c r="B414" s="592"/>
      <c r="C414" s="592"/>
      <c r="D414" s="592"/>
      <c r="E414" s="592"/>
      <c r="F414" s="592"/>
      <c r="G414" s="592"/>
      <c r="H414" s="592"/>
      <c r="I414" s="592"/>
      <c r="J414" s="592"/>
    </row>
    <row r="415" customFormat="false" ht="12.75" hidden="false" customHeight="false" outlineLevel="0" collapsed="false">
      <c r="B415" s="592"/>
      <c r="C415" s="592"/>
      <c r="D415" s="592"/>
      <c r="E415" s="592"/>
      <c r="F415" s="592"/>
      <c r="G415" s="592"/>
      <c r="H415" s="592"/>
      <c r="I415" s="592"/>
      <c r="J415" s="592"/>
    </row>
    <row r="416" customFormat="false" ht="12.75" hidden="false" customHeight="false" outlineLevel="0" collapsed="false">
      <c r="B416" s="592"/>
      <c r="C416" s="592"/>
      <c r="D416" s="592"/>
      <c r="E416" s="592"/>
      <c r="F416" s="592"/>
      <c r="G416" s="592"/>
      <c r="H416" s="592"/>
      <c r="I416" s="592"/>
      <c r="J416" s="592"/>
    </row>
    <row r="417" customFormat="false" ht="12.75" hidden="false" customHeight="false" outlineLevel="0" collapsed="false">
      <c r="B417" s="592"/>
      <c r="C417" s="592"/>
      <c r="D417" s="592"/>
      <c r="E417" s="592"/>
      <c r="F417" s="592"/>
      <c r="G417" s="592"/>
      <c r="H417" s="592"/>
      <c r="I417" s="592"/>
      <c r="J417" s="592"/>
    </row>
    <row r="418" customFormat="false" ht="12.75" hidden="false" customHeight="false" outlineLevel="0" collapsed="false">
      <c r="B418" s="592"/>
      <c r="C418" s="592"/>
      <c r="D418" s="592"/>
      <c r="E418" s="592"/>
      <c r="F418" s="592"/>
      <c r="G418" s="592"/>
      <c r="H418" s="592"/>
      <c r="I418" s="592"/>
      <c r="J418" s="592"/>
    </row>
    <row r="419" customFormat="false" ht="12.75" hidden="false" customHeight="false" outlineLevel="0" collapsed="false">
      <c r="B419" s="592"/>
      <c r="C419" s="592"/>
      <c r="D419" s="592"/>
      <c r="E419" s="592"/>
      <c r="F419" s="592"/>
      <c r="G419" s="592"/>
      <c r="H419" s="592"/>
      <c r="I419" s="592"/>
      <c r="J419" s="592"/>
    </row>
    <row r="420" customFormat="false" ht="12.75" hidden="false" customHeight="false" outlineLevel="0" collapsed="false">
      <c r="B420" s="592"/>
      <c r="C420" s="592"/>
      <c r="D420" s="592"/>
      <c r="E420" s="592"/>
      <c r="F420" s="592"/>
      <c r="G420" s="592"/>
      <c r="H420" s="592"/>
      <c r="I420" s="592"/>
      <c r="J420" s="592"/>
    </row>
    <row r="421" customFormat="false" ht="12.75" hidden="false" customHeight="false" outlineLevel="0" collapsed="false">
      <c r="B421" s="592"/>
      <c r="C421" s="592"/>
      <c r="D421" s="592"/>
      <c r="E421" s="592"/>
      <c r="F421" s="592"/>
      <c r="G421" s="592"/>
      <c r="H421" s="592"/>
      <c r="I421" s="592"/>
      <c r="J421" s="592"/>
    </row>
    <row r="422" customFormat="false" ht="12.75" hidden="false" customHeight="false" outlineLevel="0" collapsed="false">
      <c r="B422" s="592"/>
      <c r="C422" s="592"/>
      <c r="D422" s="592"/>
      <c r="E422" s="592"/>
      <c r="F422" s="592"/>
      <c r="G422" s="592"/>
      <c r="H422" s="592"/>
      <c r="I422" s="592"/>
      <c r="J422" s="592"/>
    </row>
    <row r="423" customFormat="false" ht="12.75" hidden="false" customHeight="false" outlineLevel="0" collapsed="false">
      <c r="B423" s="592"/>
      <c r="C423" s="592"/>
      <c r="D423" s="592"/>
      <c r="E423" s="592"/>
      <c r="F423" s="592"/>
      <c r="G423" s="592"/>
      <c r="H423" s="592"/>
      <c r="I423" s="592"/>
      <c r="J423" s="592"/>
    </row>
    <row r="424" customFormat="false" ht="12.75" hidden="false" customHeight="false" outlineLevel="0" collapsed="false">
      <c r="B424" s="592"/>
      <c r="C424" s="592"/>
      <c r="D424" s="592"/>
      <c r="E424" s="592"/>
      <c r="F424" s="592"/>
      <c r="G424" s="592"/>
      <c r="H424" s="592"/>
      <c r="I424" s="592"/>
      <c r="J424" s="592"/>
    </row>
    <row r="425" customFormat="false" ht="12.75" hidden="false" customHeight="false" outlineLevel="0" collapsed="false">
      <c r="B425" s="592"/>
      <c r="C425" s="592"/>
      <c r="D425" s="592"/>
      <c r="E425" s="592"/>
      <c r="F425" s="592"/>
      <c r="G425" s="592"/>
      <c r="H425" s="592"/>
      <c r="I425" s="592"/>
      <c r="J425" s="592"/>
    </row>
    <row r="426" customFormat="false" ht="12.75" hidden="false" customHeight="false" outlineLevel="0" collapsed="false">
      <c r="B426" s="592"/>
      <c r="C426" s="592"/>
      <c r="D426" s="592"/>
      <c r="E426" s="592"/>
      <c r="F426" s="592"/>
      <c r="G426" s="592"/>
      <c r="H426" s="592"/>
      <c r="I426" s="592"/>
      <c r="J426" s="592"/>
    </row>
    <row r="427" customFormat="false" ht="12.75" hidden="false" customHeight="false" outlineLevel="0" collapsed="false">
      <c r="B427" s="592"/>
      <c r="C427" s="592"/>
      <c r="D427" s="592"/>
      <c r="E427" s="592"/>
      <c r="F427" s="592"/>
      <c r="G427" s="592"/>
      <c r="H427" s="592"/>
      <c r="I427" s="592"/>
      <c r="J427" s="592"/>
    </row>
    <row r="428" customFormat="false" ht="12.75" hidden="false" customHeight="false" outlineLevel="0" collapsed="false">
      <c r="B428" s="592"/>
      <c r="C428" s="592"/>
      <c r="D428" s="592"/>
      <c r="E428" s="592"/>
      <c r="F428" s="592"/>
      <c r="G428" s="592"/>
      <c r="H428" s="592"/>
      <c r="I428" s="592"/>
      <c r="J428" s="592"/>
    </row>
    <row r="429" customFormat="false" ht="12.75" hidden="false" customHeight="false" outlineLevel="0" collapsed="false">
      <c r="B429" s="592"/>
      <c r="C429" s="592"/>
      <c r="D429" s="592"/>
      <c r="E429" s="592"/>
      <c r="F429" s="592"/>
      <c r="G429" s="592"/>
      <c r="H429" s="592"/>
      <c r="I429" s="592"/>
      <c r="J429" s="592"/>
    </row>
    <row r="430" customFormat="false" ht="12.75" hidden="false" customHeight="false" outlineLevel="0" collapsed="false">
      <c r="B430" s="592"/>
      <c r="C430" s="592"/>
      <c r="D430" s="592"/>
      <c r="E430" s="592"/>
      <c r="F430" s="592"/>
      <c r="G430" s="592"/>
      <c r="H430" s="592"/>
      <c r="I430" s="592"/>
      <c r="J430" s="592"/>
    </row>
    <row r="431" customFormat="false" ht="12.75" hidden="false" customHeight="false" outlineLevel="0" collapsed="false">
      <c r="B431" s="592"/>
      <c r="C431" s="592"/>
      <c r="D431" s="592"/>
      <c r="E431" s="592"/>
      <c r="F431" s="592"/>
      <c r="G431" s="592"/>
      <c r="H431" s="592"/>
      <c r="I431" s="592"/>
      <c r="J431" s="592"/>
    </row>
    <row r="432" customFormat="false" ht="12.75" hidden="false" customHeight="false" outlineLevel="0" collapsed="false">
      <c r="B432" s="592"/>
      <c r="C432" s="592"/>
      <c r="D432" s="592"/>
      <c r="E432" s="592"/>
      <c r="F432" s="592"/>
      <c r="G432" s="592"/>
      <c r="H432" s="592"/>
      <c r="I432" s="592"/>
      <c r="J432" s="592"/>
    </row>
    <row r="433" customFormat="false" ht="12.75" hidden="false" customHeight="false" outlineLevel="0" collapsed="false">
      <c r="B433" s="592"/>
      <c r="C433" s="592"/>
      <c r="D433" s="592"/>
      <c r="E433" s="592"/>
      <c r="F433" s="592"/>
      <c r="G433" s="592"/>
      <c r="H433" s="592"/>
      <c r="I433" s="592"/>
      <c r="J433" s="592"/>
    </row>
    <row r="434" customFormat="false" ht="12.75" hidden="false" customHeight="false" outlineLevel="0" collapsed="false">
      <c r="B434" s="592"/>
      <c r="C434" s="592"/>
      <c r="D434" s="592"/>
      <c r="E434" s="592"/>
      <c r="F434" s="592"/>
      <c r="G434" s="592"/>
      <c r="H434" s="592"/>
      <c r="I434" s="592"/>
      <c r="J434" s="592"/>
    </row>
    <row r="435" customFormat="false" ht="12.75" hidden="false" customHeight="false" outlineLevel="0" collapsed="false">
      <c r="B435" s="592"/>
      <c r="C435" s="592"/>
      <c r="D435" s="592"/>
      <c r="E435" s="592"/>
      <c r="F435" s="592"/>
      <c r="G435" s="592"/>
      <c r="H435" s="592"/>
      <c r="I435" s="592"/>
      <c r="J435" s="592"/>
    </row>
    <row r="436" customFormat="false" ht="12.75" hidden="false" customHeight="false" outlineLevel="0" collapsed="false">
      <c r="B436" s="592"/>
      <c r="C436" s="592"/>
      <c r="D436" s="592"/>
      <c r="E436" s="592"/>
      <c r="F436" s="592"/>
      <c r="G436" s="592"/>
      <c r="H436" s="592"/>
      <c r="I436" s="592"/>
      <c r="J436" s="592"/>
    </row>
    <row r="437" customFormat="false" ht="12.75" hidden="false" customHeight="false" outlineLevel="0" collapsed="false">
      <c r="B437" s="592"/>
      <c r="C437" s="592"/>
      <c r="D437" s="592"/>
      <c r="E437" s="592"/>
      <c r="F437" s="592"/>
      <c r="G437" s="592"/>
      <c r="H437" s="592"/>
      <c r="I437" s="592"/>
      <c r="J437" s="592"/>
    </row>
    <row r="438" customFormat="false" ht="12.75" hidden="false" customHeight="false" outlineLevel="0" collapsed="false">
      <c r="B438" s="592"/>
      <c r="C438" s="592"/>
      <c r="D438" s="592"/>
      <c r="E438" s="592"/>
      <c r="F438" s="592"/>
      <c r="G438" s="592"/>
      <c r="H438" s="592"/>
      <c r="I438" s="592"/>
      <c r="J438" s="592"/>
    </row>
    <row r="439" customFormat="false" ht="12.75" hidden="false" customHeight="false" outlineLevel="0" collapsed="false">
      <c r="B439" s="592"/>
      <c r="C439" s="592"/>
      <c r="D439" s="592"/>
      <c r="E439" s="592"/>
      <c r="F439" s="592"/>
      <c r="G439" s="592"/>
      <c r="H439" s="592"/>
      <c r="I439" s="592"/>
      <c r="J439" s="592"/>
    </row>
    <row r="440" customFormat="false" ht="12.75" hidden="false" customHeight="false" outlineLevel="0" collapsed="false">
      <c r="B440" s="592"/>
      <c r="C440" s="592"/>
      <c r="D440" s="592"/>
      <c r="E440" s="592"/>
      <c r="F440" s="592"/>
      <c r="G440" s="592"/>
      <c r="H440" s="592"/>
      <c r="I440" s="592"/>
      <c r="J440" s="592"/>
    </row>
    <row r="441" customFormat="false" ht="12.75" hidden="false" customHeight="false" outlineLevel="0" collapsed="false">
      <c r="B441" s="592"/>
      <c r="C441" s="592"/>
      <c r="D441" s="592"/>
      <c r="E441" s="592"/>
      <c r="F441" s="592"/>
      <c r="G441" s="592"/>
      <c r="H441" s="592"/>
      <c r="I441" s="592"/>
      <c r="J441" s="592"/>
    </row>
    <row r="442" customFormat="false" ht="12.75" hidden="false" customHeight="false" outlineLevel="0" collapsed="false">
      <c r="B442" s="592"/>
      <c r="C442" s="592"/>
      <c r="D442" s="592"/>
      <c r="E442" s="592"/>
      <c r="F442" s="592"/>
      <c r="G442" s="592"/>
      <c r="H442" s="592"/>
      <c r="I442" s="592"/>
      <c r="J442" s="592"/>
    </row>
    <row r="443" customFormat="false" ht="12.75" hidden="false" customHeight="false" outlineLevel="0" collapsed="false">
      <c r="B443" s="592"/>
      <c r="C443" s="592"/>
      <c r="D443" s="592"/>
      <c r="E443" s="592"/>
      <c r="F443" s="592"/>
      <c r="G443" s="592"/>
      <c r="H443" s="592"/>
      <c r="I443" s="592"/>
      <c r="J443" s="592"/>
    </row>
    <row r="444" customFormat="false" ht="12.75" hidden="false" customHeight="false" outlineLevel="0" collapsed="false">
      <c r="B444" s="592"/>
      <c r="C444" s="592"/>
      <c r="D444" s="592"/>
      <c r="E444" s="592"/>
      <c r="F444" s="592"/>
      <c r="G444" s="592"/>
      <c r="H444" s="592"/>
      <c r="I444" s="592"/>
      <c r="J444" s="592"/>
    </row>
    <row r="445" customFormat="false" ht="12.75" hidden="false" customHeight="false" outlineLevel="0" collapsed="false">
      <c r="B445" s="592"/>
      <c r="C445" s="592"/>
      <c r="D445" s="592"/>
      <c r="E445" s="592"/>
      <c r="F445" s="592"/>
      <c r="G445" s="592"/>
      <c r="H445" s="592"/>
      <c r="I445" s="592"/>
      <c r="J445" s="592"/>
    </row>
    <row r="446" customFormat="false" ht="12.75" hidden="false" customHeight="false" outlineLevel="0" collapsed="false">
      <c r="B446" s="592"/>
      <c r="C446" s="592"/>
      <c r="D446" s="592"/>
      <c r="E446" s="592"/>
      <c r="F446" s="592"/>
      <c r="G446" s="592"/>
      <c r="H446" s="592"/>
      <c r="I446" s="592"/>
      <c r="J446" s="592"/>
    </row>
    <row r="447" customFormat="false" ht="12.75" hidden="false" customHeight="false" outlineLevel="0" collapsed="false">
      <c r="B447" s="592"/>
      <c r="C447" s="592"/>
      <c r="D447" s="592"/>
      <c r="E447" s="592"/>
      <c r="F447" s="592"/>
      <c r="G447" s="592"/>
      <c r="H447" s="592"/>
      <c r="I447" s="592"/>
      <c r="J447" s="592"/>
    </row>
    <row r="448" customFormat="false" ht="12.75" hidden="false" customHeight="false" outlineLevel="0" collapsed="false">
      <c r="B448" s="592"/>
      <c r="C448" s="592"/>
      <c r="D448" s="592"/>
      <c r="E448" s="592"/>
      <c r="F448" s="592"/>
      <c r="G448" s="592"/>
      <c r="H448" s="592"/>
      <c r="I448" s="592"/>
      <c r="J448" s="592"/>
    </row>
    <row r="449" customFormat="false" ht="12.75" hidden="false" customHeight="false" outlineLevel="0" collapsed="false">
      <c r="B449" s="592"/>
      <c r="C449" s="592"/>
      <c r="D449" s="592"/>
      <c r="E449" s="592"/>
      <c r="F449" s="592"/>
      <c r="G449" s="592"/>
      <c r="H449" s="592"/>
      <c r="I449" s="592"/>
      <c r="J449" s="592"/>
    </row>
    <row r="450" customFormat="false" ht="12.75" hidden="false" customHeight="false" outlineLevel="0" collapsed="false">
      <c r="B450" s="592"/>
      <c r="C450" s="592"/>
      <c r="D450" s="592"/>
      <c r="E450" s="592"/>
      <c r="F450" s="592"/>
      <c r="G450" s="592"/>
      <c r="H450" s="592"/>
      <c r="I450" s="592"/>
      <c r="J450" s="592"/>
    </row>
    <row r="451" customFormat="false" ht="12.75" hidden="false" customHeight="false" outlineLevel="0" collapsed="false">
      <c r="B451" s="592"/>
      <c r="C451" s="592"/>
      <c r="D451" s="592"/>
      <c r="E451" s="592"/>
      <c r="F451" s="592"/>
      <c r="G451" s="592"/>
      <c r="H451" s="592"/>
      <c r="I451" s="592"/>
      <c r="J451" s="592"/>
    </row>
    <row r="452" customFormat="false" ht="12.75" hidden="false" customHeight="false" outlineLevel="0" collapsed="false">
      <c r="B452" s="592"/>
      <c r="C452" s="592"/>
      <c r="D452" s="592"/>
      <c r="E452" s="592"/>
      <c r="F452" s="592"/>
      <c r="G452" s="592"/>
      <c r="H452" s="592"/>
      <c r="I452" s="592"/>
      <c r="J452" s="592"/>
    </row>
    <row r="453" customFormat="false" ht="12.75" hidden="false" customHeight="false" outlineLevel="0" collapsed="false">
      <c r="B453" s="592"/>
      <c r="C453" s="592"/>
      <c r="D453" s="592"/>
      <c r="E453" s="592"/>
      <c r="F453" s="592"/>
      <c r="G453" s="592"/>
      <c r="H453" s="592"/>
      <c r="I453" s="592"/>
      <c r="J453" s="592"/>
    </row>
    <row r="454" customFormat="false" ht="12.75" hidden="false" customHeight="false" outlineLevel="0" collapsed="false">
      <c r="B454" s="592"/>
      <c r="C454" s="592"/>
      <c r="D454" s="592"/>
      <c r="E454" s="592"/>
      <c r="F454" s="592"/>
      <c r="G454" s="592"/>
      <c r="H454" s="592"/>
      <c r="I454" s="592"/>
      <c r="J454" s="592"/>
    </row>
    <row r="455" customFormat="false" ht="12.75" hidden="false" customHeight="false" outlineLevel="0" collapsed="false">
      <c r="B455" s="592"/>
      <c r="C455" s="592"/>
      <c r="D455" s="592"/>
      <c r="E455" s="592"/>
      <c r="F455" s="592"/>
      <c r="G455" s="592"/>
      <c r="H455" s="592"/>
      <c r="I455" s="592"/>
      <c r="J455" s="592"/>
    </row>
    <row r="456" customFormat="false" ht="12.75" hidden="false" customHeight="false" outlineLevel="0" collapsed="false">
      <c r="B456" s="592"/>
      <c r="C456" s="592"/>
      <c r="D456" s="592"/>
      <c r="E456" s="592"/>
      <c r="F456" s="592"/>
      <c r="G456" s="592"/>
      <c r="H456" s="592"/>
      <c r="I456" s="592"/>
      <c r="J456" s="592"/>
    </row>
    <row r="457" customFormat="false" ht="12.75" hidden="false" customHeight="false" outlineLevel="0" collapsed="false">
      <c r="B457" s="592"/>
      <c r="C457" s="592"/>
      <c r="D457" s="592"/>
      <c r="E457" s="592"/>
      <c r="F457" s="592"/>
      <c r="G457" s="592"/>
      <c r="H457" s="592"/>
      <c r="I457" s="592"/>
      <c r="J457" s="592"/>
    </row>
    <row r="458" customFormat="false" ht="12.75" hidden="false" customHeight="false" outlineLevel="0" collapsed="false">
      <c r="B458" s="592"/>
      <c r="C458" s="592"/>
      <c r="D458" s="592"/>
      <c r="E458" s="592"/>
      <c r="F458" s="592"/>
      <c r="G458" s="592"/>
      <c r="H458" s="592"/>
      <c r="I458" s="592"/>
      <c r="J458" s="592"/>
    </row>
    <row r="459" customFormat="false" ht="12.75" hidden="false" customHeight="false" outlineLevel="0" collapsed="false">
      <c r="B459" s="592"/>
      <c r="C459" s="592"/>
      <c r="D459" s="592"/>
      <c r="E459" s="592"/>
      <c r="F459" s="592"/>
      <c r="G459" s="592"/>
      <c r="H459" s="592"/>
      <c r="I459" s="592"/>
      <c r="J459" s="592"/>
    </row>
    <row r="460" customFormat="false" ht="12.75" hidden="false" customHeight="false" outlineLevel="0" collapsed="false">
      <c r="B460" s="592"/>
      <c r="C460" s="592"/>
      <c r="D460" s="592"/>
      <c r="E460" s="592"/>
      <c r="F460" s="592"/>
      <c r="G460" s="592"/>
      <c r="H460" s="592"/>
      <c r="I460" s="592"/>
      <c r="J460" s="592"/>
    </row>
    <row r="461" customFormat="false" ht="12.75" hidden="false" customHeight="false" outlineLevel="0" collapsed="false">
      <c r="B461" s="592"/>
      <c r="C461" s="592"/>
      <c r="D461" s="592"/>
      <c r="E461" s="592"/>
      <c r="F461" s="592"/>
      <c r="G461" s="592"/>
      <c r="H461" s="592"/>
      <c r="I461" s="592"/>
      <c r="J461" s="592"/>
    </row>
    <row r="462" customFormat="false" ht="12.75" hidden="false" customHeight="false" outlineLevel="0" collapsed="false">
      <c r="B462" s="592"/>
      <c r="C462" s="592"/>
      <c r="D462" s="592"/>
      <c r="E462" s="592"/>
      <c r="F462" s="592"/>
      <c r="G462" s="592"/>
      <c r="H462" s="592"/>
      <c r="I462" s="592"/>
      <c r="J462" s="592"/>
    </row>
    <row r="463" customFormat="false" ht="12.75" hidden="false" customHeight="false" outlineLevel="0" collapsed="false">
      <c r="B463" s="592"/>
      <c r="C463" s="592"/>
      <c r="D463" s="592"/>
      <c r="E463" s="592"/>
      <c r="F463" s="592"/>
      <c r="G463" s="592"/>
      <c r="H463" s="592"/>
      <c r="I463" s="592"/>
      <c r="J463" s="592"/>
    </row>
    <row r="464" customFormat="false" ht="12.75" hidden="false" customHeight="false" outlineLevel="0" collapsed="false">
      <c r="B464" s="592"/>
      <c r="C464" s="592"/>
      <c r="D464" s="592"/>
      <c r="E464" s="592"/>
      <c r="F464" s="592"/>
      <c r="G464" s="592"/>
      <c r="H464" s="592"/>
      <c r="I464" s="592"/>
      <c r="J464" s="592"/>
    </row>
    <row r="465" customFormat="false" ht="12.75" hidden="false" customHeight="false" outlineLevel="0" collapsed="false">
      <c r="B465" s="592"/>
      <c r="C465" s="592"/>
      <c r="D465" s="592"/>
      <c r="E465" s="592"/>
      <c r="F465" s="592"/>
      <c r="G465" s="592"/>
      <c r="H465" s="592"/>
      <c r="I465" s="592"/>
      <c r="J465" s="592"/>
    </row>
    <row r="466" customFormat="false" ht="12.75" hidden="false" customHeight="false" outlineLevel="0" collapsed="false">
      <c r="B466" s="592"/>
      <c r="C466" s="592"/>
      <c r="D466" s="592"/>
      <c r="E466" s="592"/>
      <c r="F466" s="592"/>
      <c r="G466" s="592"/>
      <c r="H466" s="592"/>
      <c r="I466" s="592"/>
      <c r="J466" s="592"/>
    </row>
    <row r="467" customFormat="false" ht="12.75" hidden="false" customHeight="false" outlineLevel="0" collapsed="false">
      <c r="B467" s="592"/>
      <c r="C467" s="592"/>
      <c r="D467" s="592"/>
      <c r="E467" s="592"/>
      <c r="F467" s="592"/>
      <c r="G467" s="592"/>
      <c r="H467" s="592"/>
      <c r="I467" s="592"/>
      <c r="J467" s="592"/>
    </row>
    <row r="468" customFormat="false" ht="12.75" hidden="false" customHeight="false" outlineLevel="0" collapsed="false">
      <c r="B468" s="592"/>
      <c r="C468" s="592"/>
      <c r="D468" s="592"/>
      <c r="E468" s="592"/>
      <c r="F468" s="592"/>
      <c r="G468" s="592"/>
      <c r="H468" s="592"/>
      <c r="I468" s="592"/>
      <c r="J468" s="592"/>
    </row>
    <row r="469" customFormat="false" ht="12.75" hidden="false" customHeight="false" outlineLevel="0" collapsed="false">
      <c r="B469" s="592"/>
      <c r="C469" s="592"/>
      <c r="D469" s="592"/>
      <c r="E469" s="592"/>
      <c r="F469" s="592"/>
      <c r="G469" s="592"/>
      <c r="H469" s="592"/>
      <c r="I469" s="592"/>
      <c r="J469" s="592"/>
    </row>
    <row r="470" customFormat="false" ht="12.75" hidden="false" customHeight="false" outlineLevel="0" collapsed="false">
      <c r="B470" s="592"/>
      <c r="C470" s="592"/>
      <c r="D470" s="592"/>
      <c r="E470" s="592"/>
      <c r="F470" s="592"/>
      <c r="G470" s="592"/>
      <c r="H470" s="592"/>
      <c r="I470" s="592"/>
      <c r="J470" s="592"/>
    </row>
    <row r="471" customFormat="false" ht="12.75" hidden="false" customHeight="false" outlineLevel="0" collapsed="false">
      <c r="B471" s="592"/>
      <c r="C471" s="592"/>
      <c r="D471" s="592"/>
      <c r="E471" s="592"/>
      <c r="F471" s="592"/>
      <c r="G471" s="592"/>
      <c r="H471" s="592"/>
      <c r="I471" s="592"/>
      <c r="J471" s="592"/>
    </row>
    <row r="472" customFormat="false" ht="12.75" hidden="false" customHeight="false" outlineLevel="0" collapsed="false">
      <c r="B472" s="592"/>
      <c r="C472" s="592"/>
      <c r="D472" s="592"/>
      <c r="E472" s="592"/>
      <c r="F472" s="592"/>
      <c r="G472" s="592"/>
      <c r="H472" s="592"/>
      <c r="I472" s="592"/>
      <c r="J472" s="592"/>
    </row>
    <row r="473" customFormat="false" ht="12.75" hidden="false" customHeight="false" outlineLevel="0" collapsed="false">
      <c r="B473" s="592"/>
      <c r="C473" s="592"/>
      <c r="D473" s="592"/>
      <c r="E473" s="592"/>
      <c r="F473" s="592"/>
      <c r="G473" s="592"/>
      <c r="H473" s="592"/>
      <c r="I473" s="592"/>
      <c r="J473" s="592"/>
    </row>
    <row r="474" customFormat="false" ht="12.75" hidden="false" customHeight="false" outlineLevel="0" collapsed="false">
      <c r="B474" s="592"/>
      <c r="C474" s="592"/>
      <c r="D474" s="592"/>
      <c r="E474" s="592"/>
      <c r="F474" s="592"/>
      <c r="G474" s="592"/>
      <c r="H474" s="592"/>
      <c r="I474" s="592"/>
      <c r="J474" s="592"/>
    </row>
    <row r="475" customFormat="false" ht="12.75" hidden="false" customHeight="false" outlineLevel="0" collapsed="false">
      <c r="B475" s="592"/>
      <c r="C475" s="592"/>
      <c r="D475" s="592"/>
      <c r="E475" s="592"/>
      <c r="F475" s="592"/>
      <c r="G475" s="592"/>
      <c r="H475" s="592"/>
      <c r="I475" s="592"/>
      <c r="J475" s="592"/>
    </row>
    <row r="476" customFormat="false" ht="12.75" hidden="false" customHeight="false" outlineLevel="0" collapsed="false">
      <c r="B476" s="592"/>
      <c r="C476" s="592"/>
      <c r="D476" s="592"/>
      <c r="E476" s="592"/>
      <c r="F476" s="592"/>
      <c r="G476" s="592"/>
      <c r="H476" s="592"/>
      <c r="I476" s="592"/>
      <c r="J476" s="592"/>
    </row>
    <row r="477" customFormat="false" ht="12.75" hidden="false" customHeight="false" outlineLevel="0" collapsed="false">
      <c r="B477" s="592"/>
      <c r="C477" s="592"/>
      <c r="D477" s="592"/>
      <c r="E477" s="592"/>
      <c r="F477" s="592"/>
      <c r="G477" s="592"/>
      <c r="H477" s="592"/>
      <c r="I477" s="592"/>
      <c r="J477" s="592"/>
    </row>
    <row r="478" customFormat="false" ht="12.75" hidden="false" customHeight="false" outlineLevel="0" collapsed="false">
      <c r="B478" s="592"/>
      <c r="C478" s="592"/>
      <c r="D478" s="592"/>
      <c r="E478" s="592"/>
      <c r="F478" s="592"/>
      <c r="G478" s="592"/>
      <c r="H478" s="592"/>
      <c r="I478" s="592"/>
      <c r="J478" s="592"/>
    </row>
    <row r="479" customFormat="false" ht="12.75" hidden="false" customHeight="false" outlineLevel="0" collapsed="false">
      <c r="B479" s="592"/>
      <c r="C479" s="592"/>
      <c r="D479" s="592"/>
      <c r="E479" s="592"/>
      <c r="F479" s="592"/>
      <c r="G479" s="592"/>
      <c r="H479" s="592"/>
      <c r="I479" s="592"/>
      <c r="J479" s="592"/>
    </row>
    <row r="480" customFormat="false" ht="12.75" hidden="false" customHeight="false" outlineLevel="0" collapsed="false">
      <c r="B480" s="592"/>
      <c r="C480" s="592"/>
      <c r="D480" s="592"/>
      <c r="E480" s="592"/>
      <c r="F480" s="592"/>
      <c r="G480" s="592"/>
      <c r="H480" s="592"/>
      <c r="I480" s="592"/>
      <c r="J480" s="592"/>
    </row>
    <row r="481" customFormat="false" ht="12.75" hidden="false" customHeight="false" outlineLevel="0" collapsed="false">
      <c r="B481" s="592"/>
      <c r="C481" s="592"/>
      <c r="D481" s="592"/>
      <c r="E481" s="592"/>
      <c r="F481" s="592"/>
      <c r="G481" s="592"/>
      <c r="H481" s="592"/>
      <c r="I481" s="592"/>
      <c r="J481" s="592"/>
    </row>
    <row r="482" customFormat="false" ht="12.75" hidden="false" customHeight="false" outlineLevel="0" collapsed="false">
      <c r="B482" s="592"/>
      <c r="C482" s="592"/>
      <c r="D482" s="592"/>
      <c r="E482" s="592"/>
      <c r="F482" s="592"/>
      <c r="G482" s="592"/>
      <c r="H482" s="592"/>
      <c r="I482" s="592"/>
      <c r="J482" s="592"/>
    </row>
    <row r="483" customFormat="false" ht="12.75" hidden="false" customHeight="false" outlineLevel="0" collapsed="false">
      <c r="B483" s="592"/>
      <c r="C483" s="592"/>
      <c r="D483" s="592"/>
      <c r="E483" s="592"/>
      <c r="F483" s="592"/>
      <c r="G483" s="592"/>
      <c r="H483" s="592"/>
      <c r="I483" s="592"/>
      <c r="J483" s="592"/>
    </row>
    <row r="484" customFormat="false" ht="12.75" hidden="false" customHeight="false" outlineLevel="0" collapsed="false">
      <c r="B484" s="592"/>
      <c r="C484" s="592"/>
      <c r="D484" s="592"/>
      <c r="E484" s="592"/>
      <c r="F484" s="592"/>
      <c r="G484" s="592"/>
      <c r="H484" s="592"/>
      <c r="I484" s="592"/>
      <c r="J484" s="592"/>
    </row>
    <row r="485" customFormat="false" ht="12.75" hidden="false" customHeight="false" outlineLevel="0" collapsed="false">
      <c r="B485" s="592"/>
      <c r="C485" s="592"/>
      <c r="D485" s="592"/>
      <c r="E485" s="592"/>
      <c r="F485" s="592"/>
      <c r="G485" s="592"/>
      <c r="H485" s="592"/>
      <c r="I485" s="592"/>
      <c r="J485" s="592"/>
    </row>
    <row r="486" customFormat="false" ht="12.75" hidden="false" customHeight="false" outlineLevel="0" collapsed="false">
      <c r="B486" s="592"/>
      <c r="C486" s="592"/>
      <c r="D486" s="592"/>
      <c r="E486" s="592"/>
      <c r="F486" s="592"/>
      <c r="G486" s="592"/>
      <c r="H486" s="592"/>
      <c r="I486" s="592"/>
      <c r="J486" s="592"/>
    </row>
    <row r="487" customFormat="false" ht="12.75" hidden="false" customHeight="false" outlineLevel="0" collapsed="false">
      <c r="B487" s="592"/>
      <c r="C487" s="592"/>
      <c r="D487" s="592"/>
      <c r="E487" s="592"/>
      <c r="F487" s="592"/>
      <c r="G487" s="592"/>
      <c r="H487" s="592"/>
      <c r="I487" s="592"/>
      <c r="J487" s="592"/>
    </row>
    <row r="488" customFormat="false" ht="12.75" hidden="false" customHeight="false" outlineLevel="0" collapsed="false">
      <c r="B488" s="592"/>
      <c r="C488" s="592"/>
      <c r="D488" s="592"/>
      <c r="E488" s="592"/>
      <c r="F488" s="592"/>
      <c r="G488" s="592"/>
      <c r="H488" s="592"/>
      <c r="I488" s="592"/>
      <c r="J488" s="592"/>
    </row>
    <row r="489" customFormat="false" ht="12.75" hidden="false" customHeight="false" outlineLevel="0" collapsed="false">
      <c r="B489" s="592"/>
      <c r="C489" s="592"/>
      <c r="D489" s="592"/>
      <c r="E489" s="592"/>
      <c r="F489" s="592"/>
      <c r="G489" s="592"/>
      <c r="H489" s="592"/>
      <c r="I489" s="592"/>
      <c r="J489" s="592"/>
    </row>
    <row r="490" customFormat="false" ht="12.75" hidden="false" customHeight="false" outlineLevel="0" collapsed="false">
      <c r="B490" s="592"/>
      <c r="C490" s="592"/>
      <c r="D490" s="592"/>
      <c r="E490" s="592"/>
      <c r="F490" s="592"/>
      <c r="G490" s="592"/>
      <c r="H490" s="592"/>
      <c r="I490" s="592"/>
      <c r="J490" s="592"/>
    </row>
    <row r="491" customFormat="false" ht="12.75" hidden="false" customHeight="false" outlineLevel="0" collapsed="false">
      <c r="B491" s="592"/>
      <c r="C491" s="592"/>
      <c r="D491" s="592"/>
      <c r="E491" s="592"/>
      <c r="F491" s="592"/>
      <c r="G491" s="592"/>
      <c r="H491" s="592"/>
      <c r="I491" s="592"/>
      <c r="J491" s="592"/>
    </row>
    <row r="492" customFormat="false" ht="12.75" hidden="false" customHeight="false" outlineLevel="0" collapsed="false">
      <c r="B492" s="592"/>
      <c r="C492" s="592"/>
      <c r="D492" s="592"/>
      <c r="E492" s="592"/>
      <c r="F492" s="592"/>
      <c r="G492" s="592"/>
      <c r="H492" s="592"/>
      <c r="I492" s="592"/>
      <c r="J492" s="592"/>
    </row>
    <row r="493" customFormat="false" ht="12.75" hidden="false" customHeight="false" outlineLevel="0" collapsed="false">
      <c r="B493" s="592"/>
      <c r="C493" s="592"/>
      <c r="D493" s="592"/>
      <c r="E493" s="592"/>
      <c r="F493" s="592"/>
      <c r="G493" s="592"/>
      <c r="H493" s="592"/>
      <c r="I493" s="592"/>
      <c r="J493" s="592"/>
    </row>
    <row r="494" customFormat="false" ht="12.75" hidden="false" customHeight="false" outlineLevel="0" collapsed="false">
      <c r="B494" s="592"/>
      <c r="C494" s="592"/>
      <c r="D494" s="592"/>
      <c r="E494" s="592"/>
      <c r="F494" s="592"/>
      <c r="G494" s="592"/>
      <c r="H494" s="592"/>
      <c r="I494" s="592"/>
      <c r="J494" s="592"/>
    </row>
    <row r="495" customFormat="false" ht="12.75" hidden="false" customHeight="false" outlineLevel="0" collapsed="false">
      <c r="B495" s="592"/>
      <c r="C495" s="592"/>
      <c r="D495" s="592"/>
      <c r="E495" s="592"/>
      <c r="F495" s="592"/>
      <c r="G495" s="592"/>
      <c r="H495" s="592"/>
      <c r="I495" s="592"/>
      <c r="J495" s="592"/>
    </row>
    <row r="496" customFormat="false" ht="12.75" hidden="false" customHeight="false" outlineLevel="0" collapsed="false">
      <c r="B496" s="592"/>
      <c r="C496" s="592"/>
      <c r="D496" s="592"/>
      <c r="E496" s="592"/>
      <c r="F496" s="592"/>
      <c r="G496" s="592"/>
      <c r="H496" s="592"/>
      <c r="I496" s="592"/>
      <c r="J496" s="592"/>
    </row>
    <row r="497" customFormat="false" ht="12.75" hidden="false" customHeight="false" outlineLevel="0" collapsed="false">
      <c r="B497" s="592"/>
      <c r="C497" s="592"/>
      <c r="D497" s="592"/>
      <c r="E497" s="592"/>
      <c r="F497" s="592"/>
      <c r="G497" s="592"/>
      <c r="H497" s="592"/>
      <c r="I497" s="592"/>
      <c r="J497" s="592"/>
    </row>
    <row r="498" customFormat="false" ht="12.75" hidden="false" customHeight="false" outlineLevel="0" collapsed="false">
      <c r="B498" s="592"/>
      <c r="C498" s="592"/>
      <c r="D498" s="592"/>
      <c r="E498" s="592"/>
      <c r="F498" s="592"/>
      <c r="G498" s="592"/>
      <c r="H498" s="592"/>
      <c r="I498" s="592"/>
      <c r="J498" s="592"/>
    </row>
    <row r="499" customFormat="false" ht="12.75" hidden="false" customHeight="false" outlineLevel="0" collapsed="false">
      <c r="B499" s="592"/>
      <c r="C499" s="592"/>
      <c r="D499" s="592"/>
      <c r="E499" s="592"/>
      <c r="F499" s="592"/>
      <c r="G499" s="592"/>
      <c r="H499" s="592"/>
      <c r="I499" s="592"/>
      <c r="J499" s="592"/>
    </row>
    <row r="500" customFormat="false" ht="12.75" hidden="false" customHeight="false" outlineLevel="0" collapsed="false">
      <c r="B500" s="592"/>
      <c r="C500" s="592"/>
      <c r="D500" s="592"/>
      <c r="E500" s="592"/>
      <c r="F500" s="592"/>
      <c r="G500" s="592"/>
      <c r="H500" s="592"/>
      <c r="I500" s="592"/>
      <c r="J500" s="592"/>
    </row>
    <row r="501" customFormat="false" ht="12.75" hidden="false" customHeight="false" outlineLevel="0" collapsed="false">
      <c r="B501" s="592"/>
      <c r="C501" s="592"/>
      <c r="D501" s="592"/>
      <c r="E501" s="592"/>
      <c r="F501" s="592"/>
      <c r="G501" s="592"/>
      <c r="H501" s="592"/>
      <c r="I501" s="592"/>
      <c r="J501" s="592"/>
    </row>
    <row r="502" customFormat="false" ht="12.75" hidden="false" customHeight="false" outlineLevel="0" collapsed="false">
      <c r="B502" s="592"/>
      <c r="C502" s="592"/>
      <c r="D502" s="592"/>
      <c r="E502" s="592"/>
      <c r="F502" s="592"/>
      <c r="G502" s="592"/>
      <c r="H502" s="592"/>
      <c r="I502" s="592"/>
      <c r="J502" s="592"/>
    </row>
    <row r="503" customFormat="false" ht="12.75" hidden="false" customHeight="false" outlineLevel="0" collapsed="false">
      <c r="B503" s="592"/>
      <c r="C503" s="592"/>
      <c r="D503" s="592"/>
      <c r="E503" s="592"/>
      <c r="F503" s="592"/>
      <c r="G503" s="592"/>
      <c r="H503" s="592"/>
      <c r="I503" s="592"/>
      <c r="J503" s="592"/>
    </row>
    <row r="504" customFormat="false" ht="12.75" hidden="false" customHeight="false" outlineLevel="0" collapsed="false">
      <c r="B504" s="592"/>
      <c r="C504" s="592"/>
      <c r="D504" s="592"/>
      <c r="E504" s="592"/>
      <c r="F504" s="592"/>
      <c r="G504" s="592"/>
      <c r="H504" s="592"/>
      <c r="I504" s="592"/>
      <c r="J504" s="592"/>
    </row>
    <row r="505" customFormat="false" ht="12.75" hidden="false" customHeight="false" outlineLevel="0" collapsed="false">
      <c r="B505" s="592"/>
      <c r="C505" s="592"/>
      <c r="D505" s="592"/>
      <c r="E505" s="592"/>
      <c r="F505" s="592"/>
      <c r="G505" s="592"/>
      <c r="H505" s="592"/>
      <c r="I505" s="592"/>
      <c r="J505" s="592"/>
    </row>
    <row r="506" customFormat="false" ht="12.75" hidden="false" customHeight="false" outlineLevel="0" collapsed="false">
      <c r="B506" s="592"/>
      <c r="C506" s="592"/>
      <c r="D506" s="592"/>
      <c r="E506" s="592"/>
      <c r="F506" s="592"/>
      <c r="G506" s="592"/>
      <c r="H506" s="592"/>
      <c r="I506" s="592"/>
      <c r="J506" s="592"/>
    </row>
    <row r="507" customFormat="false" ht="12.75" hidden="false" customHeight="false" outlineLevel="0" collapsed="false">
      <c r="B507" s="592"/>
      <c r="C507" s="592"/>
      <c r="D507" s="592"/>
      <c r="E507" s="592"/>
      <c r="F507" s="592"/>
      <c r="G507" s="592"/>
      <c r="H507" s="592"/>
      <c r="I507" s="592"/>
      <c r="J507" s="592"/>
    </row>
    <row r="508" customFormat="false" ht="12.75" hidden="false" customHeight="false" outlineLevel="0" collapsed="false">
      <c r="B508" s="592"/>
      <c r="C508" s="592"/>
      <c r="D508" s="592"/>
      <c r="E508" s="592"/>
      <c r="F508" s="592"/>
      <c r="G508" s="592"/>
      <c r="H508" s="592"/>
      <c r="I508" s="592"/>
      <c r="J508" s="592"/>
    </row>
    <row r="509" customFormat="false" ht="12.75" hidden="false" customHeight="false" outlineLevel="0" collapsed="false">
      <c r="B509" s="592"/>
      <c r="C509" s="592"/>
      <c r="D509" s="592"/>
      <c r="E509" s="592"/>
      <c r="F509" s="592"/>
      <c r="G509" s="592"/>
      <c r="H509" s="592"/>
      <c r="I509" s="592"/>
      <c r="J509" s="592"/>
    </row>
    <row r="510" customFormat="false" ht="12.75" hidden="false" customHeight="false" outlineLevel="0" collapsed="false">
      <c r="B510" s="592"/>
      <c r="C510" s="592"/>
      <c r="D510" s="592"/>
      <c r="E510" s="592"/>
      <c r="F510" s="592"/>
      <c r="G510" s="592"/>
      <c r="H510" s="592"/>
      <c r="I510" s="592"/>
      <c r="J510" s="592"/>
    </row>
    <row r="511" customFormat="false" ht="12.75" hidden="false" customHeight="false" outlineLevel="0" collapsed="false">
      <c r="B511" s="592"/>
      <c r="C511" s="592"/>
      <c r="D511" s="592"/>
      <c r="E511" s="592"/>
      <c r="F511" s="592"/>
      <c r="G511" s="592"/>
      <c r="H511" s="592"/>
      <c r="I511" s="592"/>
      <c r="J511" s="592"/>
    </row>
    <row r="512" customFormat="false" ht="12.75" hidden="false" customHeight="false" outlineLevel="0" collapsed="false">
      <c r="B512" s="592"/>
      <c r="C512" s="592"/>
      <c r="D512" s="592"/>
      <c r="E512" s="592"/>
      <c r="F512" s="592"/>
      <c r="G512" s="592"/>
      <c r="H512" s="592"/>
      <c r="I512" s="592"/>
      <c r="J512" s="592"/>
    </row>
    <row r="513" customFormat="false" ht="12.75" hidden="false" customHeight="false" outlineLevel="0" collapsed="false">
      <c r="B513" s="592"/>
      <c r="C513" s="592"/>
      <c r="D513" s="592"/>
      <c r="E513" s="592"/>
      <c r="F513" s="592"/>
      <c r="G513" s="592"/>
      <c r="H513" s="592"/>
      <c r="I513" s="592"/>
      <c r="J513" s="592"/>
    </row>
    <row r="514" customFormat="false" ht="12.75" hidden="false" customHeight="false" outlineLevel="0" collapsed="false">
      <c r="B514" s="592"/>
      <c r="C514" s="592"/>
      <c r="D514" s="592"/>
      <c r="E514" s="592"/>
      <c r="F514" s="592"/>
      <c r="G514" s="592"/>
      <c r="H514" s="592"/>
      <c r="I514" s="592"/>
      <c r="J514" s="592"/>
    </row>
    <row r="515" customFormat="false" ht="12.75" hidden="false" customHeight="false" outlineLevel="0" collapsed="false">
      <c r="B515" s="592"/>
      <c r="C515" s="592"/>
      <c r="D515" s="592"/>
      <c r="E515" s="592"/>
      <c r="F515" s="592"/>
      <c r="G515" s="592"/>
      <c r="H515" s="592"/>
      <c r="I515" s="592"/>
      <c r="J515" s="592"/>
    </row>
    <row r="516" customFormat="false" ht="12.75" hidden="false" customHeight="false" outlineLevel="0" collapsed="false">
      <c r="B516" s="592"/>
      <c r="C516" s="592"/>
      <c r="D516" s="592"/>
      <c r="E516" s="592"/>
      <c r="F516" s="592"/>
      <c r="G516" s="592"/>
      <c r="H516" s="592"/>
      <c r="I516" s="592"/>
      <c r="J516" s="592"/>
    </row>
    <row r="517" customFormat="false" ht="12.75" hidden="false" customHeight="false" outlineLevel="0" collapsed="false">
      <c r="B517" s="592"/>
      <c r="C517" s="592"/>
      <c r="D517" s="592"/>
      <c r="E517" s="592"/>
      <c r="F517" s="592"/>
      <c r="G517" s="592"/>
      <c r="H517" s="592"/>
      <c r="I517" s="592"/>
      <c r="J517" s="592"/>
    </row>
    <row r="518" customFormat="false" ht="12.75" hidden="false" customHeight="false" outlineLevel="0" collapsed="false">
      <c r="B518" s="592"/>
      <c r="C518" s="592"/>
      <c r="D518" s="592"/>
      <c r="E518" s="592"/>
      <c r="F518" s="592"/>
      <c r="G518" s="592"/>
      <c r="H518" s="592"/>
      <c r="I518" s="592"/>
      <c r="J518" s="592"/>
    </row>
    <row r="519" customFormat="false" ht="12.75" hidden="false" customHeight="false" outlineLevel="0" collapsed="false">
      <c r="B519" s="592"/>
      <c r="C519" s="592"/>
      <c r="D519" s="592"/>
      <c r="E519" s="592"/>
      <c r="F519" s="592"/>
      <c r="G519" s="592"/>
      <c r="H519" s="592"/>
      <c r="I519" s="592"/>
      <c r="J519" s="592"/>
    </row>
    <row r="520" customFormat="false" ht="12.75" hidden="false" customHeight="false" outlineLevel="0" collapsed="false">
      <c r="B520" s="592"/>
      <c r="C520" s="592"/>
      <c r="D520" s="592"/>
      <c r="E520" s="592"/>
      <c r="F520" s="592"/>
      <c r="G520" s="592"/>
      <c r="H520" s="592"/>
      <c r="I520" s="592"/>
      <c r="J520" s="592"/>
    </row>
    <row r="521" customFormat="false" ht="12.75" hidden="false" customHeight="false" outlineLevel="0" collapsed="false">
      <c r="B521" s="592"/>
      <c r="C521" s="592"/>
      <c r="D521" s="592"/>
      <c r="E521" s="592"/>
      <c r="F521" s="592"/>
      <c r="G521" s="592"/>
      <c r="H521" s="592"/>
      <c r="I521" s="592"/>
      <c r="J521" s="592"/>
    </row>
    <row r="522" customFormat="false" ht="12.75" hidden="false" customHeight="false" outlineLevel="0" collapsed="false">
      <c r="B522" s="592"/>
      <c r="C522" s="592"/>
      <c r="D522" s="592"/>
      <c r="E522" s="592"/>
      <c r="F522" s="592"/>
      <c r="G522" s="592"/>
      <c r="H522" s="592"/>
      <c r="I522" s="592"/>
      <c r="J522" s="592"/>
    </row>
    <row r="523" customFormat="false" ht="12.75" hidden="false" customHeight="false" outlineLevel="0" collapsed="false">
      <c r="B523" s="592"/>
      <c r="C523" s="592"/>
      <c r="D523" s="592"/>
      <c r="E523" s="592"/>
      <c r="F523" s="592"/>
      <c r="G523" s="592"/>
      <c r="H523" s="592"/>
      <c r="I523" s="592"/>
      <c r="J523" s="592"/>
    </row>
    <row r="524" customFormat="false" ht="12.75" hidden="false" customHeight="false" outlineLevel="0" collapsed="false">
      <c r="B524" s="592"/>
      <c r="C524" s="592"/>
      <c r="D524" s="592"/>
      <c r="E524" s="592"/>
      <c r="F524" s="592"/>
      <c r="G524" s="592"/>
      <c r="H524" s="592"/>
      <c r="I524" s="592"/>
      <c r="J524" s="592"/>
    </row>
    <row r="525" customFormat="false" ht="12.75" hidden="false" customHeight="false" outlineLevel="0" collapsed="false">
      <c r="B525" s="592"/>
      <c r="C525" s="592"/>
      <c r="D525" s="592"/>
      <c r="E525" s="592"/>
      <c r="F525" s="592"/>
      <c r="G525" s="592"/>
      <c r="H525" s="592"/>
      <c r="I525" s="592"/>
      <c r="J525" s="592"/>
    </row>
    <row r="526" customFormat="false" ht="12.75" hidden="false" customHeight="false" outlineLevel="0" collapsed="false">
      <c r="B526" s="592"/>
      <c r="C526" s="592"/>
      <c r="D526" s="592"/>
      <c r="E526" s="592"/>
      <c r="F526" s="592"/>
      <c r="G526" s="592"/>
      <c r="H526" s="592"/>
      <c r="I526" s="592"/>
      <c r="J526" s="592"/>
    </row>
    <row r="527" customFormat="false" ht="12.75" hidden="false" customHeight="false" outlineLevel="0" collapsed="false">
      <c r="B527" s="592"/>
      <c r="C527" s="592"/>
      <c r="D527" s="592"/>
      <c r="E527" s="592"/>
      <c r="F527" s="592"/>
      <c r="G527" s="592"/>
      <c r="H527" s="592"/>
      <c r="I527" s="592"/>
      <c r="J527" s="592"/>
    </row>
    <row r="528" customFormat="false" ht="12.75" hidden="false" customHeight="false" outlineLevel="0" collapsed="false">
      <c r="B528" s="592"/>
      <c r="C528" s="592"/>
      <c r="D528" s="592"/>
      <c r="E528" s="592"/>
      <c r="F528" s="592"/>
      <c r="G528" s="592"/>
      <c r="H528" s="592"/>
      <c r="I528" s="592"/>
      <c r="J528" s="592"/>
    </row>
    <row r="529" customFormat="false" ht="12.75" hidden="false" customHeight="false" outlineLevel="0" collapsed="false">
      <c r="B529" s="592"/>
      <c r="C529" s="592"/>
      <c r="D529" s="592"/>
      <c r="E529" s="592"/>
      <c r="F529" s="592"/>
      <c r="G529" s="592"/>
      <c r="H529" s="592"/>
      <c r="I529" s="592"/>
      <c r="J529" s="592"/>
    </row>
    <row r="530" customFormat="false" ht="12.75" hidden="false" customHeight="false" outlineLevel="0" collapsed="false">
      <c r="B530" s="592"/>
      <c r="C530" s="592"/>
      <c r="D530" s="592"/>
      <c r="E530" s="592"/>
      <c r="F530" s="592"/>
      <c r="G530" s="592"/>
      <c r="H530" s="592"/>
      <c r="I530" s="592"/>
      <c r="J530" s="592"/>
    </row>
    <row r="531" customFormat="false" ht="12.75" hidden="false" customHeight="false" outlineLevel="0" collapsed="false">
      <c r="B531" s="592"/>
      <c r="C531" s="592"/>
      <c r="D531" s="592"/>
      <c r="E531" s="592"/>
      <c r="F531" s="592"/>
      <c r="G531" s="592"/>
      <c r="H531" s="592"/>
      <c r="I531" s="592"/>
      <c r="J531" s="592"/>
    </row>
    <row r="532" customFormat="false" ht="12.75" hidden="false" customHeight="false" outlineLevel="0" collapsed="false">
      <c r="B532" s="592"/>
      <c r="C532" s="592"/>
      <c r="D532" s="592"/>
      <c r="E532" s="592"/>
      <c r="F532" s="592"/>
      <c r="G532" s="592"/>
      <c r="H532" s="592"/>
      <c r="I532" s="592"/>
      <c r="J532" s="592"/>
    </row>
    <row r="533" customFormat="false" ht="12.75" hidden="false" customHeight="false" outlineLevel="0" collapsed="false">
      <c r="B533" s="592"/>
      <c r="C533" s="592"/>
      <c r="D533" s="592"/>
      <c r="E533" s="592"/>
      <c r="F533" s="592"/>
      <c r="G533" s="592"/>
      <c r="H533" s="592"/>
      <c r="I533" s="592"/>
      <c r="J533" s="592"/>
    </row>
    <row r="534" customFormat="false" ht="12.75" hidden="false" customHeight="false" outlineLevel="0" collapsed="false">
      <c r="B534" s="592"/>
      <c r="C534" s="592"/>
      <c r="D534" s="592"/>
      <c r="E534" s="592"/>
      <c r="F534" s="592"/>
      <c r="G534" s="592"/>
      <c r="H534" s="592"/>
      <c r="I534" s="592"/>
      <c r="J534" s="592"/>
    </row>
    <row r="535" customFormat="false" ht="12.75" hidden="false" customHeight="false" outlineLevel="0" collapsed="false">
      <c r="B535" s="592"/>
      <c r="C535" s="592"/>
      <c r="D535" s="592"/>
      <c r="E535" s="592"/>
      <c r="F535" s="592"/>
      <c r="G535" s="592"/>
      <c r="H535" s="592"/>
      <c r="I535" s="592"/>
      <c r="J535" s="592"/>
    </row>
    <row r="536" customFormat="false" ht="12.75" hidden="false" customHeight="false" outlineLevel="0" collapsed="false">
      <c r="B536" s="592"/>
      <c r="C536" s="592"/>
      <c r="D536" s="592"/>
      <c r="E536" s="592"/>
      <c r="F536" s="592"/>
      <c r="G536" s="592"/>
      <c r="H536" s="592"/>
      <c r="I536" s="592"/>
      <c r="J536" s="592"/>
    </row>
    <row r="537" customFormat="false" ht="12.75" hidden="false" customHeight="false" outlineLevel="0" collapsed="false">
      <c r="B537" s="592"/>
      <c r="C537" s="592"/>
      <c r="D537" s="592"/>
      <c r="E537" s="592"/>
      <c r="F537" s="592"/>
      <c r="G537" s="592"/>
      <c r="H537" s="592"/>
      <c r="I537" s="592"/>
      <c r="J537" s="592"/>
    </row>
    <row r="538" customFormat="false" ht="12.75" hidden="false" customHeight="false" outlineLevel="0" collapsed="false">
      <c r="B538" s="592"/>
      <c r="C538" s="592"/>
      <c r="D538" s="592"/>
      <c r="E538" s="592"/>
      <c r="F538" s="592"/>
      <c r="G538" s="592"/>
      <c r="H538" s="592"/>
      <c r="I538" s="592"/>
      <c r="J538" s="592"/>
    </row>
    <row r="539" customFormat="false" ht="12.75" hidden="false" customHeight="false" outlineLevel="0" collapsed="false">
      <c r="B539" s="592"/>
      <c r="C539" s="592"/>
      <c r="D539" s="592"/>
      <c r="E539" s="592"/>
      <c r="F539" s="592"/>
      <c r="G539" s="592"/>
      <c r="H539" s="592"/>
      <c r="I539" s="592"/>
      <c r="J539" s="592"/>
    </row>
    <row r="540" customFormat="false" ht="12.75" hidden="false" customHeight="false" outlineLevel="0" collapsed="false">
      <c r="B540" s="592"/>
      <c r="C540" s="592"/>
      <c r="D540" s="592"/>
      <c r="E540" s="592"/>
      <c r="F540" s="592"/>
      <c r="G540" s="592"/>
      <c r="H540" s="592"/>
      <c r="I540" s="592"/>
      <c r="J540" s="592"/>
    </row>
    <row r="541" customFormat="false" ht="12.75" hidden="false" customHeight="false" outlineLevel="0" collapsed="false">
      <c r="B541" s="592"/>
      <c r="C541" s="592"/>
      <c r="D541" s="592"/>
      <c r="E541" s="592"/>
      <c r="F541" s="592"/>
      <c r="G541" s="592"/>
      <c r="H541" s="592"/>
      <c r="I541" s="592"/>
      <c r="J541" s="592"/>
    </row>
    <row r="542" customFormat="false" ht="12.75" hidden="false" customHeight="false" outlineLevel="0" collapsed="false">
      <c r="B542" s="592"/>
      <c r="C542" s="592"/>
      <c r="D542" s="592"/>
      <c r="E542" s="592"/>
      <c r="F542" s="592"/>
      <c r="G542" s="592"/>
      <c r="H542" s="592"/>
      <c r="I542" s="592"/>
      <c r="J542" s="592"/>
    </row>
    <row r="543" customFormat="false" ht="12.75" hidden="false" customHeight="false" outlineLevel="0" collapsed="false">
      <c r="B543" s="592"/>
      <c r="C543" s="592"/>
      <c r="D543" s="592"/>
      <c r="E543" s="592"/>
      <c r="F543" s="592"/>
      <c r="G543" s="592"/>
      <c r="H543" s="592"/>
      <c r="I543" s="592"/>
      <c r="J543" s="592"/>
    </row>
    <row r="544" customFormat="false" ht="12.75" hidden="false" customHeight="false" outlineLevel="0" collapsed="false">
      <c r="B544" s="592"/>
      <c r="C544" s="592"/>
      <c r="D544" s="592"/>
      <c r="E544" s="592"/>
      <c r="F544" s="592"/>
      <c r="G544" s="592"/>
      <c r="H544" s="592"/>
      <c r="I544" s="592"/>
      <c r="J544" s="592"/>
    </row>
    <row r="545" customFormat="false" ht="12.75" hidden="false" customHeight="false" outlineLevel="0" collapsed="false">
      <c r="B545" s="592"/>
      <c r="C545" s="592"/>
      <c r="D545" s="592"/>
      <c r="E545" s="592"/>
      <c r="F545" s="592"/>
      <c r="G545" s="592"/>
      <c r="H545" s="592"/>
      <c r="I545" s="592"/>
      <c r="J545" s="592"/>
    </row>
    <row r="546" customFormat="false" ht="12.75" hidden="false" customHeight="false" outlineLevel="0" collapsed="false">
      <c r="B546" s="592"/>
      <c r="C546" s="592"/>
      <c r="D546" s="592"/>
      <c r="E546" s="592"/>
      <c r="F546" s="592"/>
      <c r="G546" s="592"/>
      <c r="H546" s="592"/>
      <c r="I546" s="592"/>
      <c r="J546" s="592"/>
    </row>
    <row r="547" customFormat="false" ht="12.75" hidden="false" customHeight="false" outlineLevel="0" collapsed="false">
      <c r="B547" s="592"/>
      <c r="C547" s="592"/>
      <c r="D547" s="592"/>
      <c r="E547" s="592"/>
      <c r="F547" s="592"/>
      <c r="G547" s="592"/>
      <c r="H547" s="592"/>
      <c r="I547" s="592"/>
      <c r="J547" s="592"/>
    </row>
    <row r="548" customFormat="false" ht="12.75" hidden="false" customHeight="false" outlineLevel="0" collapsed="false">
      <c r="B548" s="592"/>
      <c r="C548" s="592"/>
      <c r="D548" s="592"/>
      <c r="E548" s="592"/>
      <c r="F548" s="592"/>
      <c r="G548" s="592"/>
      <c r="H548" s="592"/>
      <c r="I548" s="592"/>
      <c r="J548" s="592"/>
    </row>
    <row r="549" customFormat="false" ht="12.75" hidden="false" customHeight="false" outlineLevel="0" collapsed="false">
      <c r="B549" s="592"/>
      <c r="C549" s="592"/>
      <c r="D549" s="592"/>
      <c r="E549" s="592"/>
      <c r="F549" s="592"/>
      <c r="G549" s="592"/>
      <c r="H549" s="592"/>
      <c r="I549" s="592"/>
      <c r="J549" s="592"/>
    </row>
    <row r="550" customFormat="false" ht="12.75" hidden="false" customHeight="false" outlineLevel="0" collapsed="false">
      <c r="B550" s="592"/>
      <c r="C550" s="592"/>
      <c r="D550" s="592"/>
      <c r="E550" s="592"/>
      <c r="F550" s="592"/>
      <c r="G550" s="592"/>
      <c r="H550" s="592"/>
      <c r="I550" s="592"/>
      <c r="J550" s="592"/>
    </row>
    <row r="551" customFormat="false" ht="12.75" hidden="false" customHeight="false" outlineLevel="0" collapsed="false">
      <c r="B551" s="592"/>
      <c r="C551" s="592"/>
      <c r="D551" s="592"/>
      <c r="E551" s="592"/>
      <c r="F551" s="592"/>
      <c r="G551" s="592"/>
      <c r="H551" s="592"/>
      <c r="I551" s="592"/>
      <c r="J551" s="592"/>
    </row>
    <row r="552" customFormat="false" ht="12.75" hidden="false" customHeight="false" outlineLevel="0" collapsed="false">
      <c r="B552" s="592"/>
      <c r="C552" s="592"/>
      <c r="D552" s="592"/>
      <c r="E552" s="592"/>
      <c r="F552" s="592"/>
      <c r="G552" s="592"/>
      <c r="H552" s="592"/>
      <c r="I552" s="592"/>
      <c r="J552" s="592"/>
    </row>
    <row r="553" customFormat="false" ht="12.75" hidden="false" customHeight="false" outlineLevel="0" collapsed="false">
      <c r="B553" s="592"/>
      <c r="C553" s="592"/>
      <c r="D553" s="592"/>
      <c r="E553" s="592"/>
      <c r="F553" s="592"/>
      <c r="G553" s="592"/>
      <c r="H553" s="592"/>
      <c r="I553" s="592"/>
      <c r="J553" s="592"/>
    </row>
    <row r="554" customFormat="false" ht="12.75" hidden="false" customHeight="false" outlineLevel="0" collapsed="false">
      <c r="B554" s="592"/>
      <c r="C554" s="592"/>
      <c r="D554" s="592"/>
      <c r="E554" s="592"/>
      <c r="F554" s="592"/>
      <c r="G554" s="592"/>
      <c r="H554" s="592"/>
      <c r="I554" s="592"/>
      <c r="J554" s="592"/>
    </row>
    <row r="555" customFormat="false" ht="12.75" hidden="false" customHeight="false" outlineLevel="0" collapsed="false">
      <c r="B555" s="592"/>
      <c r="C555" s="592"/>
      <c r="D555" s="592"/>
      <c r="E555" s="592"/>
      <c r="F555" s="592"/>
      <c r="G555" s="592"/>
      <c r="H555" s="592"/>
      <c r="I555" s="592"/>
      <c r="J555" s="592"/>
    </row>
    <row r="556" customFormat="false" ht="12.75" hidden="false" customHeight="false" outlineLevel="0" collapsed="false">
      <c r="B556" s="592"/>
      <c r="C556" s="592"/>
      <c r="D556" s="592"/>
      <c r="E556" s="592"/>
      <c r="F556" s="592"/>
      <c r="G556" s="592"/>
      <c r="H556" s="592"/>
      <c r="I556" s="592"/>
      <c r="J556" s="592"/>
    </row>
    <row r="557" customFormat="false" ht="12.75" hidden="false" customHeight="false" outlineLevel="0" collapsed="false">
      <c r="B557" s="592"/>
      <c r="C557" s="592"/>
      <c r="D557" s="592"/>
      <c r="E557" s="592"/>
      <c r="F557" s="592"/>
      <c r="G557" s="592"/>
      <c r="H557" s="592"/>
      <c r="I557" s="592"/>
      <c r="J557" s="592"/>
    </row>
    <row r="558" customFormat="false" ht="12.75" hidden="false" customHeight="false" outlineLevel="0" collapsed="false">
      <c r="B558" s="592"/>
      <c r="C558" s="592"/>
      <c r="D558" s="592"/>
      <c r="E558" s="592"/>
      <c r="F558" s="592"/>
      <c r="G558" s="592"/>
      <c r="H558" s="592"/>
      <c r="I558" s="592"/>
      <c r="J558" s="592"/>
    </row>
    <row r="559" customFormat="false" ht="12.75" hidden="false" customHeight="false" outlineLevel="0" collapsed="false">
      <c r="B559" s="592"/>
      <c r="C559" s="592"/>
      <c r="D559" s="592"/>
      <c r="E559" s="592"/>
      <c r="F559" s="592"/>
      <c r="G559" s="592"/>
      <c r="H559" s="592"/>
      <c r="I559" s="592"/>
      <c r="J559" s="592"/>
    </row>
    <row r="560" customFormat="false" ht="12.75" hidden="false" customHeight="false" outlineLevel="0" collapsed="false">
      <c r="B560" s="592"/>
      <c r="C560" s="592"/>
      <c r="D560" s="592"/>
      <c r="E560" s="592"/>
      <c r="F560" s="592"/>
      <c r="G560" s="592"/>
      <c r="H560" s="592"/>
      <c r="I560" s="592"/>
      <c r="J560" s="592"/>
    </row>
    <row r="561" customFormat="false" ht="12.75" hidden="false" customHeight="false" outlineLevel="0" collapsed="false">
      <c r="B561" s="592"/>
      <c r="C561" s="592"/>
      <c r="D561" s="592"/>
      <c r="E561" s="592"/>
      <c r="F561" s="592"/>
      <c r="G561" s="592"/>
      <c r="H561" s="592"/>
      <c r="I561" s="592"/>
      <c r="J561" s="592"/>
    </row>
    <row r="562" customFormat="false" ht="12.75" hidden="false" customHeight="false" outlineLevel="0" collapsed="false">
      <c r="B562" s="592"/>
      <c r="C562" s="592"/>
      <c r="D562" s="592"/>
      <c r="E562" s="592"/>
      <c r="F562" s="592"/>
      <c r="G562" s="592"/>
      <c r="H562" s="592"/>
      <c r="I562" s="592"/>
      <c r="J562" s="592"/>
    </row>
    <row r="563" customFormat="false" ht="12.75" hidden="false" customHeight="false" outlineLevel="0" collapsed="false">
      <c r="B563" s="592"/>
      <c r="C563" s="592"/>
      <c r="D563" s="592"/>
      <c r="E563" s="592"/>
      <c r="F563" s="592"/>
      <c r="G563" s="592"/>
      <c r="H563" s="592"/>
      <c r="I563" s="592"/>
      <c r="J563" s="592"/>
    </row>
    <row r="564" customFormat="false" ht="12.75" hidden="false" customHeight="false" outlineLevel="0" collapsed="false">
      <c r="B564" s="592"/>
      <c r="C564" s="592"/>
      <c r="D564" s="592"/>
      <c r="E564" s="592"/>
      <c r="F564" s="592"/>
      <c r="G564" s="592"/>
      <c r="H564" s="592"/>
      <c r="I564" s="592"/>
      <c r="J564" s="592"/>
    </row>
    <row r="565" customFormat="false" ht="12.75" hidden="false" customHeight="false" outlineLevel="0" collapsed="false">
      <c r="B565" s="592"/>
      <c r="C565" s="592"/>
      <c r="D565" s="592"/>
      <c r="E565" s="592"/>
      <c r="F565" s="592"/>
      <c r="G565" s="592"/>
      <c r="H565" s="592"/>
      <c r="I565" s="592"/>
      <c r="J565" s="592"/>
    </row>
    <row r="566" customFormat="false" ht="12.75" hidden="false" customHeight="false" outlineLevel="0" collapsed="false">
      <c r="B566" s="592"/>
      <c r="C566" s="592"/>
      <c r="D566" s="592"/>
      <c r="E566" s="592"/>
      <c r="F566" s="592"/>
      <c r="G566" s="592"/>
      <c r="H566" s="592"/>
      <c r="I566" s="592"/>
      <c r="J566" s="592"/>
    </row>
    <row r="567" customFormat="false" ht="12.75" hidden="false" customHeight="false" outlineLevel="0" collapsed="false">
      <c r="B567" s="592"/>
      <c r="C567" s="592"/>
      <c r="D567" s="592"/>
      <c r="E567" s="592"/>
      <c r="F567" s="592"/>
      <c r="G567" s="592"/>
      <c r="H567" s="592"/>
      <c r="I567" s="592"/>
      <c r="J567" s="592"/>
    </row>
    <row r="568" customFormat="false" ht="12.75" hidden="false" customHeight="false" outlineLevel="0" collapsed="false">
      <c r="B568" s="592"/>
      <c r="C568" s="592"/>
      <c r="D568" s="592"/>
      <c r="E568" s="592"/>
      <c r="F568" s="592"/>
      <c r="G568" s="592"/>
      <c r="H568" s="592"/>
      <c r="I568" s="592"/>
      <c r="J568" s="592"/>
    </row>
    <row r="569" customFormat="false" ht="12.75" hidden="false" customHeight="false" outlineLevel="0" collapsed="false">
      <c r="B569" s="592"/>
      <c r="C569" s="592"/>
      <c r="D569" s="592"/>
      <c r="E569" s="592"/>
      <c r="F569" s="592"/>
      <c r="G569" s="592"/>
      <c r="H569" s="592"/>
      <c r="I569" s="592"/>
      <c r="J569" s="592"/>
    </row>
    <row r="570" customFormat="false" ht="12.75" hidden="false" customHeight="false" outlineLevel="0" collapsed="false">
      <c r="B570" s="592"/>
      <c r="C570" s="592"/>
      <c r="D570" s="592"/>
      <c r="E570" s="592"/>
      <c r="F570" s="592"/>
      <c r="G570" s="592"/>
      <c r="H570" s="592"/>
      <c r="I570" s="592"/>
      <c r="J570" s="592"/>
    </row>
    <row r="571" customFormat="false" ht="12.75" hidden="false" customHeight="false" outlineLevel="0" collapsed="false">
      <c r="B571" s="592"/>
      <c r="C571" s="592"/>
      <c r="D571" s="592"/>
      <c r="E571" s="592"/>
      <c r="F571" s="592"/>
      <c r="G571" s="592"/>
      <c r="H571" s="592"/>
      <c r="I571" s="592"/>
      <c r="J571" s="592"/>
    </row>
    <row r="572" customFormat="false" ht="12.75" hidden="false" customHeight="false" outlineLevel="0" collapsed="false">
      <c r="B572" s="592"/>
      <c r="C572" s="592"/>
      <c r="D572" s="592"/>
      <c r="E572" s="592"/>
      <c r="F572" s="592"/>
      <c r="G572" s="592"/>
      <c r="H572" s="592"/>
      <c r="I572" s="592"/>
      <c r="J572" s="592"/>
    </row>
    <row r="573" customFormat="false" ht="12.75" hidden="false" customHeight="false" outlineLevel="0" collapsed="false">
      <c r="B573" s="592"/>
      <c r="C573" s="592"/>
      <c r="D573" s="592"/>
      <c r="E573" s="592"/>
      <c r="F573" s="592"/>
      <c r="G573" s="592"/>
      <c r="H573" s="592"/>
      <c r="I573" s="592"/>
      <c r="J573" s="592"/>
    </row>
    <row r="574" customFormat="false" ht="12.75" hidden="false" customHeight="false" outlineLevel="0" collapsed="false">
      <c r="B574" s="592"/>
      <c r="C574" s="592"/>
      <c r="D574" s="592"/>
      <c r="E574" s="592"/>
      <c r="F574" s="592"/>
      <c r="G574" s="592"/>
      <c r="H574" s="592"/>
      <c r="I574" s="592"/>
      <c r="J574" s="592"/>
    </row>
    <row r="575" customFormat="false" ht="12.75" hidden="false" customHeight="false" outlineLevel="0" collapsed="false">
      <c r="B575" s="592"/>
      <c r="C575" s="592"/>
      <c r="D575" s="592"/>
      <c r="E575" s="592"/>
      <c r="F575" s="592"/>
      <c r="G575" s="592"/>
      <c r="H575" s="592"/>
      <c r="I575" s="592"/>
      <c r="J575" s="592"/>
    </row>
    <row r="576" customFormat="false" ht="12.75" hidden="false" customHeight="false" outlineLevel="0" collapsed="false">
      <c r="B576" s="592"/>
      <c r="C576" s="592"/>
      <c r="D576" s="592"/>
      <c r="E576" s="592"/>
      <c r="F576" s="592"/>
      <c r="G576" s="592"/>
      <c r="H576" s="592"/>
      <c r="I576" s="592"/>
      <c r="J576" s="592"/>
    </row>
    <row r="577" customFormat="false" ht="12.75" hidden="false" customHeight="false" outlineLevel="0" collapsed="false">
      <c r="B577" s="592"/>
      <c r="C577" s="592"/>
      <c r="D577" s="592"/>
      <c r="E577" s="592"/>
      <c r="F577" s="592"/>
      <c r="G577" s="592"/>
      <c r="H577" s="592"/>
      <c r="I577" s="592"/>
      <c r="J577" s="592"/>
    </row>
    <row r="578" customFormat="false" ht="12.75" hidden="false" customHeight="false" outlineLevel="0" collapsed="false">
      <c r="B578" s="592"/>
      <c r="C578" s="592"/>
      <c r="D578" s="592"/>
      <c r="E578" s="592"/>
      <c r="F578" s="592"/>
      <c r="G578" s="592"/>
      <c r="H578" s="592"/>
      <c r="I578" s="592"/>
      <c r="J578" s="592"/>
    </row>
    <row r="579" customFormat="false" ht="12.75" hidden="false" customHeight="false" outlineLevel="0" collapsed="false">
      <c r="B579" s="592"/>
      <c r="C579" s="592"/>
      <c r="D579" s="592"/>
      <c r="E579" s="592"/>
      <c r="F579" s="592"/>
      <c r="G579" s="592"/>
      <c r="H579" s="592"/>
      <c r="I579" s="592"/>
      <c r="J579" s="592"/>
    </row>
    <row r="580" customFormat="false" ht="12.75" hidden="false" customHeight="false" outlineLevel="0" collapsed="false">
      <c r="B580" s="592"/>
      <c r="C580" s="592"/>
      <c r="D580" s="592"/>
      <c r="E580" s="592"/>
      <c r="F580" s="592"/>
      <c r="G580" s="592"/>
      <c r="H580" s="592"/>
      <c r="I580" s="592"/>
      <c r="J580" s="592"/>
    </row>
    <row r="581" customFormat="false" ht="12.75" hidden="false" customHeight="false" outlineLevel="0" collapsed="false">
      <c r="B581" s="592"/>
      <c r="C581" s="592"/>
      <c r="D581" s="592"/>
      <c r="E581" s="592"/>
      <c r="F581" s="592"/>
      <c r="G581" s="592"/>
      <c r="H581" s="592"/>
      <c r="I581" s="592"/>
      <c r="J581" s="592"/>
    </row>
    <row r="582" customFormat="false" ht="12.75" hidden="false" customHeight="false" outlineLevel="0" collapsed="false">
      <c r="B582" s="592"/>
      <c r="C582" s="592"/>
      <c r="D582" s="592"/>
      <c r="E582" s="592"/>
      <c r="F582" s="592"/>
      <c r="G582" s="592"/>
      <c r="H582" s="592"/>
      <c r="I582" s="592"/>
      <c r="J582" s="592"/>
    </row>
    <row r="583" customFormat="false" ht="12.75" hidden="false" customHeight="false" outlineLevel="0" collapsed="false">
      <c r="B583" s="592"/>
      <c r="C583" s="592"/>
      <c r="D583" s="592"/>
      <c r="E583" s="592"/>
      <c r="F583" s="592"/>
      <c r="G583" s="592"/>
      <c r="H583" s="592"/>
      <c r="I583" s="592"/>
      <c r="J583" s="592"/>
    </row>
    <row r="584" customFormat="false" ht="12.75" hidden="false" customHeight="false" outlineLevel="0" collapsed="false">
      <c r="B584" s="592"/>
      <c r="C584" s="592"/>
      <c r="D584" s="592"/>
      <c r="E584" s="592"/>
      <c r="F584" s="592"/>
      <c r="G584" s="592"/>
      <c r="H584" s="592"/>
      <c r="I584" s="592"/>
      <c r="J584" s="592"/>
    </row>
    <row r="585" customFormat="false" ht="12.75" hidden="false" customHeight="false" outlineLevel="0" collapsed="false">
      <c r="B585" s="592"/>
      <c r="C585" s="592"/>
      <c r="D585" s="592"/>
      <c r="E585" s="592"/>
      <c r="F585" s="592"/>
      <c r="G585" s="592"/>
      <c r="H585" s="592"/>
      <c r="I585" s="592"/>
      <c r="J585" s="592"/>
    </row>
    <row r="586" customFormat="false" ht="12.75" hidden="false" customHeight="false" outlineLevel="0" collapsed="false">
      <c r="B586" s="592"/>
      <c r="C586" s="592"/>
      <c r="D586" s="592"/>
      <c r="E586" s="592"/>
      <c r="F586" s="592"/>
      <c r="G586" s="592"/>
      <c r="H586" s="592"/>
      <c r="I586" s="592"/>
      <c r="J586" s="592"/>
    </row>
    <row r="587" customFormat="false" ht="12.75" hidden="false" customHeight="false" outlineLevel="0" collapsed="false">
      <c r="B587" s="592"/>
      <c r="C587" s="592"/>
      <c r="D587" s="592"/>
      <c r="E587" s="592"/>
      <c r="F587" s="592"/>
      <c r="G587" s="592"/>
      <c r="H587" s="592"/>
      <c r="I587" s="592"/>
      <c r="J587" s="592"/>
    </row>
    <row r="588" customFormat="false" ht="12.75" hidden="false" customHeight="false" outlineLevel="0" collapsed="false">
      <c r="B588" s="592"/>
      <c r="C588" s="592"/>
      <c r="D588" s="592"/>
      <c r="E588" s="592"/>
      <c r="F588" s="592"/>
      <c r="G588" s="592"/>
      <c r="H588" s="592"/>
      <c r="I588" s="592"/>
      <c r="J588" s="592"/>
    </row>
    <row r="589" customFormat="false" ht="12.75" hidden="false" customHeight="false" outlineLevel="0" collapsed="false">
      <c r="B589" s="592"/>
      <c r="C589" s="592"/>
      <c r="D589" s="592"/>
      <c r="E589" s="592"/>
      <c r="F589" s="592"/>
      <c r="G589" s="592"/>
      <c r="H589" s="592"/>
      <c r="I589" s="592"/>
      <c r="J589" s="592"/>
    </row>
    <row r="590" customFormat="false" ht="12.75" hidden="false" customHeight="false" outlineLevel="0" collapsed="false">
      <c r="B590" s="592"/>
      <c r="C590" s="592"/>
      <c r="D590" s="592"/>
      <c r="E590" s="592"/>
      <c r="F590" s="592"/>
      <c r="G590" s="592"/>
      <c r="H590" s="592"/>
      <c r="I590" s="592"/>
      <c r="J590" s="592"/>
    </row>
    <row r="591" customFormat="false" ht="12.75" hidden="false" customHeight="false" outlineLevel="0" collapsed="false">
      <c r="B591" s="592"/>
      <c r="C591" s="592"/>
      <c r="D591" s="592"/>
      <c r="E591" s="592"/>
      <c r="F591" s="592"/>
      <c r="G591" s="592"/>
      <c r="H591" s="592"/>
      <c r="I591" s="592"/>
      <c r="J591" s="592"/>
    </row>
    <row r="592" customFormat="false" ht="12.75" hidden="false" customHeight="false" outlineLevel="0" collapsed="false">
      <c r="B592" s="592"/>
      <c r="C592" s="592"/>
      <c r="D592" s="592"/>
      <c r="E592" s="592"/>
      <c r="F592" s="592"/>
      <c r="G592" s="592"/>
      <c r="H592" s="592"/>
      <c r="I592" s="592"/>
      <c r="J592" s="592"/>
    </row>
    <row r="593" customFormat="false" ht="12.75" hidden="false" customHeight="false" outlineLevel="0" collapsed="false">
      <c r="B593" s="592"/>
      <c r="C593" s="592"/>
      <c r="D593" s="592"/>
      <c r="E593" s="592"/>
      <c r="F593" s="592"/>
      <c r="G593" s="592"/>
      <c r="H593" s="592"/>
      <c r="I593" s="592"/>
      <c r="J593" s="592"/>
    </row>
    <row r="594" customFormat="false" ht="12.75" hidden="false" customHeight="false" outlineLevel="0" collapsed="false">
      <c r="B594" s="592"/>
      <c r="C594" s="592"/>
      <c r="D594" s="592"/>
      <c r="E594" s="592"/>
      <c r="F594" s="592"/>
      <c r="G594" s="592"/>
      <c r="H594" s="592"/>
      <c r="I594" s="592"/>
      <c r="J594" s="592"/>
    </row>
    <row r="595" customFormat="false" ht="12.75" hidden="false" customHeight="false" outlineLevel="0" collapsed="false">
      <c r="B595" s="592"/>
      <c r="C595" s="592"/>
      <c r="D595" s="592"/>
      <c r="E595" s="592"/>
      <c r="F595" s="592"/>
      <c r="G595" s="592"/>
      <c r="H595" s="592"/>
      <c r="I595" s="592"/>
      <c r="J595" s="592"/>
    </row>
    <row r="596" customFormat="false" ht="12.75" hidden="false" customHeight="false" outlineLevel="0" collapsed="false">
      <c r="B596" s="592"/>
      <c r="C596" s="592"/>
      <c r="D596" s="592"/>
      <c r="E596" s="592"/>
      <c r="F596" s="592"/>
      <c r="G596" s="592"/>
      <c r="H596" s="592"/>
      <c r="I596" s="592"/>
      <c r="J596" s="592"/>
    </row>
    <row r="597" customFormat="false" ht="12.75" hidden="false" customHeight="false" outlineLevel="0" collapsed="false">
      <c r="B597" s="592"/>
      <c r="C597" s="592"/>
      <c r="D597" s="592"/>
      <c r="E597" s="592"/>
      <c r="F597" s="592"/>
      <c r="G597" s="592"/>
      <c r="H597" s="592"/>
      <c r="I597" s="592"/>
      <c r="J597" s="592"/>
    </row>
    <row r="598" customFormat="false" ht="12.75" hidden="false" customHeight="false" outlineLevel="0" collapsed="false">
      <c r="B598" s="592"/>
      <c r="C598" s="592"/>
      <c r="D598" s="592"/>
      <c r="E598" s="592"/>
      <c r="F598" s="592"/>
      <c r="G598" s="592"/>
      <c r="H598" s="592"/>
      <c r="I598" s="592"/>
      <c r="J598" s="592"/>
    </row>
    <row r="599" customFormat="false" ht="12.75" hidden="false" customHeight="false" outlineLevel="0" collapsed="false">
      <c r="B599" s="592"/>
      <c r="C599" s="592"/>
      <c r="D599" s="592"/>
      <c r="E599" s="592"/>
      <c r="F599" s="592"/>
      <c r="G599" s="592"/>
      <c r="H599" s="592"/>
      <c r="I599" s="592"/>
      <c r="J599" s="592"/>
    </row>
    <row r="600" customFormat="false" ht="12.75" hidden="false" customHeight="false" outlineLevel="0" collapsed="false">
      <c r="B600" s="592"/>
      <c r="C600" s="592"/>
      <c r="D600" s="592"/>
      <c r="E600" s="592"/>
      <c r="F600" s="592"/>
      <c r="G600" s="592"/>
      <c r="H600" s="592"/>
      <c r="I600" s="592"/>
      <c r="J600" s="592"/>
    </row>
    <row r="601" customFormat="false" ht="12.75" hidden="false" customHeight="false" outlineLevel="0" collapsed="false">
      <c r="B601" s="592"/>
      <c r="C601" s="592"/>
      <c r="D601" s="592"/>
      <c r="E601" s="592"/>
      <c r="F601" s="592"/>
      <c r="G601" s="592"/>
      <c r="H601" s="592"/>
      <c r="I601" s="592"/>
      <c r="J601" s="592"/>
    </row>
    <row r="602" customFormat="false" ht="12.75" hidden="false" customHeight="false" outlineLevel="0" collapsed="false">
      <c r="B602" s="592"/>
      <c r="C602" s="592"/>
      <c r="D602" s="592"/>
      <c r="E602" s="592"/>
      <c r="F602" s="592"/>
      <c r="G602" s="592"/>
      <c r="H602" s="592"/>
      <c r="I602" s="592"/>
      <c r="J602" s="592"/>
    </row>
    <row r="603" customFormat="false" ht="12.75" hidden="false" customHeight="false" outlineLevel="0" collapsed="false">
      <c r="B603" s="592"/>
      <c r="C603" s="592"/>
      <c r="D603" s="592"/>
      <c r="E603" s="592"/>
      <c r="F603" s="592"/>
      <c r="G603" s="592"/>
      <c r="H603" s="592"/>
      <c r="I603" s="592"/>
      <c r="J603" s="592"/>
    </row>
    <row r="604" customFormat="false" ht="12.75" hidden="false" customHeight="false" outlineLevel="0" collapsed="false">
      <c r="B604" s="592"/>
      <c r="C604" s="592"/>
      <c r="D604" s="592"/>
      <c r="E604" s="592"/>
      <c r="F604" s="592"/>
      <c r="G604" s="592"/>
      <c r="H604" s="592"/>
      <c r="I604" s="592"/>
      <c r="J604" s="592"/>
    </row>
    <row r="605" customFormat="false" ht="12.75" hidden="false" customHeight="false" outlineLevel="0" collapsed="false">
      <c r="B605" s="592"/>
      <c r="C605" s="592"/>
      <c r="D605" s="592"/>
      <c r="E605" s="592"/>
      <c r="F605" s="592"/>
      <c r="G605" s="592"/>
      <c r="H605" s="592"/>
      <c r="I605" s="592"/>
      <c r="J605" s="592"/>
    </row>
    <row r="606" customFormat="false" ht="12.75" hidden="false" customHeight="false" outlineLevel="0" collapsed="false">
      <c r="B606" s="592"/>
      <c r="C606" s="592"/>
      <c r="D606" s="592"/>
      <c r="E606" s="592"/>
      <c r="F606" s="592"/>
      <c r="G606" s="592"/>
      <c r="H606" s="592"/>
      <c r="I606" s="592"/>
      <c r="J606" s="592"/>
    </row>
    <row r="607" customFormat="false" ht="12.75" hidden="false" customHeight="false" outlineLevel="0" collapsed="false">
      <c r="B607" s="592"/>
      <c r="C607" s="592"/>
      <c r="D607" s="592"/>
      <c r="E607" s="592"/>
      <c r="F607" s="592"/>
      <c r="G607" s="592"/>
      <c r="H607" s="592"/>
      <c r="I607" s="592"/>
      <c r="J607" s="592"/>
    </row>
    <row r="608" customFormat="false" ht="12.75" hidden="false" customHeight="false" outlineLevel="0" collapsed="false">
      <c r="B608" s="592"/>
      <c r="C608" s="592"/>
      <c r="D608" s="592"/>
      <c r="E608" s="592"/>
      <c r="F608" s="592"/>
      <c r="G608" s="592"/>
      <c r="H608" s="592"/>
      <c r="I608" s="592"/>
      <c r="J608" s="592"/>
    </row>
    <row r="609" customFormat="false" ht="12.75" hidden="false" customHeight="false" outlineLevel="0" collapsed="false">
      <c r="B609" s="592"/>
      <c r="C609" s="592"/>
      <c r="D609" s="592"/>
      <c r="E609" s="592"/>
      <c r="F609" s="592"/>
      <c r="G609" s="592"/>
      <c r="H609" s="592"/>
      <c r="I609" s="592"/>
      <c r="J609" s="592"/>
    </row>
    <row r="610" customFormat="false" ht="12.75" hidden="false" customHeight="false" outlineLevel="0" collapsed="false">
      <c r="B610" s="592"/>
      <c r="C610" s="592"/>
      <c r="D610" s="592"/>
      <c r="E610" s="592"/>
      <c r="F610" s="592"/>
      <c r="G610" s="592"/>
      <c r="H610" s="592"/>
      <c r="I610" s="592"/>
      <c r="J610" s="592"/>
    </row>
    <row r="611" customFormat="false" ht="12.75" hidden="false" customHeight="false" outlineLevel="0" collapsed="false">
      <c r="B611" s="592"/>
      <c r="C611" s="592"/>
      <c r="D611" s="592"/>
      <c r="E611" s="592"/>
      <c r="F611" s="592"/>
      <c r="G611" s="592"/>
      <c r="H611" s="592"/>
      <c r="I611" s="592"/>
      <c r="J611" s="592"/>
    </row>
    <row r="612" customFormat="false" ht="12.75" hidden="false" customHeight="false" outlineLevel="0" collapsed="false">
      <c r="B612" s="592"/>
      <c r="C612" s="592"/>
      <c r="D612" s="592"/>
      <c r="E612" s="592"/>
      <c r="F612" s="592"/>
      <c r="G612" s="592"/>
      <c r="H612" s="592"/>
      <c r="I612" s="592"/>
      <c r="J612" s="592"/>
    </row>
    <row r="613" customFormat="false" ht="12.75" hidden="false" customHeight="false" outlineLevel="0" collapsed="false">
      <c r="B613" s="592"/>
      <c r="C613" s="592"/>
      <c r="D613" s="592"/>
      <c r="E613" s="592"/>
      <c r="F613" s="592"/>
      <c r="G613" s="592"/>
      <c r="H613" s="592"/>
      <c r="I613" s="592"/>
      <c r="J613" s="592"/>
    </row>
    <row r="614" customFormat="false" ht="12.75" hidden="false" customHeight="false" outlineLevel="0" collapsed="false">
      <c r="B614" s="592"/>
      <c r="C614" s="592"/>
      <c r="D614" s="592"/>
      <c r="E614" s="592"/>
      <c r="F614" s="592"/>
      <c r="G614" s="592"/>
      <c r="H614" s="592"/>
      <c r="I614" s="592"/>
      <c r="J614" s="592"/>
    </row>
    <row r="615" customFormat="false" ht="12.75" hidden="false" customHeight="false" outlineLevel="0" collapsed="false">
      <c r="B615" s="592"/>
      <c r="C615" s="592"/>
      <c r="D615" s="592"/>
      <c r="E615" s="592"/>
      <c r="F615" s="592"/>
      <c r="G615" s="592"/>
      <c r="H615" s="592"/>
      <c r="I615" s="592"/>
      <c r="J615" s="592"/>
    </row>
    <row r="616" customFormat="false" ht="12.75" hidden="false" customHeight="false" outlineLevel="0" collapsed="false">
      <c r="B616" s="592"/>
      <c r="C616" s="592"/>
      <c r="D616" s="592"/>
      <c r="E616" s="592"/>
      <c r="F616" s="592"/>
      <c r="G616" s="592"/>
      <c r="H616" s="592"/>
      <c r="I616" s="592"/>
      <c r="J616" s="592"/>
    </row>
    <row r="617" customFormat="false" ht="12.75" hidden="false" customHeight="false" outlineLevel="0" collapsed="false">
      <c r="B617" s="592"/>
      <c r="C617" s="592"/>
      <c r="D617" s="592"/>
      <c r="E617" s="592"/>
      <c r="F617" s="592"/>
      <c r="G617" s="592"/>
      <c r="H617" s="592"/>
      <c r="I617" s="592"/>
      <c r="J617" s="592"/>
    </row>
    <row r="618" customFormat="false" ht="12.75" hidden="false" customHeight="false" outlineLevel="0" collapsed="false">
      <c r="B618" s="592"/>
      <c r="C618" s="592"/>
      <c r="D618" s="592"/>
      <c r="E618" s="592"/>
      <c r="F618" s="592"/>
      <c r="G618" s="592"/>
      <c r="H618" s="592"/>
      <c r="I618" s="592"/>
      <c r="J618" s="592"/>
    </row>
    <row r="619" customFormat="false" ht="12.75" hidden="false" customHeight="false" outlineLevel="0" collapsed="false">
      <c r="B619" s="592"/>
      <c r="C619" s="592"/>
      <c r="D619" s="592"/>
      <c r="E619" s="592"/>
      <c r="F619" s="592"/>
      <c r="G619" s="592"/>
      <c r="H619" s="592"/>
      <c r="I619" s="592"/>
      <c r="J619" s="592"/>
    </row>
    <row r="620" customFormat="false" ht="12.75" hidden="false" customHeight="false" outlineLevel="0" collapsed="false">
      <c r="B620" s="592"/>
      <c r="C620" s="592"/>
      <c r="D620" s="592"/>
      <c r="E620" s="592"/>
      <c r="F620" s="592"/>
      <c r="G620" s="592"/>
      <c r="H620" s="592"/>
      <c r="I620" s="592"/>
      <c r="J620" s="592"/>
    </row>
    <row r="621" customFormat="false" ht="12.75" hidden="false" customHeight="false" outlineLevel="0" collapsed="false">
      <c r="B621" s="592"/>
      <c r="C621" s="592"/>
      <c r="D621" s="592"/>
      <c r="E621" s="592"/>
      <c r="F621" s="592"/>
      <c r="G621" s="592"/>
      <c r="H621" s="592"/>
      <c r="I621" s="592"/>
      <c r="J621" s="592"/>
    </row>
    <row r="622" customFormat="false" ht="12.75" hidden="false" customHeight="false" outlineLevel="0" collapsed="false">
      <c r="B622" s="592"/>
      <c r="C622" s="592"/>
      <c r="D622" s="592"/>
      <c r="E622" s="592"/>
      <c r="F622" s="592"/>
      <c r="G622" s="592"/>
      <c r="H622" s="592"/>
      <c r="I622" s="592"/>
      <c r="J622" s="592"/>
    </row>
    <row r="623" customFormat="false" ht="12.75" hidden="false" customHeight="false" outlineLevel="0" collapsed="false">
      <c r="B623" s="592"/>
      <c r="C623" s="592"/>
      <c r="D623" s="592"/>
      <c r="E623" s="592"/>
      <c r="F623" s="592"/>
      <c r="G623" s="592"/>
      <c r="H623" s="592"/>
      <c r="I623" s="592"/>
      <c r="J623" s="592"/>
    </row>
    <row r="624" customFormat="false" ht="12.75" hidden="false" customHeight="false" outlineLevel="0" collapsed="false">
      <c r="B624" s="592"/>
      <c r="C624" s="592"/>
      <c r="D624" s="592"/>
      <c r="E624" s="592"/>
      <c r="F624" s="592"/>
      <c r="G624" s="592"/>
      <c r="H624" s="592"/>
      <c r="I624" s="592"/>
      <c r="J624" s="592"/>
    </row>
  </sheetData>
  <printOptions headings="false" gridLines="false" gridLinesSet="true" horizontalCentered="false" verticalCentered="false"/>
  <pageMargins left="0.747916666666667" right="0.747916666666667" top="0.320138888888889" bottom="0.29027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3:K46"/>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P20" activeCellId="0" sqref="AP20"/>
    </sheetView>
  </sheetViews>
  <sheetFormatPr defaultColWidth="7.9921875" defaultRowHeight="12.75" customHeight="true" zeroHeight="false" outlineLevelRow="0" outlineLevelCol="0"/>
  <cols>
    <col collapsed="false" customWidth="true" hidden="false" outlineLevel="0" max="1" min="1" style="1" width="30.7"/>
    <col collapsed="false" customWidth="true" hidden="false" outlineLevel="0" max="2" min="2" style="1" width="17.99"/>
    <col collapsed="false" customWidth="true" hidden="false" outlineLevel="0" max="3" min="3" style="1" width="10.85"/>
    <col collapsed="false" customWidth="true" hidden="false" outlineLevel="0" max="4" min="4" style="1" width="11.56"/>
    <col collapsed="false" customWidth="true" hidden="false" outlineLevel="0" max="5" min="5" style="1" width="10.85"/>
    <col collapsed="false" customWidth="true" hidden="false" outlineLevel="0" max="11" min="6" style="1" width="10.71"/>
    <col collapsed="false" customWidth="false" hidden="false" outlineLevel="0" max="257" min="12" style="1" width="7.99"/>
  </cols>
  <sheetData>
    <row r="3" customFormat="false" ht="12.75" hidden="false" customHeight="false" outlineLevel="0" collapsed="false">
      <c r="A3" s="594" t="s">
        <v>1072</v>
      </c>
    </row>
    <row r="4" customFormat="false" ht="12.75" hidden="false" customHeight="false" outlineLevel="0" collapsed="false">
      <c r="A4" s="1" t="s">
        <v>895</v>
      </c>
      <c r="B4" s="63" t="n">
        <f aca="false">'Financial summ-SPG'!B48</f>
        <v>43121531.4165856</v>
      </c>
    </row>
    <row r="5" customFormat="false" ht="12.75" hidden="false" customHeight="false" outlineLevel="0" collapsed="false">
      <c r="A5" s="1" t="s">
        <v>2</v>
      </c>
      <c r="B5" s="63" t="n">
        <f aca="false">'Financial summ-SPG'!B49</f>
        <v>24894539.7549624</v>
      </c>
    </row>
    <row r="6" customFormat="false" ht="12.75" hidden="false" customHeight="false" outlineLevel="0" collapsed="false">
      <c r="A6" s="277" t="s">
        <v>1073</v>
      </c>
      <c r="B6" s="63" t="n">
        <f aca="false">'Financial summ-SPG'!B50</f>
        <v>3773584.90566038</v>
      </c>
    </row>
    <row r="7" customFormat="false" ht="12.75" hidden="false" customHeight="false" outlineLevel="0" collapsed="false">
      <c r="A7" s="1" t="s">
        <v>1074</v>
      </c>
      <c r="B7" s="408" t="n">
        <f aca="false">'Financial summ-SPG'!B51</f>
        <v>29561828.0797086</v>
      </c>
    </row>
    <row r="8" customFormat="false" ht="12.75" hidden="false" customHeight="false" outlineLevel="0" collapsed="false">
      <c r="B8" s="409" t="n">
        <f aca="false">SUM(B4:B7)</f>
        <v>101351484.156917</v>
      </c>
    </row>
    <row r="20" customFormat="false" ht="12.75" hidden="false" customHeight="false" outlineLevel="0" collapsed="false">
      <c r="A20" s="594" t="s">
        <v>1075</v>
      </c>
      <c r="B20" s="277" t="s">
        <v>1076</v>
      </c>
    </row>
    <row r="21" customFormat="false" ht="12.75" hidden="false" customHeight="false" outlineLevel="0" collapsed="false">
      <c r="A21" s="1" t="s">
        <v>895</v>
      </c>
      <c r="B21" s="378" t="n">
        <f aca="false">'Financial summ-EES'!B57</f>
        <v>5096302.96193024</v>
      </c>
    </row>
    <row r="22" customFormat="false" ht="12.75" hidden="false" customHeight="false" outlineLevel="0" collapsed="false">
      <c r="A22" s="1" t="s">
        <v>2</v>
      </c>
      <c r="B22" s="378" t="n">
        <f aca="false">'Financial summ-EES'!B58</f>
        <v>10256443.0447698</v>
      </c>
    </row>
    <row r="23" customFormat="false" ht="12.75" hidden="false" customHeight="false" outlineLevel="0" collapsed="false">
      <c r="A23" s="1" t="s">
        <v>1074</v>
      </c>
      <c r="B23" s="378" t="n">
        <f aca="false">'Financial summ-EES'!B59</f>
        <v>0</v>
      </c>
    </row>
    <row r="24" customFormat="false" ht="12.75" hidden="false" customHeight="false" outlineLevel="0" collapsed="false">
      <c r="B24" s="409" t="n">
        <f aca="false">SUM(B21:B23)</f>
        <v>15352746.0067</v>
      </c>
    </row>
    <row r="26" customFormat="false" ht="12.75" hidden="false" customHeight="false" outlineLevel="0" collapsed="false">
      <c r="A26" s="1" t="s">
        <v>1077</v>
      </c>
    </row>
    <row r="43" customFormat="false" ht="12.75" hidden="false" customHeight="false" outlineLevel="0" collapsed="false">
      <c r="A43" s="1" t="s">
        <v>1078</v>
      </c>
    </row>
    <row r="44" customFormat="false" ht="12.75" hidden="false" customHeight="false" outlineLevel="0" collapsed="false">
      <c r="B44" s="1" t="n">
        <v>1</v>
      </c>
      <c r="C44" s="1" t="n">
        <v>2</v>
      </c>
      <c r="D44" s="1" t="n">
        <v>3</v>
      </c>
      <c r="E44" s="1" t="n">
        <v>4</v>
      </c>
      <c r="F44" s="1" t="n">
        <v>5</v>
      </c>
      <c r="G44" s="1" t="n">
        <v>6</v>
      </c>
      <c r="H44" s="1" t="n">
        <v>7</v>
      </c>
      <c r="I44" s="1" t="n">
        <v>8</v>
      </c>
      <c r="J44" s="1" t="n">
        <v>9</v>
      </c>
      <c r="K44" s="1" t="n">
        <v>10</v>
      </c>
    </row>
    <row r="45" customFormat="false" ht="12.75" hidden="false" customHeight="false" outlineLevel="0" collapsed="false">
      <c r="A45" s="1" t="s">
        <v>1079</v>
      </c>
      <c r="B45" s="63" t="n">
        <f aca="false">'Financial summ-SPG'!C9+'Financial summ-SPG'!C14</f>
        <v>12251522.5410309</v>
      </c>
      <c r="C45" s="63" t="n">
        <f aca="false">'Financial summ-SPG'!D9+'Financial summ-SPG'!D14</f>
        <v>13617292.006098</v>
      </c>
      <c r="D45" s="63" t="n">
        <f aca="false">'Financial summ-SPG'!E9+'Financial summ-SPG'!E14</f>
        <v>15240147.4881188</v>
      </c>
      <c r="E45" s="63" t="n">
        <f aca="false">'Financial summ-SPG'!F9+'Financial summ-SPG'!F14</f>
        <v>15818591.0262648</v>
      </c>
      <c r="F45" s="63" t="n">
        <f aca="false">'Financial summ-SPG'!G9+'Financial summ-SPG'!G14</f>
        <v>15818591.0262648</v>
      </c>
      <c r="G45" s="63" t="n">
        <f aca="false">'Financial summ-SPG'!H9+'Financial summ-SPG'!H14</f>
        <v>15818591.0262648</v>
      </c>
      <c r="H45" s="63" t="n">
        <f aca="false">'Financial summ-SPG'!I9+'Financial summ-SPG'!I14</f>
        <v>15818591.0262648</v>
      </c>
      <c r="I45" s="63" t="n">
        <f aca="false">'Financial summ-SPG'!J9+'Financial summ-SPG'!J14</f>
        <v>15818591.0262648</v>
      </c>
      <c r="J45" s="63" t="n">
        <f aca="false">'Financial summ-SPG'!K9+'Financial summ-SPG'!K14</f>
        <v>15818591.0262648</v>
      </c>
      <c r="K45" s="63" t="n">
        <f aca="false">'Financial summ-SPG'!L9+'Financial summ-SPG'!L14</f>
        <v>15818591.0262648</v>
      </c>
    </row>
    <row r="46" customFormat="false" ht="12.75" hidden="false" customHeight="false" outlineLevel="0" collapsed="false">
      <c r="A46" s="1" t="s">
        <v>1080</v>
      </c>
      <c r="B46" s="595" t="n">
        <f aca="false">-'Financial summ-SPG'!C25</f>
        <v>10742000</v>
      </c>
      <c r="C46" s="595" t="n">
        <f aca="false">-'Financial summ-SPG'!D25</f>
        <v>10955872.6036892</v>
      </c>
      <c r="D46" s="595" t="n">
        <f aca="false">-'Financial summ-SPG'!E25</f>
        <v>11174003.3986471</v>
      </c>
      <c r="E46" s="595" t="n">
        <f aca="false">-'Financial summ-SPG'!F25</f>
        <v>11396477.1652176</v>
      </c>
      <c r="F46" s="595" t="n">
        <f aca="false">-'Financial summ-SPG'!G25</f>
        <v>11623380.3717163</v>
      </c>
      <c r="G46" s="595" t="n">
        <f aca="false">-'Financial summ-SPG'!H25</f>
        <v>11854801.2080381</v>
      </c>
      <c r="H46" s="595" t="n">
        <f aca="false">-'Financial summ-SPG'!I25</f>
        <v>12090829.6199336</v>
      </c>
      <c r="I46" s="595" t="n">
        <f aca="false">-'Financial summ-SPG'!J25</f>
        <v>12331557.343968</v>
      </c>
      <c r="J46" s="595" t="n">
        <f aca="false">-'Financial summ-SPG'!K25</f>
        <v>12577077.9431764</v>
      </c>
      <c r="K46" s="595" t="n">
        <f aca="false">-'Financial summ-SPG'!L25</f>
        <v>12827486.8434286</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75" fitToWidth="1" fitToHeight="1" pageOrder="downThenOver" orientation="landscape" blackAndWhite="false" draft="false" cellComments="none" horizontalDpi="300" verticalDpi="300" copies="1"/>
  <headerFooter differentFirst="false" differentOddEven="false">
    <oddHeader/>
    <oddFooter/>
  </headerFooter>
  <rowBreaks count="1" manualBreakCount="1">
    <brk id="51" man="true" max="16383" min="0"/>
  </rowBreaks>
  <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2:L84"/>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16" activeCellId="0" sqref="C16"/>
    </sheetView>
  </sheetViews>
  <sheetFormatPr defaultColWidth="7.9921875" defaultRowHeight="12.75" customHeight="true" zeroHeight="false" outlineLevelRow="0" outlineLevelCol="0"/>
  <cols>
    <col collapsed="false" customWidth="true" hidden="false" outlineLevel="0" max="1" min="1" style="1" width="31.7"/>
    <col collapsed="false" customWidth="true" hidden="false" outlineLevel="0" max="2" min="2" style="1" width="17.42"/>
    <col collapsed="false" customWidth="true" hidden="false" outlineLevel="0" max="4" min="3" style="1" width="12.7"/>
    <col collapsed="false" customWidth="true" hidden="false" outlineLevel="0" max="5" min="5" style="1" width="11.13"/>
    <col collapsed="false" customWidth="true" hidden="false" outlineLevel="0" max="6" min="6" style="1" width="15.7"/>
    <col collapsed="false" customWidth="true" hidden="false" outlineLevel="0" max="12" min="7" style="1" width="10.41"/>
    <col collapsed="false" customWidth="false" hidden="false" outlineLevel="0" max="257" min="13" style="1" width="7.99"/>
  </cols>
  <sheetData>
    <row r="2" customFormat="false" ht="18.75" hidden="false" customHeight="false" outlineLevel="0" collapsed="false">
      <c r="A2" s="372" t="s">
        <v>1081</v>
      </c>
      <c r="B2" s="277"/>
      <c r="C2" s="380"/>
      <c r="D2" s="277"/>
    </row>
    <row r="3" customFormat="false" ht="18.75" hidden="false" customHeight="false" outlineLevel="0" collapsed="false">
      <c r="A3" s="372"/>
      <c r="B3" s="277"/>
      <c r="C3" s="380"/>
      <c r="D3" s="277"/>
    </row>
    <row r="4" customFormat="false" ht="12.75" hidden="false" customHeight="false" outlineLevel="0" collapsed="false">
      <c r="A4" s="596" t="s">
        <v>1082</v>
      </c>
      <c r="B4" s="277"/>
      <c r="C4" s="380"/>
      <c r="D4" s="277"/>
    </row>
    <row r="5" customFormat="false" ht="12.75" hidden="false" customHeight="false" outlineLevel="0" collapsed="false">
      <c r="B5" s="1" t="s">
        <v>1083</v>
      </c>
      <c r="C5" s="1" t="s">
        <v>1084</v>
      </c>
    </row>
    <row r="6" customFormat="false" ht="12.75" hidden="false" customHeight="false" outlineLevel="0" collapsed="false">
      <c r="A6" s="1" t="s">
        <v>1085</v>
      </c>
      <c r="B6" s="380" t="n">
        <v>0</v>
      </c>
      <c r="C6" s="380" t="n">
        <v>435000</v>
      </c>
    </row>
    <row r="7" customFormat="false" ht="12.75" hidden="false" customHeight="false" outlineLevel="0" collapsed="false">
      <c r="A7" s="1" t="s">
        <v>1086</v>
      </c>
      <c r="B7" s="380" t="n">
        <v>0</v>
      </c>
      <c r="C7" s="380" t="n">
        <v>150000</v>
      </c>
    </row>
    <row r="8" customFormat="false" ht="12.75" hidden="false" customHeight="false" outlineLevel="0" collapsed="false">
      <c r="A8" s="1" t="s">
        <v>1087</v>
      </c>
      <c r="B8" s="597" t="n">
        <v>20000</v>
      </c>
      <c r="C8" s="597" t="n">
        <v>6000</v>
      </c>
    </row>
    <row r="9" customFormat="false" ht="12.75" hidden="false" customHeight="false" outlineLevel="0" collapsed="false">
      <c r="A9" s="1" t="s">
        <v>782</v>
      </c>
      <c r="B9" s="409" t="n">
        <f aca="false">SUM(B6:B8)</f>
        <v>20000</v>
      </c>
      <c r="C9" s="409" t="n">
        <f aca="false">SUM(C6:C8)</f>
        <v>591000</v>
      </c>
    </row>
    <row r="10" customFormat="false" ht="12.75" hidden="false" customHeight="false" outlineLevel="0" collapsed="false">
      <c r="B10" s="409"/>
      <c r="C10" s="409"/>
    </row>
    <row r="11" customFormat="false" ht="12.75" hidden="false" customHeight="false" outlineLevel="0" collapsed="false">
      <c r="A11" s="1" t="s">
        <v>1088</v>
      </c>
      <c r="B11" s="276" t="n">
        <v>0.02</v>
      </c>
    </row>
    <row r="12" customFormat="false" ht="12.75" hidden="false" customHeight="false" outlineLevel="0" collapsed="false">
      <c r="B12" s="276"/>
    </row>
    <row r="14" customFormat="false" ht="18.75" hidden="false" customHeight="false" outlineLevel="0" collapsed="false">
      <c r="A14" s="372" t="s">
        <v>1089</v>
      </c>
    </row>
    <row r="16" customFormat="false" ht="12.75" hidden="false" customHeight="false" outlineLevel="0" collapsed="false">
      <c r="A16" s="596" t="s">
        <v>979</v>
      </c>
      <c r="C16" s="1" t="n">
        <v>1</v>
      </c>
      <c r="D16" s="1" t="n">
        <v>2</v>
      </c>
      <c r="E16" s="1" t="n">
        <v>3</v>
      </c>
      <c r="F16" s="1" t="n">
        <v>4</v>
      </c>
      <c r="G16" s="1" t="n">
        <v>5</v>
      </c>
      <c r="H16" s="1" t="n">
        <v>6</v>
      </c>
      <c r="I16" s="1" t="n">
        <v>7</v>
      </c>
      <c r="J16" s="1" t="n">
        <v>8</v>
      </c>
      <c r="K16" s="1" t="n">
        <v>9</v>
      </c>
      <c r="L16" s="1" t="n">
        <v>10</v>
      </c>
    </row>
    <row r="17" customFormat="false" ht="12.75" hidden="false" customHeight="false" outlineLevel="0" collapsed="false">
      <c r="E17" s="518"/>
    </row>
    <row r="18" customFormat="false" ht="12.75" hidden="false" customHeight="false" outlineLevel="0" collapsed="false">
      <c r="A18" s="596" t="s">
        <v>1090</v>
      </c>
    </row>
    <row r="19" customFormat="false" ht="12.75" hidden="false" customHeight="false" outlineLevel="0" collapsed="false">
      <c r="A19" s="1" t="s">
        <v>1085</v>
      </c>
      <c r="C19" s="409" t="n">
        <f aca="false">B6+C6</f>
        <v>435000</v>
      </c>
      <c r="D19" s="598" t="n">
        <f aca="false">C6*(1+$B$11)</f>
        <v>443700</v>
      </c>
      <c r="E19" s="519" t="n">
        <f aca="false">D19*(1+$B$11)</f>
        <v>452574</v>
      </c>
      <c r="F19" s="409" t="n">
        <f aca="false">E19*(1+$B$11)</f>
        <v>461625.48</v>
      </c>
      <c r="G19" s="409" t="n">
        <f aca="false">F19*(1+$B$11)</f>
        <v>470857.9896</v>
      </c>
      <c r="H19" s="409" t="n">
        <f aca="false">G19*(1+$B$11)</f>
        <v>480275.149392</v>
      </c>
      <c r="I19" s="409" t="n">
        <f aca="false">H19*(1+$B$11)</f>
        <v>489880.65237984</v>
      </c>
      <c r="J19" s="409" t="n">
        <f aca="false">I19*(1+$B$11)</f>
        <v>499678.265427437</v>
      </c>
      <c r="K19" s="409" t="n">
        <f aca="false">J19*(1+$B$11)</f>
        <v>509671.830735986</v>
      </c>
      <c r="L19" s="409" t="n">
        <f aca="false">K19*(1+$B$11)</f>
        <v>519865.267350705</v>
      </c>
    </row>
    <row r="20" customFormat="false" ht="12.75" hidden="false" customHeight="false" outlineLevel="0" collapsed="false">
      <c r="A20" s="1" t="s">
        <v>1086</v>
      </c>
      <c r="C20" s="409" t="n">
        <f aca="false">B7+C7</f>
        <v>150000</v>
      </c>
      <c r="D20" s="598" t="n">
        <f aca="false">C20*(1+$B$11)</f>
        <v>153000</v>
      </c>
      <c r="E20" s="519" t="n">
        <f aca="false">D20*(1+$B$11)</f>
        <v>156060</v>
      </c>
      <c r="F20" s="409" t="n">
        <f aca="false">E20*(1+$B$11)</f>
        <v>159181.2</v>
      </c>
      <c r="G20" s="409" t="n">
        <f aca="false">F20*(1+$B$11)</f>
        <v>162364.824</v>
      </c>
      <c r="H20" s="409" t="n">
        <f aca="false">G20*(1+$B$11)</f>
        <v>165612.12048</v>
      </c>
      <c r="I20" s="409" t="n">
        <f aca="false">H20*(1+$B$11)</f>
        <v>168924.3628896</v>
      </c>
      <c r="J20" s="409" t="n">
        <f aca="false">I20*(1+$B$11)</f>
        <v>172302.850147392</v>
      </c>
      <c r="K20" s="409" t="n">
        <f aca="false">J20*(1+$B$11)</f>
        <v>175748.90715034</v>
      </c>
      <c r="L20" s="409" t="n">
        <f aca="false">K20*(1+$B$11)</f>
        <v>179263.885293347</v>
      </c>
    </row>
    <row r="21" customFormat="false" ht="12.75" hidden="false" customHeight="false" outlineLevel="0" collapsed="false">
      <c r="A21" s="1" t="s">
        <v>1087</v>
      </c>
      <c r="C21" s="409" t="n">
        <f aca="false">B8+C8</f>
        <v>26000</v>
      </c>
      <c r="D21" s="598" t="n">
        <f aca="false">C8*(1+$B$11)</f>
        <v>6120</v>
      </c>
      <c r="E21" s="519" t="n">
        <f aca="false">D21*(1+$B$11)</f>
        <v>6242.4</v>
      </c>
      <c r="F21" s="409" t="n">
        <f aca="false">E21*(1+$B$11)</f>
        <v>6367.248</v>
      </c>
      <c r="G21" s="409" t="n">
        <f aca="false">F21*(1+$B$11)</f>
        <v>6494.59296</v>
      </c>
      <c r="H21" s="409" t="n">
        <f aca="false">G21*(1+$B$11)</f>
        <v>6624.4848192</v>
      </c>
      <c r="I21" s="409" t="n">
        <f aca="false">H21*(1+$B$11)</f>
        <v>6756.974515584</v>
      </c>
      <c r="J21" s="409" t="n">
        <f aca="false">I21*(1+$B$11)</f>
        <v>6892.11400589568</v>
      </c>
      <c r="K21" s="409" t="n">
        <f aca="false">J21*(1+$B$11)</f>
        <v>7029.9562860136</v>
      </c>
      <c r="L21" s="409" t="n">
        <f aca="false">K21*(1+$B$11)</f>
        <v>7170.55541173387</v>
      </c>
    </row>
    <row r="23" customFormat="false" ht="12.75" hidden="false" customHeight="false" outlineLevel="0" collapsed="false">
      <c r="A23" s="373" t="s">
        <v>1091</v>
      </c>
      <c r="C23" s="409" t="n">
        <f aca="false">C17-SUM(C19:C21)</f>
        <v>-611000</v>
      </c>
      <c r="D23" s="409" t="n">
        <f aca="false">D17-SUM(D19:D21)</f>
        <v>-602820</v>
      </c>
      <c r="E23" s="519" t="n">
        <f aca="false">E17-SUM(E19:E21)</f>
        <v>-614876.4</v>
      </c>
      <c r="F23" s="409" t="n">
        <f aca="false">F17-SUM(F19:F21)</f>
        <v>-627173.928</v>
      </c>
      <c r="G23" s="409" t="n">
        <f aca="false">G17-SUM(G19:G21)</f>
        <v>-639717.40656</v>
      </c>
      <c r="H23" s="409" t="n">
        <f aca="false">H17-SUM(H19:H21)</f>
        <v>-652511.7546912</v>
      </c>
      <c r="I23" s="409" t="n">
        <f aca="false">I17-SUM(I19:I21)</f>
        <v>-665561.989785024</v>
      </c>
      <c r="J23" s="409" t="n">
        <f aca="false">J17-SUM(J19:J21)</f>
        <v>-678873.229580725</v>
      </c>
      <c r="K23" s="409" t="n">
        <f aca="false">K17-SUM(K19:K21)</f>
        <v>-692450.694172339</v>
      </c>
      <c r="L23" s="409" t="n">
        <f aca="false">L17-SUM(L19:L21)</f>
        <v>-706299.708055786</v>
      </c>
    </row>
    <row r="25" customFormat="false" ht="12.75" hidden="false" customHeight="false" outlineLevel="0" collapsed="false">
      <c r="A25" s="1" t="s">
        <v>1092</v>
      </c>
      <c r="C25" s="599" t="n">
        <f aca="false">NPV('general info'!B45,'account mgt'!C23:L23)</f>
        <v>-3390987.23626865</v>
      </c>
    </row>
    <row r="27" customFormat="false" ht="12.75" hidden="false" customHeight="false" outlineLevel="0" collapsed="false">
      <c r="A27" s="277"/>
      <c r="C27" s="409"/>
      <c r="D27" s="409"/>
      <c r="E27" s="409"/>
      <c r="F27" s="409"/>
      <c r="G27" s="409"/>
      <c r="H27" s="409"/>
      <c r="I27" s="409"/>
      <c r="J27" s="409"/>
      <c r="K27" s="409"/>
      <c r="L27" s="409"/>
    </row>
    <row r="28" customFormat="false" ht="12.75" hidden="false" customHeight="false" outlineLevel="0" collapsed="false">
      <c r="A28" s="277"/>
    </row>
    <row r="29" customFormat="false" ht="12.75" hidden="false" customHeight="false" outlineLevel="0" collapsed="false">
      <c r="A29" s="277"/>
    </row>
    <row r="73" customFormat="false" ht="12.75" hidden="false" customHeight="false" outlineLevel="0" collapsed="false">
      <c r="B73" s="280"/>
    </row>
    <row r="84" customFormat="false" ht="12.75" hidden="false" customHeight="false" outlineLevel="0" collapsed="false">
      <c r="B84" s="280"/>
    </row>
  </sheetData>
  <printOptions headings="false" gridLines="false" gridLinesSet="true" horizontalCentered="false" verticalCentered="false"/>
  <pageMargins left="0.25" right="0.25" top="0.5" bottom="0.5" header="0.511811023622047" footer="0.5"/>
  <pageSetup paperSize="1" scale="75" fitToWidth="1" fitToHeight="1" pageOrder="downThenOver" orientation="landscape" blackAndWhite="false" draft="false" cellComments="none" horizontalDpi="300" verticalDpi="300" copies="1"/>
  <headerFooter differentFirst="false" differentOddEven="false">
    <oddHeader/>
    <oddFooter>&amp;L&amp;A&amp;C&amp;D &amp;T</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2:L84"/>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10" activeCellId="0" sqref="B10"/>
    </sheetView>
  </sheetViews>
  <sheetFormatPr defaultColWidth="7.9921875" defaultRowHeight="12.75" customHeight="true" zeroHeight="false" outlineLevelRow="0" outlineLevelCol="0"/>
  <cols>
    <col collapsed="false" customWidth="true" hidden="false" outlineLevel="0" max="1" min="1" style="1" width="24.56"/>
    <col collapsed="false" customWidth="true" hidden="false" outlineLevel="0" max="2" min="2" style="1" width="11.85"/>
    <col collapsed="false" customWidth="true" hidden="false" outlineLevel="0" max="11" min="3" style="1" width="9.85"/>
    <col collapsed="false" customWidth="false" hidden="false" outlineLevel="0" max="257" min="12" style="1" width="7.99"/>
  </cols>
  <sheetData>
    <row r="2" customFormat="false" ht="20.25" hidden="false" customHeight="false" outlineLevel="0" collapsed="false">
      <c r="A2" s="239" t="s">
        <v>1093</v>
      </c>
    </row>
    <row r="3" customFormat="false" ht="20.25" hidden="false" customHeight="false" outlineLevel="0" collapsed="false">
      <c r="A3" s="239"/>
    </row>
    <row r="4" customFormat="false" ht="12.75" hidden="false" customHeight="true" outlineLevel="0" collapsed="false">
      <c r="A4" s="277" t="s">
        <v>1094</v>
      </c>
      <c r="E4" s="475" t="n">
        <f aca="false">'wholesale services'!C28</f>
        <v>0.015</v>
      </c>
    </row>
    <row r="5" customFormat="false" ht="15" hidden="false" customHeight="true" outlineLevel="0" collapsed="false">
      <c r="A5" s="239"/>
    </row>
    <row r="6" customFormat="false" ht="12.75" hidden="false" customHeight="false" outlineLevel="0" collapsed="false">
      <c r="B6" s="1" t="n">
        <v>1</v>
      </c>
      <c r="C6" s="1" t="n">
        <v>2</v>
      </c>
      <c r="D6" s="1" t="n">
        <v>3</v>
      </c>
      <c r="E6" s="1" t="n">
        <v>4</v>
      </c>
      <c r="F6" s="1" t="n">
        <v>5</v>
      </c>
      <c r="G6" s="1" t="n">
        <v>6</v>
      </c>
      <c r="H6" s="1" t="n">
        <v>7</v>
      </c>
      <c r="I6" s="1" t="n">
        <v>8</v>
      </c>
      <c r="J6" s="1" t="n">
        <v>9</v>
      </c>
      <c r="K6" s="1" t="n">
        <v>10</v>
      </c>
    </row>
    <row r="7" customFormat="false" ht="12.75" hidden="false" customHeight="false" outlineLevel="0" collapsed="false">
      <c r="A7" s="1" t="s">
        <v>1095</v>
      </c>
      <c r="B7" s="378" t="n">
        <f aca="false">-'wholesale services'!D128</f>
        <v>662655</v>
      </c>
      <c r="C7" s="378" t="n">
        <f aca="false">-'wholesale services'!E128</f>
        <v>662655</v>
      </c>
      <c r="D7" s="378" t="n">
        <f aca="false">-'wholesale services'!F128</f>
        <v>662655</v>
      </c>
      <c r="E7" s="378" t="n">
        <f aca="false">-'wholesale services'!G128</f>
        <v>662655</v>
      </c>
      <c r="F7" s="378" t="n">
        <f aca="false">-'wholesale services'!H128</f>
        <v>662655</v>
      </c>
      <c r="G7" s="378" t="n">
        <f aca="false">-'wholesale services'!I128</f>
        <v>662655</v>
      </c>
      <c r="H7" s="378" t="n">
        <f aca="false">-'wholesale services'!J128</f>
        <v>662655</v>
      </c>
      <c r="I7" s="378" t="n">
        <f aca="false">-'wholesale services'!K128</f>
        <v>662655</v>
      </c>
      <c r="J7" s="378" t="n">
        <f aca="false">-'wholesale services'!L128</f>
        <v>662655</v>
      </c>
      <c r="K7" s="378" t="n">
        <f aca="false">-'wholesale services'!M128</f>
        <v>662655</v>
      </c>
    </row>
    <row r="8" customFormat="false" ht="12.75" hidden="false" customHeight="false" outlineLevel="0" collapsed="false">
      <c r="A8" s="1" t="s">
        <v>1000</v>
      </c>
      <c r="B8" s="378" t="n">
        <f aca="false">-'wholesale services'!D127</f>
        <v>-0</v>
      </c>
      <c r="C8" s="378" t="n">
        <f aca="false">-'wholesale services'!E127</f>
        <v>-0</v>
      </c>
      <c r="D8" s="378" t="n">
        <f aca="false">-'wholesale services'!F127</f>
        <v>-0</v>
      </c>
      <c r="E8" s="378" t="n">
        <f aca="false">-'wholesale services'!G127</f>
        <v>-0</v>
      </c>
      <c r="F8" s="378" t="n">
        <f aca="false">-'wholesale services'!H127</f>
        <v>-0</v>
      </c>
      <c r="G8" s="378" t="n">
        <f aca="false">-'wholesale services'!I127</f>
        <v>-0</v>
      </c>
      <c r="H8" s="378" t="n">
        <f aca="false">-'wholesale services'!J127</f>
        <v>-0</v>
      </c>
      <c r="I8" s="378" t="n">
        <f aca="false">-'wholesale services'!K127</f>
        <v>-0</v>
      </c>
      <c r="J8" s="378" t="n">
        <f aca="false">-'wholesale services'!L127</f>
        <v>-0</v>
      </c>
      <c r="K8" s="378" t="n">
        <f aca="false">-'wholesale services'!M127</f>
        <v>-0</v>
      </c>
    </row>
    <row r="10" customFormat="false" ht="12.75" hidden="false" customHeight="false" outlineLevel="0" collapsed="false">
      <c r="A10" s="1" t="s">
        <v>1092</v>
      </c>
      <c r="B10" s="103" t="n">
        <f aca="false">-NPV('general info'!B45,'non-cash charges'!B7:K7)-NPV('general info'!B45,'non-cash charges'!B8:K8)</f>
        <v>-3525004.80128309</v>
      </c>
    </row>
    <row r="20" customFormat="false" ht="12.75" hidden="false" customHeight="false" outlineLevel="0" collapsed="false">
      <c r="C20" s="600"/>
      <c r="D20" s="600"/>
      <c r="E20" s="600"/>
      <c r="F20" s="600"/>
      <c r="G20" s="600"/>
      <c r="H20" s="600"/>
      <c r="I20" s="600"/>
      <c r="J20" s="600"/>
      <c r="K20" s="600"/>
      <c r="L20" s="600"/>
    </row>
    <row r="73" customFormat="false" ht="12.75" hidden="false" customHeight="false" outlineLevel="0" collapsed="false">
      <c r="B73" s="280"/>
    </row>
    <row r="84" customFormat="false" ht="12.75" hidden="false" customHeight="false" outlineLevel="0" collapsed="false">
      <c r="B84" s="280"/>
    </row>
  </sheetData>
  <printOptions headings="false" gridLines="false" gridLinesSet="true" horizontalCentered="false" verticalCentered="false"/>
  <pageMargins left="0.229861111111111" right="0.290277777777778" top="0.984027777777778" bottom="0.984027777777778" header="0.511811023622047" footer="0.5"/>
  <pageSetup paperSize="1" scale="100" fitToWidth="1" fitToHeight="1" pageOrder="downThenOver" orientation="landscape" blackAndWhite="false" draft="false" cellComments="none" horizontalDpi="300" verticalDpi="300" copies="1"/>
  <headerFooter differentFirst="false" differentOddEven="false">
    <oddHeader/>
    <oddFooter>&amp;L&amp;A&amp;C&amp;D &amp;T</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95"/>
  <sheetViews>
    <sheetView showFormulas="false" showGridLines="true" showRowColHeaders="true" showZeros="true" rightToLeft="false" tabSelected="false" showOutlineSymbols="true" defaultGridColor="true" view="normal" topLeftCell="A17" colorId="64" zoomScale="75" zoomScaleNormal="75" zoomScalePageLayoutView="100" workbookViewId="0">
      <selection pane="topLeft" activeCell="F45" activeCellId="0" sqref="F45"/>
    </sheetView>
  </sheetViews>
  <sheetFormatPr defaultColWidth="7.9921875" defaultRowHeight="12.75" customHeight="true" zeroHeight="false" outlineLevelRow="0" outlineLevelCol="0"/>
  <cols>
    <col collapsed="false" customWidth="true" hidden="false" outlineLevel="0" max="1" min="1" style="1" width="5.99"/>
    <col collapsed="false" customWidth="true" hidden="false" outlineLevel="0" max="2" min="2" style="1" width="49.28"/>
    <col collapsed="false" customWidth="true" hidden="false" outlineLevel="0" max="3" min="3" style="1" width="17.42"/>
    <col collapsed="false" customWidth="true" hidden="false" outlineLevel="0" max="4" min="4" style="1" width="16.42"/>
    <col collapsed="false" customWidth="true" hidden="false" outlineLevel="0" max="5" min="5" style="1" width="14.56"/>
    <col collapsed="false" customWidth="true" hidden="false" outlineLevel="0" max="6" min="6" style="277" width="15.13"/>
    <col collapsed="false" customWidth="true" hidden="false" outlineLevel="0" max="7" min="7" style="1" width="15.41"/>
    <col collapsed="false" customWidth="true" hidden="false" outlineLevel="0" max="8" min="8" style="1" width="14.14"/>
    <col collapsed="false" customWidth="true" hidden="false" outlineLevel="0" max="9" min="9" style="1" width="11.7"/>
    <col collapsed="false" customWidth="true" hidden="false" outlineLevel="0" max="13" min="10" style="1" width="12.85"/>
    <col collapsed="false" customWidth="true" hidden="false" outlineLevel="0" max="14" min="14" style="1" width="12.56"/>
    <col collapsed="false" customWidth="true" hidden="false" outlineLevel="0" max="15" min="15" style="1" width="11.99"/>
    <col collapsed="false" customWidth="false" hidden="false" outlineLevel="0" max="257" min="16" style="1" width="7.99"/>
  </cols>
  <sheetData>
    <row r="1" customFormat="false" ht="20.25" hidden="false" customHeight="false" outlineLevel="0" collapsed="false">
      <c r="A1" s="239" t="s">
        <v>1096</v>
      </c>
      <c r="B1" s="239"/>
      <c r="C1" s="239"/>
      <c r="D1" s="239"/>
      <c r="E1" s="239"/>
    </row>
    <row r="2" customFormat="false" ht="20.25" hidden="false" customHeight="false" outlineLevel="0" collapsed="false">
      <c r="A2" s="239" t="s">
        <v>1097</v>
      </c>
      <c r="B2" s="239"/>
      <c r="C2" s="239"/>
      <c r="D2" s="239"/>
      <c r="E2" s="239"/>
    </row>
    <row r="3" customFormat="false" ht="20.25" hidden="false" customHeight="false" outlineLevel="0" collapsed="false">
      <c r="A3" s="239"/>
      <c r="B3" s="601" t="s">
        <v>1098</v>
      </c>
      <c r="C3" s="602" t="s">
        <v>44</v>
      </c>
      <c r="D3" s="239"/>
      <c r="E3" s="239"/>
    </row>
    <row r="4" customFormat="false" ht="20.25" hidden="false" customHeight="false" outlineLevel="0" collapsed="false">
      <c r="A4" s="239"/>
      <c r="B4" s="601" t="s">
        <v>1099</v>
      </c>
      <c r="C4" s="602" t="s">
        <v>49</v>
      </c>
      <c r="D4" s="239"/>
      <c r="E4" s="239"/>
    </row>
    <row r="5" customFormat="false" ht="20.25" hidden="false" customHeight="false" outlineLevel="0" collapsed="false">
      <c r="A5" s="239"/>
      <c r="B5" s="601" t="s">
        <v>1100</v>
      </c>
      <c r="C5" s="602" t="s">
        <v>49</v>
      </c>
      <c r="D5" s="277" t="s">
        <v>1101</v>
      </c>
      <c r="E5" s="239"/>
      <c r="G5" s="603" t="n">
        <v>6350000</v>
      </c>
    </row>
    <row r="6" customFormat="false" ht="20.25" hidden="false" customHeight="false" outlineLevel="0" collapsed="false">
      <c r="A6" s="239"/>
      <c r="B6" s="601"/>
      <c r="C6" s="604"/>
      <c r="D6" s="239"/>
      <c r="E6" s="239"/>
    </row>
    <row r="7" customFormat="false" ht="12.75" hidden="false" customHeight="true" outlineLevel="0" collapsed="false">
      <c r="B7" s="605"/>
      <c r="C7" s="276"/>
      <c r="D7" s="101"/>
      <c r="E7" s="239"/>
    </row>
    <row r="8" customFormat="false" ht="18" hidden="false" customHeight="true" outlineLevel="0" collapsed="false">
      <c r="A8" s="372" t="s">
        <v>1102</v>
      </c>
      <c r="B8" s="101"/>
      <c r="C8" s="276"/>
      <c r="D8" s="101"/>
      <c r="E8" s="372"/>
    </row>
    <row r="9" customFormat="false" ht="18" hidden="false" customHeight="true" outlineLevel="0" collapsed="false">
      <c r="A9" s="372"/>
      <c r="B9" s="101"/>
      <c r="C9" s="276"/>
      <c r="D9" s="101"/>
      <c r="E9" s="372"/>
    </row>
    <row r="10" customFormat="false" ht="12.75" hidden="false" customHeight="true" outlineLevel="0" collapsed="false">
      <c r="A10" s="596"/>
      <c r="B10" s="277" t="s">
        <v>1103</v>
      </c>
      <c r="C10" s="103" t="n">
        <f aca="false">IF('general info'!B46="y",'general info'!B14,'general info'!D14)</f>
        <v>19378447.577136</v>
      </c>
      <c r="D10" s="277" t="s">
        <v>1104</v>
      </c>
      <c r="E10" s="372"/>
    </row>
    <row r="11" customFormat="false" ht="12.75" hidden="false" customHeight="true" outlineLevel="0" collapsed="false">
      <c r="A11" s="596"/>
      <c r="B11" s="277" t="s">
        <v>1105</v>
      </c>
      <c r="C11" s="606" t="n">
        <f aca="false">IF('general info'!B46="y",'general info'!B15,'general info'!D15)</f>
        <v>16686824.2718887</v>
      </c>
      <c r="D11" s="277" t="s">
        <v>1106</v>
      </c>
      <c r="E11" s="372"/>
    </row>
    <row r="12" customFormat="false" ht="12.75" hidden="false" customHeight="true" outlineLevel="0" collapsed="false">
      <c r="A12" s="596"/>
      <c r="B12" s="277" t="s">
        <v>1107</v>
      </c>
      <c r="C12" s="63" t="n">
        <f aca="false">'Redistribution Scenarios'!C8</f>
        <v>50509298</v>
      </c>
      <c r="D12" s="372"/>
      <c r="E12" s="372"/>
    </row>
    <row r="13" customFormat="false" ht="12.75" hidden="false" customHeight="true" outlineLevel="0" collapsed="false">
      <c r="A13" s="596"/>
      <c r="B13" s="277"/>
      <c r="C13" s="391"/>
      <c r="D13" s="372"/>
      <c r="E13" s="372"/>
    </row>
    <row r="14" customFormat="false" ht="12.75" hidden="false" customHeight="true" outlineLevel="0" collapsed="false">
      <c r="A14" s="596"/>
      <c r="B14" s="277" t="s">
        <v>1108</v>
      </c>
      <c r="C14" s="607" t="n">
        <f aca="false">'commodity information'!G6*1000</f>
        <v>928000</v>
      </c>
      <c r="D14" s="372"/>
      <c r="E14" s="372"/>
    </row>
    <row r="15" customFormat="false" ht="12.75" hidden="false" customHeight="true" outlineLevel="0" collapsed="false">
      <c r="A15" s="596"/>
      <c r="B15" s="277" t="s">
        <v>1109</v>
      </c>
      <c r="C15" s="460" t="n">
        <v>0.2</v>
      </c>
      <c r="D15" s="372"/>
      <c r="E15" s="372"/>
    </row>
    <row r="16" customFormat="false" ht="12.75" hidden="false" customHeight="true" outlineLevel="0" collapsed="false">
      <c r="A16" s="596"/>
      <c r="B16" s="373"/>
      <c r="C16" s="373"/>
      <c r="D16" s="373"/>
      <c r="E16" s="608"/>
      <c r="G16" s="103" t="s">
        <v>43</v>
      </c>
      <c r="H16" s="277"/>
      <c r="I16" s="277"/>
      <c r="J16" s="277"/>
    </row>
    <row r="17" customFormat="false" ht="18.75" hidden="false" customHeight="false" outlineLevel="0" collapsed="false">
      <c r="A17" s="372" t="s">
        <v>1110</v>
      </c>
    </row>
    <row r="19" customFormat="false" ht="12.75" hidden="false" customHeight="false" outlineLevel="0" collapsed="false">
      <c r="C19" s="375" t="s">
        <v>857</v>
      </c>
      <c r="D19" s="1" t="n">
        <v>1</v>
      </c>
      <c r="E19" s="1" t="n">
        <v>2</v>
      </c>
      <c r="F19" s="277" t="n">
        <v>3</v>
      </c>
      <c r="G19" s="1" t="n">
        <v>4</v>
      </c>
      <c r="H19" s="1" t="n">
        <v>5</v>
      </c>
      <c r="I19" s="1" t="n">
        <v>6</v>
      </c>
      <c r="J19" s="1" t="n">
        <v>7</v>
      </c>
      <c r="K19" s="1" t="n">
        <v>8</v>
      </c>
      <c r="L19" s="1" t="n">
        <v>9</v>
      </c>
      <c r="M19" s="1" t="n">
        <v>10</v>
      </c>
    </row>
    <row r="20" customFormat="false" ht="12.75" hidden="false" customHeight="false" outlineLevel="0" collapsed="false">
      <c r="B20" s="1" t="s">
        <v>1111</v>
      </c>
      <c r="C20" s="600" t="n">
        <v>0</v>
      </c>
      <c r="D20" s="609" t="n">
        <f aca="false">D22/C22-1</f>
        <v>0.02417777103139</v>
      </c>
      <c r="E20" s="609" t="n">
        <f aca="false">E22/D22-1</f>
        <v>0.111477529465665</v>
      </c>
      <c r="F20" s="610" t="n">
        <f aca="false">F22/E22-1</f>
        <v>0.119176080038094</v>
      </c>
      <c r="G20" s="609" t="n">
        <f aca="false">G22/F22-1</f>
        <v>0.0379552454198355</v>
      </c>
      <c r="H20" s="609" t="n">
        <f aca="false">H22/G22-1</f>
        <v>0</v>
      </c>
      <c r="I20" s="609" t="n">
        <f aca="false">I22/H22-1</f>
        <v>0</v>
      </c>
      <c r="J20" s="609" t="n">
        <f aca="false">J22/I22-1</f>
        <v>0</v>
      </c>
      <c r="K20" s="609" t="n">
        <f aca="false">K22/J22-1</f>
        <v>0</v>
      </c>
      <c r="L20" s="609" t="n">
        <f aca="false">L22/K22-1</f>
        <v>0</v>
      </c>
      <c r="M20" s="609" t="n">
        <f aca="false">M22/L22-1</f>
        <v>0</v>
      </c>
    </row>
    <row r="22" customFormat="false" ht="12.75" hidden="false" customHeight="false" outlineLevel="0" collapsed="false">
      <c r="B22" s="1" t="s">
        <v>1112</v>
      </c>
      <c r="C22" s="409" t="n">
        <f aca="false">'Redistribution Scenarios'!B4</f>
        <v>61345132.1638868</v>
      </c>
      <c r="D22" s="409" t="n">
        <f aca="false">'Redistribution Scenarios'!C4</f>
        <v>62828320.7232356</v>
      </c>
      <c r="E22" s="409" t="n">
        <f aca="false">'Redistribution Scenarios'!D4</f>
        <v>69832266.6979384</v>
      </c>
      <c r="F22" s="519" t="n">
        <f aca="false">'Redistribution Scenarios'!E4</f>
        <v>78154602.5031734</v>
      </c>
      <c r="G22" s="409" t="n">
        <f aca="false">'Redistribution Scenarios'!F4</f>
        <v>81120979.621871</v>
      </c>
      <c r="H22" s="409" t="n">
        <f aca="false">'Redistribution Scenarios'!G4</f>
        <v>81120979.621871</v>
      </c>
      <c r="I22" s="409" t="n">
        <f aca="false">'Redistribution Scenarios'!H4</f>
        <v>81120979.621871</v>
      </c>
      <c r="J22" s="409" t="n">
        <f aca="false">'Redistribution Scenarios'!I4</f>
        <v>81120979.621871</v>
      </c>
      <c r="K22" s="409" t="n">
        <f aca="false">'Redistribution Scenarios'!J4</f>
        <v>81120979.621871</v>
      </c>
      <c r="L22" s="409" t="n">
        <f aca="false">'Redistribution Scenarios'!K4</f>
        <v>81120979.621871</v>
      </c>
      <c r="M22" s="409" t="n">
        <f aca="false">'Redistribution Scenarios'!L4</f>
        <v>81120979.621871</v>
      </c>
    </row>
    <row r="23" customFormat="false" ht="12.75" hidden="false" customHeight="false" outlineLevel="0" collapsed="false">
      <c r="B23" s="1" t="s">
        <v>1113</v>
      </c>
      <c r="C23" s="607" t="n">
        <f aca="false">$C$14*(1+$C$15)</f>
        <v>1113600</v>
      </c>
      <c r="D23" s="611" t="n">
        <f aca="false">$C$23*'commodity information'!D30</f>
        <v>1306249.03062936</v>
      </c>
      <c r="E23" s="611" t="n">
        <f aca="false">$C$23*'commodity information'!E30</f>
        <v>1310472.77931</v>
      </c>
      <c r="F23" s="612" t="n">
        <f aca="false">$C$23*'commodity information'!F30</f>
        <v>1325032.85961597</v>
      </c>
      <c r="G23" s="611" t="n">
        <f aca="false">$C$23*'commodity information'!G30</f>
        <v>1347740.8486399</v>
      </c>
      <c r="H23" s="611" t="n">
        <f aca="false">$C$23*'commodity information'!H30</f>
        <v>1375391.52760042</v>
      </c>
      <c r="I23" s="611" t="n">
        <f aca="false">$C$23*'commodity information'!I30</f>
        <v>1407950.59130572</v>
      </c>
      <c r="J23" s="611" t="n">
        <f aca="false">$C$23*'commodity information'!J30</f>
        <v>1445385.55879524</v>
      </c>
      <c r="K23" s="611" t="n">
        <f aca="false">$C$23*'commodity information'!K30</f>
        <v>1487665.8493688</v>
      </c>
      <c r="L23" s="611" t="n">
        <f aca="false">$C$23*'commodity information'!L30</f>
        <v>1534762.81859207</v>
      </c>
      <c r="M23" s="611" t="n">
        <f aca="false">$C$23*'commodity information'!M30</f>
        <v>1586649.75884081</v>
      </c>
    </row>
    <row r="25" customFormat="false" ht="12.75" hidden="false" customHeight="false" outlineLevel="0" collapsed="false">
      <c r="B25" s="240" t="s">
        <v>1114</v>
      </c>
      <c r="C25" s="613" t="n">
        <v>0</v>
      </c>
    </row>
    <row r="27" customFormat="false" ht="18.75" hidden="false" customHeight="false" outlineLevel="0" collapsed="false">
      <c r="A27" s="372" t="s">
        <v>1115</v>
      </c>
      <c r="C27" s="375" t="s">
        <v>43</v>
      </c>
    </row>
    <row r="28" customFormat="false" ht="18.75" hidden="false" customHeight="false" outlineLevel="0" collapsed="false">
      <c r="A28" s="372"/>
      <c r="C28" s="375"/>
    </row>
    <row r="29" customFormat="false" ht="14.25" hidden="false" customHeight="true" outlineLevel="0" collapsed="false">
      <c r="A29" s="372"/>
      <c r="B29" s="596" t="s">
        <v>43</v>
      </c>
      <c r="C29" s="384" t="s">
        <v>783</v>
      </c>
      <c r="D29" s="256" t="s">
        <v>1116</v>
      </c>
    </row>
    <row r="30" customFormat="false" ht="14.25" hidden="false" customHeight="true" outlineLevel="0" collapsed="false">
      <c r="A30" s="372"/>
      <c r="B30" s="1" t="s">
        <v>1117</v>
      </c>
      <c r="C30" s="614" t="n">
        <f aca="false">'commodity information'!C13</f>
        <v>0.072</v>
      </c>
      <c r="D30" s="615" t="n">
        <f aca="false">'commodity information'!C17</f>
        <v>5</v>
      </c>
    </row>
    <row r="31" customFormat="false" ht="14.25" hidden="false" customHeight="true" outlineLevel="0" collapsed="false">
      <c r="A31" s="372"/>
      <c r="B31" s="1" t="s">
        <v>1118</v>
      </c>
      <c r="C31" s="408" t="n">
        <f aca="false">C12</f>
        <v>50509298</v>
      </c>
      <c r="D31" s="616" t="n">
        <f aca="false">C14</f>
        <v>928000</v>
      </c>
    </row>
    <row r="32" customFormat="false" ht="14.25" hidden="false" customHeight="true" outlineLevel="0" collapsed="false">
      <c r="A32" s="372"/>
      <c r="B32" s="1" t="s">
        <v>1119</v>
      </c>
      <c r="C32" s="103" t="n">
        <f aca="false">C31/C30</f>
        <v>701518027.777778</v>
      </c>
      <c r="D32" s="455" t="n">
        <f aca="false">D31/D30</f>
        <v>185600</v>
      </c>
    </row>
    <row r="33" customFormat="false" ht="14.25" hidden="false" customHeight="true" outlineLevel="0" collapsed="false">
      <c r="A33" s="372"/>
      <c r="C33" s="103"/>
      <c r="D33" s="103"/>
    </row>
    <row r="34" customFormat="false" ht="14.25" hidden="false" customHeight="true" outlineLevel="0" collapsed="false">
      <c r="A34" s="372"/>
      <c r="B34" s="1" t="s">
        <v>1120</v>
      </c>
      <c r="C34" s="617" t="n">
        <v>500000</v>
      </c>
      <c r="D34" s="103"/>
    </row>
    <row r="35" customFormat="false" ht="14.25" hidden="false" customHeight="true" outlineLevel="0" collapsed="false">
      <c r="A35" s="372"/>
      <c r="C35" s="103"/>
      <c r="D35" s="103"/>
    </row>
    <row r="36" customFormat="false" ht="18.75" hidden="false" customHeight="false" outlineLevel="0" collapsed="false">
      <c r="A36" s="372" t="s">
        <v>1121</v>
      </c>
    </row>
    <row r="37" customFormat="false" ht="12.75" hidden="false" customHeight="false" outlineLevel="0" collapsed="false">
      <c r="B37" s="277" t="s">
        <v>1122</v>
      </c>
      <c r="C37" s="380" t="n">
        <v>0</v>
      </c>
    </row>
    <row r="38" customFormat="false" ht="12.75" hidden="false" customHeight="false" outlineLevel="0" collapsed="false">
      <c r="B38" s="277" t="s">
        <v>958</v>
      </c>
      <c r="C38" s="618" t="n">
        <v>4.5</v>
      </c>
    </row>
    <row r="39" customFormat="false" ht="12.75" hidden="false" customHeight="false" outlineLevel="0" collapsed="false">
      <c r="B39" s="277" t="s">
        <v>1123</v>
      </c>
      <c r="C39" s="475" t="n">
        <f aca="false">C37/C38/(C32*C30)</f>
        <v>0</v>
      </c>
    </row>
    <row r="40" customFormat="false" ht="12.75" hidden="false" customHeight="false" outlineLevel="0" collapsed="false">
      <c r="B40" s="277" t="s">
        <v>1124</v>
      </c>
      <c r="C40" s="391" t="n">
        <v>0.4</v>
      </c>
    </row>
    <row r="41" customFormat="false" ht="12.75" hidden="false" customHeight="false" outlineLevel="0" collapsed="false">
      <c r="B41" s="277"/>
      <c r="C41" s="391"/>
    </row>
    <row r="42" customFormat="false" ht="18.75" hidden="false" customHeight="false" outlineLevel="0" collapsed="false">
      <c r="A42" s="372" t="s">
        <v>1125</v>
      </c>
      <c r="B42" s="277"/>
      <c r="C42" s="391"/>
    </row>
    <row r="43" customFormat="false" ht="12.75" hidden="false" customHeight="false" outlineLevel="0" collapsed="false">
      <c r="B43" s="277"/>
      <c r="C43" s="1" t="s">
        <v>857</v>
      </c>
      <c r="D43" s="1" t="n">
        <v>1</v>
      </c>
      <c r="E43" s="1" t="n">
        <v>2</v>
      </c>
      <c r="F43" s="277" t="n">
        <v>3</v>
      </c>
      <c r="G43" s="1" t="n">
        <v>4</v>
      </c>
      <c r="H43" s="1" t="n">
        <v>5</v>
      </c>
      <c r="I43" s="1" t="n">
        <v>6</v>
      </c>
      <c r="J43" s="1" t="n">
        <v>7</v>
      </c>
      <c r="K43" s="1" t="n">
        <v>8</v>
      </c>
      <c r="L43" s="1" t="n">
        <v>9</v>
      </c>
      <c r="M43" s="1" t="n">
        <v>10</v>
      </c>
    </row>
    <row r="44" customFormat="false" ht="12.75" hidden="false" customHeight="false" outlineLevel="0" collapsed="false">
      <c r="B44" s="277" t="s">
        <v>1126</v>
      </c>
      <c r="C44" s="260" t="n">
        <v>6500</v>
      </c>
      <c r="D44" s="378" t="n">
        <f aca="false">C44*(1+D20)</f>
        <v>6657.15551170403</v>
      </c>
      <c r="E44" s="377" t="n">
        <f aca="false">D44*(1+E20)</f>
        <v>7399.27876141753</v>
      </c>
      <c r="F44" s="379" t="n">
        <f aca="false">E44*(1+F20)</f>
        <v>8281.0957993124</v>
      </c>
      <c r="G44" s="378" t="n">
        <f aca="false">F44*(1+G20)</f>
        <v>8595.40682272047</v>
      </c>
      <c r="H44" s="378" t="n">
        <f aca="false">G44*(1+H20)</f>
        <v>8595.40682272047</v>
      </c>
      <c r="I44" s="378" t="n">
        <f aca="false">H44*(1+I20)</f>
        <v>8595.40682272047</v>
      </c>
      <c r="J44" s="378" t="n">
        <f aca="false">I44*(1+J20)</f>
        <v>8595.40682272047</v>
      </c>
      <c r="K44" s="378" t="n">
        <f aca="false">J44*(1+K20)</f>
        <v>8595.40682272047</v>
      </c>
      <c r="L44" s="378" t="n">
        <f aca="false">K44*(1+L20)</f>
        <v>8595.40682272047</v>
      </c>
      <c r="M44" s="378" t="n">
        <f aca="false">L44*(1+M20)</f>
        <v>8595.40682272047</v>
      </c>
    </row>
    <row r="45" customFormat="false" ht="12.75" hidden="false" customHeight="false" outlineLevel="0" collapsed="false">
      <c r="B45" s="277" t="s">
        <v>1127</v>
      </c>
      <c r="C45" s="597" t="n">
        <v>100</v>
      </c>
      <c r="D45" s="597" t="n">
        <f aca="false">7*12</f>
        <v>84</v>
      </c>
      <c r="E45" s="597" t="n">
        <f aca="false">D45</f>
        <v>84</v>
      </c>
      <c r="F45" s="529" t="n">
        <f aca="false">E45</f>
        <v>84</v>
      </c>
      <c r="G45" s="597" t="n">
        <f aca="false">F45</f>
        <v>84</v>
      </c>
      <c r="H45" s="597" t="n">
        <f aca="false">G45</f>
        <v>84</v>
      </c>
      <c r="I45" s="597" t="n">
        <f aca="false">H45</f>
        <v>84</v>
      </c>
      <c r="J45" s="597" t="n">
        <f aca="false">I45</f>
        <v>84</v>
      </c>
      <c r="K45" s="597" t="n">
        <f aca="false">J45</f>
        <v>84</v>
      </c>
      <c r="L45" s="597" t="n">
        <f aca="false">K45</f>
        <v>84</v>
      </c>
      <c r="M45" s="597" t="n">
        <f aca="false">L45</f>
        <v>84</v>
      </c>
    </row>
    <row r="46" customFormat="false" ht="12.75" hidden="false" customHeight="false" outlineLevel="0" collapsed="false">
      <c r="B46" s="277" t="s">
        <v>1128</v>
      </c>
      <c r="C46" s="63" t="n">
        <f aca="false">C44*C45</f>
        <v>650000</v>
      </c>
      <c r="D46" s="63" t="n">
        <f aca="false">D44*D45</f>
        <v>559201.062983139</v>
      </c>
      <c r="E46" s="63" t="n">
        <f aca="false">E44*E45</f>
        <v>621539.415959073</v>
      </c>
      <c r="F46" s="379" t="n">
        <f aca="false">F44*F45</f>
        <v>695612.047142241</v>
      </c>
      <c r="G46" s="63" t="n">
        <f aca="false">G44*G45</f>
        <v>722014.173108519</v>
      </c>
      <c r="H46" s="63" t="n">
        <f aca="false">H44*H45</f>
        <v>722014.173108519</v>
      </c>
      <c r="I46" s="63" t="n">
        <f aca="false">I44*I45</f>
        <v>722014.173108519</v>
      </c>
      <c r="J46" s="63" t="n">
        <f aca="false">J44*J45</f>
        <v>722014.173108519</v>
      </c>
      <c r="K46" s="63" t="n">
        <f aca="false">K44*K45</f>
        <v>722014.173108519</v>
      </c>
      <c r="L46" s="63" t="n">
        <f aca="false">L44*L45</f>
        <v>722014.173108519</v>
      </c>
      <c r="M46" s="63" t="n">
        <f aca="false">M44*M45</f>
        <v>722014.173108519</v>
      </c>
    </row>
    <row r="47" customFormat="false" ht="12.75" hidden="false" customHeight="false" outlineLevel="0" collapsed="false">
      <c r="B47" s="277"/>
      <c r="C47" s="63"/>
      <c r="D47" s="63"/>
      <c r="E47" s="63"/>
      <c r="F47" s="378"/>
      <c r="G47" s="63"/>
      <c r="H47" s="63"/>
      <c r="I47" s="63"/>
      <c r="J47" s="63"/>
      <c r="K47" s="63"/>
      <c r="L47" s="63"/>
      <c r="M47" s="63"/>
    </row>
    <row r="48" customFormat="false" ht="18.75" hidden="false" customHeight="false" outlineLevel="0" collapsed="false">
      <c r="A48" s="372" t="s">
        <v>1129</v>
      </c>
      <c r="B48" s="277"/>
      <c r="C48" s="63"/>
      <c r="D48" s="63"/>
      <c r="E48" s="63"/>
      <c r="F48" s="378"/>
      <c r="G48" s="63"/>
      <c r="H48" s="63"/>
      <c r="I48" s="63"/>
      <c r="J48" s="63"/>
      <c r="K48" s="63"/>
      <c r="L48" s="63"/>
      <c r="M48" s="63"/>
    </row>
    <row r="49" customFormat="false" ht="12.75" hidden="false" customHeight="false" outlineLevel="0" collapsed="false">
      <c r="C49" s="1" t="s">
        <v>857</v>
      </c>
      <c r="D49" s="1" t="n">
        <v>1</v>
      </c>
      <c r="E49" s="1" t="n">
        <v>2</v>
      </c>
      <c r="F49" s="277" t="n">
        <v>3</v>
      </c>
      <c r="G49" s="1" t="n">
        <v>4</v>
      </c>
      <c r="H49" s="1" t="n">
        <v>5</v>
      </c>
      <c r="I49" s="1" t="n">
        <v>6</v>
      </c>
      <c r="J49" s="1" t="n">
        <v>7</v>
      </c>
      <c r="K49" s="1" t="n">
        <v>8</v>
      </c>
      <c r="L49" s="1" t="n">
        <v>9</v>
      </c>
      <c r="M49" s="1" t="n">
        <v>10</v>
      </c>
    </row>
    <row r="50" customFormat="false" ht="12.75" hidden="false" customHeight="false" outlineLevel="0" collapsed="false">
      <c r="B50" s="277" t="s">
        <v>1130</v>
      </c>
      <c r="C50" s="607" t="n">
        <f aca="false">C34</f>
        <v>500000</v>
      </c>
      <c r="D50" s="619" t="n">
        <f aca="false">D60/C60*C50</f>
        <v>512088.885515695</v>
      </c>
      <c r="E50" s="619" t="n">
        <f aca="false">$C$50/5+(E60-D60)/D60*2000000</f>
        <v>322955.05893133</v>
      </c>
      <c r="F50" s="620" t="n">
        <f aca="false">$C$50/5+(F60-E60)/E60*2000000</f>
        <v>338352.160076188</v>
      </c>
      <c r="G50" s="619" t="n">
        <f aca="false">$C$50/5+(G60-F60)/F60*2000000</f>
        <v>175910.490839671</v>
      </c>
      <c r="H50" s="619" t="n">
        <f aca="false">$C$50/5+(H60-G60)/G60*2000000</f>
        <v>100000</v>
      </c>
      <c r="I50" s="619" t="n">
        <f aca="false">$C$50/5+(I60-H60)/H60*2000000</f>
        <v>100000</v>
      </c>
      <c r="J50" s="619" t="n">
        <f aca="false">$C$50/5+(J60-I60)/I60*2000000</f>
        <v>100000</v>
      </c>
      <c r="K50" s="619" t="n">
        <f aca="false">$C$50/5+(K60-J60)/J60*2000000</f>
        <v>100000</v>
      </c>
      <c r="L50" s="619" t="n">
        <f aca="false">$C$50/5+(L60-K60)/K60*2000000</f>
        <v>100000</v>
      </c>
      <c r="M50" s="619" t="n">
        <f aca="false">$C$50/5+(M60-L60)/L60*2000000</f>
        <v>100000</v>
      </c>
    </row>
    <row r="51" customFormat="false" ht="12.75" hidden="false" customHeight="false" outlineLevel="0" collapsed="false">
      <c r="B51" s="277"/>
      <c r="C51" s="276"/>
      <c r="D51" s="63"/>
      <c r="E51" s="63"/>
      <c r="F51" s="378"/>
      <c r="G51" s="63"/>
      <c r="H51" s="63"/>
      <c r="I51" s="63"/>
      <c r="J51" s="63"/>
      <c r="K51" s="63"/>
      <c r="L51" s="63"/>
      <c r="M51" s="63"/>
    </row>
    <row r="52" customFormat="false" ht="18.75" hidden="false" customHeight="false" outlineLevel="0" collapsed="false">
      <c r="A52" s="372" t="s">
        <v>1000</v>
      </c>
      <c r="B52" s="277"/>
      <c r="C52" s="276"/>
      <c r="D52" s="63"/>
      <c r="E52" s="63"/>
      <c r="F52" s="378"/>
      <c r="G52" s="63"/>
      <c r="H52" s="63"/>
      <c r="I52" s="63"/>
      <c r="J52" s="63"/>
      <c r="K52" s="63"/>
      <c r="L52" s="63"/>
      <c r="M52" s="63"/>
    </row>
    <row r="53" customFormat="false" ht="12.75" hidden="false" customHeight="false" outlineLevel="0" collapsed="false">
      <c r="B53" s="277" t="s">
        <v>1131</v>
      </c>
      <c r="C53" s="461" t="n">
        <v>1275000</v>
      </c>
      <c r="D53" s="63"/>
      <c r="E53" s="63"/>
      <c r="F53" s="378"/>
      <c r="G53" s="63"/>
      <c r="H53" s="63"/>
      <c r="I53" s="63"/>
      <c r="J53" s="63"/>
      <c r="K53" s="63"/>
      <c r="L53" s="63"/>
      <c r="M53" s="63"/>
    </row>
    <row r="54" customFormat="false" ht="12.75" hidden="false" customHeight="false" outlineLevel="0" collapsed="false">
      <c r="B54" s="277"/>
      <c r="C54" s="276"/>
      <c r="D54" s="63"/>
      <c r="E54" s="63"/>
      <c r="F54" s="378"/>
      <c r="G54" s="63"/>
      <c r="H54" s="63"/>
      <c r="I54" s="63"/>
      <c r="J54" s="63"/>
      <c r="K54" s="63"/>
      <c r="L54" s="63"/>
      <c r="M54" s="63"/>
    </row>
    <row r="55" customFormat="false" ht="12.75" hidden="false" customHeight="false" outlineLevel="0" collapsed="false">
      <c r="B55" s="277"/>
      <c r="C55" s="276"/>
      <c r="D55" s="63"/>
      <c r="E55" s="63"/>
      <c r="F55" s="378"/>
      <c r="G55" s="63"/>
      <c r="H55" s="63"/>
      <c r="I55" s="63"/>
      <c r="J55" s="63"/>
      <c r="K55" s="63"/>
      <c r="L55" s="63"/>
      <c r="M55" s="63"/>
    </row>
    <row r="56" customFormat="false" ht="18.75" hidden="false" customHeight="false" outlineLevel="0" collapsed="false">
      <c r="A56" s="372" t="s">
        <v>1132</v>
      </c>
      <c r="C56" s="621"/>
      <c r="D56" s="621"/>
      <c r="E56" s="0"/>
      <c r="F56" s="0"/>
      <c r="G56" s="0"/>
      <c r="H56" s="0"/>
      <c r="I56" s="0"/>
      <c r="J56" s="0"/>
      <c r="K56" s="0"/>
      <c r="L56" s="0"/>
      <c r="M56" s="0"/>
    </row>
    <row r="57" customFormat="false" ht="18.75" hidden="false" customHeight="false" outlineLevel="0" collapsed="false">
      <c r="A57" s="372"/>
    </row>
    <row r="58" customFormat="false" ht="12.75" hidden="false" customHeight="false" outlineLevel="0" collapsed="false">
      <c r="A58" s="373" t="s">
        <v>979</v>
      </c>
      <c r="B58" s="277"/>
      <c r="C58" s="1" t="s">
        <v>857</v>
      </c>
      <c r="D58" s="1" t="n">
        <v>1</v>
      </c>
      <c r="E58" s="1" t="n">
        <v>2</v>
      </c>
      <c r="F58" s="277" t="n">
        <v>3</v>
      </c>
      <c r="G58" s="1" t="n">
        <v>4</v>
      </c>
      <c r="H58" s="1" t="n">
        <v>5</v>
      </c>
      <c r="I58" s="1" t="n">
        <v>6</v>
      </c>
      <c r="J58" s="1" t="n">
        <v>7</v>
      </c>
      <c r="K58" s="1" t="n">
        <v>8</v>
      </c>
      <c r="L58" s="1" t="n">
        <v>9</v>
      </c>
      <c r="M58" s="1" t="n">
        <v>10</v>
      </c>
    </row>
    <row r="59" customFormat="false" ht="12.75" hidden="false" customHeight="false" outlineLevel="0" collapsed="false">
      <c r="A59" s="373"/>
      <c r="B59" s="277" t="s">
        <v>1133</v>
      </c>
      <c r="C59" s="514" t="n">
        <v>0</v>
      </c>
      <c r="D59" s="63" t="n">
        <f aca="false">C25</f>
        <v>0</v>
      </c>
      <c r="E59" s="63" t="n">
        <f aca="false">D25</f>
        <v>0</v>
      </c>
      <c r="F59" s="622" t="n">
        <f aca="false">E25</f>
        <v>0</v>
      </c>
      <c r="G59" s="63" t="n">
        <f aca="false">F25</f>
        <v>0</v>
      </c>
      <c r="H59" s="63" t="n">
        <f aca="false">G25</f>
        <v>0</v>
      </c>
      <c r="I59" s="63" t="n">
        <f aca="false">H25</f>
        <v>0</v>
      </c>
      <c r="J59" s="63" t="n">
        <f aca="false">I25</f>
        <v>0</v>
      </c>
      <c r="K59" s="63" t="n">
        <f aca="false">J25</f>
        <v>0</v>
      </c>
      <c r="L59" s="63" t="n">
        <f aca="false">K25</f>
        <v>0</v>
      </c>
      <c r="M59" s="63" t="n">
        <f aca="false">L25</f>
        <v>0</v>
      </c>
    </row>
    <row r="60" customFormat="false" ht="12.75" hidden="false" customHeight="false" outlineLevel="0" collapsed="false">
      <c r="B60" s="277" t="s">
        <v>1134</v>
      </c>
      <c r="C60" s="409" t="n">
        <f aca="false">C22</f>
        <v>61345132.1638868</v>
      </c>
      <c r="D60" s="409" t="n">
        <f aca="false">D22</f>
        <v>62828320.7232356</v>
      </c>
      <c r="E60" s="598" t="n">
        <f aca="false">E22</f>
        <v>69832266.6979384</v>
      </c>
      <c r="F60" s="623" t="n">
        <f aca="false">F22</f>
        <v>78154602.5031734</v>
      </c>
      <c r="G60" s="409" t="n">
        <f aca="false">G22</f>
        <v>81120979.621871</v>
      </c>
      <c r="H60" s="409" t="n">
        <f aca="false">H22</f>
        <v>81120979.621871</v>
      </c>
      <c r="I60" s="409" t="n">
        <f aca="false">I22</f>
        <v>81120979.621871</v>
      </c>
      <c r="J60" s="409" t="n">
        <f aca="false">J22</f>
        <v>81120979.621871</v>
      </c>
      <c r="K60" s="409" t="n">
        <f aca="false">K22</f>
        <v>81120979.621871</v>
      </c>
      <c r="L60" s="409" t="n">
        <f aca="false">L22</f>
        <v>81120979.621871</v>
      </c>
      <c r="M60" s="409" t="n">
        <f aca="false">M22</f>
        <v>81120979.621871</v>
      </c>
      <c r="N60" s="599" t="n">
        <f aca="false">NPV('general info'!$B$45,'power redistribution'!D60:M60)</f>
        <v>404615786.61992</v>
      </c>
    </row>
    <row r="61" customFormat="false" ht="12.75" hidden="false" customHeight="false" outlineLevel="0" collapsed="false">
      <c r="B61" s="277" t="s">
        <v>1135</v>
      </c>
      <c r="C61" s="624" t="n">
        <f aca="false">C23</f>
        <v>1113600</v>
      </c>
      <c r="D61" s="624" t="n">
        <f aca="false">D23</f>
        <v>1306249.03062936</v>
      </c>
      <c r="E61" s="624" t="n">
        <f aca="false">E23</f>
        <v>1310472.77931</v>
      </c>
      <c r="F61" s="625" t="n">
        <f aca="false">F23</f>
        <v>1325032.85961597</v>
      </c>
      <c r="G61" s="624" t="n">
        <f aca="false">G23</f>
        <v>1347740.8486399</v>
      </c>
      <c r="H61" s="624" t="n">
        <f aca="false">H23</f>
        <v>1375391.52760042</v>
      </c>
      <c r="I61" s="624" t="n">
        <f aca="false">I23</f>
        <v>1407950.59130572</v>
      </c>
      <c r="J61" s="624" t="n">
        <f aca="false">J23</f>
        <v>1445385.55879524</v>
      </c>
      <c r="K61" s="624" t="n">
        <f aca="false">K23</f>
        <v>1487665.8493688</v>
      </c>
      <c r="L61" s="624" t="n">
        <f aca="false">L23</f>
        <v>1534762.81859207</v>
      </c>
      <c r="M61" s="624" t="n">
        <f aca="false">M23</f>
        <v>1586649.75884081</v>
      </c>
    </row>
    <row r="62" customFormat="false" ht="12.75" hidden="false" customHeight="false" outlineLevel="0" collapsed="false">
      <c r="A62" s="373"/>
      <c r="B62" s="373" t="s">
        <v>1136</v>
      </c>
      <c r="C62" s="409" t="n">
        <f aca="false">SUM(C59:C61)</f>
        <v>62458732.1638868</v>
      </c>
      <c r="D62" s="409" t="n">
        <f aca="false">SUM(D59:D61)</f>
        <v>64134569.753865</v>
      </c>
      <c r="E62" s="409" t="n">
        <f aca="false">SUM(E59:E61)</f>
        <v>71142739.4772484</v>
      </c>
      <c r="F62" s="623" t="n">
        <f aca="false">SUM(F59:F61)</f>
        <v>79479635.3627893</v>
      </c>
      <c r="G62" s="409" t="n">
        <f aca="false">SUM(G59:G61)</f>
        <v>82468720.4705109</v>
      </c>
      <c r="H62" s="409" t="n">
        <f aca="false">SUM(H59:H61)</f>
        <v>82496371.1494714</v>
      </c>
      <c r="I62" s="409" t="n">
        <f aca="false">SUM(I59:I61)</f>
        <v>82528930.2131767</v>
      </c>
      <c r="J62" s="409" t="n">
        <f aca="false">SUM(J59:J61)</f>
        <v>82566365.1806662</v>
      </c>
      <c r="K62" s="409" t="n">
        <f aca="false">SUM(K59:K61)</f>
        <v>82608645.4712398</v>
      </c>
      <c r="L62" s="409" t="n">
        <f aca="false">SUM(L59:L61)</f>
        <v>82655742.4404631</v>
      </c>
      <c r="M62" s="409" t="n">
        <f aca="false">SUM(M59:M61)</f>
        <v>82707629.3807118</v>
      </c>
      <c r="N62" s="599" t="n">
        <f aca="false">NPV('general info'!$B$45,'power redistribution'!D62:M62)</f>
        <v>411965165.187732</v>
      </c>
    </row>
    <row r="63" customFormat="false" ht="12.75" hidden="false" customHeight="false" outlineLevel="0" collapsed="false">
      <c r="A63" s="373"/>
      <c r="B63" s="373"/>
    </row>
    <row r="64" customFormat="false" ht="12.75" hidden="false" customHeight="false" outlineLevel="0" collapsed="false">
      <c r="A64" s="373" t="s">
        <v>983</v>
      </c>
      <c r="B64" s="277"/>
      <c r="C64" s="442"/>
      <c r="D64" s="442"/>
      <c r="E64" s="442"/>
      <c r="F64" s="444"/>
      <c r="G64" s="442"/>
      <c r="H64" s="442"/>
      <c r="I64" s="442"/>
      <c r="J64" s="442"/>
      <c r="K64" s="442"/>
      <c r="L64" s="442"/>
      <c r="M64" s="442"/>
    </row>
    <row r="65" customFormat="false" ht="12.75" hidden="false" customHeight="false" outlineLevel="0" collapsed="false">
      <c r="B65" s="1" t="s">
        <v>1137</v>
      </c>
      <c r="C65" s="476"/>
      <c r="D65" s="476" t="n">
        <f aca="false">IF($C$4="y",'Redistribution Scenarios'!C22,0)+IF($C$5="y",'Redistribution Scenarios'!C29,0)</f>
        <v>0</v>
      </c>
      <c r="E65" s="476" t="n">
        <f aca="false">IF($C$4="y",'Redistribution Scenarios'!D22,0)+IF($C$5="y",'Redistribution Scenarios'!D29,0)</f>
        <v>0</v>
      </c>
      <c r="F65" s="476" t="n">
        <f aca="false">IF($C$4="y",'Redistribution Scenarios'!E22,0)+IF($C$5="y",'Redistribution Scenarios'!E29,0)</f>
        <v>0</v>
      </c>
      <c r="G65" s="476" t="n">
        <f aca="false">IF($C$4="y",'Redistribution Scenarios'!F22,0)+IF($C$5="y",'Redistribution Scenarios'!F29,0)</f>
        <v>0</v>
      </c>
      <c r="H65" s="476" t="n">
        <f aca="false">IF($C$4="y",'Redistribution Scenarios'!G22,0)+IF($C$5="y",'Redistribution Scenarios'!G29,0)</f>
        <v>0</v>
      </c>
      <c r="I65" s="476" t="n">
        <f aca="false">IF($C$4="y",'Redistribution Scenarios'!H22,0)+IF($C$5="y",'Redistribution Scenarios'!H29,0)</f>
        <v>0</v>
      </c>
      <c r="J65" s="476" t="n">
        <f aca="false">IF($C$4="y",'Redistribution Scenarios'!I22,0)+IF($C$5="y",'Redistribution Scenarios'!I29,0)</f>
        <v>0</v>
      </c>
      <c r="K65" s="476" t="n">
        <f aca="false">IF($C$4="y",'Redistribution Scenarios'!J22,0)+IF($C$5="y",'Redistribution Scenarios'!J29,0)</f>
        <v>0</v>
      </c>
      <c r="L65" s="476" t="n">
        <f aca="false">IF($C$4="y",'Redistribution Scenarios'!K22,0)+IF($C$5="y",'Redistribution Scenarios'!K29,0)</f>
        <v>0</v>
      </c>
      <c r="M65" s="476" t="n">
        <f aca="false">IF($C$4="y",'Redistribution Scenarios'!L22,0)+IF($C$5="y",'Redistribution Scenarios'!L29,0)</f>
        <v>0</v>
      </c>
    </row>
    <row r="66" customFormat="false" ht="12.75" hidden="false" customHeight="false" outlineLevel="0" collapsed="false">
      <c r="A66" s="373"/>
      <c r="B66" s="277" t="s">
        <v>1138</v>
      </c>
      <c r="C66" s="619" t="n">
        <f aca="false">IF($C$3="y",'Redistribution Scenarios'!B26,IF($C$4="y",'Redistribution Scenarios'!B23,IF($C$5="y",'Redistribution Scenarios'!B30+'Redistribution Scenarios'!B31)))</f>
        <v>0</v>
      </c>
      <c r="D66" s="619" t="n">
        <f aca="false">IF($C$3="y",'Redistribution Scenarios'!C26,IF($C$4="y",'Redistribution Scenarios'!C23,IF($C$5="y",'Redistribution Scenarios'!C30+'Redistribution Scenarios'!C31)))</f>
        <v>12251522.5410309</v>
      </c>
      <c r="E66" s="619" t="n">
        <f aca="false">IF($C$3="y",'Redistribution Scenarios'!D26,IF($C$4="y",'Redistribution Scenarios'!D23,IF($C$5="y",'Redistribution Scenarios'!D30+'Redistribution Scenarios'!D31)))</f>
        <v>13617292.006098</v>
      </c>
      <c r="F66" s="612" t="n">
        <f aca="false">IF($C$3="y",'Redistribution Scenarios'!E26,IF($C$4="y",'Redistribution Scenarios'!E23,IF($C$5="y",'Redistribution Scenarios'!E30+'Redistribution Scenarios'!E31)))</f>
        <v>15240147.4881188</v>
      </c>
      <c r="G66" s="619" t="n">
        <f aca="false">IF($C$3="y",'Redistribution Scenarios'!F26,IF($C$4="y",'Redistribution Scenarios'!F23,IF($C$5="y",'Redistribution Scenarios'!F30+'Redistribution Scenarios'!F31)))</f>
        <v>15818591.0262648</v>
      </c>
      <c r="H66" s="619" t="n">
        <f aca="false">IF($C$3="y",'Redistribution Scenarios'!G26,IF($C$4="y",'Redistribution Scenarios'!G23,IF($C$5="y",'Redistribution Scenarios'!G30+'Redistribution Scenarios'!G31)))</f>
        <v>15818591.0262648</v>
      </c>
      <c r="I66" s="619" t="n">
        <f aca="false">IF($C$3="y",'Redistribution Scenarios'!H26,IF($C$4="y",'Redistribution Scenarios'!H23,IF($C$5="y",'Redistribution Scenarios'!H30+'Redistribution Scenarios'!H31)))</f>
        <v>15818591.0262648</v>
      </c>
      <c r="J66" s="619" t="n">
        <f aca="false">IF($C$3="y",'Redistribution Scenarios'!I26,IF($C$4="y",'Redistribution Scenarios'!I23,IF($C$5="y",'Redistribution Scenarios'!I30+'Redistribution Scenarios'!I31)))</f>
        <v>15818591.0262648</v>
      </c>
      <c r="K66" s="619" t="n">
        <f aca="false">IF($C$3="y",'Redistribution Scenarios'!J26,IF($C$4="y",'Redistribution Scenarios'!J23,IF($C$5="y",'Redistribution Scenarios'!J30+'Redistribution Scenarios'!J31)))</f>
        <v>15818591.0262648</v>
      </c>
      <c r="L66" s="619" t="n">
        <f aca="false">IF($C$3="y",'Redistribution Scenarios'!K26,IF($C$4="y",'Redistribution Scenarios'!K23,IF($C$5="y",'Redistribution Scenarios'!K30+'Redistribution Scenarios'!K31)))</f>
        <v>15818591.0262648</v>
      </c>
      <c r="M66" s="619" t="n">
        <f aca="false">IF($C$3="y",'Redistribution Scenarios'!L26,IF($C$4="y",'Redistribution Scenarios'!L23,IF($C$5="y",'Redistribution Scenarios'!L30+'Redistribution Scenarios'!L31)))</f>
        <v>15818591.0262648</v>
      </c>
      <c r="N66" s="599" t="n">
        <f aca="false">NPV('general info'!$B$45,'power redistribution'!D66:M66)</f>
        <v>78900078.3908845</v>
      </c>
    </row>
    <row r="67" customFormat="false" ht="12.75" hidden="false" customHeight="false" outlineLevel="0" collapsed="false">
      <c r="B67" s="277" t="s">
        <v>1139</v>
      </c>
      <c r="C67" s="626" t="n">
        <f aca="false">'Redistribution Scenarios'!B8</f>
        <v>50239000</v>
      </c>
      <c r="D67" s="626" t="n">
        <f aca="false">'Redistribution Scenarios'!C8</f>
        <v>50509298</v>
      </c>
      <c r="E67" s="626" t="n">
        <f aca="false">'Redistribution Scenarios'!D8</f>
        <v>56300149.6666667</v>
      </c>
      <c r="F67" s="520" t="n">
        <f aca="false">'Redistribution Scenarios'!E8</f>
        <v>60021991.8</v>
      </c>
      <c r="G67" s="626" t="n">
        <f aca="false">'Redistribution Scenarios'!F8</f>
        <v>62351958</v>
      </c>
      <c r="H67" s="626" t="n">
        <f aca="false">'Redistribution Scenarios'!G8</f>
        <v>61039285.2</v>
      </c>
      <c r="I67" s="626" t="n">
        <f aca="false">'Redistribution Scenarios'!H8</f>
        <v>61039285.2</v>
      </c>
      <c r="J67" s="626" t="n">
        <f aca="false">'Redistribution Scenarios'!I8</f>
        <v>61039285.2</v>
      </c>
      <c r="K67" s="626" t="n">
        <f aca="false">'Redistribution Scenarios'!J8</f>
        <v>61039285.2</v>
      </c>
      <c r="L67" s="626" t="n">
        <f aca="false">'Redistribution Scenarios'!K8</f>
        <v>59070276</v>
      </c>
      <c r="M67" s="626" t="n">
        <f aca="false">'Redistribution Scenarios'!L8</f>
        <v>59070276</v>
      </c>
      <c r="N67" s="599" t="n">
        <f aca="false">NPV('general info'!$B$45,'power redistribution'!D67:M67)</f>
        <v>310653527.954578</v>
      </c>
      <c r="O67" s="627" t="s">
        <v>43</v>
      </c>
    </row>
    <row r="68" customFormat="false" ht="12.75" hidden="false" customHeight="false" outlineLevel="0" collapsed="false">
      <c r="B68" s="1" t="s">
        <v>1140</v>
      </c>
      <c r="C68" s="628" t="n">
        <f aca="false">$D$32*IF('wholesale services'!$C$10="offer",'commodity information'!C31,'commodity information'!C29)</f>
        <v>928000</v>
      </c>
      <c r="D68" s="628" t="n">
        <f aca="false">$D$32*IF('wholesale services'!$C$10="offer",'commodity information'!D31,'commodity information'!D29)</f>
        <v>1066770.04168065</v>
      </c>
      <c r="E68" s="628" t="n">
        <f aca="false">$D$32*IF('wholesale services'!$C$10="offer",'commodity information'!E31,'commodity information'!E29)</f>
        <v>1070219.4364365</v>
      </c>
      <c r="F68" s="607" t="n">
        <f aca="false">$D$32*IF('wholesale services'!$C$10="offer",'commodity information'!F31,'commodity information'!F29)</f>
        <v>1082110.16868638</v>
      </c>
      <c r="G68" s="628" t="n">
        <f aca="false">$D$32*IF('wholesale services'!$C$10="offer",'commodity information'!G31,'commodity information'!G29)</f>
        <v>1100655.02638925</v>
      </c>
      <c r="H68" s="628" t="n">
        <f aca="false">$D$32*IF('wholesale services'!$C$10="offer",'commodity information'!H31,'commodity information'!H29)</f>
        <v>1123236.41420701</v>
      </c>
      <c r="I68" s="628" t="n">
        <f aca="false">$D$32*IF('wholesale services'!$C$10="offer",'commodity information'!I31,'commodity information'!I29)</f>
        <v>1149826.31623301</v>
      </c>
      <c r="J68" s="628" t="n">
        <f aca="false">$D$32*IF('wholesale services'!$C$10="offer",'commodity information'!J31,'commodity information'!J29)</f>
        <v>1180398.20634945</v>
      </c>
      <c r="K68" s="628" t="n">
        <f aca="false">$D$32*IF('wholesale services'!$C$10="offer",'commodity information'!K31,'commodity information'!K29)</f>
        <v>1214927.11031785</v>
      </c>
      <c r="L68" s="628" t="n">
        <f aca="false">$D$32*IF('wholesale services'!$C$10="offer",'commodity information'!L31,'commodity information'!L29)</f>
        <v>1253389.63518352</v>
      </c>
      <c r="M68" s="628" t="n">
        <f aca="false">$D$32*IF('wholesale services'!$C$10="offer",'commodity information'!M31,'commodity information'!M29)</f>
        <v>1295763.96972</v>
      </c>
      <c r="N68" s="599" t="n">
        <f aca="false">NPV('general info'!$B$45,'power redistribution'!D68:M68)</f>
        <v>6001992.49704645</v>
      </c>
      <c r="O68" s="599" t="n">
        <f aca="false">N62-N67-N68</f>
        <v>95309644.7361073</v>
      </c>
    </row>
    <row r="69" customFormat="false" ht="12.75" hidden="false" customHeight="false" outlineLevel="0" collapsed="false">
      <c r="A69" s="629"/>
      <c r="B69" s="629" t="s">
        <v>1141</v>
      </c>
      <c r="C69" s="630" t="n">
        <f aca="false">C46</f>
        <v>650000</v>
      </c>
      <c r="D69" s="630" t="n">
        <f aca="false">D46</f>
        <v>559201.062983139</v>
      </c>
      <c r="E69" s="630" t="n">
        <f aca="false">E46</f>
        <v>621539.415959073</v>
      </c>
      <c r="F69" s="607" t="n">
        <f aca="false">F46</f>
        <v>695612.047142241</v>
      </c>
      <c r="G69" s="630" t="n">
        <f aca="false">G46</f>
        <v>722014.173108519</v>
      </c>
      <c r="H69" s="630" t="n">
        <f aca="false">H46</f>
        <v>722014.173108519</v>
      </c>
      <c r="I69" s="630" t="n">
        <f aca="false">I46</f>
        <v>722014.173108519</v>
      </c>
      <c r="J69" s="630" t="n">
        <f aca="false">J46</f>
        <v>722014.173108519</v>
      </c>
      <c r="K69" s="630" t="n">
        <f aca="false">K46</f>
        <v>722014.173108519</v>
      </c>
      <c r="L69" s="630" t="n">
        <f aca="false">L46</f>
        <v>722014.173108519</v>
      </c>
      <c r="M69" s="630" t="n">
        <f aca="false">M46</f>
        <v>722014.173108519</v>
      </c>
      <c r="N69" s="599" t="n">
        <f aca="false">NPV('general info'!$B$45,'power redistribution'!D69:M69)</f>
        <v>3601267.31660266</v>
      </c>
      <c r="O69" s="629"/>
      <c r="P69" s="629"/>
      <c r="Q69" s="629"/>
      <c r="R69" s="629"/>
      <c r="S69" s="629"/>
      <c r="T69" s="629"/>
      <c r="U69" s="629"/>
      <c r="V69" s="629"/>
      <c r="W69" s="629"/>
      <c r="X69" s="629"/>
      <c r="Y69" s="629"/>
      <c r="Z69" s="629"/>
      <c r="AA69" s="629"/>
      <c r="AB69" s="629"/>
      <c r="AC69" s="629"/>
      <c r="AD69" s="629"/>
      <c r="AE69" s="629"/>
      <c r="AF69" s="629"/>
      <c r="AG69" s="629"/>
      <c r="AH69" s="629"/>
      <c r="AI69" s="629"/>
      <c r="AJ69" s="629"/>
      <c r="AK69" s="629"/>
      <c r="AL69" s="629"/>
      <c r="AM69" s="629"/>
      <c r="AN69" s="629"/>
      <c r="AO69" s="629"/>
      <c r="AP69" s="629"/>
      <c r="AQ69" s="629"/>
      <c r="AR69" s="629"/>
      <c r="AS69" s="629"/>
      <c r="AT69" s="629"/>
      <c r="AU69" s="629"/>
      <c r="AV69" s="629"/>
      <c r="AW69" s="629"/>
      <c r="AX69" s="629"/>
      <c r="AY69" s="629"/>
      <c r="AZ69" s="629"/>
      <c r="BA69" s="629"/>
      <c r="BB69" s="629"/>
      <c r="BC69" s="629"/>
      <c r="BD69" s="629"/>
      <c r="BE69" s="629"/>
      <c r="BF69" s="629"/>
      <c r="BG69" s="629"/>
      <c r="BH69" s="629"/>
      <c r="BI69" s="629"/>
      <c r="BJ69" s="629"/>
      <c r="BK69" s="629"/>
      <c r="BL69" s="629"/>
      <c r="BM69" s="629"/>
      <c r="BN69" s="629"/>
      <c r="BO69" s="629"/>
      <c r="BP69" s="629"/>
      <c r="BQ69" s="629"/>
      <c r="BR69" s="629"/>
      <c r="BS69" s="629"/>
      <c r="BT69" s="629"/>
      <c r="BU69" s="629"/>
      <c r="BV69" s="629"/>
      <c r="BW69" s="629"/>
      <c r="BX69" s="629"/>
      <c r="BY69" s="629"/>
      <c r="BZ69" s="629"/>
      <c r="CA69" s="629"/>
      <c r="CB69" s="629"/>
      <c r="CC69" s="629"/>
      <c r="CD69" s="629"/>
      <c r="CE69" s="629"/>
      <c r="CF69" s="629"/>
      <c r="CG69" s="629"/>
      <c r="CH69" s="629"/>
      <c r="CI69" s="629"/>
      <c r="CJ69" s="629"/>
      <c r="CK69" s="629"/>
      <c r="CL69" s="629"/>
      <c r="CM69" s="629"/>
      <c r="CN69" s="629"/>
      <c r="CO69" s="629"/>
      <c r="CP69" s="629"/>
      <c r="CQ69" s="629"/>
      <c r="CR69" s="629"/>
      <c r="CS69" s="629"/>
      <c r="CT69" s="629"/>
      <c r="CU69" s="629"/>
      <c r="CV69" s="629"/>
      <c r="CW69" s="629"/>
      <c r="CX69" s="629"/>
      <c r="CY69" s="629"/>
      <c r="CZ69" s="629"/>
      <c r="DA69" s="629"/>
      <c r="DB69" s="629"/>
      <c r="DC69" s="629"/>
      <c r="DD69" s="629"/>
      <c r="DE69" s="629"/>
      <c r="DF69" s="629"/>
      <c r="DG69" s="629"/>
      <c r="DH69" s="629"/>
      <c r="DI69" s="629"/>
      <c r="DJ69" s="629"/>
      <c r="DK69" s="629"/>
      <c r="DL69" s="629"/>
      <c r="DM69" s="629"/>
      <c r="DN69" s="629"/>
      <c r="DO69" s="629"/>
      <c r="DP69" s="629"/>
      <c r="DQ69" s="629"/>
      <c r="DR69" s="629"/>
      <c r="DS69" s="629"/>
      <c r="DT69" s="629"/>
      <c r="DU69" s="629"/>
      <c r="DV69" s="629"/>
      <c r="DW69" s="629"/>
      <c r="DX69" s="629"/>
      <c r="DY69" s="629"/>
      <c r="DZ69" s="629"/>
      <c r="EA69" s="629"/>
      <c r="EB69" s="629"/>
      <c r="EC69" s="629"/>
      <c r="ED69" s="629"/>
      <c r="EE69" s="629"/>
      <c r="EF69" s="629"/>
      <c r="EG69" s="629"/>
      <c r="EH69" s="629"/>
      <c r="EI69" s="629"/>
      <c r="EJ69" s="629"/>
      <c r="EK69" s="629"/>
      <c r="EL69" s="629"/>
      <c r="EM69" s="629"/>
      <c r="EN69" s="629"/>
      <c r="EO69" s="629"/>
      <c r="EP69" s="629"/>
      <c r="EQ69" s="629"/>
      <c r="ER69" s="629"/>
      <c r="ES69" s="629"/>
      <c r="ET69" s="629"/>
      <c r="EU69" s="629"/>
      <c r="EV69" s="629"/>
      <c r="EW69" s="629"/>
      <c r="EX69" s="629"/>
      <c r="EY69" s="629"/>
      <c r="EZ69" s="629"/>
      <c r="FA69" s="629"/>
      <c r="FB69" s="629"/>
      <c r="FC69" s="629"/>
      <c r="FD69" s="629"/>
      <c r="FE69" s="629"/>
      <c r="FF69" s="629"/>
      <c r="FG69" s="629"/>
      <c r="FH69" s="629"/>
      <c r="FI69" s="629"/>
      <c r="FJ69" s="629"/>
      <c r="FK69" s="629"/>
      <c r="FL69" s="629"/>
      <c r="FM69" s="629"/>
      <c r="FN69" s="629"/>
      <c r="FO69" s="629"/>
      <c r="FP69" s="629"/>
      <c r="FQ69" s="629"/>
      <c r="FR69" s="629"/>
      <c r="FS69" s="629"/>
      <c r="FT69" s="629"/>
      <c r="FU69" s="629"/>
      <c r="FV69" s="629"/>
      <c r="FW69" s="629"/>
      <c r="FX69" s="629"/>
      <c r="FY69" s="629"/>
      <c r="FZ69" s="629"/>
      <c r="GA69" s="629"/>
      <c r="GB69" s="629"/>
      <c r="GC69" s="629"/>
      <c r="GD69" s="629"/>
      <c r="GE69" s="629"/>
      <c r="GF69" s="629"/>
      <c r="GG69" s="629"/>
      <c r="GH69" s="629"/>
      <c r="GI69" s="629"/>
      <c r="GJ69" s="629"/>
      <c r="GK69" s="629"/>
      <c r="GL69" s="629"/>
      <c r="GM69" s="629"/>
      <c r="GN69" s="629"/>
      <c r="GO69" s="629"/>
      <c r="GP69" s="629"/>
      <c r="GQ69" s="629"/>
      <c r="GR69" s="629"/>
      <c r="GS69" s="629"/>
      <c r="GT69" s="629"/>
      <c r="GU69" s="629"/>
      <c r="GV69" s="629"/>
      <c r="GW69" s="629"/>
      <c r="GX69" s="629"/>
      <c r="GY69" s="629"/>
      <c r="GZ69" s="629"/>
      <c r="HA69" s="629"/>
      <c r="HB69" s="629"/>
      <c r="HC69" s="629"/>
      <c r="HD69" s="629"/>
      <c r="HE69" s="629"/>
      <c r="HF69" s="629"/>
      <c r="HG69" s="629"/>
      <c r="HH69" s="629"/>
      <c r="HI69" s="629"/>
      <c r="HJ69" s="629"/>
      <c r="HK69" s="629"/>
      <c r="HL69" s="629"/>
      <c r="HM69" s="629"/>
      <c r="HN69" s="629"/>
      <c r="HO69" s="629"/>
      <c r="HP69" s="629"/>
      <c r="HQ69" s="629"/>
      <c r="HR69" s="629"/>
      <c r="HS69" s="629"/>
      <c r="HT69" s="629"/>
      <c r="HU69" s="629"/>
      <c r="HV69" s="629"/>
      <c r="HW69" s="629"/>
      <c r="HX69" s="629"/>
      <c r="HY69" s="629"/>
      <c r="HZ69" s="629"/>
      <c r="IA69" s="629"/>
      <c r="IB69" s="629"/>
      <c r="IC69" s="629"/>
      <c r="ID69" s="629"/>
      <c r="IE69" s="629"/>
      <c r="IF69" s="629"/>
      <c r="IG69" s="629"/>
      <c r="IH69" s="629"/>
      <c r="II69" s="629"/>
      <c r="IJ69" s="629"/>
      <c r="IK69" s="629"/>
      <c r="IL69" s="629"/>
      <c r="IM69" s="629"/>
      <c r="IN69" s="629"/>
      <c r="IO69" s="629"/>
      <c r="IP69" s="629"/>
      <c r="IQ69" s="629"/>
      <c r="IR69" s="629"/>
      <c r="IS69" s="629"/>
      <c r="IT69" s="629"/>
      <c r="IU69" s="629"/>
      <c r="IV69" s="629"/>
      <c r="IW69" s="629"/>
    </row>
    <row r="70" customFormat="false" ht="12.75" hidden="false" customHeight="false" outlineLevel="0" collapsed="false">
      <c r="A70" s="629"/>
      <c r="B70" s="629" t="s">
        <v>1142</v>
      </c>
      <c r="C70" s="630" t="n">
        <f aca="false">C50</f>
        <v>500000</v>
      </c>
      <c r="D70" s="630" t="n">
        <f aca="false">D50</f>
        <v>512088.885515695</v>
      </c>
      <c r="E70" s="630" t="n">
        <f aca="false">E50</f>
        <v>322955.05893133</v>
      </c>
      <c r="F70" s="379" t="n">
        <f aca="false">F50</f>
        <v>338352.160076188</v>
      </c>
      <c r="G70" s="630" t="n">
        <f aca="false">G50</f>
        <v>175910.490839671</v>
      </c>
      <c r="H70" s="630" t="n">
        <f aca="false">H50</f>
        <v>100000</v>
      </c>
      <c r="I70" s="630" t="n">
        <f aca="false">I50</f>
        <v>100000</v>
      </c>
      <c r="J70" s="630" t="n">
        <f aca="false">J50</f>
        <v>100000</v>
      </c>
      <c r="K70" s="630" t="n">
        <f aca="false">K50</f>
        <v>100000</v>
      </c>
      <c r="L70" s="630" t="n">
        <f aca="false">L50</f>
        <v>100000</v>
      </c>
      <c r="M70" s="630" t="n">
        <f aca="false">M50</f>
        <v>100000</v>
      </c>
      <c r="N70" s="629"/>
      <c r="O70" s="629"/>
      <c r="P70" s="629"/>
      <c r="Q70" s="629"/>
      <c r="R70" s="629"/>
      <c r="S70" s="629"/>
      <c r="T70" s="629"/>
      <c r="U70" s="629"/>
      <c r="V70" s="629"/>
      <c r="W70" s="629"/>
      <c r="X70" s="629"/>
      <c r="Y70" s="629"/>
      <c r="Z70" s="629"/>
      <c r="AA70" s="629"/>
      <c r="AB70" s="629"/>
      <c r="AC70" s="629"/>
      <c r="AD70" s="629"/>
      <c r="AE70" s="629"/>
      <c r="AF70" s="629"/>
      <c r="AG70" s="629"/>
      <c r="AH70" s="629"/>
      <c r="AI70" s="629"/>
      <c r="AJ70" s="629"/>
      <c r="AK70" s="629"/>
      <c r="AL70" s="629"/>
      <c r="AM70" s="629"/>
      <c r="AN70" s="629"/>
      <c r="AO70" s="629"/>
      <c r="AP70" s="629"/>
      <c r="AQ70" s="629"/>
      <c r="AR70" s="629"/>
      <c r="AS70" s="629"/>
      <c r="AT70" s="629"/>
      <c r="AU70" s="629"/>
      <c r="AV70" s="629"/>
      <c r="AW70" s="629"/>
      <c r="AX70" s="629"/>
      <c r="AY70" s="629"/>
      <c r="AZ70" s="629"/>
      <c r="BA70" s="629"/>
      <c r="BB70" s="629"/>
      <c r="BC70" s="629"/>
      <c r="BD70" s="629"/>
      <c r="BE70" s="629"/>
      <c r="BF70" s="629"/>
      <c r="BG70" s="629"/>
      <c r="BH70" s="629"/>
      <c r="BI70" s="629"/>
      <c r="BJ70" s="629"/>
      <c r="BK70" s="629"/>
      <c r="BL70" s="629"/>
      <c r="BM70" s="629"/>
      <c r="BN70" s="629"/>
      <c r="BO70" s="629"/>
      <c r="BP70" s="629"/>
      <c r="BQ70" s="629"/>
      <c r="BR70" s="629"/>
      <c r="BS70" s="629"/>
      <c r="BT70" s="629"/>
      <c r="BU70" s="629"/>
      <c r="BV70" s="629"/>
      <c r="BW70" s="629"/>
      <c r="BX70" s="629"/>
      <c r="BY70" s="629"/>
      <c r="BZ70" s="629"/>
      <c r="CA70" s="629"/>
      <c r="CB70" s="629"/>
      <c r="CC70" s="629"/>
      <c r="CD70" s="629"/>
      <c r="CE70" s="629"/>
      <c r="CF70" s="629"/>
      <c r="CG70" s="629"/>
      <c r="CH70" s="629"/>
      <c r="CI70" s="629"/>
      <c r="CJ70" s="629"/>
      <c r="CK70" s="629"/>
      <c r="CL70" s="629"/>
      <c r="CM70" s="629"/>
      <c r="CN70" s="629"/>
      <c r="CO70" s="629"/>
      <c r="CP70" s="629"/>
      <c r="CQ70" s="629"/>
      <c r="CR70" s="629"/>
      <c r="CS70" s="629"/>
      <c r="CT70" s="629"/>
      <c r="CU70" s="629"/>
      <c r="CV70" s="629"/>
      <c r="CW70" s="629"/>
      <c r="CX70" s="629"/>
      <c r="CY70" s="629"/>
      <c r="CZ70" s="629"/>
      <c r="DA70" s="629"/>
      <c r="DB70" s="629"/>
      <c r="DC70" s="629"/>
      <c r="DD70" s="629"/>
      <c r="DE70" s="629"/>
      <c r="DF70" s="629"/>
      <c r="DG70" s="629"/>
      <c r="DH70" s="629"/>
      <c r="DI70" s="629"/>
      <c r="DJ70" s="629"/>
      <c r="DK70" s="629"/>
      <c r="DL70" s="629"/>
      <c r="DM70" s="629"/>
      <c r="DN70" s="629"/>
      <c r="DO70" s="629"/>
      <c r="DP70" s="629"/>
      <c r="DQ70" s="629"/>
      <c r="DR70" s="629"/>
      <c r="DS70" s="629"/>
      <c r="DT70" s="629"/>
      <c r="DU70" s="629"/>
      <c r="DV70" s="629"/>
      <c r="DW70" s="629"/>
      <c r="DX70" s="629"/>
      <c r="DY70" s="629"/>
      <c r="DZ70" s="629"/>
      <c r="EA70" s="629"/>
      <c r="EB70" s="629"/>
      <c r="EC70" s="629"/>
      <c r="ED70" s="629"/>
      <c r="EE70" s="629"/>
      <c r="EF70" s="629"/>
      <c r="EG70" s="629"/>
      <c r="EH70" s="629"/>
      <c r="EI70" s="629"/>
      <c r="EJ70" s="629"/>
      <c r="EK70" s="629"/>
      <c r="EL70" s="629"/>
      <c r="EM70" s="629"/>
      <c r="EN70" s="629"/>
      <c r="EO70" s="629"/>
      <c r="EP70" s="629"/>
      <c r="EQ70" s="629"/>
      <c r="ER70" s="629"/>
      <c r="ES70" s="629"/>
      <c r="ET70" s="629"/>
      <c r="EU70" s="629"/>
      <c r="EV70" s="629"/>
      <c r="EW70" s="629"/>
      <c r="EX70" s="629"/>
      <c r="EY70" s="629"/>
      <c r="EZ70" s="629"/>
      <c r="FA70" s="629"/>
      <c r="FB70" s="629"/>
      <c r="FC70" s="629"/>
      <c r="FD70" s="629"/>
      <c r="FE70" s="629"/>
      <c r="FF70" s="629"/>
      <c r="FG70" s="629"/>
      <c r="FH70" s="629"/>
      <c r="FI70" s="629"/>
      <c r="FJ70" s="629"/>
      <c r="FK70" s="629"/>
      <c r="FL70" s="629"/>
      <c r="FM70" s="629"/>
      <c r="FN70" s="629"/>
      <c r="FO70" s="629"/>
      <c r="FP70" s="629"/>
      <c r="FQ70" s="629"/>
      <c r="FR70" s="629"/>
      <c r="FS70" s="629"/>
      <c r="FT70" s="629"/>
      <c r="FU70" s="629"/>
      <c r="FV70" s="629"/>
      <c r="FW70" s="629"/>
      <c r="FX70" s="629"/>
      <c r="FY70" s="629"/>
      <c r="FZ70" s="629"/>
      <c r="GA70" s="629"/>
      <c r="GB70" s="629"/>
      <c r="GC70" s="629"/>
      <c r="GD70" s="629"/>
      <c r="GE70" s="629"/>
      <c r="GF70" s="629"/>
      <c r="GG70" s="629"/>
      <c r="GH70" s="629"/>
      <c r="GI70" s="629"/>
      <c r="GJ70" s="629"/>
      <c r="GK70" s="629"/>
      <c r="GL70" s="629"/>
      <c r="GM70" s="629"/>
      <c r="GN70" s="629"/>
      <c r="GO70" s="629"/>
      <c r="GP70" s="629"/>
      <c r="GQ70" s="629"/>
      <c r="GR70" s="629"/>
      <c r="GS70" s="629"/>
      <c r="GT70" s="629"/>
      <c r="GU70" s="629"/>
      <c r="GV70" s="629"/>
      <c r="GW70" s="629"/>
      <c r="GX70" s="629"/>
      <c r="GY70" s="629"/>
      <c r="GZ70" s="629"/>
      <c r="HA70" s="629"/>
      <c r="HB70" s="629"/>
      <c r="HC70" s="629"/>
      <c r="HD70" s="629"/>
      <c r="HE70" s="629"/>
      <c r="HF70" s="629"/>
      <c r="HG70" s="629"/>
      <c r="HH70" s="629"/>
      <c r="HI70" s="629"/>
      <c r="HJ70" s="629"/>
      <c r="HK70" s="629"/>
      <c r="HL70" s="629"/>
      <c r="HM70" s="629"/>
      <c r="HN70" s="629"/>
      <c r="HO70" s="629"/>
      <c r="HP70" s="629"/>
      <c r="HQ70" s="629"/>
      <c r="HR70" s="629"/>
      <c r="HS70" s="629"/>
      <c r="HT70" s="629"/>
      <c r="HU70" s="629"/>
      <c r="HV70" s="629"/>
      <c r="HW70" s="629"/>
      <c r="HX70" s="629"/>
      <c r="HY70" s="629"/>
      <c r="HZ70" s="629"/>
      <c r="IA70" s="629"/>
      <c r="IB70" s="629"/>
      <c r="IC70" s="629"/>
      <c r="ID70" s="629"/>
      <c r="IE70" s="629"/>
      <c r="IF70" s="629"/>
      <c r="IG70" s="629"/>
      <c r="IH70" s="629"/>
      <c r="II70" s="629"/>
      <c r="IJ70" s="629"/>
      <c r="IK70" s="629"/>
      <c r="IL70" s="629"/>
      <c r="IM70" s="629"/>
      <c r="IN70" s="629"/>
      <c r="IO70" s="629"/>
      <c r="IP70" s="629"/>
      <c r="IQ70" s="629"/>
      <c r="IR70" s="629"/>
      <c r="IS70" s="629"/>
      <c r="IT70" s="629"/>
      <c r="IU70" s="629"/>
      <c r="IV70" s="629"/>
      <c r="IW70" s="629"/>
    </row>
    <row r="71" customFormat="false" ht="12.75" hidden="false" customHeight="false" outlineLevel="0" collapsed="false">
      <c r="B71" s="277" t="s">
        <v>1143</v>
      </c>
      <c r="C71" s="408" t="n">
        <v>0</v>
      </c>
      <c r="D71" s="408" t="n">
        <f aca="false">C37</f>
        <v>0</v>
      </c>
      <c r="E71" s="408" t="n">
        <v>0</v>
      </c>
      <c r="F71" s="529" t="n">
        <f aca="false">E71</f>
        <v>0</v>
      </c>
      <c r="G71" s="408" t="n">
        <f aca="false">F71</f>
        <v>0</v>
      </c>
      <c r="H71" s="408" t="n">
        <f aca="false">G71</f>
        <v>0</v>
      </c>
      <c r="I71" s="408" t="n">
        <f aca="false">H71</f>
        <v>0</v>
      </c>
      <c r="J71" s="408" t="n">
        <f aca="false">I71</f>
        <v>0</v>
      </c>
      <c r="K71" s="408" t="n">
        <f aca="false">J71</f>
        <v>0</v>
      </c>
      <c r="L71" s="408" t="n">
        <f aca="false">K71</f>
        <v>0</v>
      </c>
      <c r="M71" s="408" t="n">
        <f aca="false">L71</f>
        <v>0</v>
      </c>
    </row>
    <row r="72" customFormat="false" ht="12.75" hidden="false" customHeight="false" outlineLevel="0" collapsed="false">
      <c r="A72" s="277"/>
      <c r="B72" s="373" t="s">
        <v>1144</v>
      </c>
      <c r="C72" s="626" t="n">
        <f aca="false">SUM(C65:C71)</f>
        <v>52317000</v>
      </c>
      <c r="D72" s="626" t="n">
        <f aca="false">SUM(D65:D71)</f>
        <v>64898880.5312104</v>
      </c>
      <c r="E72" s="626" t="n">
        <f aca="false">SUM(E65:E71)</f>
        <v>71932155.5840915</v>
      </c>
      <c r="F72" s="626" t="n">
        <f aca="false">SUM(F65:F71)</f>
        <v>77378213.6640236</v>
      </c>
      <c r="G72" s="626" t="n">
        <f aca="false">SUM(G65:G71)</f>
        <v>80169128.7166023</v>
      </c>
      <c r="H72" s="626" t="n">
        <f aca="false">SUM(H65:H71)</f>
        <v>78803126.8135804</v>
      </c>
      <c r="I72" s="626" t="n">
        <f aca="false">SUM(I65:I71)</f>
        <v>78829716.7156064</v>
      </c>
      <c r="J72" s="626" t="n">
        <f aca="false">SUM(J65:J71)</f>
        <v>78860288.6057228</v>
      </c>
      <c r="K72" s="626" t="n">
        <f aca="false">SUM(K65:K71)</f>
        <v>78894817.5096912</v>
      </c>
      <c r="L72" s="626" t="n">
        <f aca="false">SUM(L65:L71)</f>
        <v>76964270.8345569</v>
      </c>
      <c r="M72" s="626" t="n">
        <f aca="false">SUM(M65:M71)</f>
        <v>77006645.1690934</v>
      </c>
    </row>
    <row r="73" customFormat="false" ht="12.75" hidden="false" customHeight="false" outlineLevel="0" collapsed="false">
      <c r="A73" s="277"/>
    </row>
    <row r="74" customFormat="false" ht="12.75" hidden="false" customHeight="false" outlineLevel="0" collapsed="false">
      <c r="A74" s="277"/>
      <c r="B74" s="373" t="s">
        <v>1145</v>
      </c>
      <c r="C74" s="409" t="n">
        <f aca="false">C62-C72</f>
        <v>10141732.1638868</v>
      </c>
      <c r="D74" s="409" t="n">
        <f aca="false">D62-D72</f>
        <v>-764310.777345449</v>
      </c>
      <c r="E74" s="409" t="n">
        <f aca="false">E62-E72</f>
        <v>-789416.106843188</v>
      </c>
      <c r="F74" s="387" t="n">
        <f aca="false">F62-F72</f>
        <v>2101421.69876573</v>
      </c>
      <c r="G74" s="409" t="n">
        <f aca="false">G62-G72</f>
        <v>2299591.7539086</v>
      </c>
      <c r="H74" s="409" t="n">
        <f aca="false">H62-H72</f>
        <v>3693244.33589104</v>
      </c>
      <c r="I74" s="409" t="n">
        <f aca="false">I62-I72</f>
        <v>3699213.49757035</v>
      </c>
      <c r="J74" s="409" t="n">
        <f aca="false">J62-J72</f>
        <v>3706076.57494344</v>
      </c>
      <c r="K74" s="409" t="n">
        <f aca="false">K62-K72</f>
        <v>3713827.96154858</v>
      </c>
      <c r="L74" s="409" t="n">
        <f aca="false">L62-L72</f>
        <v>5691471.60590617</v>
      </c>
      <c r="M74" s="409" t="n">
        <f aca="false">M62-M72</f>
        <v>5700984.21161844</v>
      </c>
    </row>
    <row r="75" customFormat="false" ht="12.75" hidden="false" customHeight="false" outlineLevel="0" collapsed="false">
      <c r="A75" s="277"/>
      <c r="B75" s="373" t="s">
        <v>1000</v>
      </c>
      <c r="C75" s="409"/>
      <c r="D75" s="624" t="n">
        <f aca="false">PMT('general info'!B45,10,C53,0)</f>
        <v>-239683.39693962</v>
      </c>
      <c r="E75" s="624" t="n">
        <f aca="false">D75</f>
        <v>-239683.39693962</v>
      </c>
      <c r="F75" s="624" t="n">
        <f aca="false">E75</f>
        <v>-239683.39693962</v>
      </c>
      <c r="G75" s="624" t="n">
        <f aca="false">F75</f>
        <v>-239683.39693962</v>
      </c>
      <c r="H75" s="624" t="n">
        <f aca="false">G75</f>
        <v>-239683.39693962</v>
      </c>
      <c r="I75" s="624" t="n">
        <f aca="false">H75</f>
        <v>-239683.39693962</v>
      </c>
      <c r="J75" s="624" t="n">
        <f aca="false">I75</f>
        <v>-239683.39693962</v>
      </c>
      <c r="K75" s="624" t="n">
        <f aca="false">J75</f>
        <v>-239683.39693962</v>
      </c>
      <c r="L75" s="624" t="n">
        <f aca="false">K75</f>
        <v>-239683.39693962</v>
      </c>
      <c r="M75" s="624" t="n">
        <f aca="false">L75</f>
        <v>-239683.39693962</v>
      </c>
    </row>
    <row r="76" customFormat="false" ht="12.75" hidden="false" customHeight="false" outlineLevel="0" collapsed="false">
      <c r="A76" s="277"/>
      <c r="B76" s="373" t="s">
        <v>1146</v>
      </c>
      <c r="C76" s="409"/>
      <c r="D76" s="409" t="n">
        <f aca="false">D74+D75</f>
        <v>-1003994.17428507</v>
      </c>
      <c r="E76" s="409" t="n">
        <f aca="false">E74+E75</f>
        <v>-1029099.50378281</v>
      </c>
      <c r="F76" s="409" t="n">
        <f aca="false">F74+F75</f>
        <v>1861738.30182611</v>
      </c>
      <c r="G76" s="409" t="n">
        <f aca="false">G74+G75</f>
        <v>2059908.35696899</v>
      </c>
      <c r="H76" s="409" t="n">
        <f aca="false">H74+H75</f>
        <v>3453560.93895142</v>
      </c>
      <c r="I76" s="409" t="n">
        <f aca="false">I74+I75</f>
        <v>3459530.10063073</v>
      </c>
      <c r="J76" s="409" t="n">
        <f aca="false">J74+J75</f>
        <v>3466393.17800382</v>
      </c>
      <c r="K76" s="409" t="n">
        <f aca="false">K74+K75</f>
        <v>3474144.56460896</v>
      </c>
      <c r="L76" s="409" t="n">
        <f aca="false">L74+L75</f>
        <v>5451788.20896655</v>
      </c>
      <c r="M76" s="409" t="n">
        <f aca="false">M74+M75</f>
        <v>5461300.81467882</v>
      </c>
    </row>
    <row r="78" customFormat="false" ht="12.75" hidden="false" customHeight="false" outlineLevel="0" collapsed="false">
      <c r="B78" s="373" t="s">
        <v>1003</v>
      </c>
      <c r="C78" s="631" t="n">
        <f aca="false">NPV('general info'!B45,D76:M76)</f>
        <v>10256443.0447698</v>
      </c>
      <c r="D78" s="280"/>
    </row>
    <row r="79" customFormat="false" ht="12.75" hidden="false" customHeight="false" outlineLevel="0" collapsed="false">
      <c r="B79" s="277" t="s">
        <v>1007</v>
      </c>
      <c r="C79" s="600" t="n">
        <f aca="false">IRR(D76:M76)</f>
        <v>0.834376186520981</v>
      </c>
    </row>
    <row r="80" customFormat="false" ht="13.5" hidden="false" customHeight="true" outlineLevel="0" collapsed="false"/>
    <row r="81" customFormat="false" ht="12.75" hidden="false" customHeight="false" outlineLevel="0" collapsed="false">
      <c r="D81" s="599"/>
    </row>
    <row r="82" customFormat="false" ht="12.75" hidden="false" customHeight="false" outlineLevel="0" collapsed="false">
      <c r="A82" s="100"/>
      <c r="B82" s="101"/>
      <c r="C82" s="101"/>
      <c r="D82" s="632"/>
      <c r="E82" s="101"/>
      <c r="F82" s="633"/>
      <c r="G82" s="101"/>
      <c r="H82" s="101"/>
      <c r="I82" s="101"/>
      <c r="J82" s="101"/>
      <c r="K82" s="101"/>
      <c r="L82" s="101"/>
      <c r="M82" s="104"/>
    </row>
    <row r="83" customFormat="false" ht="13.5" hidden="false" customHeight="false" outlineLevel="0" collapsed="false">
      <c r="A83" s="105"/>
      <c r="B83" s="106"/>
      <c r="C83" s="106"/>
      <c r="D83" s="634"/>
      <c r="E83" s="635"/>
      <c r="F83" s="636"/>
      <c r="G83" s="106"/>
      <c r="H83" s="106"/>
      <c r="I83" s="106"/>
      <c r="J83" s="106"/>
      <c r="K83" s="106"/>
      <c r="L83" s="106"/>
      <c r="M83" s="109"/>
    </row>
    <row r="85" customFormat="false" ht="12.75" hidden="false" customHeight="false" outlineLevel="0" collapsed="false">
      <c r="D85" s="599" t="s">
        <v>43</v>
      </c>
    </row>
    <row r="89" customFormat="false" ht="12.75" hidden="false" customHeight="false" outlineLevel="0" collapsed="false">
      <c r="B89" s="280"/>
    </row>
    <row r="95" customFormat="false" ht="12.75" hidden="false" customHeight="false" outlineLevel="0" collapsed="false">
      <c r="E95" s="373"/>
    </row>
  </sheetData>
  <printOptions headings="false" gridLines="false" gridLinesSet="true" horizontalCentered="false" verticalCentered="false"/>
  <pageMargins left="0.2" right="0.2" top="0.5" bottom="0.5" header="0.511811023622047" footer="0.5"/>
  <pageSetup paperSize="1" scale="60" fitToWidth="1" fitToHeight="1" pageOrder="downThenOver" orientation="landscape" blackAndWhite="false" draft="false" cellComments="none" horizontalDpi="300" verticalDpi="300" copies="1"/>
  <headerFooter differentFirst="false" differentOddEven="false">
    <oddHeader/>
    <oddFooter>&amp;L&amp;A&amp;C &amp;D &amp;T</oddFooter>
  </headerFooter>
  <rowBreaks count="2" manualBreakCount="2">
    <brk id="55" man="true" max="16383" min="0"/>
    <brk id="80" man="true" max="16383" min="0"/>
  </rowBreaks>
  <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3:L84"/>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28.7"/>
    <col collapsed="false" customWidth="true" hidden="false" outlineLevel="0" max="2" min="2" style="0" width="14.85"/>
    <col collapsed="false" customWidth="true" hidden="false" outlineLevel="0" max="3" min="3" style="0" width="14.28"/>
    <col collapsed="false" customWidth="true" hidden="false" outlineLevel="0" max="12" min="4" style="0" width="12.28"/>
  </cols>
  <sheetData>
    <row r="3" customFormat="false" ht="12.75" hidden="false" customHeight="false" outlineLevel="0" collapsed="false">
      <c r="A3" s="439"/>
      <c r="B3" s="439" t="s">
        <v>857</v>
      </c>
      <c r="C3" s="439" t="n">
        <v>1</v>
      </c>
      <c r="D3" s="439" t="n">
        <v>2</v>
      </c>
      <c r="E3" s="439" t="n">
        <v>3</v>
      </c>
      <c r="F3" s="439" t="n">
        <v>4</v>
      </c>
      <c r="G3" s="439" t="n">
        <v>5</v>
      </c>
      <c r="H3" s="439" t="n">
        <v>6</v>
      </c>
      <c r="I3" s="439" t="n">
        <v>7</v>
      </c>
      <c r="J3" s="439" t="n">
        <v>8</v>
      </c>
      <c r="K3" s="439" t="n">
        <v>9</v>
      </c>
      <c r="L3" s="439" t="n">
        <v>10</v>
      </c>
    </row>
    <row r="4" customFormat="false" ht="12.75" hidden="false" customHeight="true" outlineLevel="0" collapsed="false">
      <c r="A4" s="637" t="s">
        <v>1147</v>
      </c>
      <c r="B4" s="576" t="n">
        <f aca="false">'[3]Chris'' Flows'!I9*12</f>
        <v>61345132.1638868</v>
      </c>
      <c r="C4" s="576" t="n">
        <f aca="false">SUM('[3]Chris'' Flows'!I9:I20)</f>
        <v>62828320.7232356</v>
      </c>
      <c r="D4" s="576" t="n">
        <f aca="false">SUM('[3]Chris'' Flows'!I21:I32)</f>
        <v>69832266.6979384</v>
      </c>
      <c r="E4" s="638" t="n">
        <f aca="false">SUM('[3]Chris'' Flows'!I33:I44)</f>
        <v>78154602.5031734</v>
      </c>
      <c r="F4" s="576" t="n">
        <f aca="false">SUM('[3]Chris'' Flows'!I45:I56)</f>
        <v>81120979.621871</v>
      </c>
      <c r="G4" s="576" t="n">
        <f aca="false">SUM('[3]Chris'' Flows'!I57:I68)</f>
        <v>81120979.621871</v>
      </c>
      <c r="H4" s="576" t="n">
        <f aca="false">SUM('[3]Chris'' Flows'!I69:I80)</f>
        <v>81120979.621871</v>
      </c>
      <c r="I4" s="576" t="n">
        <f aca="false">SUM('[3]Chris'' Flows'!I81:I92)</f>
        <v>81120979.621871</v>
      </c>
      <c r="J4" s="576" t="n">
        <f aca="false">SUM('[3]Chris'' Flows'!I93:I104)</f>
        <v>81120979.621871</v>
      </c>
      <c r="K4" s="576" t="n">
        <f aca="false">SUM('[3]Chris'' Flows'!I105:I116)</f>
        <v>81120979.621871</v>
      </c>
      <c r="L4" s="576" t="n">
        <f aca="false">SUM('[3]Chris'' Flows'!I117:I128)</f>
        <v>81120979.621871</v>
      </c>
    </row>
    <row r="5" customFormat="false" ht="12.75" hidden="false" customHeight="false" outlineLevel="0" collapsed="false">
      <c r="A5" s="0" t="s">
        <v>1148</v>
      </c>
      <c r="C5" s="551" t="n">
        <f aca="false">C4-B4</f>
        <v>1483188.55934881</v>
      </c>
      <c r="D5" s="551" t="n">
        <f aca="false">D4-C4</f>
        <v>7003945.97470274</v>
      </c>
      <c r="E5" s="551" t="n">
        <f aca="false">E4-D4</f>
        <v>8322335.80523501</v>
      </c>
      <c r="F5" s="551" t="n">
        <f aca="false">F4-E4</f>
        <v>2966377.11869763</v>
      </c>
      <c r="G5" s="551" t="n">
        <f aca="false">G4-F4</f>
        <v>0</v>
      </c>
      <c r="H5" s="551" t="n">
        <f aca="false">H4-G4</f>
        <v>0</v>
      </c>
      <c r="I5" s="551" t="n">
        <f aca="false">I4-H4</f>
        <v>0</v>
      </c>
      <c r="J5" s="551" t="n">
        <f aca="false">J4-I4</f>
        <v>0</v>
      </c>
      <c r="K5" s="551" t="n">
        <f aca="false">K4-J4</f>
        <v>0</v>
      </c>
      <c r="L5" s="551" t="n">
        <f aca="false">L4-K4</f>
        <v>0</v>
      </c>
    </row>
    <row r="6" customFormat="false" ht="12.75" hidden="false" customHeight="false" outlineLevel="0" collapsed="false">
      <c r="A6" s="0" t="s">
        <v>1149</v>
      </c>
      <c r="C6" s="421" t="n">
        <f aca="false">C5/B4</f>
        <v>0.02417777103139</v>
      </c>
      <c r="D6" s="421" t="n">
        <f aca="false">D5/C4</f>
        <v>0.111477529465665</v>
      </c>
      <c r="E6" s="421" t="n">
        <f aca="false">E5/D4</f>
        <v>0.119176080038094</v>
      </c>
      <c r="F6" s="421" t="n">
        <f aca="false">F5/E4</f>
        <v>0.0379552454198354</v>
      </c>
      <c r="G6" s="421" t="n">
        <f aca="false">G5/F4</f>
        <v>0</v>
      </c>
      <c r="H6" s="421" t="n">
        <f aca="false">H5/G4</f>
        <v>0</v>
      </c>
      <c r="I6" s="421" t="n">
        <f aca="false">I5/H4</f>
        <v>0</v>
      </c>
      <c r="J6" s="421" t="n">
        <f aca="false">J5/I4</f>
        <v>0</v>
      </c>
      <c r="K6" s="421" t="n">
        <f aca="false">K5/J4</f>
        <v>0</v>
      </c>
      <c r="L6" s="421" t="n">
        <f aca="false">L5/K4</f>
        <v>0</v>
      </c>
    </row>
    <row r="8" customFormat="false" ht="12.75" hidden="false" customHeight="true" outlineLevel="0" collapsed="false">
      <c r="A8" s="639" t="s">
        <v>1150</v>
      </c>
      <c r="B8" s="551" t="n">
        <f aca="false">'Updated Final List'!AS254*1000</f>
        <v>50239000</v>
      </c>
      <c r="C8" s="551" t="n">
        <f aca="false">SUM('[3]Chris'' Flows'!E9:E20)</f>
        <v>50509298</v>
      </c>
      <c r="D8" s="551" t="n">
        <f aca="false">SUM('[3]Chris'' Flows'!E21:E32)</f>
        <v>56300149.6666667</v>
      </c>
      <c r="E8" s="640" t="n">
        <f aca="false">SUM('[3]Chris'' Flows'!E33:E44)</f>
        <v>60021991.8</v>
      </c>
      <c r="F8" s="551" t="n">
        <f aca="false">SUM('[3]Chris'' Flows'!E45:E56)</f>
        <v>62351958</v>
      </c>
      <c r="G8" s="551" t="n">
        <f aca="false">SUM('[3]Chris'' Flows'!E57:E68)</f>
        <v>61039285.2</v>
      </c>
      <c r="H8" s="551" t="n">
        <f aca="false">SUM('[3]Chris'' Flows'!E69:E80)</f>
        <v>61039285.2</v>
      </c>
      <c r="I8" s="551" t="n">
        <f aca="false">SUM('[3]Chris'' Flows'!E81:E92)</f>
        <v>61039285.2</v>
      </c>
      <c r="J8" s="551" t="n">
        <f aca="false">SUM('[3]Chris'' Flows'!E93:E104)</f>
        <v>61039285.2</v>
      </c>
      <c r="K8" s="551" t="n">
        <f aca="false">SUM('[3]Chris'' Flows'!E105:E116)</f>
        <v>59070276</v>
      </c>
      <c r="L8" s="551" t="n">
        <f aca="false">SUM('[3]Chris'' Flows'!E117:E128)</f>
        <v>59070276</v>
      </c>
    </row>
    <row r="9" customFormat="false" ht="12.75" hidden="false" customHeight="false" outlineLevel="0" collapsed="false">
      <c r="A9" s="0" t="s">
        <v>1151</v>
      </c>
      <c r="C9" s="551" t="n">
        <f aca="false">C8-B8</f>
        <v>270297.999999993</v>
      </c>
      <c r="D9" s="551" t="n">
        <f aca="false">D8-C8</f>
        <v>5790851.66666667</v>
      </c>
      <c r="E9" s="551" t="n">
        <f aca="false">E8-D8</f>
        <v>3721842.13333333</v>
      </c>
      <c r="F9" s="551" t="n">
        <f aca="false">F8-E8</f>
        <v>2329966.2</v>
      </c>
      <c r="G9" s="551" t="n">
        <f aca="false">G8-F8</f>
        <v>-1312672.8</v>
      </c>
      <c r="H9" s="551" t="n">
        <f aca="false">H8-G8</f>
        <v>0</v>
      </c>
      <c r="I9" s="551" t="n">
        <f aca="false">I8-H8</f>
        <v>0</v>
      </c>
      <c r="J9" s="551" t="n">
        <f aca="false">J8-I8</f>
        <v>0</v>
      </c>
      <c r="K9" s="551" t="n">
        <f aca="false">K8-J8</f>
        <v>-1969009.2</v>
      </c>
      <c r="L9" s="551" t="n">
        <f aca="false">L8-K8</f>
        <v>0</v>
      </c>
    </row>
    <row r="10" customFormat="false" ht="12.75" hidden="false" customHeight="false" outlineLevel="0" collapsed="false">
      <c r="A10" s="0" t="s">
        <v>1152</v>
      </c>
      <c r="C10" s="421" t="n">
        <f aca="false">C9/B8</f>
        <v>0.00538024244113124</v>
      </c>
      <c r="D10" s="421" t="n">
        <f aca="false">D9/C8</f>
        <v>0.114649220954658</v>
      </c>
      <c r="E10" s="421" t="n">
        <f aca="false">E9/D8</f>
        <v>0.066107144570113</v>
      </c>
      <c r="F10" s="421" t="n">
        <f aca="false">F9/E8</f>
        <v>0.0388185418398595</v>
      </c>
      <c r="G10" s="421" t="n">
        <f aca="false">G9/F8</f>
        <v>-0.0210526315789474</v>
      </c>
      <c r="H10" s="421" t="n">
        <f aca="false">H9/G8</f>
        <v>0</v>
      </c>
      <c r="I10" s="421" t="n">
        <f aca="false">I9/H8</f>
        <v>0</v>
      </c>
      <c r="J10" s="421" t="n">
        <f aca="false">J9/I8</f>
        <v>0</v>
      </c>
      <c r="K10" s="421" t="n">
        <f aca="false">K9/J8</f>
        <v>-0.032258064516129</v>
      </c>
      <c r="L10" s="421" t="n">
        <f aca="false">L9/K8</f>
        <v>0</v>
      </c>
    </row>
    <row r="12" customFormat="false" ht="12.75" hidden="false" customHeight="false" outlineLevel="0" collapsed="false">
      <c r="A12" s="439" t="s">
        <v>1153</v>
      </c>
      <c r="B12" s="551" t="n">
        <f aca="false">B4-B8</f>
        <v>11106132.1638868</v>
      </c>
      <c r="C12" s="551" t="n">
        <f aca="false">C4-C8</f>
        <v>12319022.7232356</v>
      </c>
      <c r="D12" s="551" t="n">
        <f aca="false">D4-D8</f>
        <v>13532117.0312717</v>
      </c>
      <c r="E12" s="551" t="n">
        <f aca="false">E4-E8</f>
        <v>18132610.7031734</v>
      </c>
      <c r="F12" s="551" t="n">
        <f aca="false">F4-F8</f>
        <v>18769021.621871</v>
      </c>
      <c r="G12" s="551" t="n">
        <f aca="false">G4-G8</f>
        <v>20081694.421871</v>
      </c>
      <c r="H12" s="551" t="n">
        <f aca="false">H4-H8</f>
        <v>20081694.421871</v>
      </c>
      <c r="I12" s="551" t="n">
        <f aca="false">I4-I8</f>
        <v>20081694.421871</v>
      </c>
      <c r="J12" s="551" t="n">
        <f aca="false">J4-J8</f>
        <v>20081694.421871</v>
      </c>
      <c r="K12" s="551" t="n">
        <f aca="false">K4-K8</f>
        <v>22050703.621871</v>
      </c>
      <c r="L12" s="551" t="n">
        <f aca="false">L4-L8</f>
        <v>22050703.621871</v>
      </c>
    </row>
    <row r="13" customFormat="false" ht="12.75" hidden="false" customHeight="false" outlineLevel="0" collapsed="false">
      <c r="A13" s="0" t="s">
        <v>1154</v>
      </c>
      <c r="C13" s="551" t="n">
        <f aca="false">C12-B12</f>
        <v>1212890.55934882</v>
      </c>
      <c r="D13" s="551" t="n">
        <f aca="false">D12-C12</f>
        <v>1213094.30803607</v>
      </c>
      <c r="E13" s="551" t="n">
        <f aca="false">E12-D12</f>
        <v>4600493.67190168</v>
      </c>
      <c r="F13" s="551" t="n">
        <f aca="false">F12-E12</f>
        <v>636410.918697625</v>
      </c>
      <c r="G13" s="551" t="n">
        <f aca="false">G12-F12</f>
        <v>1312672.8</v>
      </c>
      <c r="H13" s="551" t="n">
        <f aca="false">H12-G12</f>
        <v>0</v>
      </c>
      <c r="I13" s="551" t="n">
        <f aca="false">I12-H12</f>
        <v>0</v>
      </c>
      <c r="J13" s="551" t="n">
        <f aca="false">J12-I12</f>
        <v>0</v>
      </c>
      <c r="K13" s="551" t="n">
        <f aca="false">K12-J12</f>
        <v>1969009.2</v>
      </c>
      <c r="L13" s="551" t="n">
        <f aca="false">L12-K12</f>
        <v>0</v>
      </c>
    </row>
    <row r="14" customFormat="false" ht="12.75" hidden="false" customHeight="false" outlineLevel="0" collapsed="false">
      <c r="A14" s="0" t="s">
        <v>1155</v>
      </c>
      <c r="C14" s="421" t="n">
        <f aca="false">C13/B12</f>
        <v>0.109209087506874</v>
      </c>
      <c r="D14" s="421" t="n">
        <f aca="false">D13/C12</f>
        <v>0.0984732584142392</v>
      </c>
      <c r="E14" s="421" t="n">
        <f aca="false">E13/D12</f>
        <v>0.339968510564185</v>
      </c>
      <c r="F14" s="421" t="n">
        <f aca="false">F13/E12</f>
        <v>0.0350975890408461</v>
      </c>
      <c r="G14" s="421" t="n">
        <f aca="false">G13/F12</f>
        <v>0.0699382645747707</v>
      </c>
      <c r="H14" s="421" t="n">
        <f aca="false">H13/G12</f>
        <v>0</v>
      </c>
      <c r="I14" s="421" t="n">
        <f aca="false">I13/H12</f>
        <v>0</v>
      </c>
      <c r="J14" s="421" t="n">
        <f aca="false">J13/I12</f>
        <v>0</v>
      </c>
      <c r="K14" s="421" t="n">
        <f aca="false">K13/J12</f>
        <v>0.0980499532875844</v>
      </c>
      <c r="L14" s="421" t="n">
        <f aca="false">L13/K12</f>
        <v>0</v>
      </c>
    </row>
    <row r="16" customFormat="false" ht="12.75" hidden="false" customHeight="false" outlineLevel="0" collapsed="false">
      <c r="A16" s="439" t="s">
        <v>1156</v>
      </c>
      <c r="B16" s="551"/>
      <c r="C16" s="551"/>
      <c r="D16" s="551"/>
      <c r="E16" s="551"/>
      <c r="F16" s="551"/>
      <c r="G16" s="551"/>
      <c r="H16" s="551"/>
      <c r="I16" s="551"/>
      <c r="J16" s="551"/>
      <c r="K16" s="551"/>
      <c r="L16" s="551"/>
    </row>
    <row r="17" customFormat="false" ht="12.75" hidden="false" customHeight="false" outlineLevel="0" collapsed="false">
      <c r="A17" s="0" t="s">
        <v>1157</v>
      </c>
      <c r="C17" s="641" t="n">
        <f aca="false">'[3]Chris'' Flows'!$AI$9</f>
        <v>13306028.1404576</v>
      </c>
      <c r="D17" s="641" t="n">
        <f aca="false">SUM('[3]Chris'' Flows'!$AG$21:$AG$32)</f>
        <v>13617497.7379209</v>
      </c>
      <c r="E17" s="551" t="n">
        <f aca="false">SUM('[3]Chris'' Flows'!$AG$33:$AG$44)</f>
        <v>14759552.9286194</v>
      </c>
      <c r="F17" s="551" t="n">
        <f aca="false">SUM('[3]Chris'' Flows'!$AG$45:$AG$56)</f>
        <v>15382492.1235459</v>
      </c>
      <c r="G17" s="551" t="n">
        <f aca="false">SUM('[3]Chris'' Flows'!$AG$57:$AG$68)</f>
        <v>15382492.1235459</v>
      </c>
      <c r="H17" s="551" t="n">
        <f aca="false">SUM('[3]Chris'' Flows'!$AG$69:$AG$80)</f>
        <v>15382492.1235459</v>
      </c>
      <c r="I17" s="551" t="n">
        <f aca="false">SUM('[3]Chris'' Flows'!$AG$81:$AG$92)</f>
        <v>15382492.1235459</v>
      </c>
      <c r="J17" s="551" t="n">
        <f aca="false">SUM('[3]Chris'' Flows'!$AG$93:$AG$104)</f>
        <v>15382492.1235459</v>
      </c>
      <c r="K17" s="551" t="n">
        <f aca="false">SUM('[3]Chris'' Flows'!$AG$105:$AG$116)</f>
        <v>15382492.1235459</v>
      </c>
      <c r="L17" s="551" t="n">
        <f aca="false">SUM('[3]Chris'' Flows'!$AG$117:$AG$128)</f>
        <v>15382492.1235459</v>
      </c>
    </row>
    <row r="18" customFormat="false" ht="12.75" hidden="false" customHeight="false" outlineLevel="0" collapsed="false">
      <c r="A18" s="0" t="s">
        <v>1158</v>
      </c>
      <c r="C18" s="641" t="n">
        <f aca="false">SUM('[3]Chris'' Flows'!$AH$9:$AH$20)</f>
        <v>155734.798731626</v>
      </c>
      <c r="D18" s="641" t="n">
        <f aca="false">SUM('[3]Chris'' Flows'!$AH$21:$AH$32)</f>
        <v>579679.528612162</v>
      </c>
      <c r="E18" s="641" t="n">
        <f aca="false">SUM('[3]Chris'' Flows'!$AH$33:$AH$44)</f>
        <v>311469.597463251</v>
      </c>
      <c r="F18" s="641" t="n">
        <f aca="false">SUM('[3]Chris'' Flows'!$AH$45:$AH$56)</f>
        <v>0</v>
      </c>
      <c r="G18" s="641" t="n">
        <f aca="false">SUM('[3]Chris'' Flows'!$AH$57:$AH$68)</f>
        <v>0</v>
      </c>
      <c r="H18" s="641" t="n">
        <f aca="false">SUM('[3]Chris'' Flows'!$AH$69:$AH$80)</f>
        <v>0</v>
      </c>
      <c r="I18" s="641" t="n">
        <f aca="false">SUM('[3]Chris'' Flows'!$AH$81:$AH$92)</f>
        <v>0</v>
      </c>
      <c r="J18" s="641" t="n">
        <f aca="false">SUM('[3]Chris'' Flows'!$AH$93:$AH$104)</f>
        <v>0</v>
      </c>
      <c r="K18" s="641" t="n">
        <f aca="false">SUM('[3]Chris'' Flows'!$AH$105:$AH$116)</f>
        <v>0</v>
      </c>
      <c r="L18" s="641" t="n">
        <f aca="false">SUM('[3]Chris'' Flows'!$AH$117:$AH$128)</f>
        <v>0</v>
      </c>
    </row>
    <row r="19" customFormat="false" ht="12.75" hidden="false" customHeight="false" outlineLevel="0" collapsed="false">
      <c r="A19" s="0" t="s">
        <v>798</v>
      </c>
      <c r="C19" s="641" t="n">
        <f aca="false">C17+C18</f>
        <v>13461762.9391892</v>
      </c>
      <c r="D19" s="641" t="n">
        <f aca="false">D17+D18</f>
        <v>14197177.266533</v>
      </c>
      <c r="E19" s="641" t="n">
        <f aca="false">E17+E18</f>
        <v>15071022.5260827</v>
      </c>
      <c r="F19" s="641" t="n">
        <f aca="false">F17+F18</f>
        <v>15382492.1235459</v>
      </c>
      <c r="G19" s="641" t="n">
        <f aca="false">G17+G18</f>
        <v>15382492.1235459</v>
      </c>
      <c r="H19" s="641" t="n">
        <f aca="false">H17+H18</f>
        <v>15382492.1235459</v>
      </c>
      <c r="I19" s="641" t="n">
        <f aca="false">I17+I18</f>
        <v>15382492.1235459</v>
      </c>
      <c r="J19" s="641" t="n">
        <f aca="false">J17+J18</f>
        <v>15382492.1235459</v>
      </c>
      <c r="K19" s="641" t="n">
        <f aca="false">K17+K18</f>
        <v>15382492.1235459</v>
      </c>
      <c r="L19" s="641" t="n">
        <f aca="false">L17+L18</f>
        <v>15382492.1235459</v>
      </c>
    </row>
    <row r="20" customFormat="false" ht="12.75" hidden="false" customHeight="false" outlineLevel="0" collapsed="false">
      <c r="C20" s="642"/>
      <c r="D20" s="642"/>
      <c r="E20" s="642"/>
      <c r="F20" s="642"/>
      <c r="G20" s="642"/>
      <c r="H20" s="642"/>
      <c r="I20" s="642"/>
      <c r="J20" s="642"/>
      <c r="K20" s="642"/>
      <c r="L20" s="642"/>
    </row>
    <row r="21" customFormat="false" ht="12.75" hidden="false" customHeight="false" outlineLevel="0" collapsed="false">
      <c r="A21" s="439" t="s">
        <v>1159</v>
      </c>
      <c r="C21" s="641"/>
      <c r="D21" s="641"/>
      <c r="E21" s="641"/>
      <c r="F21" s="641"/>
      <c r="G21" s="641"/>
      <c r="H21" s="641"/>
      <c r="I21" s="641"/>
      <c r="J21" s="641"/>
      <c r="K21" s="641"/>
      <c r="L21" s="641"/>
    </row>
    <row r="22" customFormat="false" ht="12.75" hidden="false" customHeight="false" outlineLevel="0" collapsed="false">
      <c r="A22" s="0" t="s">
        <v>1157</v>
      </c>
      <c r="C22" s="643" t="n">
        <f aca="false">IF('general info'!B47="y",9750000,12900000)</f>
        <v>12900000</v>
      </c>
      <c r="D22" s="641" t="n">
        <f aca="false">$C$22</f>
        <v>12900000</v>
      </c>
      <c r="E22" s="641" t="n">
        <f aca="false">$C$22</f>
        <v>12900000</v>
      </c>
      <c r="F22" s="641" t="n">
        <f aca="false">$C$22</f>
        <v>12900000</v>
      </c>
      <c r="G22" s="641" t="n">
        <f aca="false">$C$22</f>
        <v>12900000</v>
      </c>
      <c r="H22" s="641" t="n">
        <f aca="false">$C$22</f>
        <v>12900000</v>
      </c>
      <c r="I22" s="641" t="n">
        <f aca="false">$C$22</f>
        <v>12900000</v>
      </c>
      <c r="J22" s="641" t="n">
        <f aca="false">$C$22</f>
        <v>12900000</v>
      </c>
      <c r="K22" s="641" t="n">
        <f aca="false">$C$22</f>
        <v>12900000</v>
      </c>
      <c r="L22" s="641" t="n">
        <f aca="false">$C$22</f>
        <v>12900000</v>
      </c>
    </row>
    <row r="23" customFormat="false" ht="12.75" hidden="false" customHeight="false" outlineLevel="0" collapsed="false">
      <c r="A23" s="0" t="s">
        <v>1158</v>
      </c>
      <c r="C23" s="644" t="n">
        <f aca="false">(C4-$B$4)*'[3]Chris'' Flows'!$AH$4</f>
        <v>155734.798731626</v>
      </c>
      <c r="D23" s="644" t="n">
        <f aca="false">(D4-$B$4)*'[3]Chris'' Flows'!$AH$4</f>
        <v>891149.126075413</v>
      </c>
      <c r="E23" s="644" t="n">
        <f aca="false">(E4-$B$4)*'[3]Chris'' Flows'!$AH$4</f>
        <v>1764994.38562509</v>
      </c>
      <c r="F23" s="644" t="n">
        <f aca="false">(F4-$B$4)*'[3]Chris'' Flows'!$AH$4</f>
        <v>2076463.98308834</v>
      </c>
      <c r="G23" s="644" t="n">
        <f aca="false">(G4-$B$4)*'[3]Chris'' Flows'!$AH$4</f>
        <v>2076463.98308834</v>
      </c>
      <c r="H23" s="644" t="n">
        <f aca="false">(H4-$B$4)*'[3]Chris'' Flows'!$AH$4</f>
        <v>2076463.98308834</v>
      </c>
      <c r="I23" s="644" t="n">
        <f aca="false">(I4-$B$4)*'[3]Chris'' Flows'!$AH$4</f>
        <v>2076463.98308834</v>
      </c>
      <c r="J23" s="644" t="n">
        <f aca="false">(J4-$B$4)*'[3]Chris'' Flows'!$AH$4</f>
        <v>2076463.98308834</v>
      </c>
      <c r="K23" s="644" t="n">
        <f aca="false">(K4-$B$4)*'[3]Chris'' Flows'!$AH$4</f>
        <v>2076463.98308834</v>
      </c>
      <c r="L23" s="644" t="n">
        <f aca="false">(L4-$B$4)*'[3]Chris'' Flows'!$AH$4</f>
        <v>2076463.98308834</v>
      </c>
    </row>
    <row r="24" customFormat="false" ht="12.75" hidden="false" customHeight="false" outlineLevel="0" collapsed="false">
      <c r="A24" s="0" t="s">
        <v>798</v>
      </c>
      <c r="C24" s="551" t="n">
        <f aca="false">C22+C23</f>
        <v>13055734.7987316</v>
      </c>
      <c r="D24" s="551" t="n">
        <f aca="false">D22+D23</f>
        <v>13791149.1260754</v>
      </c>
      <c r="E24" s="551" t="n">
        <f aca="false">E22+E23</f>
        <v>14664994.3856251</v>
      </c>
      <c r="F24" s="551" t="n">
        <f aca="false">F22+F23</f>
        <v>14976463.9830883</v>
      </c>
      <c r="G24" s="551" t="n">
        <f aca="false">G22+G23</f>
        <v>14976463.9830883</v>
      </c>
      <c r="H24" s="551" t="n">
        <f aca="false">H22+H23</f>
        <v>14976463.9830883</v>
      </c>
      <c r="I24" s="551" t="n">
        <f aca="false">I22+I23</f>
        <v>14976463.9830883</v>
      </c>
      <c r="J24" s="551" t="n">
        <f aca="false">J22+J23</f>
        <v>14976463.9830883</v>
      </c>
      <c r="K24" s="551" t="n">
        <f aca="false">K22+K23</f>
        <v>14976463.9830883</v>
      </c>
      <c r="L24" s="551" t="n">
        <f aca="false">L22+L23</f>
        <v>14976463.9830883</v>
      </c>
    </row>
    <row r="25" customFormat="false" ht="12.75" hidden="false" customHeight="false" outlineLevel="0" collapsed="false">
      <c r="C25" s="551"/>
      <c r="D25" s="551"/>
      <c r="E25" s="551"/>
      <c r="F25" s="551"/>
      <c r="G25" s="551"/>
      <c r="H25" s="551"/>
      <c r="I25" s="551"/>
      <c r="J25" s="551"/>
      <c r="K25" s="551"/>
      <c r="L25" s="551"/>
    </row>
    <row r="26" customFormat="false" ht="12.75" hidden="false" customHeight="false" outlineLevel="0" collapsed="false">
      <c r="A26" s="439" t="s">
        <v>1160</v>
      </c>
      <c r="C26" s="551" t="n">
        <f aca="false">SUM('[3]Chris'' Flows'!$AL$9:$AL$20)</f>
        <v>12251522.5410309</v>
      </c>
      <c r="D26" s="551" t="n">
        <f aca="false">SUM('[3]Chris'' Flows'!$AL$21:$AL$32)</f>
        <v>13617292.006098</v>
      </c>
      <c r="E26" s="640" t="n">
        <f aca="false">SUM('[3]Chris'' Flows'!$AL$33:$AL$44)</f>
        <v>15240147.4881188</v>
      </c>
      <c r="F26" s="551" t="n">
        <f aca="false">SUM('[3]Chris'' Flows'!$AL$45:$AL$56)</f>
        <v>15818591.0262648</v>
      </c>
      <c r="G26" s="551" t="n">
        <f aca="false">SUM('[3]Chris'' Flows'!$AL$57:$AL$68)</f>
        <v>15818591.0262648</v>
      </c>
      <c r="H26" s="551" t="n">
        <f aca="false">SUM('[3]Chris'' Flows'!$AL$69:$AL$80)</f>
        <v>15818591.0262648</v>
      </c>
      <c r="I26" s="551" t="n">
        <f aca="false">SUM('[3]Chris'' Flows'!$AL$81:$AL$92)</f>
        <v>15818591.0262648</v>
      </c>
      <c r="J26" s="551" t="n">
        <f aca="false">SUM('[3]Chris'' Flows'!$AL$93:$AL$104)</f>
        <v>15818591.0262648</v>
      </c>
      <c r="K26" s="551" t="n">
        <f aca="false">SUM('[3]Chris'' Flows'!$AL$105:$AL$116)</f>
        <v>15818591.0262648</v>
      </c>
      <c r="L26" s="551" t="n">
        <f aca="false">SUM('[3]Chris'' Flows'!$AL$117:$AL$128)</f>
        <v>15818591.0262648</v>
      </c>
    </row>
    <row r="27" customFormat="false" ht="12.75" hidden="false" customHeight="false" outlineLevel="0" collapsed="false">
      <c r="A27" s="439"/>
      <c r="C27" s="551"/>
      <c r="D27" s="551"/>
      <c r="E27" s="551"/>
      <c r="F27" s="551"/>
      <c r="G27" s="551"/>
      <c r="H27" s="551"/>
      <c r="I27" s="551"/>
      <c r="J27" s="551"/>
      <c r="K27" s="551"/>
      <c r="L27" s="551"/>
    </row>
    <row r="28" customFormat="false" ht="12.75" hidden="false" customHeight="false" outlineLevel="0" collapsed="false">
      <c r="A28" s="439" t="s">
        <v>1161</v>
      </c>
      <c r="D28" s="551"/>
      <c r="E28" s="551"/>
      <c r="F28" s="551"/>
      <c r="G28" s="551"/>
      <c r="H28" s="551"/>
      <c r="I28" s="551"/>
      <c r="J28" s="551"/>
      <c r="K28" s="551"/>
      <c r="L28" s="551"/>
    </row>
    <row r="29" customFormat="false" ht="12.75" hidden="false" customHeight="false" outlineLevel="0" collapsed="false">
      <c r="A29" s="439" t="s">
        <v>1157</v>
      </c>
      <c r="C29" s="551" t="n">
        <f aca="false">IF(C4&lt;$B$32,C22,0)</f>
        <v>12900000</v>
      </c>
      <c r="D29" s="551" t="n">
        <f aca="false">IF(D4&lt;$B$32,D22,0)</f>
        <v>12900000</v>
      </c>
      <c r="E29" s="551" t="n">
        <f aca="false">IF(E4&lt;$B$32,E22,0)</f>
        <v>0</v>
      </c>
      <c r="F29" s="551" t="n">
        <f aca="false">IF(F4&lt;$B$32,F22,0)</f>
        <v>0</v>
      </c>
      <c r="G29" s="551" t="n">
        <f aca="false">IF(G4&lt;$B$32,G22,0)</f>
        <v>0</v>
      </c>
      <c r="H29" s="551" t="n">
        <f aca="false">IF(H4&lt;$B$32,H22,0)</f>
        <v>0</v>
      </c>
      <c r="I29" s="551" t="n">
        <f aca="false">IF(I4&lt;$B$32,I22,0)</f>
        <v>0</v>
      </c>
      <c r="J29" s="551" t="n">
        <f aca="false">IF(J4&lt;$B$32,J22,0)</f>
        <v>0</v>
      </c>
      <c r="K29" s="551" t="n">
        <f aca="false">IF(K4&lt;$B$32,K22,0)</f>
        <v>0</v>
      </c>
      <c r="L29" s="551" t="n">
        <f aca="false">IF(L4&lt;$B$32,L22,0)</f>
        <v>0</v>
      </c>
    </row>
    <row r="30" customFormat="false" ht="12.75" hidden="false" customHeight="false" outlineLevel="0" collapsed="false">
      <c r="A30" s="439" t="s">
        <v>1162</v>
      </c>
      <c r="C30" s="551" t="n">
        <f aca="false">IF(C4&lt;$B$32,C23,0)</f>
        <v>155734.798731626</v>
      </c>
      <c r="D30" s="551" t="n">
        <f aca="false">IF(D4&lt;$B$32,D23,0)</f>
        <v>891149.126075413</v>
      </c>
      <c r="E30" s="551" t="n">
        <f aca="false">IF(E4&lt;$B$32,E23,0)</f>
        <v>0</v>
      </c>
      <c r="F30" s="551" t="n">
        <f aca="false">IF(F4&lt;$B$32,F23,0)</f>
        <v>0</v>
      </c>
      <c r="G30" s="551" t="n">
        <f aca="false">IF(G4&lt;$B$32,G23,0)</f>
        <v>0</v>
      </c>
      <c r="H30" s="551" t="n">
        <f aca="false">IF(H4&lt;$B$32,H23,0)</f>
        <v>0</v>
      </c>
      <c r="I30" s="551" t="n">
        <f aca="false">IF(I4&lt;$B$32,I23,0)</f>
        <v>0</v>
      </c>
      <c r="J30" s="551" t="n">
        <f aca="false">IF(J4&lt;$B$32,J23,0)</f>
        <v>0</v>
      </c>
      <c r="K30" s="551" t="n">
        <f aca="false">IF(K4&lt;$B$32,K23,0)</f>
        <v>0</v>
      </c>
      <c r="L30" s="551" t="n">
        <f aca="false">IF(L4&lt;$B$32,L23,0)</f>
        <v>0</v>
      </c>
    </row>
    <row r="31" customFormat="false" ht="12.75" hidden="false" customHeight="false" outlineLevel="0" collapsed="false">
      <c r="A31" s="439" t="s">
        <v>1163</v>
      </c>
      <c r="C31" s="551" t="n">
        <f aca="false">IF(C4&lt;$B$32,0,(C4*'[3]Chris'' Flows'!$AL$4))</f>
        <v>0</v>
      </c>
      <c r="D31" s="551" t="n">
        <f aca="false">IF(D4&lt;$B$32,0,(D4*'[3]Chris'' Flows'!$AL$4))</f>
        <v>0</v>
      </c>
      <c r="E31" s="551" t="n">
        <f aca="false">IF(E4&lt;$B$32,0,E26)</f>
        <v>15240147.4881188</v>
      </c>
      <c r="F31" s="551" t="n">
        <f aca="false">IF(F4&lt;$B$32,0,F26)</f>
        <v>15818591.0262648</v>
      </c>
      <c r="G31" s="551" t="n">
        <f aca="false">IF(G4&lt;$B$32,0,G26)</f>
        <v>15818591.0262648</v>
      </c>
      <c r="H31" s="551" t="n">
        <f aca="false">IF(H4&lt;$B$32,0,H26)</f>
        <v>15818591.0262648</v>
      </c>
      <c r="I31" s="551" t="n">
        <f aca="false">IF(I4&lt;$B$32,0,I26)</f>
        <v>15818591.0262648</v>
      </c>
      <c r="J31" s="551" t="n">
        <f aca="false">IF(J4&lt;$B$32,0,J26)</f>
        <v>15818591.0262648</v>
      </c>
      <c r="K31" s="551" t="n">
        <f aca="false">IF(K4&lt;$B$32,0,K26)</f>
        <v>15818591.0262648</v>
      </c>
      <c r="L31" s="551" t="n">
        <f aca="false">IF(L4&lt;$B$32,0,L26)</f>
        <v>15818591.0262648</v>
      </c>
    </row>
    <row r="32" customFormat="false" ht="12.75" hidden="false" customHeight="false" outlineLevel="0" collapsed="false">
      <c r="A32" s="439" t="s">
        <v>1164</v>
      </c>
      <c r="B32" s="645" t="n">
        <f aca="false">'power redistribution'!G5*12</f>
        <v>76200000</v>
      </c>
      <c r="C32" s="551"/>
      <c r="D32" s="551"/>
      <c r="E32" s="551"/>
      <c r="F32" s="551"/>
      <c r="G32" s="551"/>
      <c r="H32" s="551"/>
      <c r="I32" s="551"/>
      <c r="J32" s="551"/>
      <c r="K32" s="551"/>
      <c r="L32" s="551"/>
    </row>
    <row r="34" customFormat="false" ht="12.75" hidden="false" customHeight="false" outlineLevel="0" collapsed="false">
      <c r="A34" s="439" t="s">
        <v>1165</v>
      </c>
      <c r="C34" s="646" t="n">
        <f aca="false">NPV(0.1,C26:L26)</f>
        <v>91701755.9662888</v>
      </c>
    </row>
    <row r="35" customFormat="false" ht="12.75" hidden="false" customHeight="false" outlineLevel="0" collapsed="false">
      <c r="A35" s="0" t="s">
        <v>173</v>
      </c>
      <c r="C35" s="646" t="n">
        <f aca="false">NPV(0.1,C24:L24)</f>
        <v>89064159.7359437</v>
      </c>
    </row>
    <row r="38" customFormat="false" ht="12.75" hidden="false" customHeight="false" outlineLevel="0" collapsed="false">
      <c r="A38" s="439"/>
    </row>
    <row r="73" customFormat="false" ht="12.75" hidden="false" customHeight="false" outlineLevel="0" collapsed="false">
      <c r="B73" s="441"/>
    </row>
    <row r="84" customFormat="false" ht="12.75" hidden="false" customHeight="false" outlineLevel="0" collapsed="false">
      <c r="B84" s="441"/>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5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H13" activeCellId="0" sqref="H13"/>
    </sheetView>
  </sheetViews>
  <sheetFormatPr defaultColWidth="9.13671875" defaultRowHeight="12.75" customHeight="true" zeroHeight="false" outlineLevelRow="0" outlineLevelCol="0"/>
  <cols>
    <col collapsed="false" customWidth="true" hidden="false" outlineLevel="0" max="1" min="1" style="111" width="5.13"/>
    <col collapsed="false" customWidth="true" hidden="false" outlineLevel="0" max="2" min="2" style="111" width="38.99"/>
    <col collapsed="false" customWidth="true" hidden="false" outlineLevel="0" max="3" min="3" style="111" width="16.84"/>
    <col collapsed="false" customWidth="true" hidden="false" outlineLevel="0" max="6" min="4" style="111" width="12.42"/>
    <col collapsed="false" customWidth="true" hidden="false" outlineLevel="0" max="7" min="7" style="111" width="15.28"/>
    <col collapsed="false" customWidth="true" hidden="false" outlineLevel="0" max="8" min="8" style="112" width="1.85"/>
    <col collapsed="false" customWidth="true" hidden="false" outlineLevel="0" max="9" min="9" style="111" width="9.99"/>
    <col collapsed="false" customWidth="true" hidden="false" outlineLevel="0" max="10" min="10" style="111" width="12.28"/>
    <col collapsed="false" customWidth="true" hidden="false" outlineLevel="0" max="11" min="11" style="111" width="11.42"/>
    <col collapsed="false" customWidth="true" hidden="false" outlineLevel="0" max="12" min="12" style="111" width="13.28"/>
    <col collapsed="false" customWidth="true" hidden="false" outlineLevel="0" max="13" min="13" style="112" width="1.85"/>
    <col collapsed="false" customWidth="true" hidden="false" outlineLevel="0" max="14" min="14" style="111" width="11.42"/>
    <col collapsed="false" customWidth="true" hidden="false" outlineLevel="0" max="17" min="15" style="111" width="13.28"/>
    <col collapsed="false" customWidth="true" hidden="false" outlineLevel="0" max="18" min="18" style="113" width="1.85"/>
    <col collapsed="false" customWidth="true" hidden="false" outlineLevel="0" max="22" min="19" style="111" width="13.28"/>
    <col collapsed="false" customWidth="true" hidden="false" outlineLevel="0" max="23" min="23" style="113" width="1.85"/>
    <col collapsed="false" customWidth="true" hidden="false" outlineLevel="0" max="27" min="24" style="111" width="13.28"/>
    <col collapsed="false" customWidth="true" hidden="false" outlineLevel="0" max="28" min="28" style="113" width="1.85"/>
    <col collapsed="false" customWidth="true" hidden="false" outlineLevel="0" max="29" min="29" style="111" width="15.13"/>
    <col collapsed="false" customWidth="true" hidden="false" outlineLevel="0" max="30" min="30" style="111" width="14.99"/>
    <col collapsed="false" customWidth="true" hidden="false" outlineLevel="0" max="31" min="31" style="111" width="13.28"/>
    <col collapsed="false" customWidth="true" hidden="false" outlineLevel="0" max="32" min="32" style="113" width="1.85"/>
    <col collapsed="false" customWidth="true" hidden="false" outlineLevel="0" max="33" min="33" style="111" width="18.41"/>
    <col collapsed="false" customWidth="true" hidden="false" outlineLevel="0" max="34" min="34" style="111" width="13.28"/>
    <col collapsed="false" customWidth="false" hidden="false" outlineLevel="0" max="257" min="35" style="111" width="9.14"/>
  </cols>
  <sheetData>
    <row r="1" customFormat="false" ht="12.75" hidden="false" customHeight="false" outlineLevel="0" collapsed="false">
      <c r="A1" s="114" t="s">
        <v>640</v>
      </c>
      <c r="B1" s="114" t="s">
        <v>9</v>
      </c>
      <c r="C1" s="115" t="s">
        <v>641</v>
      </c>
      <c r="D1" s="114" t="s">
        <v>642</v>
      </c>
      <c r="E1" s="114" t="s">
        <v>643</v>
      </c>
      <c r="F1" s="114" t="s">
        <v>644</v>
      </c>
      <c r="G1" s="114" t="s">
        <v>645</v>
      </c>
      <c r="H1" s="116"/>
      <c r="I1" s="114" t="s">
        <v>646</v>
      </c>
      <c r="J1" s="114" t="s">
        <v>647</v>
      </c>
      <c r="K1" s="114" t="s">
        <v>648</v>
      </c>
      <c r="L1" s="114" t="s">
        <v>649</v>
      </c>
      <c r="M1" s="116"/>
      <c r="N1" s="114" t="s">
        <v>650</v>
      </c>
      <c r="O1" s="114" t="s">
        <v>651</v>
      </c>
      <c r="P1" s="114" t="s">
        <v>652</v>
      </c>
      <c r="Q1" s="114" t="s">
        <v>653</v>
      </c>
      <c r="R1" s="117"/>
      <c r="S1" s="114" t="s">
        <v>654</v>
      </c>
      <c r="T1" s="114" t="s">
        <v>655</v>
      </c>
      <c r="U1" s="114" t="s">
        <v>656</v>
      </c>
      <c r="V1" s="114" t="s">
        <v>657</v>
      </c>
      <c r="W1" s="117"/>
      <c r="X1" s="114" t="s">
        <v>658</v>
      </c>
      <c r="Y1" s="114" t="s">
        <v>659</v>
      </c>
      <c r="Z1" s="114" t="s">
        <v>660</v>
      </c>
      <c r="AA1" s="114" t="s">
        <v>661</v>
      </c>
      <c r="AB1" s="117"/>
      <c r="AC1" s="114" t="s">
        <v>662</v>
      </c>
      <c r="AD1" s="114" t="s">
        <v>663</v>
      </c>
      <c r="AE1" s="114" t="s">
        <v>664</v>
      </c>
      <c r="AF1" s="117"/>
      <c r="AG1" s="114" t="s">
        <v>665</v>
      </c>
      <c r="AH1" s="114"/>
      <c r="AI1" s="114"/>
      <c r="AJ1" s="114"/>
      <c r="AK1" s="114"/>
      <c r="AL1" s="114"/>
      <c r="AM1" s="114"/>
      <c r="AN1" s="114"/>
      <c r="AO1" s="114"/>
      <c r="AP1" s="114"/>
      <c r="AQ1" s="114"/>
      <c r="AR1" s="114"/>
      <c r="AS1" s="114"/>
      <c r="AT1" s="114"/>
      <c r="AU1" s="114"/>
      <c r="AV1" s="114"/>
      <c r="AW1" s="114"/>
      <c r="AX1" s="114"/>
      <c r="AY1" s="114"/>
      <c r="AZ1" s="114"/>
      <c r="BA1" s="114"/>
      <c r="BB1" s="114"/>
      <c r="BC1" s="114"/>
      <c r="BD1" s="114"/>
      <c r="BE1" s="114"/>
      <c r="BF1" s="114"/>
      <c r="BG1" s="114"/>
      <c r="BH1" s="114"/>
      <c r="BI1" s="114"/>
      <c r="BJ1" s="114"/>
      <c r="BK1" s="114"/>
      <c r="BL1" s="114"/>
      <c r="BM1" s="114"/>
      <c r="BN1" s="114"/>
      <c r="BO1" s="114"/>
      <c r="BP1" s="114"/>
      <c r="BQ1" s="114"/>
      <c r="BR1" s="114"/>
      <c r="BS1" s="114"/>
      <c r="BT1" s="114"/>
      <c r="BU1" s="114"/>
      <c r="BV1" s="114"/>
      <c r="BW1" s="114"/>
      <c r="BX1" s="114"/>
      <c r="BY1" s="114"/>
      <c r="BZ1" s="114"/>
      <c r="CA1" s="114"/>
      <c r="CB1" s="114"/>
      <c r="CC1" s="114"/>
      <c r="CD1" s="114"/>
      <c r="CE1" s="114"/>
      <c r="CF1" s="114"/>
      <c r="CG1" s="114"/>
      <c r="CH1" s="114"/>
      <c r="CI1" s="114"/>
      <c r="CJ1" s="114"/>
      <c r="CK1" s="114"/>
      <c r="CL1" s="114"/>
      <c r="CM1" s="114"/>
      <c r="CN1" s="114"/>
      <c r="CO1" s="114"/>
      <c r="CP1" s="114"/>
      <c r="CQ1" s="114"/>
      <c r="CR1" s="114"/>
      <c r="CS1" s="114"/>
      <c r="CT1" s="114"/>
      <c r="CU1" s="114"/>
      <c r="CV1" s="114"/>
      <c r="CW1" s="114"/>
      <c r="CX1" s="114"/>
      <c r="CY1" s="114"/>
      <c r="CZ1" s="114"/>
      <c r="DA1" s="114"/>
      <c r="DB1" s="114"/>
      <c r="DC1" s="114"/>
      <c r="DD1" s="114"/>
      <c r="DE1" s="114"/>
      <c r="DF1" s="114"/>
      <c r="DG1" s="114"/>
      <c r="DH1" s="114"/>
      <c r="DI1" s="114"/>
      <c r="DJ1" s="114"/>
      <c r="DK1" s="114"/>
      <c r="DL1" s="114"/>
      <c r="DM1" s="114"/>
      <c r="DN1" s="114"/>
      <c r="DO1" s="114"/>
      <c r="DP1" s="114"/>
      <c r="DQ1" s="114"/>
      <c r="DR1" s="114"/>
      <c r="DS1" s="114"/>
      <c r="DT1" s="114"/>
      <c r="DU1" s="114"/>
      <c r="DV1" s="114"/>
      <c r="DW1" s="114"/>
      <c r="DX1" s="114"/>
      <c r="DY1" s="114"/>
      <c r="DZ1" s="114"/>
      <c r="EA1" s="114"/>
      <c r="EB1" s="114"/>
      <c r="EC1" s="114"/>
      <c r="ED1" s="114"/>
      <c r="EE1" s="114"/>
      <c r="EF1" s="114"/>
      <c r="EG1" s="114"/>
      <c r="EH1" s="114"/>
      <c r="EI1" s="114"/>
      <c r="EJ1" s="114"/>
      <c r="EK1" s="114"/>
      <c r="EL1" s="114"/>
      <c r="EM1" s="114"/>
      <c r="EN1" s="114"/>
      <c r="EO1" s="114"/>
      <c r="EP1" s="114"/>
      <c r="EQ1" s="114"/>
      <c r="ER1" s="114"/>
      <c r="ES1" s="114"/>
      <c r="ET1" s="114"/>
      <c r="EU1" s="114"/>
      <c r="EV1" s="114"/>
      <c r="EW1" s="114"/>
      <c r="EX1" s="114"/>
      <c r="EY1" s="114"/>
      <c r="EZ1" s="114"/>
      <c r="FA1" s="114"/>
      <c r="FB1" s="114"/>
      <c r="FC1" s="114"/>
      <c r="FD1" s="114"/>
      <c r="FE1" s="114"/>
      <c r="FF1" s="114"/>
      <c r="FG1" s="114"/>
      <c r="FH1" s="114"/>
      <c r="FI1" s="114"/>
      <c r="FJ1" s="114"/>
      <c r="FK1" s="114"/>
      <c r="FL1" s="114"/>
      <c r="FM1" s="114"/>
      <c r="FN1" s="114"/>
      <c r="FO1" s="114"/>
      <c r="FP1" s="114"/>
      <c r="FQ1" s="114"/>
      <c r="FR1" s="114"/>
      <c r="FS1" s="114"/>
      <c r="FT1" s="114"/>
      <c r="FU1" s="114"/>
      <c r="FV1" s="114"/>
      <c r="FW1" s="114"/>
      <c r="FX1" s="114"/>
      <c r="FY1" s="114"/>
      <c r="FZ1" s="114"/>
      <c r="GA1" s="114"/>
      <c r="GB1" s="114"/>
      <c r="GC1" s="114"/>
      <c r="GD1" s="114"/>
      <c r="GE1" s="114"/>
      <c r="GF1" s="114"/>
      <c r="GG1" s="114"/>
      <c r="GH1" s="114"/>
      <c r="GI1" s="114"/>
      <c r="GJ1" s="114"/>
      <c r="GK1" s="114"/>
      <c r="GL1" s="114"/>
      <c r="GM1" s="114"/>
      <c r="GN1" s="114"/>
      <c r="GO1" s="114"/>
      <c r="GP1" s="114"/>
      <c r="GQ1" s="114"/>
      <c r="GR1" s="114"/>
      <c r="GS1" s="114"/>
      <c r="GT1" s="114"/>
      <c r="GU1" s="114"/>
      <c r="GV1" s="114"/>
      <c r="GW1" s="114"/>
      <c r="GX1" s="114"/>
      <c r="GY1" s="114"/>
      <c r="GZ1" s="114"/>
      <c r="HA1" s="114"/>
      <c r="HB1" s="114"/>
      <c r="HC1" s="114"/>
      <c r="HD1" s="114"/>
      <c r="HE1" s="114"/>
      <c r="HF1" s="114"/>
      <c r="HG1" s="114"/>
      <c r="HH1" s="114"/>
      <c r="HI1" s="114"/>
      <c r="HJ1" s="114"/>
      <c r="HK1" s="114"/>
      <c r="HL1" s="114"/>
      <c r="HM1" s="114"/>
      <c r="HN1" s="114"/>
      <c r="HO1" s="114"/>
      <c r="HP1" s="114"/>
      <c r="HQ1" s="114"/>
      <c r="HR1" s="114"/>
      <c r="HS1" s="114"/>
      <c r="HT1" s="114"/>
      <c r="HU1" s="114"/>
      <c r="HV1" s="114"/>
      <c r="HW1" s="114"/>
      <c r="HX1" s="114"/>
      <c r="HY1" s="114"/>
      <c r="HZ1" s="114"/>
      <c r="IA1" s="114"/>
      <c r="IB1" s="114"/>
      <c r="IC1" s="114"/>
      <c r="ID1" s="114"/>
      <c r="IE1" s="114"/>
      <c r="IF1" s="114"/>
      <c r="IG1" s="114"/>
      <c r="IH1" s="114"/>
      <c r="II1" s="114"/>
      <c r="IJ1" s="114"/>
      <c r="IK1" s="114"/>
      <c r="IL1" s="114"/>
      <c r="IM1" s="114"/>
      <c r="IN1" s="114"/>
      <c r="IO1" s="114"/>
      <c r="IP1" s="114"/>
      <c r="IQ1" s="114"/>
      <c r="IR1" s="114"/>
      <c r="IS1" s="114"/>
      <c r="IT1" s="114"/>
      <c r="IU1" s="114"/>
      <c r="IV1" s="114"/>
      <c r="IW1" s="114"/>
    </row>
    <row r="2" customFormat="false" ht="12.75" hidden="false" customHeight="false" outlineLevel="0" collapsed="false">
      <c r="A2" s="111" t="n">
        <v>110</v>
      </c>
      <c r="B2" s="111" t="s">
        <v>45</v>
      </c>
      <c r="C2" s="118" t="str">
        <f aca="false">'form A info'!G7</f>
        <v>y</v>
      </c>
      <c r="D2" s="119" t="n">
        <v>42</v>
      </c>
      <c r="E2" s="119" t="n">
        <v>0</v>
      </c>
      <c r="F2" s="119" t="n">
        <v>26</v>
      </c>
      <c r="G2" s="119" t="n">
        <v>33</v>
      </c>
      <c r="H2" s="120"/>
      <c r="I2" s="119" t="n">
        <v>0</v>
      </c>
      <c r="J2" s="119" t="n">
        <v>0</v>
      </c>
      <c r="K2" s="119" t="n">
        <v>0</v>
      </c>
      <c r="L2" s="119" t="n">
        <v>0</v>
      </c>
      <c r="M2" s="120"/>
      <c r="N2" s="119" t="n">
        <v>0</v>
      </c>
      <c r="O2" s="119" t="n">
        <v>0</v>
      </c>
      <c r="P2" s="119" t="n">
        <v>7</v>
      </c>
      <c r="Q2" s="119" t="n">
        <v>4</v>
      </c>
      <c r="R2" s="121"/>
      <c r="S2" s="119" t="n">
        <v>0</v>
      </c>
      <c r="T2" s="119" t="n">
        <v>0</v>
      </c>
      <c r="U2" s="119" t="n">
        <v>0</v>
      </c>
      <c r="V2" s="119" t="n">
        <v>0</v>
      </c>
      <c r="W2" s="121"/>
      <c r="X2" s="119" t="n">
        <v>0</v>
      </c>
      <c r="Y2" s="119" t="n">
        <v>0</v>
      </c>
      <c r="Z2" s="119" t="n">
        <v>0</v>
      </c>
      <c r="AA2" s="119" t="n">
        <v>0</v>
      </c>
      <c r="AB2" s="121"/>
      <c r="AC2" s="119" t="n">
        <v>8728</v>
      </c>
      <c r="AD2" s="119" t="n">
        <v>0</v>
      </c>
      <c r="AE2" s="119" t="n">
        <v>0</v>
      </c>
      <c r="AF2" s="121"/>
      <c r="AG2" s="122" t="n">
        <f aca="false">'form A info'!$AK7/1000</f>
        <v>438.309</v>
      </c>
    </row>
    <row r="3" customFormat="false" ht="12.75" hidden="false" customHeight="false" outlineLevel="0" collapsed="false">
      <c r="A3" s="111" t="n">
        <v>328</v>
      </c>
      <c r="B3" s="111" t="s">
        <v>52</v>
      </c>
      <c r="C3" s="118"/>
      <c r="D3" s="119" t="n">
        <v>181</v>
      </c>
      <c r="E3" s="119" t="n">
        <v>222</v>
      </c>
      <c r="F3" s="119" t="n">
        <v>44</v>
      </c>
      <c r="G3" s="119" t="n">
        <v>19</v>
      </c>
      <c r="H3" s="120"/>
      <c r="I3" s="119" t="n">
        <v>0</v>
      </c>
      <c r="J3" s="119" t="n">
        <v>0</v>
      </c>
      <c r="K3" s="119" t="n">
        <v>0</v>
      </c>
      <c r="L3" s="119" t="n">
        <v>0</v>
      </c>
      <c r="M3" s="120"/>
      <c r="N3" s="119" t="n">
        <v>7</v>
      </c>
      <c r="O3" s="119" t="n">
        <v>10</v>
      </c>
      <c r="P3" s="119" t="n">
        <v>28</v>
      </c>
      <c r="Q3" s="119" t="n">
        <v>0</v>
      </c>
      <c r="R3" s="121"/>
      <c r="S3" s="119" t="n">
        <v>30</v>
      </c>
      <c r="T3" s="119" t="n">
        <v>0</v>
      </c>
      <c r="U3" s="119" t="n">
        <v>0</v>
      </c>
      <c r="V3" s="119" t="n">
        <v>0</v>
      </c>
      <c r="W3" s="121"/>
      <c r="X3" s="119" t="n">
        <v>34</v>
      </c>
      <c r="Y3" s="119" t="n">
        <v>0</v>
      </c>
      <c r="Z3" s="119" t="n">
        <v>0</v>
      </c>
      <c r="AA3" s="119" t="n">
        <v>0</v>
      </c>
      <c r="AB3" s="121"/>
      <c r="AC3" s="119" t="n">
        <v>0</v>
      </c>
      <c r="AD3" s="119" t="n">
        <v>0</v>
      </c>
      <c r="AE3" s="119" t="n">
        <v>0</v>
      </c>
      <c r="AF3" s="121"/>
      <c r="AG3" s="122" t="n">
        <f aca="false">'form A info'!$AK8/1000</f>
        <v>518.92</v>
      </c>
    </row>
    <row r="4" customFormat="false" ht="12.75" hidden="false" customHeight="false" outlineLevel="0" collapsed="false">
      <c r="A4" s="111" t="n">
        <v>124</v>
      </c>
      <c r="C4" s="118" t="str">
        <f aca="false">'form A info'!G9</f>
        <v>y</v>
      </c>
      <c r="D4" s="119" t="n">
        <v>144</v>
      </c>
      <c r="E4" s="119" t="n">
        <v>239</v>
      </c>
      <c r="F4" s="119" t="n">
        <v>59</v>
      </c>
      <c r="G4" s="119" t="n">
        <v>8</v>
      </c>
      <c r="H4" s="120"/>
      <c r="I4" s="119" t="n">
        <v>0</v>
      </c>
      <c r="J4" s="119" t="n">
        <v>0</v>
      </c>
      <c r="K4" s="119" t="n">
        <v>0</v>
      </c>
      <c r="L4" s="119" t="n">
        <v>0</v>
      </c>
      <c r="M4" s="120"/>
      <c r="N4" s="119" t="n">
        <v>11</v>
      </c>
      <c r="O4" s="119" t="n">
        <v>15</v>
      </c>
      <c r="P4" s="119" t="n">
        <v>21</v>
      </c>
      <c r="Q4" s="119" t="n">
        <v>0</v>
      </c>
      <c r="R4" s="121"/>
      <c r="S4" s="119" t="n">
        <v>23</v>
      </c>
      <c r="T4" s="119" t="n">
        <v>0</v>
      </c>
      <c r="U4" s="119" t="n">
        <v>0</v>
      </c>
      <c r="V4" s="119" t="n">
        <v>0</v>
      </c>
      <c r="W4" s="121"/>
      <c r="X4" s="119" t="n">
        <v>43</v>
      </c>
      <c r="Y4" s="119" t="n">
        <v>0</v>
      </c>
      <c r="Z4" s="119" t="n">
        <v>0</v>
      </c>
      <c r="AA4" s="119" t="n">
        <v>0</v>
      </c>
      <c r="AB4" s="121"/>
      <c r="AC4" s="119" t="n">
        <v>0</v>
      </c>
      <c r="AD4" s="119" t="n">
        <v>0</v>
      </c>
      <c r="AE4" s="119" t="n">
        <v>14564</v>
      </c>
      <c r="AF4" s="121"/>
      <c r="AG4" s="122" t="n">
        <f aca="false">'form A info'!$AK9/1000</f>
        <v>539.329</v>
      </c>
    </row>
    <row r="5" customFormat="false" ht="12.75" hidden="false" customHeight="false" outlineLevel="0" collapsed="false">
      <c r="A5" s="111" t="n">
        <v>140</v>
      </c>
      <c r="B5" s="123" t="s">
        <v>64</v>
      </c>
      <c r="C5" s="118" t="str">
        <f aca="false">'form A info'!G11</f>
        <v>y</v>
      </c>
      <c r="D5" s="119" t="n">
        <v>0</v>
      </c>
      <c r="E5" s="119" t="n">
        <v>0</v>
      </c>
      <c r="F5" s="119" t="n">
        <v>5</v>
      </c>
      <c r="G5" s="119" t="n">
        <v>0</v>
      </c>
      <c r="H5" s="120"/>
      <c r="I5" s="119" t="n">
        <v>0</v>
      </c>
      <c r="J5" s="119" t="n">
        <v>0</v>
      </c>
      <c r="K5" s="119" t="n">
        <v>0</v>
      </c>
      <c r="L5" s="119" t="n">
        <v>0</v>
      </c>
      <c r="M5" s="120"/>
      <c r="N5" s="119" t="n">
        <v>0</v>
      </c>
      <c r="O5" s="119" t="n">
        <v>0</v>
      </c>
      <c r="P5" s="119" t="n">
        <v>1</v>
      </c>
      <c r="Q5" s="119" t="n">
        <v>0</v>
      </c>
      <c r="R5" s="121"/>
      <c r="S5" s="119" t="n">
        <v>0</v>
      </c>
      <c r="T5" s="119" t="n">
        <v>0</v>
      </c>
      <c r="U5" s="119" t="n">
        <v>0</v>
      </c>
      <c r="V5" s="119" t="n">
        <v>0</v>
      </c>
      <c r="W5" s="121"/>
      <c r="X5" s="119" t="n">
        <v>0</v>
      </c>
      <c r="Y5" s="119" t="n">
        <v>0</v>
      </c>
      <c r="Z5" s="119" t="n">
        <v>0</v>
      </c>
      <c r="AA5" s="119" t="n">
        <v>0</v>
      </c>
      <c r="AB5" s="121"/>
      <c r="AC5" s="119" t="n">
        <v>0</v>
      </c>
      <c r="AD5" s="119" t="n">
        <v>0</v>
      </c>
      <c r="AE5" s="119" t="n">
        <v>0</v>
      </c>
      <c r="AF5" s="121"/>
      <c r="AG5" s="122" t="n">
        <f aca="false">'form A info'!$AK11/1000</f>
        <v>0</v>
      </c>
    </row>
    <row r="6" customFormat="false" ht="12.75" hidden="false" customHeight="false" outlineLevel="0" collapsed="false">
      <c r="A6" s="111" t="n">
        <v>4820</v>
      </c>
      <c r="B6" s="111" t="s">
        <v>68</v>
      </c>
      <c r="C6" s="118" t="str">
        <f aca="false">'form A info'!G12</f>
        <v>y</v>
      </c>
      <c r="D6" s="119" t="n">
        <v>0</v>
      </c>
      <c r="E6" s="119" t="n">
        <v>0</v>
      </c>
      <c r="F6" s="119" t="n">
        <v>160</v>
      </c>
      <c r="G6" s="119" t="n">
        <v>49</v>
      </c>
      <c r="H6" s="120"/>
      <c r="I6" s="119" t="n">
        <v>0</v>
      </c>
      <c r="J6" s="119" t="n">
        <v>0</v>
      </c>
      <c r="K6" s="119" t="n">
        <v>17</v>
      </c>
      <c r="L6" s="119" t="n">
        <v>2</v>
      </c>
      <c r="M6" s="120"/>
      <c r="N6" s="119" t="n">
        <v>0</v>
      </c>
      <c r="O6" s="119" t="n">
        <v>0</v>
      </c>
      <c r="P6" s="119" t="n">
        <v>11</v>
      </c>
      <c r="Q6" s="119" t="n">
        <v>4</v>
      </c>
      <c r="R6" s="121"/>
      <c r="S6" s="119" t="n">
        <v>0</v>
      </c>
      <c r="T6" s="119" t="n">
        <v>1</v>
      </c>
      <c r="U6" s="119" t="n">
        <v>0</v>
      </c>
      <c r="V6" s="119" t="n">
        <v>0</v>
      </c>
      <c r="W6" s="121"/>
      <c r="X6" s="119" t="n">
        <v>0</v>
      </c>
      <c r="Y6" s="119" t="n">
        <v>0</v>
      </c>
      <c r="Z6" s="119" t="n">
        <v>0</v>
      </c>
      <c r="AA6" s="119" t="n">
        <v>0</v>
      </c>
      <c r="AB6" s="121"/>
      <c r="AC6" s="119" t="n">
        <v>0</v>
      </c>
      <c r="AD6" s="119" t="n">
        <v>0</v>
      </c>
      <c r="AE6" s="119" t="n">
        <v>0</v>
      </c>
      <c r="AF6" s="121"/>
      <c r="AG6" s="122" t="n">
        <f aca="false">'form A info'!$AK12/1000</f>
        <v>3.06265</v>
      </c>
    </row>
    <row r="7" customFormat="false" ht="12.75" hidden="false" customHeight="false" outlineLevel="0" collapsed="false">
      <c r="A7" s="111" t="n">
        <v>3116</v>
      </c>
      <c r="B7" s="111" t="s">
        <v>71</v>
      </c>
      <c r="C7" s="118" t="str">
        <f aca="false">'form A info'!G13</f>
        <v>y</v>
      </c>
      <c r="D7" s="119" t="n">
        <v>0</v>
      </c>
      <c r="E7" s="119" t="n">
        <v>0</v>
      </c>
      <c r="F7" s="119" t="n">
        <v>5</v>
      </c>
      <c r="G7" s="119" t="n">
        <v>11</v>
      </c>
      <c r="H7" s="120"/>
      <c r="I7" s="119" t="n">
        <v>0</v>
      </c>
      <c r="J7" s="119" t="n">
        <v>0</v>
      </c>
      <c r="K7" s="119" t="n">
        <v>0</v>
      </c>
      <c r="L7" s="119" t="n">
        <v>2</v>
      </c>
      <c r="M7" s="120"/>
      <c r="N7" s="119" t="n">
        <v>0</v>
      </c>
      <c r="O7" s="119" t="n">
        <v>5</v>
      </c>
      <c r="P7" s="119" t="n">
        <v>21</v>
      </c>
      <c r="Q7" s="119" t="n">
        <v>1</v>
      </c>
      <c r="R7" s="121"/>
      <c r="S7" s="119" t="n">
        <v>0</v>
      </c>
      <c r="T7" s="119" t="n">
        <v>0</v>
      </c>
      <c r="U7" s="119" t="n">
        <v>0</v>
      </c>
      <c r="V7" s="119" t="n">
        <v>0</v>
      </c>
      <c r="W7" s="121"/>
      <c r="X7" s="119" t="n">
        <v>0</v>
      </c>
      <c r="Y7" s="119" t="n">
        <v>0</v>
      </c>
      <c r="Z7" s="119" t="n">
        <v>0</v>
      </c>
      <c r="AA7" s="119" t="n">
        <v>0</v>
      </c>
      <c r="AB7" s="121"/>
      <c r="AC7" s="119" t="n">
        <v>0</v>
      </c>
      <c r="AD7" s="119" t="n">
        <v>0</v>
      </c>
      <c r="AE7" s="119" t="n">
        <v>0</v>
      </c>
      <c r="AF7" s="121"/>
      <c r="AG7" s="122" t="n">
        <f aca="false">'form A info'!$AK13/1000</f>
        <v>0</v>
      </c>
    </row>
    <row r="8" customFormat="false" ht="12.75" hidden="false" customHeight="false" outlineLevel="0" collapsed="false">
      <c r="A8" s="111" t="n">
        <v>145</v>
      </c>
      <c r="B8" s="111" t="s">
        <v>77</v>
      </c>
      <c r="C8" s="118" t="str">
        <f aca="false">'form A info'!G16</f>
        <v>y</v>
      </c>
      <c r="D8" s="119" t="n">
        <v>433</v>
      </c>
      <c r="E8" s="119" t="n">
        <v>769</v>
      </c>
      <c r="F8" s="119" t="n">
        <v>140</v>
      </c>
      <c r="G8" s="119" t="n">
        <v>0</v>
      </c>
      <c r="H8" s="120"/>
      <c r="I8" s="119" t="n">
        <v>0</v>
      </c>
      <c r="J8" s="119" t="n">
        <v>0</v>
      </c>
      <c r="K8" s="119" t="n">
        <v>0</v>
      </c>
      <c r="L8" s="119" t="n">
        <v>0</v>
      </c>
      <c r="M8" s="120"/>
      <c r="N8" s="119" t="n">
        <v>6</v>
      </c>
      <c r="O8" s="119" t="n">
        <v>72</v>
      </c>
      <c r="P8" s="119" t="n">
        <v>188</v>
      </c>
      <c r="Q8" s="119" t="n">
        <v>0</v>
      </c>
      <c r="R8" s="121"/>
      <c r="S8" s="119" t="n">
        <v>28</v>
      </c>
      <c r="T8" s="119" t="n">
        <v>0</v>
      </c>
      <c r="U8" s="119" t="n">
        <v>0</v>
      </c>
      <c r="V8" s="119" t="n">
        <v>0</v>
      </c>
      <c r="W8" s="121"/>
      <c r="X8" s="119" t="n">
        <v>53</v>
      </c>
      <c r="Y8" s="119" t="n">
        <v>2</v>
      </c>
      <c r="Z8" s="119" t="n">
        <v>0</v>
      </c>
      <c r="AA8" s="119" t="n">
        <v>0</v>
      </c>
      <c r="AB8" s="121"/>
      <c r="AC8" s="119" t="n">
        <v>0</v>
      </c>
      <c r="AD8" s="119" t="n">
        <v>0</v>
      </c>
      <c r="AE8" s="119" t="n">
        <v>99001</v>
      </c>
      <c r="AF8" s="121"/>
      <c r="AG8" s="122" t="n">
        <f aca="false">'form A info'!$AK16/1000</f>
        <v>1074.81556</v>
      </c>
    </row>
    <row r="9" customFormat="false" ht="12.75" hidden="false" customHeight="false" outlineLevel="0" collapsed="false">
      <c r="A9" s="111" t="n">
        <v>302</v>
      </c>
      <c r="B9" s="111" t="s">
        <v>79</v>
      </c>
      <c r="C9" s="118" t="str">
        <f aca="false">'form A info'!G17</f>
        <v>y</v>
      </c>
      <c r="D9" s="119" t="n">
        <v>47</v>
      </c>
      <c r="E9" s="119" t="n">
        <v>605</v>
      </c>
      <c r="F9" s="119" t="n">
        <v>81</v>
      </c>
      <c r="G9" s="119" t="n">
        <v>11</v>
      </c>
      <c r="H9" s="120"/>
      <c r="I9" s="119" t="n">
        <v>0</v>
      </c>
      <c r="J9" s="119" t="n">
        <v>0</v>
      </c>
      <c r="K9" s="119" t="n">
        <v>5</v>
      </c>
      <c r="L9" s="119" t="n">
        <v>0</v>
      </c>
      <c r="M9" s="120"/>
      <c r="N9" s="119" t="n">
        <v>0</v>
      </c>
      <c r="O9" s="119" t="n">
        <v>26</v>
      </c>
      <c r="P9" s="119" t="n">
        <v>52</v>
      </c>
      <c r="Q9" s="119" t="n">
        <v>2</v>
      </c>
      <c r="R9" s="121"/>
      <c r="S9" s="119" t="n">
        <v>0</v>
      </c>
      <c r="T9" s="119" t="n">
        <v>0</v>
      </c>
      <c r="U9" s="119" t="n">
        <v>0</v>
      </c>
      <c r="V9" s="119" t="n">
        <v>0</v>
      </c>
      <c r="W9" s="121"/>
      <c r="X9" s="119" t="n">
        <v>0</v>
      </c>
      <c r="Y9" s="119" t="n">
        <v>0</v>
      </c>
      <c r="Z9" s="119" t="n">
        <v>0</v>
      </c>
      <c r="AA9" s="119" t="n">
        <v>0</v>
      </c>
      <c r="AB9" s="121"/>
      <c r="AC9" s="119" t="n">
        <v>5552</v>
      </c>
      <c r="AD9" s="119" t="n">
        <v>0</v>
      </c>
      <c r="AE9" s="119" t="n">
        <v>51913</v>
      </c>
      <c r="AF9" s="121"/>
      <c r="AG9" s="122" t="n">
        <f aca="false">'form A info'!$AK17/1000</f>
        <v>325.422</v>
      </c>
    </row>
    <row r="10" customFormat="false" ht="12.75" hidden="false" customHeight="false" outlineLevel="0" collapsed="false">
      <c r="A10" s="111" t="n">
        <v>8099</v>
      </c>
      <c r="B10" s="111" t="s">
        <v>83</v>
      </c>
      <c r="C10" s="118" t="str">
        <f aca="false">'form A info'!G18</f>
        <v>y</v>
      </c>
      <c r="D10" s="119" t="n">
        <v>0</v>
      </c>
      <c r="E10" s="119" t="n">
        <v>0</v>
      </c>
      <c r="F10" s="119" t="n">
        <v>2</v>
      </c>
      <c r="G10" s="119" t="n">
        <v>2</v>
      </c>
      <c r="H10" s="120"/>
      <c r="I10" s="119" t="n">
        <v>0</v>
      </c>
      <c r="J10" s="119" t="n">
        <v>0</v>
      </c>
      <c r="K10" s="119" t="n">
        <v>54</v>
      </c>
      <c r="L10" s="119" t="n">
        <v>1</v>
      </c>
      <c r="M10" s="120"/>
      <c r="N10" s="119" t="n">
        <v>0</v>
      </c>
      <c r="O10" s="119" t="n">
        <v>0</v>
      </c>
      <c r="P10" s="119" t="n">
        <v>5</v>
      </c>
      <c r="Q10" s="119" t="n">
        <v>1</v>
      </c>
      <c r="R10" s="121"/>
      <c r="S10" s="119" t="n">
        <v>0</v>
      </c>
      <c r="T10" s="119" t="n">
        <v>0</v>
      </c>
      <c r="U10" s="119" t="n">
        <v>0</v>
      </c>
      <c r="V10" s="119" t="n">
        <v>0</v>
      </c>
      <c r="W10" s="121"/>
      <c r="X10" s="119" t="n">
        <v>0</v>
      </c>
      <c r="Y10" s="119" t="n">
        <v>0</v>
      </c>
      <c r="Z10" s="119" t="n">
        <v>0</v>
      </c>
      <c r="AA10" s="119" t="n">
        <v>0</v>
      </c>
      <c r="AB10" s="121"/>
      <c r="AC10" s="119" t="n">
        <v>0</v>
      </c>
      <c r="AD10" s="119" t="n">
        <v>0</v>
      </c>
      <c r="AE10" s="119" t="n">
        <v>0</v>
      </c>
      <c r="AF10" s="121"/>
      <c r="AG10" s="122" t="n">
        <f aca="false">'form A info'!$AK18/1000</f>
        <v>0</v>
      </c>
    </row>
    <row r="11" customFormat="false" ht="12.75" hidden="false" customHeight="false" outlineLevel="0" collapsed="false">
      <c r="A11" s="111" t="n">
        <v>8115</v>
      </c>
      <c r="B11" s="111" t="s">
        <v>87</v>
      </c>
      <c r="C11" s="118" t="str">
        <f aca="false">'form A info'!G19</f>
        <v>y</v>
      </c>
      <c r="D11" s="119" t="n">
        <v>0</v>
      </c>
      <c r="E11" s="119" t="n">
        <v>565</v>
      </c>
      <c r="F11" s="119" t="n">
        <v>346</v>
      </c>
      <c r="G11" s="119" t="n">
        <v>-20</v>
      </c>
      <c r="H11" s="120"/>
      <c r="I11" s="119" t="n">
        <v>0</v>
      </c>
      <c r="J11" s="119" t="n">
        <v>0</v>
      </c>
      <c r="K11" s="119" t="n">
        <v>83</v>
      </c>
      <c r="L11" s="119" t="n">
        <v>15</v>
      </c>
      <c r="M11" s="120"/>
      <c r="N11" s="119" t="n">
        <v>0</v>
      </c>
      <c r="O11" s="119" t="n">
        <v>0</v>
      </c>
      <c r="P11" s="119" t="n">
        <v>66</v>
      </c>
      <c r="Q11" s="119" t="n">
        <v>7</v>
      </c>
      <c r="R11" s="121"/>
      <c r="S11" s="119" t="n">
        <v>5</v>
      </c>
      <c r="T11" s="119" t="n">
        <v>0</v>
      </c>
      <c r="U11" s="119" t="n">
        <v>0</v>
      </c>
      <c r="V11" s="119" t="n">
        <v>0</v>
      </c>
      <c r="W11" s="121"/>
      <c r="X11" s="119" t="n">
        <v>0</v>
      </c>
      <c r="Y11" s="119" t="n">
        <v>0</v>
      </c>
      <c r="Z11" s="119" t="n">
        <v>0</v>
      </c>
      <c r="AA11" s="119" t="n">
        <v>0</v>
      </c>
      <c r="AB11" s="121"/>
      <c r="AC11" s="119" t="n">
        <v>0</v>
      </c>
      <c r="AD11" s="119" t="n">
        <v>0</v>
      </c>
      <c r="AE11" s="119" t="n">
        <v>0</v>
      </c>
      <c r="AF11" s="121"/>
      <c r="AG11" s="122" t="n">
        <f aca="false">'form A info'!$AK19/1000</f>
        <v>393.18914</v>
      </c>
    </row>
    <row r="12" customFormat="false" ht="12.75" hidden="false" customHeight="false" outlineLevel="0" collapsed="false">
      <c r="A12" s="111" t="n">
        <v>313</v>
      </c>
      <c r="B12" s="111" t="s">
        <v>96</v>
      </c>
      <c r="C12" s="118" t="str">
        <f aca="false">'form A info'!G21</f>
        <v>y</v>
      </c>
      <c r="D12" s="119" t="n">
        <v>0</v>
      </c>
      <c r="E12" s="119" t="n">
        <v>0</v>
      </c>
      <c r="F12" s="119" t="n">
        <v>23</v>
      </c>
      <c r="G12" s="119" t="n">
        <v>5</v>
      </c>
      <c r="H12" s="120"/>
      <c r="I12" s="119" t="n">
        <v>0</v>
      </c>
      <c r="J12" s="119" t="n">
        <v>0</v>
      </c>
      <c r="K12" s="119" t="n">
        <v>0</v>
      </c>
      <c r="L12" s="119" t="n">
        <v>4</v>
      </c>
      <c r="M12" s="120"/>
      <c r="N12" s="119" t="n">
        <v>0</v>
      </c>
      <c r="O12" s="119" t="n">
        <v>0</v>
      </c>
      <c r="P12" s="119" t="n">
        <v>3</v>
      </c>
      <c r="Q12" s="119" t="n">
        <v>1</v>
      </c>
      <c r="R12" s="121"/>
      <c r="S12" s="119" t="n">
        <v>0</v>
      </c>
      <c r="T12" s="119" t="n">
        <v>0</v>
      </c>
      <c r="U12" s="119" t="n">
        <v>0</v>
      </c>
      <c r="V12" s="119" t="n">
        <v>0</v>
      </c>
      <c r="W12" s="121"/>
      <c r="X12" s="119" t="n">
        <v>0</v>
      </c>
      <c r="Y12" s="119" t="n">
        <v>0</v>
      </c>
      <c r="Z12" s="119" t="n">
        <v>0</v>
      </c>
      <c r="AA12" s="119" t="n">
        <v>0</v>
      </c>
      <c r="AB12" s="121"/>
      <c r="AC12" s="119" t="n">
        <v>0</v>
      </c>
      <c r="AD12" s="119" t="n">
        <v>0</v>
      </c>
      <c r="AE12" s="119" t="n">
        <v>0</v>
      </c>
      <c r="AF12" s="121"/>
      <c r="AG12" s="122" t="n">
        <f aca="false">'form A info'!$AK21/1000</f>
        <v>0</v>
      </c>
    </row>
    <row r="13" customFormat="false" ht="12.75" hidden="false" customHeight="false" outlineLevel="0" collapsed="false">
      <c r="A13" s="111" t="n">
        <v>8680</v>
      </c>
      <c r="B13" s="111" t="s">
        <v>99</v>
      </c>
      <c r="C13" s="118" t="str">
        <f aca="false">'form A info'!G22</f>
        <v>y</v>
      </c>
      <c r="D13" s="119" t="n">
        <v>0</v>
      </c>
      <c r="E13" s="119" t="n">
        <v>0</v>
      </c>
      <c r="F13" s="119" t="n">
        <v>42</v>
      </c>
      <c r="G13" s="119" t="n">
        <v>21</v>
      </c>
      <c r="H13" s="120"/>
      <c r="I13" s="119" t="n">
        <v>0</v>
      </c>
      <c r="J13" s="119" t="n">
        <v>0</v>
      </c>
      <c r="K13" s="119" t="n">
        <v>2</v>
      </c>
      <c r="L13" s="119" t="n">
        <v>5</v>
      </c>
      <c r="M13" s="120"/>
      <c r="N13" s="119" t="n">
        <v>0</v>
      </c>
      <c r="O13" s="119" t="n">
        <v>3</v>
      </c>
      <c r="P13" s="119" t="n">
        <v>8</v>
      </c>
      <c r="Q13" s="119" t="n">
        <v>0</v>
      </c>
      <c r="R13" s="121"/>
      <c r="S13" s="119" t="n">
        <v>0</v>
      </c>
      <c r="T13" s="119" t="n">
        <v>0</v>
      </c>
      <c r="U13" s="119" t="n">
        <v>0</v>
      </c>
      <c r="V13" s="119" t="n">
        <v>0</v>
      </c>
      <c r="W13" s="121"/>
      <c r="X13" s="119" t="n">
        <v>0</v>
      </c>
      <c r="Y13" s="119" t="n">
        <v>0</v>
      </c>
      <c r="Z13" s="119" t="n">
        <v>0</v>
      </c>
      <c r="AA13" s="119" t="n">
        <v>0</v>
      </c>
      <c r="AB13" s="121"/>
      <c r="AC13" s="119" t="n">
        <v>0</v>
      </c>
      <c r="AD13" s="119" t="n">
        <v>0</v>
      </c>
      <c r="AE13" s="119" t="n">
        <v>0</v>
      </c>
      <c r="AF13" s="121"/>
      <c r="AG13" s="122" t="n">
        <f aca="false">'form A info'!$AK22/1000</f>
        <v>0</v>
      </c>
    </row>
    <row r="14" customFormat="false" ht="12.75" hidden="false" customHeight="false" outlineLevel="0" collapsed="false">
      <c r="A14" s="111" t="n">
        <v>8142</v>
      </c>
      <c r="B14" s="111" t="s">
        <v>103</v>
      </c>
      <c r="C14" s="118" t="str">
        <f aca="false">'form A info'!G23</f>
        <v>y</v>
      </c>
      <c r="D14" s="119" t="n">
        <v>0</v>
      </c>
      <c r="E14" s="119" t="n">
        <v>0</v>
      </c>
      <c r="F14" s="119" t="n">
        <v>164</v>
      </c>
      <c r="G14" s="119" t="n">
        <v>-1</v>
      </c>
      <c r="H14" s="120"/>
      <c r="I14" s="119" t="n">
        <v>0</v>
      </c>
      <c r="J14" s="119" t="n">
        <v>0</v>
      </c>
      <c r="K14" s="119" t="n">
        <v>0</v>
      </c>
      <c r="L14" s="119" t="n">
        <v>0</v>
      </c>
      <c r="M14" s="120"/>
      <c r="N14" s="119" t="n">
        <v>0</v>
      </c>
      <c r="O14" s="119" t="n">
        <v>0</v>
      </c>
      <c r="P14" s="119" t="n">
        <v>20</v>
      </c>
      <c r="Q14" s="119" t="n">
        <v>0</v>
      </c>
      <c r="R14" s="121"/>
      <c r="S14" s="119" t="n">
        <v>0</v>
      </c>
      <c r="T14" s="119" t="n">
        <v>0</v>
      </c>
      <c r="U14" s="119" t="n">
        <v>0</v>
      </c>
      <c r="V14" s="119" t="n">
        <v>0</v>
      </c>
      <c r="W14" s="121"/>
      <c r="X14" s="119" t="n">
        <v>0</v>
      </c>
      <c r="Y14" s="119" t="n">
        <v>0</v>
      </c>
      <c r="Z14" s="119" t="n">
        <v>0</v>
      </c>
      <c r="AA14" s="119" t="n">
        <v>0</v>
      </c>
      <c r="AB14" s="121"/>
      <c r="AC14" s="119" t="n">
        <v>3949</v>
      </c>
      <c r="AD14" s="119" t="n">
        <v>0</v>
      </c>
      <c r="AE14" s="119" t="n">
        <v>0</v>
      </c>
      <c r="AF14" s="121"/>
      <c r="AG14" s="122" t="n">
        <f aca="false">'form A info'!$AK23/1000</f>
        <v>910.511</v>
      </c>
    </row>
    <row r="15" customFormat="false" ht="12.75" hidden="false" customHeight="false" outlineLevel="0" collapsed="false">
      <c r="A15" s="111" t="n">
        <v>4821</v>
      </c>
      <c r="B15" s="111" t="s">
        <v>106</v>
      </c>
      <c r="C15" s="118" t="str">
        <f aca="false">'form A info'!G24</f>
        <v>y</v>
      </c>
      <c r="D15" s="119" t="n">
        <v>17</v>
      </c>
      <c r="E15" s="119" t="n">
        <v>1531</v>
      </c>
      <c r="F15" s="119" t="n">
        <v>291</v>
      </c>
      <c r="G15" s="119" t="n">
        <v>0</v>
      </c>
      <c r="H15" s="120"/>
      <c r="I15" s="119" t="n">
        <v>0</v>
      </c>
      <c r="J15" s="119" t="n">
        <v>0</v>
      </c>
      <c r="K15" s="119" t="n">
        <v>0</v>
      </c>
      <c r="L15" s="119" t="n">
        <v>0</v>
      </c>
      <c r="M15" s="120"/>
      <c r="N15" s="119" t="n">
        <v>0</v>
      </c>
      <c r="O15" s="119" t="n">
        <v>32</v>
      </c>
      <c r="P15" s="119" t="n">
        <v>37</v>
      </c>
      <c r="Q15" s="119" t="n">
        <v>0</v>
      </c>
      <c r="R15" s="121"/>
      <c r="S15" s="119" t="n">
        <v>1</v>
      </c>
      <c r="T15" s="119" t="n">
        <v>1</v>
      </c>
      <c r="U15" s="119" t="n">
        <v>0</v>
      </c>
      <c r="V15" s="119" t="n">
        <v>0</v>
      </c>
      <c r="W15" s="121"/>
      <c r="X15" s="119" t="n">
        <v>24</v>
      </c>
      <c r="Y15" s="119" t="n">
        <v>0</v>
      </c>
      <c r="Z15" s="119" t="n">
        <v>0</v>
      </c>
      <c r="AA15" s="119" t="n">
        <v>0</v>
      </c>
      <c r="AB15" s="121"/>
      <c r="AC15" s="119" t="n">
        <v>0</v>
      </c>
      <c r="AD15" s="119" t="n">
        <v>0</v>
      </c>
      <c r="AE15" s="119" t="n">
        <v>0</v>
      </c>
      <c r="AF15" s="121"/>
      <c r="AG15" s="122" t="n">
        <f aca="false">'form A info'!$AK24/1000</f>
        <v>0</v>
      </c>
    </row>
    <row r="16" customFormat="false" ht="12.75" hidden="false" customHeight="false" outlineLevel="0" collapsed="false">
      <c r="A16" s="111" t="n">
        <v>323</v>
      </c>
      <c r="B16" s="111" t="s">
        <v>110</v>
      </c>
      <c r="C16" s="118" t="str">
        <f aca="false">'form A info'!G25</f>
        <v>y</v>
      </c>
      <c r="D16" s="119" t="n">
        <v>0</v>
      </c>
      <c r="E16" s="119" t="n">
        <v>0</v>
      </c>
      <c r="F16" s="119" t="n">
        <v>21</v>
      </c>
      <c r="G16" s="119" t="n">
        <v>7</v>
      </c>
      <c r="H16" s="120"/>
      <c r="I16" s="119" t="n">
        <v>0</v>
      </c>
      <c r="J16" s="119" t="n">
        <v>0</v>
      </c>
      <c r="K16" s="119" t="n">
        <v>0</v>
      </c>
      <c r="L16" s="119" t="n">
        <v>0</v>
      </c>
      <c r="M16" s="120"/>
      <c r="N16" s="119" t="n">
        <v>0</v>
      </c>
      <c r="O16" s="119" t="n">
        <v>3</v>
      </c>
      <c r="P16" s="119" t="n">
        <v>6</v>
      </c>
      <c r="Q16" s="119" t="n">
        <v>0</v>
      </c>
      <c r="R16" s="121"/>
      <c r="S16" s="119" t="n">
        <v>0</v>
      </c>
      <c r="T16" s="119" t="n">
        <v>0</v>
      </c>
      <c r="U16" s="119" t="n">
        <v>0</v>
      </c>
      <c r="V16" s="119" t="n">
        <v>0</v>
      </c>
      <c r="W16" s="121"/>
      <c r="X16" s="119" t="n">
        <v>0</v>
      </c>
      <c r="Y16" s="119" t="n">
        <v>0</v>
      </c>
      <c r="Z16" s="119" t="n">
        <v>0</v>
      </c>
      <c r="AA16" s="119" t="n">
        <v>0</v>
      </c>
      <c r="AB16" s="121"/>
      <c r="AC16" s="119" t="n">
        <v>0</v>
      </c>
      <c r="AD16" s="119" t="n">
        <v>0</v>
      </c>
      <c r="AE16" s="119" t="n">
        <v>0</v>
      </c>
      <c r="AF16" s="121"/>
      <c r="AG16" s="122" t="n">
        <f aca="false">'form A info'!$AK25/1000</f>
        <v>0</v>
      </c>
    </row>
    <row r="17" customFormat="false" ht="12.75" hidden="false" customHeight="false" outlineLevel="0" collapsed="false">
      <c r="A17" s="111" t="n">
        <v>324</v>
      </c>
      <c r="B17" s="111" t="s">
        <v>112</v>
      </c>
      <c r="C17" s="118" t="str">
        <f aca="false">'form A info'!G26</f>
        <v>y</v>
      </c>
      <c r="D17" s="119" t="n">
        <v>0</v>
      </c>
      <c r="E17" s="119" t="n">
        <v>0</v>
      </c>
      <c r="F17" s="119" t="n">
        <v>8</v>
      </c>
      <c r="G17" s="119" t="n">
        <v>0</v>
      </c>
      <c r="H17" s="120"/>
      <c r="I17" s="119" t="n">
        <v>0</v>
      </c>
      <c r="J17" s="119" t="n">
        <v>0</v>
      </c>
      <c r="K17" s="119" t="n">
        <v>0</v>
      </c>
      <c r="L17" s="119" t="n">
        <v>0</v>
      </c>
      <c r="M17" s="120"/>
      <c r="N17" s="119" t="n">
        <v>0</v>
      </c>
      <c r="O17" s="119" t="n">
        <v>0</v>
      </c>
      <c r="P17" s="119" t="n">
        <v>0</v>
      </c>
      <c r="Q17" s="119" t="n">
        <v>0</v>
      </c>
      <c r="R17" s="121"/>
      <c r="S17" s="119" t="n">
        <v>0</v>
      </c>
      <c r="T17" s="119" t="n">
        <v>0</v>
      </c>
      <c r="U17" s="119" t="n">
        <v>0</v>
      </c>
      <c r="V17" s="119" t="n">
        <v>0</v>
      </c>
      <c r="W17" s="121"/>
      <c r="X17" s="119" t="n">
        <v>0</v>
      </c>
      <c r="Y17" s="119" t="n">
        <v>0</v>
      </c>
      <c r="Z17" s="119" t="n">
        <v>0</v>
      </c>
      <c r="AA17" s="119" t="n">
        <v>0</v>
      </c>
      <c r="AB17" s="121"/>
      <c r="AC17" s="119" t="n">
        <v>0</v>
      </c>
      <c r="AD17" s="119" t="n">
        <v>0</v>
      </c>
      <c r="AE17" s="119" t="n">
        <v>0</v>
      </c>
      <c r="AF17" s="121"/>
      <c r="AG17" s="122" t="n">
        <f aca="false">'form A info'!$AK26/1000</f>
        <v>0</v>
      </c>
    </row>
    <row r="18" customFormat="false" ht="12.75" hidden="false" customHeight="false" outlineLevel="0" collapsed="false">
      <c r="A18" s="111" t="n">
        <v>344</v>
      </c>
      <c r="B18" s="111" t="s">
        <v>116</v>
      </c>
      <c r="C18" s="118" t="str">
        <f aca="false">'form A info'!G27</f>
        <v>y</v>
      </c>
      <c r="D18" s="119" t="n">
        <v>0</v>
      </c>
      <c r="E18" s="119" t="n">
        <v>452</v>
      </c>
      <c r="F18" s="119" t="n">
        <v>120</v>
      </c>
      <c r="G18" s="119" t="n">
        <v>0</v>
      </c>
      <c r="H18" s="120"/>
      <c r="I18" s="119" t="n">
        <v>0</v>
      </c>
      <c r="J18" s="119" t="n">
        <v>0</v>
      </c>
      <c r="K18" s="119" t="n">
        <v>0</v>
      </c>
      <c r="L18" s="119" t="n">
        <v>0</v>
      </c>
      <c r="M18" s="120"/>
      <c r="N18" s="119" t="n">
        <v>0</v>
      </c>
      <c r="O18" s="119" t="n">
        <v>7</v>
      </c>
      <c r="P18" s="119" t="n">
        <v>18</v>
      </c>
      <c r="Q18" s="119" t="n">
        <v>0</v>
      </c>
      <c r="R18" s="121"/>
      <c r="S18" s="119" t="n">
        <v>0</v>
      </c>
      <c r="T18" s="119" t="n">
        <v>0</v>
      </c>
      <c r="U18" s="119" t="n">
        <v>0</v>
      </c>
      <c r="V18" s="119" t="n">
        <v>0</v>
      </c>
      <c r="W18" s="121"/>
      <c r="X18" s="119" t="n">
        <v>0</v>
      </c>
      <c r="Y18" s="119" t="n">
        <v>0</v>
      </c>
      <c r="Z18" s="119" t="n">
        <v>0</v>
      </c>
      <c r="AA18" s="119" t="n">
        <v>0</v>
      </c>
      <c r="AB18" s="121"/>
      <c r="AC18" s="119" t="n">
        <v>9478</v>
      </c>
      <c r="AD18" s="119" t="n">
        <v>0</v>
      </c>
      <c r="AE18" s="119" t="n">
        <v>0</v>
      </c>
      <c r="AF18" s="121"/>
      <c r="AG18" s="122" t="n">
        <f aca="false">'form A info'!$AK27/1000</f>
        <v>467.15175</v>
      </c>
    </row>
    <row r="19" customFormat="false" ht="12.75" hidden="false" customHeight="false" outlineLevel="0" collapsed="false">
      <c r="A19" s="111" t="n">
        <v>8178</v>
      </c>
      <c r="B19" s="111" t="s">
        <v>119</v>
      </c>
      <c r="C19" s="118" t="str">
        <f aca="false">'form A info'!G28</f>
        <v>y</v>
      </c>
      <c r="D19" s="119" t="n">
        <v>0</v>
      </c>
      <c r="E19" s="119" t="n">
        <v>0</v>
      </c>
      <c r="F19" s="119" t="n">
        <v>63</v>
      </c>
      <c r="G19" s="119" t="n">
        <v>10</v>
      </c>
      <c r="H19" s="120"/>
      <c r="I19" s="119" t="n">
        <v>0</v>
      </c>
      <c r="J19" s="119" t="n">
        <v>0</v>
      </c>
      <c r="K19" s="119" t="n">
        <v>11</v>
      </c>
      <c r="L19" s="119" t="n">
        <v>4</v>
      </c>
      <c r="M19" s="120"/>
      <c r="N19" s="119" t="n">
        <v>0</v>
      </c>
      <c r="O19" s="119" t="n">
        <v>0</v>
      </c>
      <c r="P19" s="119" t="n">
        <v>18</v>
      </c>
      <c r="Q19" s="119" t="n">
        <v>3</v>
      </c>
      <c r="R19" s="121"/>
      <c r="S19" s="119" t="n">
        <v>0</v>
      </c>
      <c r="T19" s="119" t="n">
        <v>0</v>
      </c>
      <c r="U19" s="119" t="n">
        <v>0</v>
      </c>
      <c r="V19" s="119" t="n">
        <v>0</v>
      </c>
      <c r="W19" s="121"/>
      <c r="X19" s="119" t="n">
        <v>0</v>
      </c>
      <c r="Y19" s="119" t="n">
        <v>0</v>
      </c>
      <c r="Z19" s="119" t="n">
        <v>0</v>
      </c>
      <c r="AA19" s="119" t="n">
        <v>0</v>
      </c>
      <c r="AB19" s="121"/>
      <c r="AC19" s="119" t="n">
        <v>0</v>
      </c>
      <c r="AD19" s="119" t="n">
        <v>0</v>
      </c>
      <c r="AE19" s="119" t="n">
        <v>0</v>
      </c>
      <c r="AF19" s="121"/>
      <c r="AG19" s="122" t="n">
        <f aca="false">'form A info'!$AK28/1000</f>
        <v>290.23595</v>
      </c>
    </row>
    <row r="20" customFormat="false" ht="12.75" hidden="false" customHeight="false" outlineLevel="0" collapsed="false">
      <c r="A20" s="111" t="n">
        <v>339</v>
      </c>
      <c r="B20" s="111" t="s">
        <v>121</v>
      </c>
      <c r="C20" s="118" t="str">
        <f aca="false">'form A info'!G29</f>
        <v>y</v>
      </c>
      <c r="D20" s="119" t="n">
        <v>0</v>
      </c>
      <c r="E20" s="119" t="n">
        <v>0</v>
      </c>
      <c r="F20" s="119" t="n">
        <v>30</v>
      </c>
      <c r="G20" s="119" t="n">
        <v>26</v>
      </c>
      <c r="H20" s="120"/>
      <c r="I20" s="119" t="n">
        <v>0</v>
      </c>
      <c r="J20" s="119" t="n">
        <v>0</v>
      </c>
      <c r="K20" s="119" t="n">
        <v>0</v>
      </c>
      <c r="L20" s="119" t="n">
        <v>2</v>
      </c>
      <c r="M20" s="120"/>
      <c r="N20" s="119" t="n">
        <v>0</v>
      </c>
      <c r="O20" s="119" t="n">
        <v>18</v>
      </c>
      <c r="P20" s="119" t="n">
        <v>11</v>
      </c>
      <c r="Q20" s="119" t="n">
        <v>0</v>
      </c>
      <c r="R20" s="121"/>
      <c r="S20" s="119" t="n">
        <v>0</v>
      </c>
      <c r="T20" s="119" t="n">
        <v>0</v>
      </c>
      <c r="U20" s="119" t="n">
        <v>0</v>
      </c>
      <c r="V20" s="119" t="n">
        <v>0</v>
      </c>
      <c r="W20" s="121"/>
      <c r="X20" s="119" t="n">
        <v>0</v>
      </c>
      <c r="Y20" s="119" t="n">
        <v>0</v>
      </c>
      <c r="Z20" s="119" t="n">
        <v>0</v>
      </c>
      <c r="AA20" s="119" t="n">
        <v>0</v>
      </c>
      <c r="AB20" s="121"/>
      <c r="AC20" s="119" t="n">
        <v>0</v>
      </c>
      <c r="AD20" s="119" t="n">
        <v>0</v>
      </c>
      <c r="AE20" s="119" t="n">
        <v>0</v>
      </c>
      <c r="AF20" s="121"/>
      <c r="AG20" s="122" t="n">
        <f aca="false">'form A info'!$AK29/1000</f>
        <v>0</v>
      </c>
    </row>
    <row r="21" customFormat="false" ht="12.75" hidden="false" customHeight="false" outlineLevel="0" collapsed="false">
      <c r="A21" s="111" t="n">
        <v>4822</v>
      </c>
      <c r="B21" s="111" t="s">
        <v>125</v>
      </c>
      <c r="C21" s="118" t="str">
        <f aca="false">'form A info'!G31</f>
        <v>y</v>
      </c>
      <c r="D21" s="119" t="n">
        <v>0</v>
      </c>
      <c r="E21" s="119" t="n">
        <v>0</v>
      </c>
      <c r="F21" s="119" t="n">
        <v>431</v>
      </c>
      <c r="G21" s="119" t="n">
        <v>1</v>
      </c>
      <c r="H21" s="120"/>
      <c r="I21" s="119" t="n">
        <v>0</v>
      </c>
      <c r="J21" s="119" t="n">
        <v>0</v>
      </c>
      <c r="K21" s="119" t="n">
        <v>27</v>
      </c>
      <c r="L21" s="119" t="n">
        <v>0</v>
      </c>
      <c r="M21" s="120"/>
      <c r="N21" s="119" t="n">
        <v>0</v>
      </c>
      <c r="O21" s="119" t="n">
        <v>0</v>
      </c>
      <c r="P21" s="119" t="n">
        <v>27</v>
      </c>
      <c r="Q21" s="119" t="n">
        <v>0</v>
      </c>
      <c r="R21" s="121"/>
      <c r="S21" s="119" t="n">
        <v>0</v>
      </c>
      <c r="T21" s="119" t="n">
        <v>0</v>
      </c>
      <c r="U21" s="119" t="n">
        <v>0</v>
      </c>
      <c r="V21" s="119" t="n">
        <v>0</v>
      </c>
      <c r="W21" s="121"/>
      <c r="X21" s="119" t="n">
        <v>0</v>
      </c>
      <c r="Y21" s="119" t="n">
        <v>0</v>
      </c>
      <c r="Z21" s="119" t="n">
        <v>0</v>
      </c>
      <c r="AA21" s="119" t="n">
        <v>0</v>
      </c>
      <c r="AB21" s="121"/>
      <c r="AC21" s="119" t="n">
        <v>0</v>
      </c>
      <c r="AD21" s="119" t="n">
        <v>0</v>
      </c>
      <c r="AE21" s="119" t="n">
        <v>0</v>
      </c>
      <c r="AF21" s="121"/>
      <c r="AG21" s="122" t="n">
        <f aca="false">'form A info'!$AK31/1000</f>
        <v>188.30865</v>
      </c>
    </row>
    <row r="22" customFormat="false" ht="12.75" hidden="false" customHeight="false" outlineLevel="0" collapsed="false">
      <c r="A22" s="111" t="n">
        <v>8700</v>
      </c>
      <c r="B22" s="111" t="s">
        <v>131</v>
      </c>
      <c r="C22" s="118" t="str">
        <f aca="false">'form A info'!G32</f>
        <v>y</v>
      </c>
      <c r="D22" s="119" t="n">
        <v>19</v>
      </c>
      <c r="E22" s="119" t="n">
        <v>519</v>
      </c>
      <c r="F22" s="119" t="n">
        <v>49</v>
      </c>
      <c r="G22" s="119" t="n">
        <v>30</v>
      </c>
      <c r="H22" s="120"/>
      <c r="I22" s="119" t="n">
        <v>0</v>
      </c>
      <c r="J22" s="119" t="n">
        <v>0</v>
      </c>
      <c r="K22" s="119" t="n">
        <v>4</v>
      </c>
      <c r="L22" s="119" t="n">
        <v>3</v>
      </c>
      <c r="M22" s="120"/>
      <c r="N22" s="119" t="n">
        <v>0</v>
      </c>
      <c r="O22" s="119" t="n">
        <v>0</v>
      </c>
      <c r="P22" s="119" t="n">
        <v>4</v>
      </c>
      <c r="Q22" s="119" t="n">
        <v>1</v>
      </c>
      <c r="R22" s="121"/>
      <c r="S22" s="119" t="n">
        <v>0</v>
      </c>
      <c r="T22" s="119" t="n">
        <v>0</v>
      </c>
      <c r="U22" s="119" t="n">
        <v>0</v>
      </c>
      <c r="V22" s="119" t="n">
        <v>0</v>
      </c>
      <c r="W22" s="121"/>
      <c r="X22" s="119" t="n">
        <v>0</v>
      </c>
      <c r="Y22" s="119" t="n">
        <v>0</v>
      </c>
      <c r="Z22" s="119" t="n">
        <v>0</v>
      </c>
      <c r="AA22" s="119" t="n">
        <v>0</v>
      </c>
      <c r="AB22" s="121"/>
      <c r="AC22" s="119" t="n">
        <v>0</v>
      </c>
      <c r="AD22" s="119" t="n">
        <v>0</v>
      </c>
      <c r="AE22" s="119" t="n">
        <v>0</v>
      </c>
      <c r="AF22" s="121"/>
      <c r="AG22" s="122" t="n">
        <f aca="false">'form A info'!$AK32/1000</f>
        <v>536.151</v>
      </c>
    </row>
    <row r="23" customFormat="false" ht="12.75" hidden="false" customHeight="false" outlineLevel="0" collapsed="false">
      <c r="A23" s="111" t="n">
        <v>512</v>
      </c>
      <c r="B23" s="111" t="s">
        <v>132</v>
      </c>
      <c r="C23" s="118" t="str">
        <f aca="false">'form A info'!G33</f>
        <v>y</v>
      </c>
      <c r="D23" s="119" t="n">
        <v>0</v>
      </c>
      <c r="E23" s="119" t="n">
        <v>0</v>
      </c>
      <c r="F23" s="119" t="n">
        <v>7</v>
      </c>
      <c r="G23" s="119" t="n">
        <v>0</v>
      </c>
      <c r="H23" s="120"/>
      <c r="I23" s="119" t="n">
        <v>0</v>
      </c>
      <c r="J23" s="119" t="n">
        <v>0</v>
      </c>
      <c r="K23" s="119" t="n">
        <v>0</v>
      </c>
      <c r="L23" s="119" t="n">
        <v>0</v>
      </c>
      <c r="M23" s="120"/>
      <c r="N23" s="119" t="n">
        <v>0</v>
      </c>
      <c r="O23" s="119" t="n">
        <v>0</v>
      </c>
      <c r="P23" s="119" t="n">
        <v>0</v>
      </c>
      <c r="Q23" s="119" t="n">
        <v>0</v>
      </c>
      <c r="R23" s="121"/>
      <c r="S23" s="119" t="n">
        <v>73</v>
      </c>
      <c r="T23" s="119" t="n">
        <v>0</v>
      </c>
      <c r="U23" s="119" t="n">
        <v>0</v>
      </c>
      <c r="V23" s="119" t="n">
        <v>0</v>
      </c>
      <c r="W23" s="121"/>
      <c r="X23" s="119" t="n">
        <v>0</v>
      </c>
      <c r="Y23" s="119" t="n">
        <v>0</v>
      </c>
      <c r="Z23" s="119" t="n">
        <v>0</v>
      </c>
      <c r="AA23" s="119" t="n">
        <v>0</v>
      </c>
      <c r="AB23" s="121"/>
      <c r="AC23" s="119" t="n">
        <v>0</v>
      </c>
      <c r="AD23" s="119" t="n">
        <v>0</v>
      </c>
      <c r="AE23" s="119" t="n">
        <v>0</v>
      </c>
      <c r="AF23" s="121"/>
      <c r="AG23" s="122" t="n">
        <f aca="false">'form A info'!$AK33/1000</f>
        <v>11.793</v>
      </c>
    </row>
    <row r="24" customFormat="false" ht="12.75" hidden="false" customHeight="false" outlineLevel="0" collapsed="false">
      <c r="A24" s="111" t="n">
        <v>513</v>
      </c>
      <c r="B24" s="111" t="s">
        <v>139</v>
      </c>
      <c r="C24" s="118" t="str">
        <f aca="false">'form A info'!G35</f>
        <v>y</v>
      </c>
      <c r="D24" s="119" t="n">
        <v>41</v>
      </c>
      <c r="E24" s="119" t="n">
        <v>0</v>
      </c>
      <c r="F24" s="119" t="n">
        <v>109</v>
      </c>
      <c r="G24" s="119" t="n">
        <v>13</v>
      </c>
      <c r="H24" s="120"/>
      <c r="I24" s="119" t="n">
        <v>0</v>
      </c>
      <c r="J24" s="119" t="n">
        <v>5</v>
      </c>
      <c r="K24" s="119" t="n">
        <v>0</v>
      </c>
      <c r="L24" s="119" t="n">
        <v>0</v>
      </c>
      <c r="M24" s="120"/>
      <c r="N24" s="119" t="n">
        <v>0</v>
      </c>
      <c r="O24" s="119" t="n">
        <v>10</v>
      </c>
      <c r="P24" s="119" t="n">
        <v>6</v>
      </c>
      <c r="Q24" s="119" t="n">
        <v>0</v>
      </c>
      <c r="R24" s="121"/>
      <c r="S24" s="119" t="n">
        <v>0</v>
      </c>
      <c r="T24" s="119" t="n">
        <v>0</v>
      </c>
      <c r="U24" s="119" t="n">
        <v>0</v>
      </c>
      <c r="V24" s="119" t="n">
        <v>0</v>
      </c>
      <c r="W24" s="121"/>
      <c r="X24" s="119" t="n">
        <v>0</v>
      </c>
      <c r="Y24" s="119" t="n">
        <v>0</v>
      </c>
      <c r="Z24" s="119" t="n">
        <v>0</v>
      </c>
      <c r="AA24" s="119" t="n">
        <v>0</v>
      </c>
      <c r="AB24" s="121"/>
      <c r="AC24" s="119" t="n">
        <v>0</v>
      </c>
      <c r="AD24" s="119" t="n">
        <v>0</v>
      </c>
      <c r="AE24" s="119" t="n">
        <v>0</v>
      </c>
      <c r="AF24" s="121"/>
      <c r="AG24" s="122" t="n">
        <f aca="false">'form A info'!$AK35/1000</f>
        <v>0</v>
      </c>
    </row>
    <row r="25" customFormat="false" ht="12.75" hidden="false" customHeight="false" outlineLevel="0" collapsed="false">
      <c r="A25" s="111" t="n">
        <v>516</v>
      </c>
      <c r="B25" s="111" t="s">
        <v>142</v>
      </c>
      <c r="C25" s="118" t="str">
        <f aca="false">'form A info'!G36</f>
        <v>y</v>
      </c>
      <c r="D25" s="119" t="n">
        <v>0</v>
      </c>
      <c r="E25" s="119" t="n">
        <v>0</v>
      </c>
      <c r="F25" s="119" t="n">
        <v>1</v>
      </c>
      <c r="G25" s="119" t="n">
        <v>0</v>
      </c>
      <c r="H25" s="120"/>
      <c r="I25" s="119" t="n">
        <v>0</v>
      </c>
      <c r="J25" s="119" t="n">
        <v>0</v>
      </c>
      <c r="K25" s="119" t="n">
        <v>0</v>
      </c>
      <c r="L25" s="119" t="n">
        <v>0</v>
      </c>
      <c r="M25" s="120"/>
      <c r="N25" s="119" t="n">
        <v>0</v>
      </c>
      <c r="O25" s="119" t="n">
        <v>0</v>
      </c>
      <c r="P25" s="119" t="n">
        <v>0</v>
      </c>
      <c r="Q25" s="119" t="n">
        <v>0</v>
      </c>
      <c r="R25" s="121"/>
      <c r="S25" s="119" t="n">
        <v>0</v>
      </c>
      <c r="T25" s="119" t="n">
        <v>0</v>
      </c>
      <c r="U25" s="119" t="n">
        <v>0</v>
      </c>
      <c r="V25" s="119" t="n">
        <v>0</v>
      </c>
      <c r="W25" s="121"/>
      <c r="X25" s="119" t="n">
        <v>0</v>
      </c>
      <c r="Y25" s="119" t="n">
        <v>0</v>
      </c>
      <c r="Z25" s="119" t="n">
        <v>0</v>
      </c>
      <c r="AA25" s="119" t="n">
        <v>0</v>
      </c>
      <c r="AB25" s="121"/>
      <c r="AC25" s="119" t="n">
        <v>0</v>
      </c>
      <c r="AD25" s="119" t="n">
        <v>0</v>
      </c>
      <c r="AE25" s="119" t="n">
        <v>0</v>
      </c>
      <c r="AF25" s="121"/>
      <c r="AG25" s="122" t="n">
        <f aca="false">'form A info'!$AK36/1000</f>
        <v>0</v>
      </c>
    </row>
    <row r="26" customFormat="false" ht="12.75" hidden="false" customHeight="false" outlineLevel="0" collapsed="false">
      <c r="A26" s="111" t="n">
        <v>4661</v>
      </c>
      <c r="B26" s="111" t="s">
        <v>145</v>
      </c>
      <c r="C26" s="118" t="str">
        <f aca="false">'form A info'!G37</f>
        <v>y</v>
      </c>
      <c r="D26" s="119" t="n">
        <v>0</v>
      </c>
      <c r="E26" s="119" t="n">
        <v>321</v>
      </c>
      <c r="F26" s="119" t="n">
        <v>113</v>
      </c>
      <c r="G26" s="119" t="n">
        <v>0</v>
      </c>
      <c r="H26" s="120"/>
      <c r="I26" s="119" t="n">
        <v>0</v>
      </c>
      <c r="J26" s="119" t="n">
        <v>0</v>
      </c>
      <c r="K26" s="119" t="n">
        <v>0</v>
      </c>
      <c r="L26" s="119" t="n">
        <v>0</v>
      </c>
      <c r="M26" s="120"/>
      <c r="N26" s="119" t="n">
        <v>0</v>
      </c>
      <c r="O26" s="119" t="n">
        <v>34</v>
      </c>
      <c r="P26" s="119" t="n">
        <v>0</v>
      </c>
      <c r="Q26" s="119" t="n">
        <v>0</v>
      </c>
      <c r="R26" s="121"/>
      <c r="S26" s="119" t="n">
        <v>0</v>
      </c>
      <c r="T26" s="119" t="n">
        <v>0</v>
      </c>
      <c r="U26" s="119" t="n">
        <v>0</v>
      </c>
      <c r="V26" s="119" t="n">
        <v>0</v>
      </c>
      <c r="W26" s="121"/>
      <c r="X26" s="119" t="n">
        <v>15</v>
      </c>
      <c r="Y26" s="119" t="n">
        <v>0</v>
      </c>
      <c r="Z26" s="119" t="n">
        <v>0</v>
      </c>
      <c r="AA26" s="119" t="n">
        <v>0</v>
      </c>
      <c r="AB26" s="121"/>
      <c r="AC26" s="119" t="n">
        <v>0</v>
      </c>
      <c r="AD26" s="119" t="n">
        <v>0</v>
      </c>
      <c r="AE26" s="119" t="n">
        <v>0</v>
      </c>
      <c r="AF26" s="121"/>
      <c r="AG26" s="122" t="n">
        <f aca="false">'form A info'!$AK37/1000</f>
        <v>233.286</v>
      </c>
    </row>
    <row r="27" customFormat="false" ht="12.75" hidden="false" customHeight="false" outlineLevel="0" collapsed="false">
      <c r="A27" s="111" t="n">
        <v>8250</v>
      </c>
      <c r="B27" s="111" t="s">
        <v>149</v>
      </c>
      <c r="C27" s="118" t="str">
        <f aca="false">'form A info'!G38</f>
        <v>y</v>
      </c>
      <c r="D27" s="119" t="n">
        <v>0</v>
      </c>
      <c r="E27" s="119" t="n">
        <v>0</v>
      </c>
      <c r="F27" s="119" t="n">
        <v>166</v>
      </c>
      <c r="G27" s="119" t="n">
        <v>28</v>
      </c>
      <c r="H27" s="120"/>
      <c r="I27" s="119" t="n">
        <v>0</v>
      </c>
      <c r="J27" s="119" t="n">
        <v>0</v>
      </c>
      <c r="K27" s="119" t="n">
        <v>23</v>
      </c>
      <c r="L27" s="119" t="n">
        <v>9</v>
      </c>
      <c r="M27" s="120"/>
      <c r="N27" s="119" t="n">
        <v>0</v>
      </c>
      <c r="O27" s="119" t="n">
        <v>0</v>
      </c>
      <c r="P27" s="119" t="n">
        <v>15</v>
      </c>
      <c r="Q27" s="119" t="n">
        <v>3</v>
      </c>
      <c r="R27" s="121"/>
      <c r="S27" s="119" t="n">
        <v>0</v>
      </c>
      <c r="T27" s="119" t="n">
        <v>0</v>
      </c>
      <c r="U27" s="119" t="n">
        <v>0</v>
      </c>
      <c r="V27" s="119" t="n">
        <v>0</v>
      </c>
      <c r="W27" s="121"/>
      <c r="X27" s="119" t="n">
        <v>0</v>
      </c>
      <c r="Y27" s="119" t="n">
        <v>0</v>
      </c>
      <c r="Z27" s="119" t="n">
        <v>0</v>
      </c>
      <c r="AA27" s="119" t="n">
        <v>0</v>
      </c>
      <c r="AB27" s="121"/>
      <c r="AC27" s="119" t="n">
        <v>0</v>
      </c>
      <c r="AD27" s="119" t="n">
        <v>0</v>
      </c>
      <c r="AE27" s="119" t="n">
        <v>0</v>
      </c>
      <c r="AF27" s="121"/>
      <c r="AG27" s="122" t="n">
        <f aca="false">'form A info'!$AK38/1000</f>
        <v>0</v>
      </c>
    </row>
    <row r="28" customFormat="false" ht="12.75" hidden="false" customHeight="false" outlineLevel="0" collapsed="false">
      <c r="A28" s="111" t="n">
        <v>8253</v>
      </c>
      <c r="B28" s="111" t="s">
        <v>153</v>
      </c>
      <c r="C28" s="118" t="str">
        <f aca="false">'form A info'!G39</f>
        <v>y</v>
      </c>
      <c r="D28" s="119" t="n">
        <v>0</v>
      </c>
      <c r="E28" s="119" t="n">
        <v>559</v>
      </c>
      <c r="F28" s="119" t="n">
        <v>213</v>
      </c>
      <c r="G28" s="119" t="n">
        <v>-30</v>
      </c>
      <c r="H28" s="120"/>
      <c r="I28" s="119" t="n">
        <v>0</v>
      </c>
      <c r="J28" s="119" t="n">
        <v>0</v>
      </c>
      <c r="K28" s="119" t="n">
        <v>24</v>
      </c>
      <c r="L28" s="119" t="n">
        <v>0</v>
      </c>
      <c r="M28" s="120"/>
      <c r="N28" s="119" t="n">
        <v>0</v>
      </c>
      <c r="O28" s="119" t="n">
        <v>19</v>
      </c>
      <c r="P28" s="119" t="n">
        <v>20</v>
      </c>
      <c r="Q28" s="119" t="n">
        <v>0</v>
      </c>
      <c r="R28" s="121"/>
      <c r="S28" s="119" t="n">
        <v>0</v>
      </c>
      <c r="T28" s="119" t="n">
        <v>0</v>
      </c>
      <c r="U28" s="119" t="n">
        <v>0</v>
      </c>
      <c r="V28" s="119" t="n">
        <v>0</v>
      </c>
      <c r="W28" s="121"/>
      <c r="X28" s="119" t="n">
        <v>0</v>
      </c>
      <c r="Y28" s="119" t="n">
        <v>0</v>
      </c>
      <c r="Z28" s="119" t="n">
        <v>0</v>
      </c>
      <c r="AA28" s="119" t="n">
        <v>0</v>
      </c>
      <c r="AB28" s="121"/>
      <c r="AC28" s="119" t="n">
        <v>0</v>
      </c>
      <c r="AD28" s="119" t="n">
        <v>0</v>
      </c>
      <c r="AE28" s="119" t="n">
        <v>0</v>
      </c>
      <c r="AF28" s="121"/>
      <c r="AG28" s="122" t="n">
        <f aca="false">'form A info'!$AK39/1000</f>
        <v>467.51</v>
      </c>
    </row>
    <row r="29" customFormat="false" ht="12.75" hidden="false" customHeight="false" outlineLevel="0" collapsed="false">
      <c r="A29" s="111" t="n">
        <v>8266</v>
      </c>
      <c r="B29" s="111" t="s">
        <v>156</v>
      </c>
      <c r="C29" s="118" t="str">
        <f aca="false">'form A info'!G40</f>
        <v>y</v>
      </c>
      <c r="D29" s="119" t="n">
        <v>0</v>
      </c>
      <c r="E29" s="119" t="n">
        <v>0</v>
      </c>
      <c r="F29" s="119" t="n">
        <v>21</v>
      </c>
      <c r="G29" s="119" t="n">
        <v>0</v>
      </c>
      <c r="H29" s="120"/>
      <c r="I29" s="119" t="n">
        <v>0</v>
      </c>
      <c r="J29" s="119" t="n">
        <v>0</v>
      </c>
      <c r="K29" s="119" t="n">
        <v>0</v>
      </c>
      <c r="L29" s="119" t="n">
        <v>0</v>
      </c>
      <c r="M29" s="120"/>
      <c r="N29" s="119" t="n">
        <v>0</v>
      </c>
      <c r="O29" s="119" t="n">
        <v>0</v>
      </c>
      <c r="P29" s="119" t="n">
        <v>-4</v>
      </c>
      <c r="Q29" s="119" t="n">
        <v>0</v>
      </c>
      <c r="R29" s="121"/>
      <c r="S29" s="119" t="n">
        <v>0</v>
      </c>
      <c r="T29" s="119" t="n">
        <v>0</v>
      </c>
      <c r="U29" s="119" t="n">
        <v>0</v>
      </c>
      <c r="V29" s="119" t="n">
        <v>0</v>
      </c>
      <c r="W29" s="121"/>
      <c r="X29" s="119" t="n">
        <v>0</v>
      </c>
      <c r="Y29" s="119" t="n">
        <v>0</v>
      </c>
      <c r="Z29" s="119" t="n">
        <v>0</v>
      </c>
      <c r="AA29" s="119" t="n">
        <v>0</v>
      </c>
      <c r="AB29" s="121"/>
      <c r="AC29" s="119" t="n">
        <v>0</v>
      </c>
      <c r="AD29" s="119" t="n">
        <v>0</v>
      </c>
      <c r="AE29" s="119" t="n">
        <v>0</v>
      </c>
      <c r="AF29" s="121"/>
      <c r="AG29" s="122" t="n">
        <f aca="false">'form A info'!$AK40/1000</f>
        <v>67.175</v>
      </c>
    </row>
    <row r="30" customFormat="false" ht="12.75" hidden="false" customHeight="false" outlineLevel="0" collapsed="false">
      <c r="A30" s="111" t="n">
        <v>511</v>
      </c>
      <c r="B30" s="111" t="s">
        <v>159</v>
      </c>
      <c r="C30" s="118" t="str">
        <f aca="false">'form A info'!G42</f>
        <v>y</v>
      </c>
      <c r="D30" s="119" t="n">
        <v>472</v>
      </c>
      <c r="E30" s="119" t="n">
        <v>990</v>
      </c>
      <c r="F30" s="119" t="n">
        <v>176</v>
      </c>
      <c r="G30" s="119" t="n">
        <v>0</v>
      </c>
      <c r="H30" s="120"/>
      <c r="I30" s="119" t="n">
        <v>0</v>
      </c>
      <c r="J30" s="119" t="n">
        <v>0</v>
      </c>
      <c r="K30" s="119" t="n">
        <v>0</v>
      </c>
      <c r="L30" s="119" t="n">
        <v>0</v>
      </c>
      <c r="M30" s="120"/>
      <c r="N30" s="119" t="n">
        <v>13</v>
      </c>
      <c r="O30" s="119" t="n">
        <v>37</v>
      </c>
      <c r="P30" s="119" t="n">
        <v>27</v>
      </c>
      <c r="Q30" s="119" t="n">
        <v>0</v>
      </c>
      <c r="R30" s="121"/>
      <c r="S30" s="119" t="n">
        <v>73</v>
      </c>
      <c r="T30" s="119" t="n">
        <v>0</v>
      </c>
      <c r="U30" s="119" t="n">
        <v>0</v>
      </c>
      <c r="V30" s="119" t="n">
        <v>0</v>
      </c>
      <c r="W30" s="121"/>
      <c r="X30" s="119" t="n">
        <v>35</v>
      </c>
      <c r="Y30" s="119" t="n">
        <v>3</v>
      </c>
      <c r="Z30" s="119" t="n">
        <v>0</v>
      </c>
      <c r="AA30" s="119" t="n">
        <v>0</v>
      </c>
      <c r="AB30" s="121"/>
      <c r="AC30" s="119" t="n">
        <v>13964</v>
      </c>
      <c r="AD30" s="119" t="n">
        <v>72134</v>
      </c>
      <c r="AE30" s="119" t="n">
        <v>16000</v>
      </c>
      <c r="AF30" s="121"/>
      <c r="AG30" s="122" t="n">
        <f aca="false">'form A info'!$AK42/1000</f>
        <v>813.939</v>
      </c>
    </row>
    <row r="31" customFormat="false" ht="12.75" hidden="false" customHeight="false" outlineLevel="0" collapsed="false">
      <c r="A31" s="111" t="n">
        <v>514</v>
      </c>
      <c r="B31" s="111" t="s">
        <v>166</v>
      </c>
      <c r="C31" s="118" t="str">
        <f aca="false">'form A info'!G46</f>
        <v>y</v>
      </c>
      <c r="D31" s="119" t="n">
        <v>0</v>
      </c>
      <c r="E31" s="119" t="n">
        <v>0</v>
      </c>
      <c r="F31" s="119" t="n">
        <v>30</v>
      </c>
      <c r="G31" s="119" t="n">
        <v>31</v>
      </c>
      <c r="H31" s="120"/>
      <c r="I31" s="119" t="n">
        <v>0</v>
      </c>
      <c r="J31" s="119" t="n">
        <v>0</v>
      </c>
      <c r="K31" s="119" t="n">
        <v>0</v>
      </c>
      <c r="L31" s="119" t="n">
        <v>5</v>
      </c>
      <c r="M31" s="120"/>
      <c r="N31" s="119" t="n">
        <v>0</v>
      </c>
      <c r="O31" s="119" t="n">
        <v>2</v>
      </c>
      <c r="P31" s="119" t="n">
        <v>0</v>
      </c>
      <c r="Q31" s="119" t="n">
        <v>0</v>
      </c>
      <c r="R31" s="121"/>
      <c r="S31" s="119" t="n">
        <v>0</v>
      </c>
      <c r="T31" s="119" t="n">
        <v>0</v>
      </c>
      <c r="U31" s="119" t="n">
        <v>0</v>
      </c>
      <c r="V31" s="119" t="n">
        <v>0</v>
      </c>
      <c r="W31" s="121"/>
      <c r="X31" s="119" t="n">
        <v>0</v>
      </c>
      <c r="Y31" s="119" t="n">
        <v>0</v>
      </c>
      <c r="Z31" s="119" t="n">
        <v>0</v>
      </c>
      <c r="AA31" s="119" t="n">
        <v>0</v>
      </c>
      <c r="AB31" s="121"/>
      <c r="AC31" s="119" t="n">
        <v>0</v>
      </c>
      <c r="AD31" s="119" t="n">
        <v>0</v>
      </c>
      <c r="AE31" s="119" t="n">
        <v>0</v>
      </c>
      <c r="AF31" s="121"/>
      <c r="AG31" s="122" t="n">
        <f aca="false">'form A info'!$AK46/1000</f>
        <v>0</v>
      </c>
    </row>
    <row r="32" customFormat="false" ht="12.75" hidden="false" customHeight="false" outlineLevel="0" collapsed="false">
      <c r="A32" s="111" t="n">
        <v>540</v>
      </c>
      <c r="B32" s="111" t="s">
        <v>168</v>
      </c>
      <c r="C32" s="118" t="str">
        <f aca="false">'form A info'!G47</f>
        <v>y</v>
      </c>
      <c r="D32" s="119" t="n">
        <v>29</v>
      </c>
      <c r="E32" s="119" t="n">
        <v>282</v>
      </c>
      <c r="F32" s="119" t="n">
        <v>63</v>
      </c>
      <c r="G32" s="119" t="n">
        <v>13</v>
      </c>
      <c r="H32" s="120"/>
      <c r="I32" s="119" t="n">
        <v>0</v>
      </c>
      <c r="J32" s="119" t="n">
        <v>0</v>
      </c>
      <c r="K32" s="119" t="n">
        <v>4</v>
      </c>
      <c r="L32" s="119" t="n">
        <v>5</v>
      </c>
      <c r="M32" s="120"/>
      <c r="N32" s="119" t="n">
        <v>0</v>
      </c>
      <c r="O32" s="119" t="n">
        <v>13</v>
      </c>
      <c r="P32" s="119" t="n">
        <v>13</v>
      </c>
      <c r="Q32" s="119" t="n">
        <v>2</v>
      </c>
      <c r="R32" s="121"/>
      <c r="S32" s="119" t="n">
        <v>-2</v>
      </c>
      <c r="T32" s="119" t="n">
        <v>0</v>
      </c>
      <c r="U32" s="119" t="n">
        <v>0</v>
      </c>
      <c r="V32" s="119" t="n">
        <v>0</v>
      </c>
      <c r="W32" s="121"/>
      <c r="X32" s="119" t="n">
        <v>0</v>
      </c>
      <c r="Y32" s="119" t="n">
        <v>1</v>
      </c>
      <c r="Z32" s="119" t="n">
        <v>0</v>
      </c>
      <c r="AA32" s="119" t="n">
        <v>0</v>
      </c>
      <c r="AB32" s="121"/>
      <c r="AC32" s="119" t="n">
        <v>0</v>
      </c>
      <c r="AD32" s="119" t="n">
        <v>0</v>
      </c>
      <c r="AE32" s="119" t="n">
        <v>17260</v>
      </c>
      <c r="AF32" s="121"/>
      <c r="AG32" s="122" t="n">
        <f aca="false">'form A info'!$AK47/1000</f>
        <v>0</v>
      </c>
    </row>
    <row r="33" customFormat="false" ht="12.75" hidden="false" customHeight="false" outlineLevel="0" collapsed="false">
      <c r="A33" s="111" t="n">
        <v>8262</v>
      </c>
      <c r="B33" s="111" t="s">
        <v>171</v>
      </c>
      <c r="C33" s="118" t="str">
        <f aca="false">'form A info'!G48</f>
        <v>y</v>
      </c>
      <c r="D33" s="119" t="n">
        <v>0</v>
      </c>
      <c r="E33" s="119" t="n">
        <v>0</v>
      </c>
      <c r="F33" s="119" t="n">
        <v>84</v>
      </c>
      <c r="G33" s="119" t="n">
        <v>-3</v>
      </c>
      <c r="H33" s="120"/>
      <c r="I33" s="119" t="n">
        <v>0</v>
      </c>
      <c r="J33" s="119" t="n">
        <v>0</v>
      </c>
      <c r="K33" s="119" t="n">
        <v>7</v>
      </c>
      <c r="L33" s="119" t="n">
        <v>0</v>
      </c>
      <c r="M33" s="120"/>
      <c r="N33" s="119" t="n">
        <v>0</v>
      </c>
      <c r="O33" s="119" t="n">
        <v>0</v>
      </c>
      <c r="P33" s="119" t="n">
        <v>29</v>
      </c>
      <c r="Q33" s="119" t="n">
        <v>0</v>
      </c>
      <c r="R33" s="121"/>
      <c r="S33" s="119" t="n">
        <v>0</v>
      </c>
      <c r="T33" s="119" t="n">
        <v>0</v>
      </c>
      <c r="U33" s="119" t="n">
        <v>0</v>
      </c>
      <c r="V33" s="119" t="n">
        <v>0</v>
      </c>
      <c r="W33" s="121"/>
      <c r="X33" s="119" t="n">
        <v>0</v>
      </c>
      <c r="Y33" s="119" t="n">
        <v>0</v>
      </c>
      <c r="Z33" s="119" t="n">
        <v>0</v>
      </c>
      <c r="AA33" s="119" t="n">
        <v>0</v>
      </c>
      <c r="AB33" s="121"/>
      <c r="AC33" s="119" t="n">
        <v>0</v>
      </c>
      <c r="AD33" s="119" t="n">
        <v>0</v>
      </c>
      <c r="AE33" s="119" t="n">
        <v>0</v>
      </c>
      <c r="AF33" s="121"/>
      <c r="AG33" s="122" t="n">
        <f aca="false">'form A info'!$AK48/1000</f>
        <v>539.112</v>
      </c>
    </row>
    <row r="34" customFormat="false" ht="12.75" hidden="false" customHeight="false" outlineLevel="0" collapsed="false">
      <c r="A34" s="111" t="n">
        <v>552</v>
      </c>
      <c r="B34" s="111" t="s">
        <v>177</v>
      </c>
      <c r="C34" s="118" t="str">
        <f aca="false">'form A info'!G50</f>
        <v>y</v>
      </c>
      <c r="D34" s="119" t="n">
        <v>0</v>
      </c>
      <c r="E34" s="119" t="n">
        <v>0</v>
      </c>
      <c r="F34" s="119" t="n">
        <v>186</v>
      </c>
      <c r="G34" s="119" t="n">
        <v>2</v>
      </c>
      <c r="H34" s="120"/>
      <c r="I34" s="119" t="n">
        <v>0</v>
      </c>
      <c r="J34" s="119" t="n">
        <v>0</v>
      </c>
      <c r="K34" s="119" t="n">
        <v>0</v>
      </c>
      <c r="L34" s="119" t="n">
        <v>0</v>
      </c>
      <c r="M34" s="120"/>
      <c r="N34" s="119" t="n">
        <v>0</v>
      </c>
      <c r="O34" s="119" t="n">
        <v>0</v>
      </c>
      <c r="P34" s="119" t="n">
        <v>8</v>
      </c>
      <c r="Q34" s="119" t="n">
        <v>0</v>
      </c>
      <c r="R34" s="121"/>
      <c r="S34" s="119" t="n">
        <v>0</v>
      </c>
      <c r="T34" s="119" t="n">
        <v>0</v>
      </c>
      <c r="U34" s="119" t="n">
        <v>0</v>
      </c>
      <c r="V34" s="119" t="n">
        <v>0</v>
      </c>
      <c r="W34" s="121"/>
      <c r="X34" s="119" t="n">
        <v>0</v>
      </c>
      <c r="Y34" s="119" t="n">
        <v>0</v>
      </c>
      <c r="Z34" s="119" t="n">
        <v>0</v>
      </c>
      <c r="AA34" s="119" t="n">
        <v>0</v>
      </c>
      <c r="AB34" s="121"/>
      <c r="AC34" s="119" t="n">
        <v>0</v>
      </c>
      <c r="AD34" s="119" t="n">
        <v>0</v>
      </c>
      <c r="AE34" s="119" t="n">
        <v>0</v>
      </c>
      <c r="AF34" s="121"/>
      <c r="AG34" s="122" t="n">
        <f aca="false">'form A info'!$AK50/1000</f>
        <v>645.066</v>
      </c>
    </row>
    <row r="35" customFormat="false" ht="12.75" hidden="false" customHeight="false" outlineLevel="0" collapsed="false">
      <c r="A35" s="111" t="n">
        <v>549</v>
      </c>
      <c r="B35" s="111" t="s">
        <v>180</v>
      </c>
      <c r="C35" s="118" t="str">
        <f aca="false">'form A info'!G51</f>
        <v>y</v>
      </c>
      <c r="D35" s="119" t="n">
        <v>273</v>
      </c>
      <c r="E35" s="119" t="n">
        <v>475</v>
      </c>
      <c r="F35" s="119" t="n">
        <v>119</v>
      </c>
      <c r="G35" s="119" t="n">
        <v>0</v>
      </c>
      <c r="H35" s="120"/>
      <c r="I35" s="119" t="n">
        <v>0</v>
      </c>
      <c r="J35" s="119" t="n">
        <v>0</v>
      </c>
      <c r="K35" s="119" t="n">
        <v>0</v>
      </c>
      <c r="L35" s="119" t="n">
        <v>0</v>
      </c>
      <c r="M35" s="120"/>
      <c r="N35" s="119" t="n">
        <v>8</v>
      </c>
      <c r="O35" s="119" t="n">
        <v>23</v>
      </c>
      <c r="P35" s="119" t="n">
        <v>46</v>
      </c>
      <c r="Q35" s="119" t="n">
        <v>0</v>
      </c>
      <c r="R35" s="121"/>
      <c r="S35" s="119" t="n">
        <v>19</v>
      </c>
      <c r="T35" s="119" t="n">
        <v>0</v>
      </c>
      <c r="U35" s="119" t="n">
        <v>0</v>
      </c>
      <c r="V35" s="119" t="n">
        <v>0</v>
      </c>
      <c r="W35" s="121"/>
      <c r="X35" s="119" t="n">
        <v>40</v>
      </c>
      <c r="Y35" s="119" t="n">
        <v>1</v>
      </c>
      <c r="Z35" s="119" t="n">
        <v>0</v>
      </c>
      <c r="AA35" s="119" t="n">
        <v>0</v>
      </c>
      <c r="AB35" s="121"/>
      <c r="AC35" s="119" t="n">
        <v>0</v>
      </c>
      <c r="AD35" s="119" t="n">
        <v>0</v>
      </c>
      <c r="AE35" s="119" t="n">
        <v>0</v>
      </c>
      <c r="AF35" s="121"/>
      <c r="AG35" s="122" t="n">
        <f aca="false">'form A info'!$AK51/1000</f>
        <v>858.272</v>
      </c>
    </row>
    <row r="36" customFormat="false" ht="12.75" hidden="false" customHeight="false" outlineLevel="0" collapsed="false">
      <c r="A36" s="111" t="n">
        <v>2315</v>
      </c>
      <c r="B36" s="111" t="s">
        <v>185</v>
      </c>
      <c r="C36" s="118" t="str">
        <f aca="false">'form A info'!G53</f>
        <v>y</v>
      </c>
      <c r="D36" s="119" t="n">
        <v>0</v>
      </c>
      <c r="E36" s="119" t="n">
        <v>0</v>
      </c>
      <c r="F36" s="119" t="n">
        <v>20</v>
      </c>
      <c r="G36" s="119" t="n">
        <v>9</v>
      </c>
      <c r="H36" s="120"/>
      <c r="I36" s="119" t="n">
        <v>0</v>
      </c>
      <c r="J36" s="119" t="n">
        <v>0</v>
      </c>
      <c r="K36" s="119" t="n">
        <v>0</v>
      </c>
      <c r="L36" s="119" t="n">
        <v>4</v>
      </c>
      <c r="M36" s="120"/>
      <c r="N36" s="119" t="n">
        <v>0</v>
      </c>
      <c r="O36" s="119" t="n">
        <v>28</v>
      </c>
      <c r="P36" s="119" t="n">
        <v>2</v>
      </c>
      <c r="Q36" s="119" t="n">
        <v>0</v>
      </c>
      <c r="R36" s="121"/>
      <c r="S36" s="119" t="n">
        <v>0</v>
      </c>
      <c r="T36" s="119" t="n">
        <v>0</v>
      </c>
      <c r="U36" s="119" t="n">
        <v>0</v>
      </c>
      <c r="V36" s="119" t="n">
        <v>0</v>
      </c>
      <c r="W36" s="121"/>
      <c r="X36" s="119" t="n">
        <v>0</v>
      </c>
      <c r="Y36" s="119" t="n">
        <v>0</v>
      </c>
      <c r="Z36" s="119" t="n">
        <v>0</v>
      </c>
      <c r="AA36" s="119" t="n">
        <v>0</v>
      </c>
      <c r="AB36" s="121"/>
      <c r="AC36" s="119" t="n">
        <v>0</v>
      </c>
      <c r="AD36" s="119" t="n">
        <v>0</v>
      </c>
      <c r="AE36" s="119" t="n">
        <v>0</v>
      </c>
      <c r="AF36" s="121"/>
      <c r="AG36" s="122" t="n">
        <f aca="false">'form A info'!$AK53/1000</f>
        <v>0</v>
      </c>
    </row>
    <row r="37" customFormat="false" ht="12.75" hidden="false" customHeight="false" outlineLevel="0" collapsed="false">
      <c r="A37" s="111" t="n">
        <v>582</v>
      </c>
      <c r="B37" s="111" t="s">
        <v>188</v>
      </c>
      <c r="C37" s="118" t="str">
        <f aca="false">'form A info'!G54</f>
        <v>y</v>
      </c>
      <c r="D37" s="119" t="n">
        <v>168</v>
      </c>
      <c r="E37" s="119" t="n">
        <v>367</v>
      </c>
      <c r="F37" s="119" t="n">
        <v>103</v>
      </c>
      <c r="G37" s="119" t="n">
        <v>0</v>
      </c>
      <c r="H37" s="120"/>
      <c r="I37" s="119" t="n">
        <v>9</v>
      </c>
      <c r="J37" s="119" t="n">
        <v>15</v>
      </c>
      <c r="K37" s="119" t="n">
        <v>0</v>
      </c>
      <c r="L37" s="119" t="n">
        <v>0</v>
      </c>
      <c r="M37" s="120"/>
      <c r="N37" s="119" t="n">
        <v>14</v>
      </c>
      <c r="O37" s="119" t="n">
        <v>5</v>
      </c>
      <c r="P37" s="119" t="n">
        <v>20</v>
      </c>
      <c r="Q37" s="119" t="n">
        <v>0</v>
      </c>
      <c r="R37" s="121"/>
      <c r="S37" s="119" t="n">
        <v>92</v>
      </c>
      <c r="T37" s="119" t="n">
        <v>0</v>
      </c>
      <c r="U37" s="119" t="n">
        <v>0</v>
      </c>
      <c r="V37" s="119" t="n">
        <v>0</v>
      </c>
      <c r="W37" s="121"/>
      <c r="X37" s="119" t="n">
        <v>94</v>
      </c>
      <c r="Y37" s="119" t="n">
        <v>0</v>
      </c>
      <c r="Z37" s="119" t="n">
        <v>0</v>
      </c>
      <c r="AA37" s="119" t="n">
        <v>0</v>
      </c>
      <c r="AB37" s="121"/>
      <c r="AC37" s="119" t="n">
        <v>10274</v>
      </c>
      <c r="AD37" s="119" t="n">
        <v>0</v>
      </c>
      <c r="AE37" s="119" t="n">
        <v>0</v>
      </c>
      <c r="AF37" s="121"/>
      <c r="AG37" s="122" t="n">
        <f aca="false">'form A info'!$AK54/1000</f>
        <v>0</v>
      </c>
    </row>
    <row r="38" customFormat="false" ht="12.75" hidden="false" customHeight="false" outlineLevel="0" collapsed="false">
      <c r="A38" s="111" t="n">
        <v>8287</v>
      </c>
      <c r="B38" s="111" t="s">
        <v>194</v>
      </c>
      <c r="C38" s="118" t="str">
        <f aca="false">'form A info'!G56</f>
        <v>y</v>
      </c>
      <c r="D38" s="119" t="n">
        <v>147</v>
      </c>
      <c r="E38" s="119" t="n">
        <v>0</v>
      </c>
      <c r="F38" s="119" t="n">
        <v>35</v>
      </c>
      <c r="G38" s="119" t="n">
        <v>4</v>
      </c>
      <c r="H38" s="120"/>
      <c r="I38" s="119" t="n">
        <v>0</v>
      </c>
      <c r="J38" s="119" t="n">
        <v>0</v>
      </c>
      <c r="K38" s="119" t="n">
        <v>0</v>
      </c>
      <c r="L38" s="119" t="n">
        <v>0</v>
      </c>
      <c r="M38" s="120"/>
      <c r="N38" s="119" t="n">
        <v>0</v>
      </c>
      <c r="O38" s="119" t="n">
        <v>0</v>
      </c>
      <c r="P38" s="119" t="n">
        <v>57</v>
      </c>
      <c r="Q38" s="119" t="n">
        <v>0</v>
      </c>
      <c r="R38" s="121"/>
      <c r="S38" s="119" t="n">
        <v>11</v>
      </c>
      <c r="T38" s="119" t="n">
        <v>1</v>
      </c>
      <c r="U38" s="119" t="n">
        <v>0</v>
      </c>
      <c r="V38" s="119" t="n">
        <v>0</v>
      </c>
      <c r="W38" s="121"/>
      <c r="X38" s="119" t="n">
        <v>3</v>
      </c>
      <c r="Y38" s="119" t="n">
        <v>0</v>
      </c>
      <c r="Z38" s="119" t="n">
        <v>0</v>
      </c>
      <c r="AA38" s="119" t="n">
        <v>0</v>
      </c>
      <c r="AB38" s="121"/>
      <c r="AC38" s="119" t="n">
        <v>0</v>
      </c>
      <c r="AD38" s="119" t="n">
        <v>37550</v>
      </c>
      <c r="AE38" s="119" t="n">
        <v>0</v>
      </c>
      <c r="AF38" s="121"/>
      <c r="AG38" s="122" t="n">
        <f aca="false">'form A info'!$AK56/1000</f>
        <v>360.105</v>
      </c>
    </row>
    <row r="39" customFormat="false" ht="12.75" hidden="false" customHeight="false" outlineLevel="0" collapsed="false">
      <c r="A39" s="111" t="n">
        <v>8158</v>
      </c>
      <c r="B39" s="111" t="s">
        <v>199</v>
      </c>
      <c r="C39" s="118" t="str">
        <f aca="false">'form A info'!G58</f>
        <v>y</v>
      </c>
      <c r="D39" s="119" t="n">
        <v>0</v>
      </c>
      <c r="E39" s="119" t="n">
        <v>0</v>
      </c>
      <c r="F39" s="119" t="n">
        <v>166</v>
      </c>
      <c r="G39" s="119" t="n">
        <v>6</v>
      </c>
      <c r="H39" s="120"/>
      <c r="I39" s="119" t="n">
        <v>0</v>
      </c>
      <c r="J39" s="119" t="n">
        <v>0</v>
      </c>
      <c r="K39" s="119" t="n">
        <v>2</v>
      </c>
      <c r="L39" s="119" t="n">
        <v>0</v>
      </c>
      <c r="M39" s="120"/>
      <c r="N39" s="119" t="n">
        <v>0</v>
      </c>
      <c r="O39" s="119" t="n">
        <v>0</v>
      </c>
      <c r="P39" s="119" t="n">
        <v>14</v>
      </c>
      <c r="Q39" s="119" t="n">
        <v>3</v>
      </c>
      <c r="R39" s="121"/>
      <c r="S39" s="119" t="n">
        <v>0</v>
      </c>
      <c r="T39" s="119" t="n">
        <v>0</v>
      </c>
      <c r="U39" s="119" t="n">
        <v>0</v>
      </c>
      <c r="V39" s="119" t="n">
        <v>0</v>
      </c>
      <c r="W39" s="121"/>
      <c r="X39" s="119" t="n">
        <v>0</v>
      </c>
      <c r="Y39" s="119" t="n">
        <v>0</v>
      </c>
      <c r="Z39" s="119" t="n">
        <v>0</v>
      </c>
      <c r="AA39" s="119" t="n">
        <v>0</v>
      </c>
      <c r="AB39" s="121"/>
      <c r="AC39" s="119" t="n">
        <v>0</v>
      </c>
      <c r="AD39" s="119" t="n">
        <v>0</v>
      </c>
      <c r="AE39" s="119" t="n">
        <v>0</v>
      </c>
      <c r="AF39" s="121"/>
      <c r="AG39" s="122" t="n">
        <f aca="false">'form A info'!$AK58/1000</f>
        <v>521.508</v>
      </c>
    </row>
    <row r="40" customFormat="false" ht="12.75" hidden="false" customHeight="false" outlineLevel="0" collapsed="false">
      <c r="A40" s="111" t="n">
        <v>8185</v>
      </c>
      <c r="B40" s="111" t="s">
        <v>201</v>
      </c>
      <c r="C40" s="118" t="str">
        <f aca="false">'form A info'!G59</f>
        <v>y</v>
      </c>
      <c r="D40" s="119" t="n">
        <v>0</v>
      </c>
      <c r="E40" s="119" t="n">
        <v>0</v>
      </c>
      <c r="F40" s="119" t="n">
        <v>295</v>
      </c>
      <c r="G40" s="119" t="n">
        <v>3</v>
      </c>
      <c r="H40" s="120"/>
      <c r="I40" s="119" t="n">
        <v>0</v>
      </c>
      <c r="J40" s="119" t="n">
        <v>0</v>
      </c>
      <c r="K40" s="119" t="n">
        <v>18</v>
      </c>
      <c r="L40" s="119" t="n">
        <v>0</v>
      </c>
      <c r="M40" s="120"/>
      <c r="N40" s="119" t="n">
        <v>0</v>
      </c>
      <c r="O40" s="119" t="n">
        <v>0</v>
      </c>
      <c r="P40" s="119" t="n">
        <v>51</v>
      </c>
      <c r="Q40" s="119" t="n">
        <v>0</v>
      </c>
      <c r="R40" s="121"/>
      <c r="S40" s="119" t="n">
        <v>0</v>
      </c>
      <c r="T40" s="119" t="n">
        <v>0</v>
      </c>
      <c r="U40" s="119" t="n">
        <v>0</v>
      </c>
      <c r="V40" s="119" t="n">
        <v>0</v>
      </c>
      <c r="W40" s="121"/>
      <c r="X40" s="119" t="n">
        <v>0</v>
      </c>
      <c r="Y40" s="119" t="n">
        <v>0</v>
      </c>
      <c r="Z40" s="119" t="n">
        <v>0</v>
      </c>
      <c r="AA40" s="119" t="n">
        <v>0</v>
      </c>
      <c r="AB40" s="121"/>
      <c r="AC40" s="119" t="n">
        <v>0</v>
      </c>
      <c r="AD40" s="119" t="n">
        <v>0</v>
      </c>
      <c r="AE40" s="119" t="n">
        <v>0</v>
      </c>
      <c r="AF40" s="121"/>
      <c r="AG40" s="122" t="n">
        <f aca="false">'form A info'!$AK59/1000</f>
        <v>0</v>
      </c>
    </row>
    <row r="41" customFormat="false" ht="12.75" hidden="false" customHeight="false" outlineLevel="0" collapsed="false">
      <c r="A41" s="111" t="n">
        <v>914</v>
      </c>
      <c r="B41" s="111" t="s">
        <v>204</v>
      </c>
      <c r="C41" s="118" t="str">
        <f aca="false">'form A info'!G60</f>
        <v>y</v>
      </c>
      <c r="D41" s="119" t="n">
        <v>120</v>
      </c>
      <c r="E41" s="119" t="n">
        <v>0</v>
      </c>
      <c r="F41" s="119" t="n">
        <v>47</v>
      </c>
      <c r="G41" s="119" t="n">
        <v>26</v>
      </c>
      <c r="H41" s="120"/>
      <c r="I41" s="119" t="n">
        <v>32</v>
      </c>
      <c r="J41" s="119" t="n">
        <v>4</v>
      </c>
      <c r="K41" s="119" t="n">
        <v>0</v>
      </c>
      <c r="L41" s="119" t="n">
        <v>0</v>
      </c>
      <c r="M41" s="120"/>
      <c r="N41" s="119" t="n">
        <v>6</v>
      </c>
      <c r="O41" s="119" t="n">
        <v>0</v>
      </c>
      <c r="P41" s="119" t="n">
        <v>9</v>
      </c>
      <c r="Q41" s="119" t="n">
        <v>3</v>
      </c>
      <c r="R41" s="121"/>
      <c r="S41" s="119" t="n">
        <v>35</v>
      </c>
      <c r="T41" s="119" t="n">
        <v>0</v>
      </c>
      <c r="U41" s="119" t="n">
        <v>0</v>
      </c>
      <c r="V41" s="119" t="n">
        <v>0</v>
      </c>
      <c r="W41" s="121"/>
      <c r="X41" s="119" t="n">
        <v>105</v>
      </c>
      <c r="Y41" s="119" t="n">
        <v>0</v>
      </c>
      <c r="Z41" s="119" t="n">
        <v>0</v>
      </c>
      <c r="AA41" s="119" t="n">
        <v>0</v>
      </c>
      <c r="AB41" s="121"/>
      <c r="AC41" s="119" t="n">
        <v>0</v>
      </c>
      <c r="AD41" s="119" t="n">
        <v>0</v>
      </c>
      <c r="AE41" s="119" t="n">
        <v>0</v>
      </c>
      <c r="AF41" s="121"/>
      <c r="AG41" s="122" t="n">
        <f aca="false">'form A info'!$AK60/1000</f>
        <v>0</v>
      </c>
    </row>
    <row r="42" customFormat="false" ht="12.75" hidden="false" customHeight="false" outlineLevel="0" collapsed="false">
      <c r="A42" s="111" t="n">
        <v>3937</v>
      </c>
      <c r="B42" s="111" t="s">
        <v>206</v>
      </c>
      <c r="C42" s="118" t="str">
        <f aca="false">'form A info'!G61</f>
        <v>y</v>
      </c>
      <c r="D42" s="119" t="n">
        <v>121</v>
      </c>
      <c r="E42" s="119" t="n">
        <v>181</v>
      </c>
      <c r="F42" s="119" t="n">
        <v>81</v>
      </c>
      <c r="G42" s="119" t="n">
        <v>6</v>
      </c>
      <c r="H42" s="120"/>
      <c r="I42" s="119" t="n">
        <v>202</v>
      </c>
      <c r="J42" s="119" t="n">
        <v>7</v>
      </c>
      <c r="K42" s="119" t="n">
        <v>0</v>
      </c>
      <c r="L42" s="119" t="n">
        <v>0</v>
      </c>
      <c r="M42" s="120"/>
      <c r="N42" s="119" t="n">
        <v>18</v>
      </c>
      <c r="O42" s="119" t="n">
        <v>27</v>
      </c>
      <c r="P42" s="119" t="n">
        <v>118</v>
      </c>
      <c r="Q42" s="119" t="n">
        <v>0</v>
      </c>
      <c r="R42" s="121"/>
      <c r="S42" s="119" t="n">
        <v>54</v>
      </c>
      <c r="T42" s="119" t="n">
        <v>0</v>
      </c>
      <c r="U42" s="119" t="n">
        <v>0</v>
      </c>
      <c r="V42" s="119" t="n">
        <v>0</v>
      </c>
      <c r="W42" s="121"/>
      <c r="X42" s="119" t="n">
        <v>114</v>
      </c>
      <c r="Y42" s="119" t="n">
        <v>0</v>
      </c>
      <c r="Z42" s="119" t="n">
        <v>0</v>
      </c>
      <c r="AA42" s="119" t="n">
        <v>0</v>
      </c>
      <c r="AB42" s="121"/>
      <c r="AC42" s="119" t="n">
        <v>0</v>
      </c>
      <c r="AD42" s="119" t="n">
        <v>0</v>
      </c>
      <c r="AE42" s="119" t="n">
        <v>0</v>
      </c>
      <c r="AF42" s="121"/>
      <c r="AG42" s="122" t="n">
        <f aca="false">'form A info'!$AK61/1000</f>
        <v>94.77994</v>
      </c>
    </row>
    <row r="43" customFormat="false" ht="12.75" hidden="false" customHeight="false" outlineLevel="0" collapsed="false">
      <c r="A43" s="111" t="n">
        <v>918</v>
      </c>
      <c r="B43" s="111" t="s">
        <v>213</v>
      </c>
      <c r="C43" s="118" t="str">
        <f aca="false">'form A info'!G63</f>
        <v>y</v>
      </c>
      <c r="D43" s="119" t="n">
        <v>0</v>
      </c>
      <c r="E43" s="119" t="n">
        <v>0</v>
      </c>
      <c r="F43" s="119" t="n">
        <v>6</v>
      </c>
      <c r="G43" s="119" t="n">
        <v>0</v>
      </c>
      <c r="H43" s="120"/>
      <c r="I43" s="119" t="n">
        <v>0</v>
      </c>
      <c r="J43" s="119" t="n">
        <v>0</v>
      </c>
      <c r="K43" s="119" t="n">
        <v>0</v>
      </c>
      <c r="L43" s="119" t="n">
        <v>0</v>
      </c>
      <c r="M43" s="120"/>
      <c r="N43" s="119" t="n">
        <v>0</v>
      </c>
      <c r="O43" s="119" t="n">
        <v>11</v>
      </c>
      <c r="P43" s="119" t="n">
        <v>2</v>
      </c>
      <c r="Q43" s="119" t="n">
        <v>0</v>
      </c>
      <c r="R43" s="121"/>
      <c r="S43" s="119" t="n">
        <v>0</v>
      </c>
      <c r="T43" s="119" t="n">
        <v>0</v>
      </c>
      <c r="U43" s="119" t="n">
        <v>0</v>
      </c>
      <c r="V43" s="119" t="n">
        <v>0</v>
      </c>
      <c r="W43" s="121"/>
      <c r="X43" s="119" t="n">
        <v>0</v>
      </c>
      <c r="Y43" s="119" t="n">
        <v>0</v>
      </c>
      <c r="Z43" s="119" t="n">
        <v>0</v>
      </c>
      <c r="AA43" s="119" t="n">
        <v>0</v>
      </c>
      <c r="AB43" s="121"/>
      <c r="AC43" s="119" t="n">
        <v>0</v>
      </c>
      <c r="AD43" s="119" t="n">
        <v>0</v>
      </c>
      <c r="AE43" s="119" t="n">
        <v>0</v>
      </c>
      <c r="AF43" s="121"/>
      <c r="AG43" s="122" t="n">
        <f aca="false">'form A info'!$AK63/1000</f>
        <v>0</v>
      </c>
    </row>
    <row r="44" customFormat="false" ht="12.75" hidden="false" customHeight="false" outlineLevel="0" collapsed="false">
      <c r="A44" s="111" t="n">
        <v>4662</v>
      </c>
      <c r="B44" s="111" t="s">
        <v>215</v>
      </c>
      <c r="C44" s="118" t="str">
        <f aca="false">'form A info'!G64</f>
        <v>y</v>
      </c>
      <c r="D44" s="119" t="n">
        <v>0</v>
      </c>
      <c r="E44" s="119" t="n">
        <v>0</v>
      </c>
      <c r="F44" s="119" t="n">
        <v>155</v>
      </c>
      <c r="G44" s="119" t="n">
        <v>1</v>
      </c>
      <c r="H44" s="120"/>
      <c r="I44" s="119" t="n">
        <v>0</v>
      </c>
      <c r="J44" s="119" t="n">
        <v>0</v>
      </c>
      <c r="K44" s="119" t="n">
        <v>0</v>
      </c>
      <c r="L44" s="119" t="n">
        <v>0</v>
      </c>
      <c r="M44" s="120"/>
      <c r="N44" s="119" t="n">
        <v>0</v>
      </c>
      <c r="O44" s="119" t="n">
        <v>0</v>
      </c>
      <c r="P44" s="119" t="n">
        <v>26</v>
      </c>
      <c r="Q44" s="119" t="n">
        <v>0</v>
      </c>
      <c r="R44" s="121"/>
      <c r="S44" s="119" t="n">
        <v>0</v>
      </c>
      <c r="T44" s="119" t="n">
        <v>0</v>
      </c>
      <c r="U44" s="119" t="n">
        <v>0</v>
      </c>
      <c r="V44" s="119" t="n">
        <v>0</v>
      </c>
      <c r="W44" s="121"/>
      <c r="X44" s="119" t="n">
        <v>0</v>
      </c>
      <c r="Y44" s="119" t="n">
        <v>0</v>
      </c>
      <c r="Z44" s="119" t="n">
        <v>0</v>
      </c>
      <c r="AA44" s="119" t="n">
        <v>0</v>
      </c>
      <c r="AB44" s="121"/>
      <c r="AC44" s="119" t="n">
        <v>36252</v>
      </c>
      <c r="AD44" s="119" t="n">
        <v>0</v>
      </c>
      <c r="AE44" s="119" t="n">
        <v>0</v>
      </c>
      <c r="AF44" s="121"/>
      <c r="AG44" s="122" t="n">
        <f aca="false">'form A info'!$AK64/1000</f>
        <v>390.279</v>
      </c>
    </row>
    <row r="45" customFormat="false" ht="12.75" hidden="false" customHeight="false" outlineLevel="0" collapsed="false">
      <c r="A45" s="111" t="n">
        <v>9981</v>
      </c>
      <c r="B45" s="111" t="s">
        <v>226</v>
      </c>
      <c r="C45" s="118" t="str">
        <f aca="false">'form A info'!G70</f>
        <v>y</v>
      </c>
      <c r="D45" s="119" t="n">
        <v>0</v>
      </c>
      <c r="E45" s="119" t="n">
        <v>0</v>
      </c>
      <c r="F45" s="119" t="n">
        <v>0</v>
      </c>
      <c r="G45" s="119" t="n">
        <v>0</v>
      </c>
      <c r="H45" s="120"/>
      <c r="I45" s="119" t="n">
        <v>0</v>
      </c>
      <c r="J45" s="119" t="n">
        <v>0</v>
      </c>
      <c r="K45" s="119" t="n">
        <v>0</v>
      </c>
      <c r="L45" s="119" t="n">
        <v>0</v>
      </c>
      <c r="M45" s="120"/>
      <c r="N45" s="119" t="n">
        <v>0</v>
      </c>
      <c r="O45" s="119" t="n">
        <v>0</v>
      </c>
      <c r="P45" s="119" t="n">
        <v>0</v>
      </c>
      <c r="Q45" s="119" t="n">
        <v>0</v>
      </c>
      <c r="R45" s="121"/>
      <c r="S45" s="119" t="n">
        <v>0</v>
      </c>
      <c r="T45" s="119" t="n">
        <v>0</v>
      </c>
      <c r="U45" s="119" t="n">
        <v>0</v>
      </c>
      <c r="V45" s="119" t="n">
        <v>0</v>
      </c>
      <c r="W45" s="121"/>
      <c r="X45" s="119" t="n">
        <v>0</v>
      </c>
      <c r="Y45" s="119" t="n">
        <v>0</v>
      </c>
      <c r="Z45" s="119" t="n">
        <v>0</v>
      </c>
      <c r="AA45" s="119" t="n">
        <v>0</v>
      </c>
      <c r="AB45" s="121"/>
      <c r="AC45" s="119" t="n">
        <v>0</v>
      </c>
      <c r="AD45" s="119" t="n">
        <v>0</v>
      </c>
      <c r="AE45" s="119" t="n">
        <v>0</v>
      </c>
      <c r="AF45" s="121"/>
      <c r="AG45" s="122" t="n">
        <f aca="false">'form A info'!$AK70/1000</f>
        <v>0</v>
      </c>
    </row>
    <row r="46" customFormat="false" ht="12.75" hidden="false" customHeight="false" outlineLevel="0" collapsed="false">
      <c r="A46" s="111" t="n">
        <v>1118</v>
      </c>
      <c r="B46" s="111" t="s">
        <v>230</v>
      </c>
      <c r="C46" s="118" t="str">
        <f aca="false">'form A info'!G72</f>
        <v>y</v>
      </c>
      <c r="D46" s="119" t="n">
        <v>26</v>
      </c>
      <c r="E46" s="119" t="n">
        <v>0</v>
      </c>
      <c r="F46" s="119" t="n">
        <v>23</v>
      </c>
      <c r="G46" s="119" t="n">
        <v>5</v>
      </c>
      <c r="H46" s="120"/>
      <c r="I46" s="119" t="n">
        <v>0</v>
      </c>
      <c r="J46" s="119" t="n">
        <v>0</v>
      </c>
      <c r="K46" s="119" t="n">
        <v>11</v>
      </c>
      <c r="L46" s="119" t="n">
        <v>1</v>
      </c>
      <c r="M46" s="120"/>
      <c r="N46" s="119" t="n">
        <v>0</v>
      </c>
      <c r="O46" s="119" t="n">
        <v>7</v>
      </c>
      <c r="P46" s="119" t="n">
        <v>0</v>
      </c>
      <c r="Q46" s="119" t="n">
        <v>1</v>
      </c>
      <c r="R46" s="121"/>
      <c r="S46" s="119" t="n">
        <v>0</v>
      </c>
      <c r="T46" s="119" t="n">
        <v>0</v>
      </c>
      <c r="U46" s="119" t="n">
        <v>0</v>
      </c>
      <c r="V46" s="119" t="n">
        <v>0</v>
      </c>
      <c r="W46" s="121"/>
      <c r="X46" s="119" t="n">
        <v>0</v>
      </c>
      <c r="Y46" s="119" t="n">
        <v>0</v>
      </c>
      <c r="Z46" s="119" t="n">
        <v>0</v>
      </c>
      <c r="AA46" s="119" t="n">
        <v>0</v>
      </c>
      <c r="AB46" s="121"/>
      <c r="AC46" s="119" t="n">
        <v>0</v>
      </c>
      <c r="AD46" s="119" t="n">
        <v>0</v>
      </c>
      <c r="AE46" s="119" t="n">
        <v>0</v>
      </c>
      <c r="AF46" s="121"/>
      <c r="AG46" s="122" t="n">
        <f aca="false">'form A info'!$AK72/1000</f>
        <v>72.15576</v>
      </c>
    </row>
    <row r="47" customFormat="false" ht="12.75" hidden="false" customHeight="false" outlineLevel="0" collapsed="false">
      <c r="A47" s="111" t="n">
        <v>3555</v>
      </c>
      <c r="B47" s="111" t="s">
        <v>233</v>
      </c>
      <c r="C47" s="118" t="str">
        <f aca="false">'form A info'!G73</f>
        <v>y</v>
      </c>
      <c r="D47" s="119" t="n">
        <v>0</v>
      </c>
      <c r="E47" s="119" t="n">
        <v>0</v>
      </c>
      <c r="F47" s="119" t="n">
        <v>20</v>
      </c>
      <c r="G47" s="119" t="n">
        <v>0</v>
      </c>
      <c r="H47" s="120"/>
      <c r="I47" s="119" t="n">
        <v>0</v>
      </c>
      <c r="J47" s="119" t="n">
        <v>0</v>
      </c>
      <c r="K47" s="119" t="n">
        <v>0</v>
      </c>
      <c r="L47" s="119" t="n">
        <v>1</v>
      </c>
      <c r="M47" s="120"/>
      <c r="N47" s="119" t="n">
        <v>0</v>
      </c>
      <c r="O47" s="119" t="n">
        <v>0</v>
      </c>
      <c r="P47" s="119" t="n">
        <v>0</v>
      </c>
      <c r="Q47" s="119" t="n">
        <v>4</v>
      </c>
      <c r="R47" s="121"/>
      <c r="S47" s="119" t="n">
        <v>0</v>
      </c>
      <c r="T47" s="119" t="n">
        <v>0</v>
      </c>
      <c r="U47" s="119" t="n">
        <v>0</v>
      </c>
      <c r="V47" s="119" t="n">
        <v>0</v>
      </c>
      <c r="W47" s="121"/>
      <c r="X47" s="119" t="n">
        <v>0</v>
      </c>
      <c r="Y47" s="119" t="n">
        <v>0</v>
      </c>
      <c r="Z47" s="119" t="n">
        <v>0</v>
      </c>
      <c r="AA47" s="119" t="n">
        <v>0</v>
      </c>
      <c r="AB47" s="121"/>
      <c r="AC47" s="119" t="n">
        <v>0</v>
      </c>
      <c r="AD47" s="119" t="n">
        <v>0</v>
      </c>
      <c r="AE47" s="119" t="n">
        <v>0</v>
      </c>
      <c r="AF47" s="121"/>
      <c r="AG47" s="122" t="n">
        <f aca="false">'form A info'!$AK73/1000</f>
        <v>0</v>
      </c>
    </row>
    <row r="48" customFormat="false" ht="12.75" hidden="false" customHeight="false" outlineLevel="0" collapsed="false">
      <c r="A48" s="111" t="n">
        <v>1125</v>
      </c>
      <c r="B48" s="111" t="s">
        <v>235</v>
      </c>
      <c r="C48" s="118" t="str">
        <f aca="false">'form A info'!G74</f>
        <v>y</v>
      </c>
      <c r="D48" s="119" t="n">
        <v>17</v>
      </c>
      <c r="E48" s="119" t="n">
        <v>392</v>
      </c>
      <c r="F48" s="119" t="n">
        <v>37</v>
      </c>
      <c r="G48" s="119" t="n">
        <v>0</v>
      </c>
      <c r="H48" s="120"/>
      <c r="I48" s="119" t="n">
        <v>0</v>
      </c>
      <c r="J48" s="119" t="n">
        <v>0</v>
      </c>
      <c r="K48" s="119" t="n">
        <v>0</v>
      </c>
      <c r="L48" s="119" t="n">
        <v>0</v>
      </c>
      <c r="M48" s="120"/>
      <c r="N48" s="119" t="n">
        <v>0</v>
      </c>
      <c r="O48" s="119" t="n">
        <v>0</v>
      </c>
      <c r="P48" s="119" t="n">
        <v>5</v>
      </c>
      <c r="Q48" s="119" t="n">
        <v>2</v>
      </c>
      <c r="R48" s="121"/>
      <c r="S48" s="119" t="n">
        <v>0</v>
      </c>
      <c r="T48" s="119" t="n">
        <v>0</v>
      </c>
      <c r="U48" s="119" t="n">
        <v>0</v>
      </c>
      <c r="V48" s="119" t="n">
        <v>0</v>
      </c>
      <c r="W48" s="121"/>
      <c r="X48" s="119" t="n">
        <v>0</v>
      </c>
      <c r="Y48" s="119" t="n">
        <v>0</v>
      </c>
      <c r="Z48" s="119" t="n">
        <v>0</v>
      </c>
      <c r="AA48" s="119" t="n">
        <v>0</v>
      </c>
      <c r="AB48" s="121"/>
      <c r="AC48" s="119" t="n">
        <v>0</v>
      </c>
      <c r="AD48" s="119" t="n">
        <v>0</v>
      </c>
      <c r="AE48" s="119" t="n">
        <v>0</v>
      </c>
      <c r="AF48" s="121"/>
      <c r="AG48" s="122" t="n">
        <f aca="false">'form A info'!$AK74/1000</f>
        <v>378.343</v>
      </c>
    </row>
    <row r="49" customFormat="false" ht="12.75" hidden="false" customHeight="false" outlineLevel="0" collapsed="false">
      <c r="A49" s="111" t="n">
        <v>941</v>
      </c>
      <c r="B49" s="111" t="s">
        <v>243</v>
      </c>
      <c r="C49" s="118" t="str">
        <f aca="false">'form A info'!G76</f>
        <v>y</v>
      </c>
      <c r="D49" s="119" t="n">
        <v>0</v>
      </c>
      <c r="E49" s="119" t="n">
        <v>0</v>
      </c>
      <c r="F49" s="119" t="n">
        <v>16</v>
      </c>
      <c r="G49" s="119" t="n">
        <v>34</v>
      </c>
      <c r="H49" s="120"/>
      <c r="I49" s="119" t="n">
        <v>0</v>
      </c>
      <c r="J49" s="119" t="n">
        <v>0</v>
      </c>
      <c r="K49" s="119" t="n">
        <v>0</v>
      </c>
      <c r="L49" s="119" t="n">
        <v>0</v>
      </c>
      <c r="M49" s="120"/>
      <c r="N49" s="119" t="n">
        <v>0</v>
      </c>
      <c r="O49" s="119" t="n">
        <v>0</v>
      </c>
      <c r="P49" s="119" t="n">
        <v>2</v>
      </c>
      <c r="Q49" s="119" t="n">
        <v>1</v>
      </c>
      <c r="R49" s="121"/>
      <c r="S49" s="119" t="n">
        <v>0</v>
      </c>
      <c r="T49" s="119" t="n">
        <v>0</v>
      </c>
      <c r="U49" s="119" t="n">
        <v>0</v>
      </c>
      <c r="V49" s="119" t="n">
        <v>0</v>
      </c>
      <c r="W49" s="121"/>
      <c r="X49" s="119" t="n">
        <v>0</v>
      </c>
      <c r="Y49" s="119" t="n">
        <v>0</v>
      </c>
      <c r="Z49" s="119" t="n">
        <v>0</v>
      </c>
      <c r="AA49" s="119" t="n">
        <v>0</v>
      </c>
      <c r="AB49" s="121"/>
      <c r="AC49" s="119" t="n">
        <v>0</v>
      </c>
      <c r="AD49" s="119" t="n">
        <v>0</v>
      </c>
      <c r="AE49" s="119" t="n">
        <v>0</v>
      </c>
      <c r="AF49" s="121"/>
      <c r="AG49" s="122" t="n">
        <f aca="false">'form A info'!$AK76/1000</f>
        <v>0</v>
      </c>
    </row>
    <row r="50" customFormat="false" ht="12.75" hidden="false" customHeight="false" outlineLevel="0" collapsed="false">
      <c r="A50" s="111" t="n">
        <v>1504</v>
      </c>
      <c r="B50" s="111" t="s">
        <v>245</v>
      </c>
      <c r="C50" s="118" t="str">
        <f aca="false">'form A info'!G77</f>
        <v>y</v>
      </c>
      <c r="D50" s="119" t="n">
        <v>0</v>
      </c>
      <c r="E50" s="119" t="n">
        <v>0</v>
      </c>
      <c r="F50" s="119" t="n">
        <v>16</v>
      </c>
      <c r="G50" s="119" t="n">
        <v>6</v>
      </c>
      <c r="H50" s="120"/>
      <c r="I50" s="119" t="n">
        <v>0</v>
      </c>
      <c r="J50" s="119" t="n">
        <v>0</v>
      </c>
      <c r="K50" s="119" t="n">
        <v>6</v>
      </c>
      <c r="L50" s="119" t="n">
        <v>1</v>
      </c>
      <c r="M50" s="120"/>
      <c r="N50" s="119" t="n">
        <v>0</v>
      </c>
      <c r="O50" s="119" t="n">
        <v>0</v>
      </c>
      <c r="P50" s="119" t="n">
        <v>1</v>
      </c>
      <c r="Q50" s="119" t="n">
        <v>1</v>
      </c>
      <c r="R50" s="121"/>
      <c r="S50" s="119" t="n">
        <v>0</v>
      </c>
      <c r="T50" s="119" t="n">
        <v>0</v>
      </c>
      <c r="U50" s="119" t="n">
        <v>0</v>
      </c>
      <c r="V50" s="119" t="n">
        <v>0</v>
      </c>
      <c r="W50" s="121"/>
      <c r="X50" s="119" t="n">
        <v>0</v>
      </c>
      <c r="Y50" s="119" t="n">
        <v>0</v>
      </c>
      <c r="Z50" s="119" t="n">
        <v>0</v>
      </c>
      <c r="AA50" s="119" t="n">
        <v>0</v>
      </c>
      <c r="AB50" s="121"/>
      <c r="AC50" s="119" t="n">
        <v>0</v>
      </c>
      <c r="AD50" s="119" t="n">
        <v>0</v>
      </c>
      <c r="AE50" s="119" t="n">
        <v>0</v>
      </c>
      <c r="AF50" s="121"/>
      <c r="AG50" s="122" t="n">
        <f aca="false">'form A info'!$AK77/1000</f>
        <v>0</v>
      </c>
    </row>
    <row r="51" customFormat="false" ht="12.75" hidden="false" customHeight="false" outlineLevel="0" collapsed="false">
      <c r="A51" s="111" t="n">
        <v>8638</v>
      </c>
      <c r="B51" s="111" t="s">
        <v>251</v>
      </c>
      <c r="C51" s="118" t="str">
        <f aca="false">'form A info'!G79</f>
        <v>y</v>
      </c>
      <c r="D51" s="119" t="n">
        <v>0</v>
      </c>
      <c r="E51" s="119" t="n">
        <v>0</v>
      </c>
      <c r="F51" s="119" t="n">
        <v>97</v>
      </c>
      <c r="G51" s="119" t="n">
        <v>18</v>
      </c>
      <c r="H51" s="120"/>
      <c r="I51" s="119" t="n">
        <v>0</v>
      </c>
      <c r="J51" s="119" t="n">
        <v>0</v>
      </c>
      <c r="K51" s="119" t="n">
        <v>8</v>
      </c>
      <c r="L51" s="119" t="n">
        <v>2</v>
      </c>
      <c r="M51" s="120"/>
      <c r="N51" s="119" t="n">
        <v>0</v>
      </c>
      <c r="O51" s="119" t="n">
        <v>0</v>
      </c>
      <c r="P51" s="119" t="n">
        <v>13</v>
      </c>
      <c r="Q51" s="119" t="n">
        <v>2</v>
      </c>
      <c r="R51" s="121"/>
      <c r="S51" s="119" t="n">
        <v>0</v>
      </c>
      <c r="T51" s="119" t="n">
        <v>0</v>
      </c>
      <c r="U51" s="119" t="n">
        <v>0</v>
      </c>
      <c r="V51" s="119" t="n">
        <v>0</v>
      </c>
      <c r="W51" s="121"/>
      <c r="X51" s="119" t="n">
        <v>0</v>
      </c>
      <c r="Y51" s="119" t="n">
        <v>0</v>
      </c>
      <c r="Z51" s="119" t="n">
        <v>0</v>
      </c>
      <c r="AA51" s="119" t="n">
        <v>0</v>
      </c>
      <c r="AB51" s="121"/>
      <c r="AC51" s="119" t="n">
        <v>0</v>
      </c>
      <c r="AD51" s="119" t="n">
        <v>0</v>
      </c>
      <c r="AE51" s="119" t="n">
        <v>9130</v>
      </c>
      <c r="AF51" s="121"/>
      <c r="AG51" s="122" t="n">
        <f aca="false">'form A info'!$AK79/1000</f>
        <v>495.741</v>
      </c>
    </row>
    <row r="52" customFormat="false" ht="12.75" hidden="false" customHeight="false" outlineLevel="0" collapsed="false">
      <c r="A52" s="111" t="n">
        <v>1313</v>
      </c>
      <c r="B52" s="111" t="s">
        <v>254</v>
      </c>
      <c r="C52" s="118" t="str">
        <f aca="false">'form A info'!G80</f>
        <v>y</v>
      </c>
      <c r="D52" s="119" t="n">
        <v>200</v>
      </c>
      <c r="E52" s="119" t="n">
        <v>454</v>
      </c>
      <c r="F52" s="119" t="n">
        <v>116</v>
      </c>
      <c r="G52" s="119" t="n">
        <v>1</v>
      </c>
      <c r="H52" s="120"/>
      <c r="I52" s="119" t="n">
        <v>0</v>
      </c>
      <c r="J52" s="119" t="n">
        <v>0</v>
      </c>
      <c r="K52" s="119" t="n">
        <v>0</v>
      </c>
      <c r="L52" s="119" t="n">
        <v>0</v>
      </c>
      <c r="M52" s="120"/>
      <c r="N52" s="119" t="n">
        <v>3</v>
      </c>
      <c r="O52" s="119" t="n">
        <v>6</v>
      </c>
      <c r="P52" s="119" t="n">
        <v>6</v>
      </c>
      <c r="Q52" s="119" t="n">
        <v>0</v>
      </c>
      <c r="R52" s="121"/>
      <c r="S52" s="119" t="n">
        <v>13</v>
      </c>
      <c r="T52" s="119" t="n">
        <v>0</v>
      </c>
      <c r="U52" s="119" t="n">
        <v>0</v>
      </c>
      <c r="V52" s="119" t="n">
        <v>0</v>
      </c>
      <c r="W52" s="121"/>
      <c r="X52" s="119" t="n">
        <v>41</v>
      </c>
      <c r="Y52" s="119" t="n">
        <v>0</v>
      </c>
      <c r="Z52" s="119" t="n">
        <v>0</v>
      </c>
      <c r="AA52" s="119" t="n">
        <v>0</v>
      </c>
      <c r="AB52" s="121"/>
      <c r="AC52" s="119" t="n">
        <v>0</v>
      </c>
      <c r="AD52" s="119" t="n">
        <v>0</v>
      </c>
      <c r="AE52" s="119" t="n">
        <v>57720</v>
      </c>
      <c r="AF52" s="121"/>
      <c r="AG52" s="122" t="n">
        <f aca="false">'form A info'!$AK80/1000</f>
        <v>685.285</v>
      </c>
    </row>
    <row r="53" customFormat="false" ht="12.75" hidden="false" customHeight="false" outlineLevel="0" collapsed="false">
      <c r="A53" s="111" t="n">
        <v>8675</v>
      </c>
      <c r="B53" s="111" t="s">
        <v>258</v>
      </c>
      <c r="C53" s="118" t="str">
        <f aca="false">'form A info'!G83</f>
        <v>y</v>
      </c>
      <c r="D53" s="119" t="n">
        <v>0</v>
      </c>
      <c r="E53" s="119" t="n">
        <v>0</v>
      </c>
      <c r="F53" s="119" t="n">
        <v>343</v>
      </c>
      <c r="G53" s="119" t="n">
        <v>25</v>
      </c>
      <c r="H53" s="120"/>
      <c r="I53" s="119" t="n">
        <v>0</v>
      </c>
      <c r="J53" s="119" t="n">
        <v>0</v>
      </c>
      <c r="K53" s="119" t="n">
        <v>33</v>
      </c>
      <c r="L53" s="119" t="n">
        <v>1</v>
      </c>
      <c r="M53" s="120"/>
      <c r="N53" s="119" t="n">
        <v>0</v>
      </c>
      <c r="O53" s="119" t="n">
        <v>3</v>
      </c>
      <c r="P53" s="119" t="n">
        <v>19</v>
      </c>
      <c r="Q53" s="119" t="n">
        <v>2</v>
      </c>
      <c r="R53" s="121"/>
      <c r="S53" s="119" t="n">
        <v>0</v>
      </c>
      <c r="T53" s="119" t="n">
        <v>0</v>
      </c>
      <c r="U53" s="119" t="n">
        <v>0</v>
      </c>
      <c r="V53" s="119" t="n">
        <v>0</v>
      </c>
      <c r="W53" s="121"/>
      <c r="X53" s="119" t="n">
        <v>0</v>
      </c>
      <c r="Y53" s="119" t="n">
        <v>0</v>
      </c>
      <c r="Z53" s="119" t="n">
        <v>0</v>
      </c>
      <c r="AA53" s="119" t="n">
        <v>0</v>
      </c>
      <c r="AB53" s="121"/>
      <c r="AC53" s="119" t="n">
        <v>0</v>
      </c>
      <c r="AD53" s="119" t="n">
        <v>0</v>
      </c>
      <c r="AE53" s="119" t="n">
        <v>0</v>
      </c>
      <c r="AF53" s="121"/>
      <c r="AG53" s="122" t="n">
        <f aca="false">'form A info'!$AK83/1000</f>
        <v>882.884</v>
      </c>
    </row>
    <row r="54" customFormat="false" ht="12.75" hidden="false" customHeight="false" outlineLevel="0" collapsed="false">
      <c r="A54" s="111" t="n">
        <v>8678</v>
      </c>
      <c r="B54" s="111" t="s">
        <v>261</v>
      </c>
      <c r="C54" s="118" t="str">
        <f aca="false">'form A info'!G84</f>
        <v>y</v>
      </c>
      <c r="D54" s="119" t="n">
        <v>0</v>
      </c>
      <c r="E54" s="119" t="n">
        <v>0</v>
      </c>
      <c r="F54" s="119" t="n">
        <v>13</v>
      </c>
      <c r="G54" s="119" t="n">
        <v>0</v>
      </c>
      <c r="H54" s="120"/>
      <c r="I54" s="119" t="n">
        <v>0</v>
      </c>
      <c r="J54" s="119" t="n">
        <v>0</v>
      </c>
      <c r="K54" s="119" t="n">
        <v>0</v>
      </c>
      <c r="L54" s="119" t="n">
        <v>0</v>
      </c>
      <c r="M54" s="120"/>
      <c r="N54" s="119" t="n">
        <v>0</v>
      </c>
      <c r="O54" s="119" t="n">
        <v>0</v>
      </c>
      <c r="P54" s="119" t="n">
        <v>0</v>
      </c>
      <c r="Q54" s="119" t="n">
        <v>1</v>
      </c>
      <c r="R54" s="121"/>
      <c r="S54" s="119" t="n">
        <v>0</v>
      </c>
      <c r="T54" s="119" t="n">
        <v>0</v>
      </c>
      <c r="U54" s="119" t="n">
        <v>0</v>
      </c>
      <c r="V54" s="119" t="n">
        <v>0</v>
      </c>
      <c r="W54" s="121"/>
      <c r="X54" s="119" t="n">
        <v>0</v>
      </c>
      <c r="Y54" s="119" t="n">
        <v>0</v>
      </c>
      <c r="Z54" s="119" t="n">
        <v>0</v>
      </c>
      <c r="AA54" s="119" t="n">
        <v>0</v>
      </c>
      <c r="AB54" s="121"/>
      <c r="AC54" s="119" t="n">
        <v>0</v>
      </c>
      <c r="AD54" s="119" t="n">
        <v>0</v>
      </c>
      <c r="AE54" s="119" t="n">
        <v>9880</v>
      </c>
      <c r="AF54" s="121"/>
      <c r="AG54" s="122" t="n">
        <f aca="false">'form A info'!$AK84/1000</f>
        <v>24.258</v>
      </c>
    </row>
    <row r="55" customFormat="false" ht="12.75" hidden="false" customHeight="false" outlineLevel="0" collapsed="false">
      <c r="A55" s="111" t="n">
        <v>1325</v>
      </c>
      <c r="B55" s="111" t="s">
        <v>264</v>
      </c>
      <c r="C55" s="118" t="str">
        <f aca="false">'form A info'!G87</f>
        <v>y</v>
      </c>
      <c r="D55" s="119" t="n">
        <v>72</v>
      </c>
      <c r="E55" s="119" t="n">
        <v>598</v>
      </c>
      <c r="F55" s="119" t="n">
        <v>101</v>
      </c>
      <c r="G55" s="119" t="n">
        <v>3</v>
      </c>
      <c r="H55" s="120"/>
      <c r="I55" s="119" t="n">
        <v>0</v>
      </c>
      <c r="J55" s="119" t="n">
        <v>0</v>
      </c>
      <c r="K55" s="119" t="n">
        <v>5</v>
      </c>
      <c r="L55" s="119" t="n">
        <v>1</v>
      </c>
      <c r="M55" s="120"/>
      <c r="N55" s="119" t="n">
        <v>0</v>
      </c>
      <c r="O55" s="119" t="n">
        <v>30</v>
      </c>
      <c r="P55" s="119" t="n">
        <v>24</v>
      </c>
      <c r="Q55" s="119" t="n">
        <v>1</v>
      </c>
      <c r="R55" s="121"/>
      <c r="S55" s="119" t="n">
        <v>0</v>
      </c>
      <c r="T55" s="119" t="n">
        <v>0</v>
      </c>
      <c r="U55" s="119" t="n">
        <v>0</v>
      </c>
      <c r="V55" s="119" t="n">
        <v>0</v>
      </c>
      <c r="W55" s="121"/>
      <c r="X55" s="119" t="n">
        <v>0</v>
      </c>
      <c r="Y55" s="119" t="n">
        <v>2</v>
      </c>
      <c r="Z55" s="119" t="n">
        <v>0</v>
      </c>
      <c r="AA55" s="119" t="n">
        <v>0</v>
      </c>
      <c r="AB55" s="121"/>
      <c r="AC55" s="119" t="n">
        <v>17163</v>
      </c>
      <c r="AD55" s="119" t="n">
        <v>0</v>
      </c>
      <c r="AE55" s="119" t="n">
        <v>23122</v>
      </c>
      <c r="AF55" s="121"/>
      <c r="AG55" s="122" t="n">
        <f aca="false">'form A info'!$AK87/1000</f>
        <v>913.225</v>
      </c>
    </row>
    <row r="56" customFormat="false" ht="12.75" hidden="false" customHeight="false" outlineLevel="0" collapsed="false">
      <c r="A56" s="111" t="n">
        <v>1329</v>
      </c>
      <c r="B56" s="111" t="s">
        <v>266</v>
      </c>
      <c r="C56" s="118" t="str">
        <f aca="false">'form A info'!G88</f>
        <v>y</v>
      </c>
      <c r="D56" s="119" t="n">
        <v>0</v>
      </c>
      <c r="E56" s="119" t="n">
        <v>0</v>
      </c>
      <c r="F56" s="119" t="n">
        <v>0</v>
      </c>
      <c r="G56" s="119" t="n">
        <v>0</v>
      </c>
      <c r="H56" s="120"/>
      <c r="I56" s="119" t="n">
        <v>0</v>
      </c>
      <c r="J56" s="119" t="n">
        <v>0</v>
      </c>
      <c r="K56" s="119" t="n">
        <v>0</v>
      </c>
      <c r="L56" s="119" t="n">
        <v>0</v>
      </c>
      <c r="M56" s="120"/>
      <c r="N56" s="119" t="n">
        <v>0</v>
      </c>
      <c r="O56" s="119" t="n">
        <v>3</v>
      </c>
      <c r="P56" s="119" t="n">
        <v>0</v>
      </c>
      <c r="Q56" s="119" t="n">
        <v>0</v>
      </c>
      <c r="R56" s="121"/>
      <c r="S56" s="119" t="n">
        <v>0</v>
      </c>
      <c r="T56" s="119" t="n">
        <v>0</v>
      </c>
      <c r="U56" s="119" t="n">
        <v>0</v>
      </c>
      <c r="V56" s="119" t="n">
        <v>0</v>
      </c>
      <c r="W56" s="121"/>
      <c r="X56" s="119" t="n">
        <v>0</v>
      </c>
      <c r="Y56" s="119" t="n">
        <v>0</v>
      </c>
      <c r="Z56" s="119" t="n">
        <v>0</v>
      </c>
      <c r="AA56" s="119" t="n">
        <v>0</v>
      </c>
      <c r="AB56" s="121"/>
      <c r="AC56" s="119" t="n">
        <v>0</v>
      </c>
      <c r="AD56" s="119" t="n">
        <v>0</v>
      </c>
      <c r="AE56" s="119" t="n">
        <v>0</v>
      </c>
      <c r="AF56" s="121"/>
      <c r="AG56" s="122" t="n">
        <f aca="false">'form A info'!$AK88/1000</f>
        <v>0</v>
      </c>
    </row>
    <row r="57" customFormat="false" ht="12.75" hidden="false" customHeight="false" outlineLevel="0" collapsed="false">
      <c r="A57" s="111" t="n">
        <v>1331</v>
      </c>
      <c r="B57" s="111" t="s">
        <v>267</v>
      </c>
      <c r="C57" s="118" t="str">
        <f aca="false">'form A info'!G89</f>
        <v>y</v>
      </c>
      <c r="D57" s="119" t="n">
        <v>0</v>
      </c>
      <c r="E57" s="119" t="n">
        <v>0</v>
      </c>
      <c r="F57" s="119" t="n">
        <v>12</v>
      </c>
      <c r="G57" s="119" t="n">
        <v>2</v>
      </c>
      <c r="H57" s="120"/>
      <c r="I57" s="119" t="n">
        <v>0</v>
      </c>
      <c r="J57" s="119" t="n">
        <v>0</v>
      </c>
      <c r="K57" s="119" t="n">
        <v>0</v>
      </c>
      <c r="L57" s="119" t="n">
        <v>2</v>
      </c>
      <c r="M57" s="120"/>
      <c r="N57" s="119" t="n">
        <v>0</v>
      </c>
      <c r="O57" s="119" t="n">
        <v>0</v>
      </c>
      <c r="P57" s="119" t="n">
        <v>4</v>
      </c>
      <c r="Q57" s="119" t="n">
        <v>1</v>
      </c>
      <c r="R57" s="121"/>
      <c r="S57" s="119" t="n">
        <v>0</v>
      </c>
      <c r="T57" s="119" t="n">
        <v>0</v>
      </c>
      <c r="U57" s="119" t="n">
        <v>0</v>
      </c>
      <c r="V57" s="119" t="n">
        <v>0</v>
      </c>
      <c r="W57" s="121"/>
      <c r="X57" s="119" t="n">
        <v>0</v>
      </c>
      <c r="Y57" s="119" t="n">
        <v>0</v>
      </c>
      <c r="Z57" s="119" t="n">
        <v>0</v>
      </c>
      <c r="AA57" s="119" t="n">
        <v>0</v>
      </c>
      <c r="AB57" s="121"/>
      <c r="AC57" s="119" t="n">
        <v>0</v>
      </c>
      <c r="AD57" s="119" t="n">
        <v>0</v>
      </c>
      <c r="AE57" s="119" t="n">
        <v>0</v>
      </c>
      <c r="AF57" s="121"/>
      <c r="AG57" s="122" t="n">
        <f aca="false">'form A info'!$AK89/1000</f>
        <v>0</v>
      </c>
    </row>
    <row r="58" customFormat="false" ht="12.75" hidden="false" customHeight="false" outlineLevel="0" collapsed="false">
      <c r="A58" s="111" t="n">
        <v>8682</v>
      </c>
      <c r="B58" s="111" t="s">
        <v>269</v>
      </c>
      <c r="C58" s="118" t="str">
        <f aca="false">'form A info'!G90</f>
        <v>y</v>
      </c>
      <c r="D58" s="119" t="n">
        <v>0</v>
      </c>
      <c r="E58" s="119" t="n">
        <v>0</v>
      </c>
      <c r="F58" s="119" t="n">
        <v>5</v>
      </c>
      <c r="G58" s="119" t="n">
        <v>0</v>
      </c>
      <c r="H58" s="120"/>
      <c r="I58" s="119" t="n">
        <v>0</v>
      </c>
      <c r="J58" s="119" t="n">
        <v>0</v>
      </c>
      <c r="K58" s="119" t="n">
        <v>0</v>
      </c>
      <c r="L58" s="119" t="n">
        <v>0</v>
      </c>
      <c r="M58" s="120"/>
      <c r="N58" s="119" t="n">
        <v>0</v>
      </c>
      <c r="O58" s="119" t="n">
        <v>0</v>
      </c>
      <c r="P58" s="119" t="n">
        <v>0</v>
      </c>
      <c r="Q58" s="119" t="n">
        <v>0</v>
      </c>
      <c r="R58" s="121"/>
      <c r="S58" s="119" t="n">
        <v>0</v>
      </c>
      <c r="T58" s="119" t="n">
        <v>0</v>
      </c>
      <c r="U58" s="119" t="n">
        <v>0</v>
      </c>
      <c r="V58" s="119" t="n">
        <v>0</v>
      </c>
      <c r="W58" s="121"/>
      <c r="X58" s="119" t="n">
        <v>0</v>
      </c>
      <c r="Y58" s="119" t="n">
        <v>0</v>
      </c>
      <c r="Z58" s="119" t="n">
        <v>0</v>
      </c>
      <c r="AA58" s="119" t="n">
        <v>0</v>
      </c>
      <c r="AB58" s="121"/>
      <c r="AC58" s="119" t="n">
        <v>0</v>
      </c>
      <c r="AD58" s="119" t="n">
        <v>0</v>
      </c>
      <c r="AE58" s="119" t="n">
        <v>0</v>
      </c>
      <c r="AF58" s="121"/>
      <c r="AG58" s="122" t="n">
        <f aca="false">'form A info'!$AK90/1000</f>
        <v>27.119</v>
      </c>
    </row>
    <row r="59" customFormat="false" ht="12.75" hidden="false" customHeight="false" outlineLevel="0" collapsed="false">
      <c r="A59" s="111" t="n">
        <v>8688</v>
      </c>
      <c r="B59" s="111" t="s">
        <v>272</v>
      </c>
      <c r="C59" s="118" t="str">
        <f aca="false">'form A info'!G91</f>
        <v>y</v>
      </c>
      <c r="D59" s="119" t="n">
        <v>0</v>
      </c>
      <c r="E59" s="119" t="n">
        <v>0</v>
      </c>
      <c r="F59" s="119" t="n">
        <v>131</v>
      </c>
      <c r="G59" s="119" t="n">
        <v>3</v>
      </c>
      <c r="H59" s="120"/>
      <c r="I59" s="119" t="n">
        <v>0</v>
      </c>
      <c r="J59" s="119" t="n">
        <v>0</v>
      </c>
      <c r="K59" s="119" t="n">
        <v>0</v>
      </c>
      <c r="L59" s="119" t="n">
        <v>0</v>
      </c>
      <c r="M59" s="120"/>
      <c r="N59" s="119" t="n">
        <v>0</v>
      </c>
      <c r="O59" s="119" t="n">
        <v>0</v>
      </c>
      <c r="P59" s="119" t="n">
        <v>57</v>
      </c>
      <c r="Q59" s="119" t="n">
        <v>1</v>
      </c>
      <c r="R59" s="121"/>
      <c r="S59" s="119" t="n">
        <v>0</v>
      </c>
      <c r="T59" s="119" t="n">
        <v>0</v>
      </c>
      <c r="U59" s="119" t="n">
        <v>0</v>
      </c>
      <c r="V59" s="119" t="n">
        <v>0</v>
      </c>
      <c r="W59" s="121"/>
      <c r="X59" s="119" t="n">
        <v>0</v>
      </c>
      <c r="Y59" s="119" t="n">
        <v>0</v>
      </c>
      <c r="Z59" s="119" t="n">
        <v>0</v>
      </c>
      <c r="AA59" s="119" t="n">
        <v>0</v>
      </c>
      <c r="AB59" s="121"/>
      <c r="AC59" s="119" t="n">
        <v>0</v>
      </c>
      <c r="AD59" s="119" t="n">
        <v>20592</v>
      </c>
      <c r="AE59" s="119" t="n">
        <v>0</v>
      </c>
      <c r="AF59" s="121"/>
      <c r="AG59" s="122" t="n">
        <f aca="false">'form A info'!$AK91/1000</f>
        <v>245.502</v>
      </c>
    </row>
    <row r="60" customFormat="false" ht="12.75" hidden="false" customHeight="false" outlineLevel="0" collapsed="false">
      <c r="A60" s="111" t="n">
        <v>4825</v>
      </c>
      <c r="B60" s="111" t="s">
        <v>278</v>
      </c>
      <c r="C60" s="118" t="str">
        <f aca="false">'form A info'!G93</f>
        <v>y</v>
      </c>
      <c r="D60" s="119" t="n">
        <v>248</v>
      </c>
      <c r="E60" s="119" t="n">
        <v>477</v>
      </c>
      <c r="F60" s="119" t="n">
        <v>151</v>
      </c>
      <c r="G60" s="119" t="n">
        <v>0</v>
      </c>
      <c r="H60" s="120"/>
      <c r="I60" s="119" t="n">
        <v>0</v>
      </c>
      <c r="J60" s="119" t="n">
        <v>0</v>
      </c>
      <c r="K60" s="119" t="n">
        <v>0</v>
      </c>
      <c r="L60" s="119" t="n">
        <v>0</v>
      </c>
      <c r="M60" s="120"/>
      <c r="N60" s="119" t="n">
        <v>14</v>
      </c>
      <c r="O60" s="119" t="n">
        <v>37</v>
      </c>
      <c r="P60" s="119" t="n">
        <v>28</v>
      </c>
      <c r="Q60" s="119" t="n">
        <v>0</v>
      </c>
      <c r="R60" s="121"/>
      <c r="S60" s="119" t="n">
        <v>4</v>
      </c>
      <c r="T60" s="119" t="n">
        <v>1</v>
      </c>
      <c r="U60" s="119" t="n">
        <v>0</v>
      </c>
      <c r="V60" s="119" t="n">
        <v>0</v>
      </c>
      <c r="W60" s="121"/>
      <c r="X60" s="119" t="n">
        <v>31</v>
      </c>
      <c r="Y60" s="119" t="n">
        <v>0</v>
      </c>
      <c r="Z60" s="119" t="n">
        <v>0</v>
      </c>
      <c r="AA60" s="119" t="n">
        <v>0</v>
      </c>
      <c r="AB60" s="121"/>
      <c r="AC60" s="119" t="n">
        <v>0</v>
      </c>
      <c r="AD60" s="119" t="n">
        <v>0</v>
      </c>
      <c r="AE60" s="119" t="n">
        <v>142638</v>
      </c>
      <c r="AF60" s="121"/>
      <c r="AG60" s="122" t="n">
        <f aca="false">'form A info'!$AK93/1000</f>
        <v>0</v>
      </c>
    </row>
    <row r="61" customFormat="false" ht="12.75" hidden="false" customHeight="false" outlineLevel="0" collapsed="false">
      <c r="A61" s="111" t="n">
        <v>1518</v>
      </c>
      <c r="B61" s="111" t="s">
        <v>281</v>
      </c>
      <c r="C61" s="118" t="str">
        <f aca="false">'form A info'!G94</f>
        <v>y</v>
      </c>
      <c r="D61" s="119" t="n">
        <v>66</v>
      </c>
      <c r="E61" s="119" t="n">
        <v>378</v>
      </c>
      <c r="F61" s="119" t="n">
        <v>32</v>
      </c>
      <c r="G61" s="119" t="n">
        <v>1</v>
      </c>
      <c r="H61" s="120"/>
      <c r="I61" s="119" t="n">
        <v>0</v>
      </c>
      <c r="J61" s="119" t="n">
        <v>0</v>
      </c>
      <c r="K61" s="119" t="n">
        <v>0</v>
      </c>
      <c r="L61" s="119" t="n">
        <v>0</v>
      </c>
      <c r="M61" s="120"/>
      <c r="N61" s="119" t="n">
        <v>0</v>
      </c>
      <c r="O61" s="119" t="n">
        <v>11</v>
      </c>
      <c r="P61" s="119" t="n">
        <v>19</v>
      </c>
      <c r="Q61" s="119" t="n">
        <v>0</v>
      </c>
      <c r="R61" s="121"/>
      <c r="S61" s="119" t="n">
        <v>0</v>
      </c>
      <c r="T61" s="119" t="n">
        <v>0</v>
      </c>
      <c r="U61" s="119" t="n">
        <v>0</v>
      </c>
      <c r="V61" s="119" t="n">
        <v>0</v>
      </c>
      <c r="W61" s="121"/>
      <c r="X61" s="119" t="n">
        <v>0</v>
      </c>
      <c r="Y61" s="119" t="n">
        <v>2</v>
      </c>
      <c r="Z61" s="119" t="n">
        <v>0</v>
      </c>
      <c r="AA61" s="119" t="n">
        <v>0</v>
      </c>
      <c r="AB61" s="121"/>
      <c r="AC61" s="119" t="n">
        <v>12674</v>
      </c>
      <c r="AD61" s="119" t="n">
        <v>0</v>
      </c>
      <c r="AE61" s="119" t="n">
        <v>30600</v>
      </c>
      <c r="AF61" s="121"/>
      <c r="AG61" s="122" t="n">
        <f aca="false">'form A info'!$AK94/1000</f>
        <v>0</v>
      </c>
    </row>
    <row r="62" customFormat="false" ht="12.75" hidden="false" customHeight="false" outlineLevel="0" collapsed="false">
      <c r="A62" s="111" t="n">
        <v>8735</v>
      </c>
      <c r="B62" s="111" t="s">
        <v>284</v>
      </c>
      <c r="C62" s="118" t="str">
        <f aca="false">'form A info'!G95</f>
        <v>y</v>
      </c>
      <c r="D62" s="119" t="n">
        <v>0</v>
      </c>
      <c r="E62" s="119" t="n">
        <v>0</v>
      </c>
      <c r="F62" s="119" t="n">
        <v>33</v>
      </c>
      <c r="G62" s="119" t="n">
        <v>1</v>
      </c>
      <c r="H62" s="120"/>
      <c r="I62" s="119" t="n">
        <v>0</v>
      </c>
      <c r="J62" s="119" t="n">
        <v>0</v>
      </c>
      <c r="K62" s="119" t="n">
        <v>0</v>
      </c>
      <c r="L62" s="119" t="n">
        <v>0</v>
      </c>
      <c r="M62" s="120"/>
      <c r="N62" s="119" t="n">
        <v>0</v>
      </c>
      <c r="O62" s="119" t="n">
        <v>-11</v>
      </c>
      <c r="P62" s="119" t="n">
        <v>151</v>
      </c>
      <c r="Q62" s="119" t="n">
        <v>0</v>
      </c>
      <c r="R62" s="121"/>
      <c r="S62" s="119" t="n">
        <v>0</v>
      </c>
      <c r="T62" s="119" t="n">
        <v>0</v>
      </c>
      <c r="U62" s="119" t="n">
        <v>0</v>
      </c>
      <c r="V62" s="119" t="n">
        <v>0</v>
      </c>
      <c r="W62" s="121"/>
      <c r="X62" s="119" t="n">
        <v>0</v>
      </c>
      <c r="Y62" s="119" t="n">
        <v>0</v>
      </c>
      <c r="Z62" s="119" t="n">
        <v>0</v>
      </c>
      <c r="AA62" s="119" t="n">
        <v>0</v>
      </c>
      <c r="AB62" s="121"/>
      <c r="AC62" s="119" t="n">
        <v>0</v>
      </c>
      <c r="AD62" s="119" t="n">
        <v>0</v>
      </c>
      <c r="AE62" s="119" t="n">
        <v>0</v>
      </c>
      <c r="AF62" s="121"/>
      <c r="AG62" s="122" t="n">
        <f aca="false">'form A info'!$AK95/1000</f>
        <v>0</v>
      </c>
    </row>
    <row r="63" customFormat="false" ht="12.75" hidden="false" customHeight="false" outlineLevel="0" collapsed="false">
      <c r="A63" s="111" t="n">
        <v>1552</v>
      </c>
      <c r="B63" s="111" t="s">
        <v>286</v>
      </c>
      <c r="C63" s="118" t="str">
        <f aca="false">'form A info'!G97</f>
        <v>y</v>
      </c>
      <c r="D63" s="119" t="n">
        <v>56</v>
      </c>
      <c r="E63" s="119" t="n">
        <v>221</v>
      </c>
      <c r="F63" s="119" t="n">
        <v>43</v>
      </c>
      <c r="G63" s="119" t="n">
        <v>0</v>
      </c>
      <c r="H63" s="120"/>
      <c r="I63" s="119" t="n">
        <v>0</v>
      </c>
      <c r="J63" s="119" t="n">
        <v>0</v>
      </c>
      <c r="K63" s="119" t="n">
        <v>0</v>
      </c>
      <c r="L63" s="119" t="n">
        <v>0</v>
      </c>
      <c r="M63" s="120"/>
      <c r="N63" s="119" t="n">
        <v>0</v>
      </c>
      <c r="O63" s="119" t="n">
        <v>7</v>
      </c>
      <c r="P63" s="119" t="n">
        <v>7</v>
      </c>
      <c r="Q63" s="119" t="n">
        <v>0</v>
      </c>
      <c r="R63" s="121"/>
      <c r="S63" s="119" t="n">
        <v>0</v>
      </c>
      <c r="T63" s="119" t="n">
        <v>0</v>
      </c>
      <c r="U63" s="119" t="n">
        <v>0</v>
      </c>
      <c r="V63" s="119" t="n">
        <v>0</v>
      </c>
      <c r="W63" s="121"/>
      <c r="X63" s="119" t="n">
        <v>0</v>
      </c>
      <c r="Y63" s="119" t="n">
        <v>0</v>
      </c>
      <c r="Z63" s="119" t="n">
        <v>0</v>
      </c>
      <c r="AA63" s="119" t="n">
        <v>0</v>
      </c>
      <c r="AB63" s="121"/>
      <c r="AC63" s="119" t="n">
        <v>3846</v>
      </c>
      <c r="AD63" s="119" t="n">
        <v>0</v>
      </c>
      <c r="AE63" s="119" t="n">
        <v>0</v>
      </c>
      <c r="AF63" s="121"/>
      <c r="AG63" s="122" t="n">
        <f aca="false">'form A info'!$AK97/1000</f>
        <v>0</v>
      </c>
    </row>
    <row r="64" customFormat="false" ht="12.75" hidden="false" customHeight="false" outlineLevel="0" collapsed="false">
      <c r="A64" s="111" t="n">
        <v>1704</v>
      </c>
      <c r="B64" s="111" t="s">
        <v>290</v>
      </c>
      <c r="C64" s="118" t="str">
        <f aca="false">'form A info'!G98</f>
        <v>y</v>
      </c>
      <c r="D64" s="119" t="n">
        <v>218</v>
      </c>
      <c r="E64" s="119" t="n">
        <v>461</v>
      </c>
      <c r="F64" s="119" t="n">
        <v>148</v>
      </c>
      <c r="G64" s="119" t="n">
        <v>24</v>
      </c>
      <c r="H64" s="120"/>
      <c r="I64" s="119" t="n">
        <v>0</v>
      </c>
      <c r="J64" s="119" t="n">
        <v>0</v>
      </c>
      <c r="K64" s="119" t="n">
        <v>0</v>
      </c>
      <c r="L64" s="119" t="n">
        <v>0</v>
      </c>
      <c r="M64" s="120"/>
      <c r="N64" s="119" t="n">
        <v>16</v>
      </c>
      <c r="O64" s="119" t="n">
        <v>74</v>
      </c>
      <c r="P64" s="119" t="n">
        <v>2</v>
      </c>
      <c r="Q64" s="119" t="n">
        <v>0</v>
      </c>
      <c r="R64" s="121"/>
      <c r="S64" s="119" t="n">
        <v>12</v>
      </c>
      <c r="T64" s="119" t="n">
        <v>0</v>
      </c>
      <c r="U64" s="119" t="n">
        <v>0</v>
      </c>
      <c r="V64" s="119" t="n">
        <v>0</v>
      </c>
      <c r="W64" s="121"/>
      <c r="X64" s="119" t="n">
        <v>154</v>
      </c>
      <c r="Y64" s="119" t="n">
        <v>0</v>
      </c>
      <c r="Z64" s="119" t="n">
        <v>0</v>
      </c>
      <c r="AA64" s="119" t="n">
        <v>0</v>
      </c>
      <c r="AB64" s="121"/>
      <c r="AC64" s="119" t="n">
        <v>0</v>
      </c>
      <c r="AD64" s="119" t="n">
        <v>0</v>
      </c>
      <c r="AE64" s="119" t="n">
        <v>0</v>
      </c>
      <c r="AF64" s="121"/>
      <c r="AG64" s="122" t="n">
        <f aca="false">'form A info'!$AK98/1000</f>
        <v>917.21</v>
      </c>
    </row>
    <row r="65" customFormat="false" ht="12.75" hidden="false" customHeight="false" outlineLevel="0" collapsed="false">
      <c r="A65" s="111" t="n">
        <v>1711</v>
      </c>
      <c r="B65" s="111" t="s">
        <v>297</v>
      </c>
      <c r="C65" s="118" t="str">
        <f aca="false">'form A info'!G101</f>
        <v>y</v>
      </c>
      <c r="D65" s="119" t="n">
        <v>223</v>
      </c>
      <c r="E65" s="119" t="n">
        <v>558</v>
      </c>
      <c r="F65" s="119" t="n">
        <v>63</v>
      </c>
      <c r="G65" s="119" t="n">
        <v>0</v>
      </c>
      <c r="H65" s="120"/>
      <c r="I65" s="119" t="n">
        <v>0</v>
      </c>
      <c r="J65" s="119" t="n">
        <v>0</v>
      </c>
      <c r="K65" s="119" t="n">
        <v>0</v>
      </c>
      <c r="L65" s="119" t="n">
        <v>0</v>
      </c>
      <c r="M65" s="120"/>
      <c r="N65" s="119" t="n">
        <v>9</v>
      </c>
      <c r="O65" s="119" t="n">
        <v>42</v>
      </c>
      <c r="P65" s="119" t="n">
        <v>27</v>
      </c>
      <c r="Q65" s="119" t="n">
        <v>0</v>
      </c>
      <c r="R65" s="121"/>
      <c r="S65" s="119" t="n">
        <v>4</v>
      </c>
      <c r="T65" s="119" t="n">
        <v>0</v>
      </c>
      <c r="U65" s="119" t="n">
        <v>0</v>
      </c>
      <c r="V65" s="119" t="n">
        <v>0</v>
      </c>
      <c r="W65" s="121"/>
      <c r="X65" s="119" t="n">
        <v>62</v>
      </c>
      <c r="Y65" s="119" t="n">
        <v>2</v>
      </c>
      <c r="Z65" s="119" t="n">
        <v>0</v>
      </c>
      <c r="AA65" s="119" t="n">
        <v>0</v>
      </c>
      <c r="AB65" s="121"/>
      <c r="AC65" s="119" t="n">
        <v>10399</v>
      </c>
      <c r="AD65" s="119" t="n">
        <v>0</v>
      </c>
      <c r="AE65" s="119" t="n">
        <v>50502</v>
      </c>
      <c r="AF65" s="121"/>
      <c r="AG65" s="122" t="n">
        <f aca="false">'form A info'!$AK101/1000</f>
        <v>979.997</v>
      </c>
    </row>
    <row r="66" customFormat="false" ht="12.75" hidden="false" customHeight="false" outlineLevel="0" collapsed="false">
      <c r="A66" s="111" t="n">
        <v>1712</v>
      </c>
      <c r="B66" s="111" t="s">
        <v>300</v>
      </c>
      <c r="C66" s="118" t="str">
        <f aca="false">'form A info'!G102</f>
        <v>y</v>
      </c>
      <c r="D66" s="119" t="n">
        <v>0</v>
      </c>
      <c r="E66" s="119" t="n">
        <v>0</v>
      </c>
      <c r="F66" s="119" t="n">
        <v>2</v>
      </c>
      <c r="G66" s="119" t="n">
        <v>0</v>
      </c>
      <c r="H66" s="120"/>
      <c r="I66" s="119" t="n">
        <v>0</v>
      </c>
      <c r="J66" s="119" t="n">
        <v>0</v>
      </c>
      <c r="K66" s="119" t="n">
        <v>0</v>
      </c>
      <c r="L66" s="119" t="n">
        <v>0</v>
      </c>
      <c r="M66" s="120"/>
      <c r="N66" s="119" t="n">
        <v>0</v>
      </c>
      <c r="O66" s="119" t="n">
        <v>0</v>
      </c>
      <c r="P66" s="119" t="n">
        <v>0</v>
      </c>
      <c r="Q66" s="119" t="n">
        <v>0</v>
      </c>
      <c r="R66" s="121"/>
      <c r="S66" s="119" t="n">
        <v>0</v>
      </c>
      <c r="T66" s="119" t="n">
        <v>0</v>
      </c>
      <c r="U66" s="119" t="n">
        <v>0</v>
      </c>
      <c r="V66" s="119" t="n">
        <v>0</v>
      </c>
      <c r="W66" s="121"/>
      <c r="X66" s="119" t="n">
        <v>0</v>
      </c>
      <c r="Y66" s="119" t="n">
        <v>0</v>
      </c>
      <c r="Z66" s="119" t="n">
        <v>0</v>
      </c>
      <c r="AA66" s="119" t="n">
        <v>0</v>
      </c>
      <c r="AB66" s="121"/>
      <c r="AC66" s="119" t="n">
        <v>0</v>
      </c>
      <c r="AD66" s="119" t="n">
        <v>0</v>
      </c>
      <c r="AE66" s="119" t="n">
        <v>0</v>
      </c>
      <c r="AF66" s="121"/>
      <c r="AG66" s="122" t="n">
        <f aca="false">'form A info'!$AK102/1000</f>
        <v>12.512</v>
      </c>
    </row>
    <row r="67" customFormat="false" ht="12.75" hidden="false" customHeight="false" outlineLevel="0" collapsed="false">
      <c r="A67" s="111" t="n">
        <v>1731</v>
      </c>
      <c r="B67" s="111" t="s">
        <v>301</v>
      </c>
      <c r="C67" s="118" t="str">
        <f aca="false">'form A info'!G103</f>
        <v>y</v>
      </c>
      <c r="D67" s="119" t="n">
        <v>111</v>
      </c>
      <c r="E67" s="119" t="n">
        <v>678</v>
      </c>
      <c r="F67" s="119" t="n">
        <v>105</v>
      </c>
      <c r="G67" s="119" t="n">
        <v>0</v>
      </c>
      <c r="H67" s="120"/>
      <c r="I67" s="119" t="n">
        <v>0</v>
      </c>
      <c r="J67" s="119" t="n">
        <v>0</v>
      </c>
      <c r="K67" s="119" t="n">
        <v>7</v>
      </c>
      <c r="L67" s="119" t="n">
        <v>0</v>
      </c>
      <c r="M67" s="120"/>
      <c r="N67" s="119" t="n">
        <v>0</v>
      </c>
      <c r="O67" s="119" t="n">
        <v>21</v>
      </c>
      <c r="P67" s="119" t="n">
        <v>82</v>
      </c>
      <c r="Q67" s="119" t="n">
        <v>0</v>
      </c>
      <c r="R67" s="121"/>
      <c r="S67" s="119" t="n">
        <v>0</v>
      </c>
      <c r="T67" s="119" t="n">
        <v>0</v>
      </c>
      <c r="U67" s="119" t="n">
        <v>0</v>
      </c>
      <c r="V67" s="119" t="n">
        <v>0</v>
      </c>
      <c r="W67" s="121"/>
      <c r="X67" s="119" t="n">
        <v>0</v>
      </c>
      <c r="Y67" s="119" t="n">
        <v>4</v>
      </c>
      <c r="Z67" s="119" t="n">
        <v>0</v>
      </c>
      <c r="AA67" s="119" t="n">
        <v>0</v>
      </c>
      <c r="AB67" s="121"/>
      <c r="AC67" s="119" t="n">
        <v>17842</v>
      </c>
      <c r="AD67" s="119" t="n">
        <v>0</v>
      </c>
      <c r="AE67" s="119" t="n">
        <v>2280</v>
      </c>
      <c r="AF67" s="121"/>
      <c r="AG67" s="122" t="n">
        <f aca="false">'form A info'!$AK103/1000</f>
        <v>403.984</v>
      </c>
    </row>
    <row r="68" customFormat="false" ht="12.75" hidden="false" customHeight="false" outlineLevel="0" collapsed="false">
      <c r="A68" s="111" t="n">
        <v>3811</v>
      </c>
      <c r="B68" s="111" t="s">
        <v>304</v>
      </c>
      <c r="C68" s="118" t="str">
        <f aca="false">'form A info'!G104</f>
        <v>y</v>
      </c>
      <c r="D68" s="119" t="n">
        <v>454</v>
      </c>
      <c r="E68" s="119" t="n">
        <v>825</v>
      </c>
      <c r="F68" s="119" t="n">
        <v>107</v>
      </c>
      <c r="G68" s="119" t="n">
        <v>10</v>
      </c>
      <c r="H68" s="120"/>
      <c r="I68" s="119" t="n">
        <v>1</v>
      </c>
      <c r="J68" s="119" t="n">
        <v>40</v>
      </c>
      <c r="K68" s="119" t="n">
        <v>0</v>
      </c>
      <c r="L68" s="119" t="n">
        <v>0</v>
      </c>
      <c r="M68" s="120"/>
      <c r="N68" s="119" t="n">
        <v>35</v>
      </c>
      <c r="O68" s="119" t="n">
        <v>35</v>
      </c>
      <c r="P68" s="119" t="n">
        <v>-13</v>
      </c>
      <c r="Q68" s="119" t="n">
        <v>0</v>
      </c>
      <c r="R68" s="121"/>
      <c r="S68" s="119" t="n">
        <v>23</v>
      </c>
      <c r="T68" s="119" t="n">
        <v>0</v>
      </c>
      <c r="U68" s="119" t="n">
        <v>0</v>
      </c>
      <c r="V68" s="119" t="n">
        <v>0</v>
      </c>
      <c r="W68" s="121"/>
      <c r="X68" s="119" t="n">
        <v>47</v>
      </c>
      <c r="Y68" s="119" t="n">
        <v>0</v>
      </c>
      <c r="Z68" s="119" t="n">
        <v>0</v>
      </c>
      <c r="AA68" s="119" t="n">
        <v>0</v>
      </c>
      <c r="AB68" s="121"/>
      <c r="AC68" s="119" t="n">
        <v>6305</v>
      </c>
      <c r="AD68" s="119" t="n">
        <v>0</v>
      </c>
      <c r="AE68" s="119" t="n">
        <v>0</v>
      </c>
      <c r="AF68" s="121"/>
      <c r="AG68" s="122" t="n">
        <f aca="false">'form A info'!$AK104/1000</f>
        <v>317.577</v>
      </c>
    </row>
    <row r="69" customFormat="false" ht="12.75" hidden="false" customHeight="false" outlineLevel="0" collapsed="false">
      <c r="A69" s="111" t="n">
        <v>2114</v>
      </c>
      <c r="B69" s="111" t="s">
        <v>308</v>
      </c>
      <c r="C69" s="118" t="str">
        <f aca="false">'form A info'!G107</f>
        <v>y</v>
      </c>
      <c r="D69" s="119" t="n">
        <v>0</v>
      </c>
      <c r="E69" s="119" t="n">
        <v>0</v>
      </c>
      <c r="F69" s="119" t="n">
        <v>3</v>
      </c>
      <c r="G69" s="119" t="n">
        <v>2</v>
      </c>
      <c r="H69" s="120"/>
      <c r="I69" s="119" t="n">
        <v>0</v>
      </c>
      <c r="J69" s="119" t="n">
        <v>0</v>
      </c>
      <c r="K69" s="119" t="n">
        <v>0</v>
      </c>
      <c r="L69" s="119" t="n">
        <v>0</v>
      </c>
      <c r="M69" s="120"/>
      <c r="N69" s="119" t="n">
        <v>0</v>
      </c>
      <c r="O69" s="119" t="n">
        <v>0</v>
      </c>
      <c r="P69" s="119" t="n">
        <v>0</v>
      </c>
      <c r="Q69" s="119" t="n">
        <v>0</v>
      </c>
      <c r="R69" s="121"/>
      <c r="S69" s="119" t="n">
        <v>0</v>
      </c>
      <c r="T69" s="119" t="n">
        <v>0</v>
      </c>
      <c r="U69" s="119" t="n">
        <v>0</v>
      </c>
      <c r="V69" s="119" t="n">
        <v>0</v>
      </c>
      <c r="W69" s="121"/>
      <c r="X69" s="119" t="n">
        <v>0</v>
      </c>
      <c r="Y69" s="119" t="n">
        <v>0</v>
      </c>
      <c r="Z69" s="119" t="n">
        <v>0</v>
      </c>
      <c r="AA69" s="119" t="n">
        <v>0</v>
      </c>
      <c r="AB69" s="121"/>
      <c r="AC69" s="119" t="n">
        <v>0</v>
      </c>
      <c r="AD69" s="119" t="n">
        <v>0</v>
      </c>
      <c r="AE69" s="119" t="n">
        <v>0</v>
      </c>
      <c r="AF69" s="121"/>
      <c r="AG69" s="122" t="n">
        <f aca="false">'form A info'!$AK107/1000</f>
        <v>0</v>
      </c>
    </row>
    <row r="70" customFormat="false" ht="12.75" hidden="false" customHeight="false" outlineLevel="0" collapsed="false">
      <c r="A70" s="111" t="n">
        <v>906</v>
      </c>
      <c r="B70" s="111" t="s">
        <v>309</v>
      </c>
      <c r="C70" s="118" t="str">
        <f aca="false">'form A info'!G108</f>
        <v>y</v>
      </c>
      <c r="D70" s="119" t="n">
        <v>442</v>
      </c>
      <c r="E70" s="119" t="n">
        <v>561</v>
      </c>
      <c r="F70" s="119" t="n">
        <v>116</v>
      </c>
      <c r="G70" s="119" t="n">
        <v>0</v>
      </c>
      <c r="H70" s="120"/>
      <c r="I70" s="119" t="n">
        <v>0</v>
      </c>
      <c r="J70" s="119" t="n">
        <v>17</v>
      </c>
      <c r="K70" s="119" t="n">
        <v>0</v>
      </c>
      <c r="L70" s="119" t="n">
        <v>0</v>
      </c>
      <c r="M70" s="120"/>
      <c r="N70" s="119" t="n">
        <v>17</v>
      </c>
      <c r="O70" s="119" t="n">
        <v>59</v>
      </c>
      <c r="P70" s="119" t="n">
        <v>53</v>
      </c>
      <c r="Q70" s="119" t="n">
        <v>0</v>
      </c>
      <c r="R70" s="121"/>
      <c r="S70" s="119" t="n">
        <v>30</v>
      </c>
      <c r="T70" s="119" t="n">
        <v>0</v>
      </c>
      <c r="U70" s="119" t="n">
        <v>0</v>
      </c>
      <c r="V70" s="119" t="n">
        <v>0</v>
      </c>
      <c r="W70" s="121"/>
      <c r="X70" s="119" t="n">
        <v>64</v>
      </c>
      <c r="Y70" s="119" t="n">
        <v>0</v>
      </c>
      <c r="Z70" s="119" t="n">
        <v>0</v>
      </c>
      <c r="AA70" s="119" t="n">
        <v>0</v>
      </c>
      <c r="AB70" s="121"/>
      <c r="AC70" s="119" t="n">
        <v>0</v>
      </c>
      <c r="AD70" s="119" t="n">
        <v>0</v>
      </c>
      <c r="AE70" s="119" t="n">
        <v>293400</v>
      </c>
      <c r="AF70" s="121"/>
      <c r="AG70" s="122" t="n">
        <f aca="false">'form A info'!$AK108/1000</f>
        <v>738.949</v>
      </c>
    </row>
    <row r="71" customFormat="false" ht="12.75" hidden="false" customHeight="false" outlineLevel="0" collapsed="false">
      <c r="A71" s="111" t="n">
        <v>907</v>
      </c>
      <c r="B71" s="123" t="s">
        <v>313</v>
      </c>
      <c r="C71" s="118" t="str">
        <f aca="false">'form A info'!G109</f>
        <v>y</v>
      </c>
      <c r="D71" s="119" t="n">
        <v>0</v>
      </c>
      <c r="E71" s="119" t="n">
        <v>0</v>
      </c>
      <c r="F71" s="119" t="n">
        <v>3</v>
      </c>
      <c r="G71" s="119" t="n">
        <v>10</v>
      </c>
      <c r="H71" s="120"/>
      <c r="I71" s="119" t="n">
        <v>0</v>
      </c>
      <c r="J71" s="119" t="n">
        <v>0</v>
      </c>
      <c r="K71" s="119" t="n">
        <v>0</v>
      </c>
      <c r="L71" s="119" t="n">
        <v>0</v>
      </c>
      <c r="M71" s="120"/>
      <c r="N71" s="119" t="n">
        <v>0</v>
      </c>
      <c r="O71" s="119" t="n">
        <v>0</v>
      </c>
      <c r="P71" s="119" t="n">
        <v>0</v>
      </c>
      <c r="Q71" s="119" t="n">
        <v>1</v>
      </c>
      <c r="R71" s="121"/>
      <c r="S71" s="119" t="n">
        <v>0</v>
      </c>
      <c r="T71" s="119" t="n">
        <v>0</v>
      </c>
      <c r="U71" s="119" t="n">
        <v>0</v>
      </c>
      <c r="V71" s="119" t="n">
        <v>0</v>
      </c>
      <c r="W71" s="121"/>
      <c r="X71" s="119" t="n">
        <v>0</v>
      </c>
      <c r="Y71" s="119" t="n">
        <v>0</v>
      </c>
      <c r="Z71" s="119" t="n">
        <v>0</v>
      </c>
      <c r="AA71" s="119" t="n">
        <v>0</v>
      </c>
      <c r="AB71" s="121"/>
      <c r="AC71" s="119" t="n">
        <v>0</v>
      </c>
      <c r="AD71" s="119" t="n">
        <v>0</v>
      </c>
      <c r="AE71" s="119" t="n">
        <v>0</v>
      </c>
      <c r="AF71" s="121"/>
      <c r="AG71" s="122" t="n">
        <f aca="false">'form A info'!$AK109/1000</f>
        <v>5.4</v>
      </c>
    </row>
    <row r="72" customFormat="false" ht="12.75" hidden="false" customHeight="false" outlineLevel="0" collapsed="false">
      <c r="A72" s="111" t="n">
        <v>2546</v>
      </c>
      <c r="B72" s="111" t="s">
        <v>314</v>
      </c>
      <c r="C72" s="118" t="str">
        <f aca="false">'form A info'!G110</f>
        <v>y</v>
      </c>
      <c r="D72" s="119" t="n">
        <v>99</v>
      </c>
      <c r="E72" s="119" t="n">
        <v>1300</v>
      </c>
      <c r="F72" s="119" t="n">
        <v>106</v>
      </c>
      <c r="G72" s="119" t="n">
        <v>18</v>
      </c>
      <c r="H72" s="120"/>
      <c r="I72" s="119" t="n">
        <v>0</v>
      </c>
      <c r="J72" s="119" t="n">
        <v>0</v>
      </c>
      <c r="K72" s="119" t="n">
        <v>0</v>
      </c>
      <c r="L72" s="119" t="n">
        <v>0</v>
      </c>
      <c r="M72" s="120"/>
      <c r="N72" s="119" t="n">
        <v>0</v>
      </c>
      <c r="O72" s="119" t="n">
        <v>19</v>
      </c>
      <c r="P72" s="119" t="n">
        <v>24</v>
      </c>
      <c r="Q72" s="119" t="n">
        <v>0</v>
      </c>
      <c r="R72" s="121"/>
      <c r="S72" s="119" t="n">
        <v>0</v>
      </c>
      <c r="T72" s="119" t="n">
        <v>0</v>
      </c>
      <c r="U72" s="119" t="n">
        <v>0</v>
      </c>
      <c r="V72" s="119" t="n">
        <v>0</v>
      </c>
      <c r="W72" s="121"/>
      <c r="X72" s="119" t="n">
        <v>0</v>
      </c>
      <c r="Y72" s="119" t="n">
        <v>0</v>
      </c>
      <c r="Z72" s="119" t="n">
        <v>0</v>
      </c>
      <c r="AA72" s="119" t="n">
        <v>0</v>
      </c>
      <c r="AB72" s="121"/>
      <c r="AC72" s="119" t="n">
        <v>0</v>
      </c>
      <c r="AD72" s="119" t="n">
        <v>0</v>
      </c>
      <c r="AE72" s="119" t="n">
        <v>100633</v>
      </c>
      <c r="AF72" s="121"/>
      <c r="AG72" s="122" t="n">
        <f aca="false">'form A info'!$AK110/1000</f>
        <v>796.491</v>
      </c>
    </row>
    <row r="73" customFormat="false" ht="12.75" hidden="false" customHeight="false" outlineLevel="0" collapsed="false">
      <c r="A73" s="111" t="n">
        <v>9060</v>
      </c>
      <c r="B73" s="111" t="s">
        <v>317</v>
      </c>
      <c r="C73" s="118" t="str">
        <f aca="false">'form A info'!G111</f>
        <v>y</v>
      </c>
      <c r="D73" s="119" t="n">
        <v>6</v>
      </c>
      <c r="E73" s="119" t="n">
        <v>165</v>
      </c>
      <c r="F73" s="119" t="n">
        <v>54</v>
      </c>
      <c r="G73" s="119" t="n">
        <v>98</v>
      </c>
      <c r="H73" s="120"/>
      <c r="I73" s="119" t="n">
        <v>0</v>
      </c>
      <c r="J73" s="119" t="n">
        <v>0</v>
      </c>
      <c r="K73" s="119" t="n">
        <v>19</v>
      </c>
      <c r="L73" s="119" t="n">
        <v>1</v>
      </c>
      <c r="M73" s="120"/>
      <c r="N73" s="119" t="n">
        <v>0</v>
      </c>
      <c r="O73" s="119" t="n">
        <v>0</v>
      </c>
      <c r="P73" s="119" t="n">
        <v>9</v>
      </c>
      <c r="Q73" s="119" t="n">
        <v>4</v>
      </c>
      <c r="R73" s="121"/>
      <c r="S73" s="119" t="n">
        <v>0</v>
      </c>
      <c r="T73" s="119" t="n">
        <v>0</v>
      </c>
      <c r="U73" s="119" t="n">
        <v>0</v>
      </c>
      <c r="V73" s="119" t="n">
        <v>0</v>
      </c>
      <c r="W73" s="121"/>
      <c r="X73" s="119" t="n">
        <v>0</v>
      </c>
      <c r="Y73" s="119" t="n">
        <v>0</v>
      </c>
      <c r="Z73" s="119" t="n">
        <v>0</v>
      </c>
      <c r="AA73" s="119" t="n">
        <v>0</v>
      </c>
      <c r="AB73" s="121"/>
      <c r="AC73" s="119" t="n">
        <v>0</v>
      </c>
      <c r="AD73" s="119" t="n">
        <v>0</v>
      </c>
      <c r="AE73" s="119" t="n">
        <v>0</v>
      </c>
      <c r="AF73" s="121"/>
      <c r="AG73" s="122" t="n">
        <f aca="false">'form A info'!$AK111/1000</f>
        <v>842.986</v>
      </c>
    </row>
    <row r="74" customFormat="false" ht="12.75" hidden="false" customHeight="false" outlineLevel="0" collapsed="false">
      <c r="A74" s="111" t="n">
        <v>4665</v>
      </c>
      <c r="B74" s="111" t="s">
        <v>318</v>
      </c>
      <c r="C74" s="118" t="str">
        <f aca="false">'form A info'!G112</f>
        <v>y</v>
      </c>
      <c r="D74" s="119" t="n">
        <v>0</v>
      </c>
      <c r="E74" s="119" t="n">
        <v>746</v>
      </c>
      <c r="F74" s="119" t="n">
        <v>193</v>
      </c>
      <c r="G74" s="119" t="n">
        <v>1</v>
      </c>
      <c r="H74" s="120"/>
      <c r="I74" s="119" t="n">
        <v>0</v>
      </c>
      <c r="J74" s="119" t="n">
        <v>0</v>
      </c>
      <c r="K74" s="119" t="n">
        <v>0</v>
      </c>
      <c r="L74" s="119" t="n">
        <v>0</v>
      </c>
      <c r="M74" s="120"/>
      <c r="N74" s="119" t="n">
        <v>0</v>
      </c>
      <c r="O74" s="119" t="n">
        <v>0</v>
      </c>
      <c r="P74" s="119" t="n">
        <v>94</v>
      </c>
      <c r="Q74" s="119" t="n">
        <v>0</v>
      </c>
      <c r="R74" s="121"/>
      <c r="S74" s="119" t="n">
        <v>0</v>
      </c>
      <c r="T74" s="119" t="n">
        <v>0</v>
      </c>
      <c r="U74" s="119" t="n">
        <v>0</v>
      </c>
      <c r="V74" s="119" t="n">
        <v>0</v>
      </c>
      <c r="W74" s="121"/>
      <c r="X74" s="119" t="n">
        <v>0</v>
      </c>
      <c r="Y74" s="119" t="n">
        <v>0</v>
      </c>
      <c r="Z74" s="119" t="n">
        <v>0</v>
      </c>
      <c r="AA74" s="119" t="n">
        <v>0</v>
      </c>
      <c r="AB74" s="121"/>
      <c r="AC74" s="119" t="n">
        <v>0</v>
      </c>
      <c r="AD74" s="119" t="n">
        <v>0</v>
      </c>
      <c r="AE74" s="119" t="n">
        <v>0</v>
      </c>
      <c r="AF74" s="121"/>
      <c r="AG74" s="122" t="n">
        <f aca="false">'form A info'!$AK112/1000</f>
        <v>169.275</v>
      </c>
    </row>
    <row r="75" customFormat="false" ht="12.75" hidden="false" customHeight="false" outlineLevel="0" collapsed="false">
      <c r="A75" s="111" t="n">
        <v>4512</v>
      </c>
      <c r="B75" s="111" t="s">
        <v>320</v>
      </c>
      <c r="C75" s="118" t="str">
        <f aca="false">'form A info'!G113</f>
        <v>y</v>
      </c>
      <c r="D75" s="119" t="n">
        <v>0</v>
      </c>
      <c r="E75" s="119" t="n">
        <v>0</v>
      </c>
      <c r="F75" s="119" t="n">
        <v>12</v>
      </c>
      <c r="G75" s="119" t="n">
        <v>0</v>
      </c>
      <c r="H75" s="120"/>
      <c r="I75" s="119" t="n">
        <v>0</v>
      </c>
      <c r="J75" s="119" t="n">
        <v>0</v>
      </c>
      <c r="K75" s="119" t="n">
        <v>0</v>
      </c>
      <c r="L75" s="119" t="n">
        <v>0</v>
      </c>
      <c r="M75" s="120"/>
      <c r="N75" s="119" t="n">
        <v>0</v>
      </c>
      <c r="O75" s="119" t="n">
        <v>3</v>
      </c>
      <c r="P75" s="119" t="n">
        <v>0</v>
      </c>
      <c r="Q75" s="119" t="n">
        <v>0</v>
      </c>
      <c r="R75" s="121"/>
      <c r="S75" s="119" t="n">
        <v>0</v>
      </c>
      <c r="T75" s="119" t="n">
        <v>0</v>
      </c>
      <c r="U75" s="119" t="n">
        <v>0</v>
      </c>
      <c r="V75" s="119" t="n">
        <v>0</v>
      </c>
      <c r="W75" s="121"/>
      <c r="X75" s="119" t="n">
        <v>0</v>
      </c>
      <c r="Y75" s="119" t="n">
        <v>0</v>
      </c>
      <c r="Z75" s="119" t="n">
        <v>0</v>
      </c>
      <c r="AA75" s="119" t="n">
        <v>0</v>
      </c>
      <c r="AB75" s="121"/>
      <c r="AC75" s="119" t="n">
        <v>0</v>
      </c>
      <c r="AD75" s="119" t="n">
        <v>0</v>
      </c>
      <c r="AE75" s="119" t="n">
        <v>0</v>
      </c>
      <c r="AF75" s="121"/>
      <c r="AG75" s="122" t="n">
        <f aca="false">'form A info'!$AK113/1000</f>
        <v>0</v>
      </c>
    </row>
    <row r="76" customFormat="false" ht="12.75" hidden="false" customHeight="false" outlineLevel="0" collapsed="false">
      <c r="A76" s="111" t="n">
        <v>2952</v>
      </c>
      <c r="B76" s="111" t="s">
        <v>322</v>
      </c>
      <c r="C76" s="118" t="str">
        <f aca="false">'form A info'!G114</f>
        <v>y</v>
      </c>
      <c r="D76" s="119" t="n">
        <v>0</v>
      </c>
      <c r="E76" s="119" t="n">
        <v>0</v>
      </c>
      <c r="F76" s="119" t="n">
        <v>24</v>
      </c>
      <c r="G76" s="119" t="n">
        <v>13</v>
      </c>
      <c r="H76" s="120"/>
      <c r="I76" s="119" t="n">
        <v>0</v>
      </c>
      <c r="J76" s="119" t="n">
        <v>0</v>
      </c>
      <c r="K76" s="119" t="n">
        <v>0</v>
      </c>
      <c r="L76" s="119" t="n">
        <v>1</v>
      </c>
      <c r="M76" s="120"/>
      <c r="N76" s="119" t="n">
        <v>0</v>
      </c>
      <c r="O76" s="119" t="n">
        <v>0</v>
      </c>
      <c r="P76" s="119" t="n">
        <v>0</v>
      </c>
      <c r="Q76" s="119" t="n">
        <v>1</v>
      </c>
      <c r="R76" s="121"/>
      <c r="S76" s="119" t="n">
        <v>0</v>
      </c>
      <c r="T76" s="119" t="n">
        <v>0</v>
      </c>
      <c r="U76" s="119" t="n">
        <v>0</v>
      </c>
      <c r="V76" s="119" t="n">
        <v>0</v>
      </c>
      <c r="W76" s="121"/>
      <c r="X76" s="119" t="n">
        <v>0</v>
      </c>
      <c r="Y76" s="119" t="n">
        <v>0</v>
      </c>
      <c r="Z76" s="119" t="n">
        <v>0</v>
      </c>
      <c r="AA76" s="119" t="n">
        <v>0</v>
      </c>
      <c r="AB76" s="121"/>
      <c r="AC76" s="119" t="n">
        <v>0</v>
      </c>
      <c r="AD76" s="119" t="n">
        <v>0</v>
      </c>
      <c r="AE76" s="119" t="n">
        <v>0</v>
      </c>
      <c r="AF76" s="121"/>
      <c r="AG76" s="122" t="n">
        <f aca="false">'form A info'!$AK114/1000</f>
        <v>0</v>
      </c>
    </row>
    <row r="77" customFormat="false" ht="12.75" hidden="false" customHeight="false" outlineLevel="0" collapsed="false">
      <c r="A77" s="111" t="n">
        <v>2325</v>
      </c>
      <c r="B77" s="111" t="s">
        <v>329</v>
      </c>
      <c r="C77" s="118" t="str">
        <f aca="false">'form A info'!G117</f>
        <v>y</v>
      </c>
      <c r="D77" s="119" t="n">
        <v>0</v>
      </c>
      <c r="E77" s="119" t="n">
        <v>0</v>
      </c>
      <c r="F77" s="119" t="n">
        <v>8</v>
      </c>
      <c r="G77" s="119" t="n">
        <v>4</v>
      </c>
      <c r="H77" s="120"/>
      <c r="I77" s="119" t="n">
        <v>0</v>
      </c>
      <c r="J77" s="119" t="n">
        <v>0</v>
      </c>
      <c r="K77" s="119" t="n">
        <v>0</v>
      </c>
      <c r="L77" s="119" t="n">
        <v>0</v>
      </c>
      <c r="M77" s="120"/>
      <c r="N77" s="119" t="n">
        <v>0</v>
      </c>
      <c r="O77" s="119" t="n">
        <v>0</v>
      </c>
      <c r="P77" s="119" t="n">
        <v>13</v>
      </c>
      <c r="Q77" s="119" t="n">
        <v>3</v>
      </c>
      <c r="R77" s="121"/>
      <c r="S77" s="119" t="n">
        <v>0</v>
      </c>
      <c r="T77" s="119" t="n">
        <v>0</v>
      </c>
      <c r="U77" s="119" t="n">
        <v>0</v>
      </c>
      <c r="V77" s="119" t="n">
        <v>0</v>
      </c>
      <c r="W77" s="121"/>
      <c r="X77" s="119" t="n">
        <v>0</v>
      </c>
      <c r="Y77" s="119" t="n">
        <v>0</v>
      </c>
      <c r="Z77" s="119" t="n">
        <v>0</v>
      </c>
      <c r="AA77" s="119" t="n">
        <v>0</v>
      </c>
      <c r="AB77" s="121"/>
      <c r="AC77" s="119" t="n">
        <v>0</v>
      </c>
      <c r="AD77" s="119" t="n">
        <v>0</v>
      </c>
      <c r="AE77" s="119" t="n">
        <v>0</v>
      </c>
      <c r="AF77" s="121"/>
      <c r="AG77" s="122" t="n">
        <f aca="false">'form A info'!$AK117/1000</f>
        <v>44.87696</v>
      </c>
    </row>
    <row r="78" customFormat="false" ht="12.75" hidden="false" customHeight="false" outlineLevel="0" collapsed="false">
      <c r="A78" s="111" t="n">
        <v>4827</v>
      </c>
      <c r="B78" s="111" t="s">
        <v>666</v>
      </c>
      <c r="C78" s="118" t="str">
        <f aca="false">'form A info'!G118</f>
        <v>y</v>
      </c>
      <c r="D78" s="119" t="n">
        <v>272</v>
      </c>
      <c r="E78" s="119" t="n">
        <v>43</v>
      </c>
      <c r="F78" s="119" t="n">
        <v>471</v>
      </c>
      <c r="G78" s="119" t="n">
        <v>16</v>
      </c>
      <c r="H78" s="120"/>
      <c r="I78" s="119" t="n">
        <v>0</v>
      </c>
      <c r="J78" s="119" t="n">
        <v>0</v>
      </c>
      <c r="K78" s="119" t="n">
        <v>2</v>
      </c>
      <c r="L78" s="119" t="n">
        <v>0</v>
      </c>
      <c r="M78" s="120"/>
      <c r="N78" s="119" t="n">
        <v>50</v>
      </c>
      <c r="O78" s="119" t="n">
        <v>320</v>
      </c>
      <c r="P78" s="119" t="n">
        <v>111</v>
      </c>
      <c r="Q78" s="119" t="n">
        <v>0</v>
      </c>
      <c r="R78" s="121"/>
      <c r="S78" s="119" t="n">
        <v>46</v>
      </c>
      <c r="T78" s="119" t="n">
        <v>2</v>
      </c>
      <c r="U78" s="119" t="n">
        <v>0</v>
      </c>
      <c r="V78" s="119" t="n">
        <v>0</v>
      </c>
      <c r="W78" s="121"/>
      <c r="X78" s="119" t="n">
        <v>46</v>
      </c>
      <c r="Y78" s="119" t="n">
        <v>0</v>
      </c>
      <c r="Z78" s="119" t="n">
        <v>0</v>
      </c>
      <c r="AA78" s="119" t="n">
        <v>0</v>
      </c>
      <c r="AB78" s="121"/>
      <c r="AC78" s="119" t="n">
        <v>0</v>
      </c>
      <c r="AD78" s="119" t="n">
        <v>0</v>
      </c>
      <c r="AE78" s="119" t="n">
        <v>0</v>
      </c>
      <c r="AF78" s="121"/>
      <c r="AG78" s="122" t="n">
        <f aca="false">'form A info'!$AK118/1000</f>
        <v>60.655</v>
      </c>
    </row>
    <row r="79" customFormat="false" ht="12.75" hidden="false" customHeight="false" outlineLevel="0" collapsed="false">
      <c r="A79" s="111" t="n">
        <v>9080</v>
      </c>
      <c r="B79" s="111" t="s">
        <v>332</v>
      </c>
      <c r="C79" s="118" t="str">
        <f aca="false">'form A info'!G119</f>
        <v>y</v>
      </c>
      <c r="D79" s="119" t="n">
        <v>0</v>
      </c>
      <c r="E79" s="119" t="n">
        <v>0</v>
      </c>
      <c r="F79" s="119" t="n">
        <v>6</v>
      </c>
      <c r="G79" s="119" t="n">
        <v>1</v>
      </c>
      <c r="H79" s="120"/>
      <c r="I79" s="119" t="n">
        <v>0</v>
      </c>
      <c r="J79" s="119" t="n">
        <v>0</v>
      </c>
      <c r="K79" s="119" t="n">
        <v>0</v>
      </c>
      <c r="L79" s="119" t="n">
        <v>0</v>
      </c>
      <c r="M79" s="120"/>
      <c r="N79" s="119" t="n">
        <v>0</v>
      </c>
      <c r="O79" s="119" t="n">
        <v>0</v>
      </c>
      <c r="P79" s="119" t="n">
        <v>3</v>
      </c>
      <c r="Q79" s="119" t="n">
        <v>-19</v>
      </c>
      <c r="R79" s="121"/>
      <c r="S79" s="119" t="n">
        <v>0</v>
      </c>
      <c r="T79" s="119" t="n">
        <v>0</v>
      </c>
      <c r="U79" s="119" t="n">
        <v>0</v>
      </c>
      <c r="V79" s="119" t="n">
        <v>0</v>
      </c>
      <c r="W79" s="121"/>
      <c r="X79" s="119" t="n">
        <v>0</v>
      </c>
      <c r="Y79" s="119" t="n">
        <v>0</v>
      </c>
      <c r="Z79" s="119" t="n">
        <v>0</v>
      </c>
      <c r="AA79" s="119" t="n">
        <v>0</v>
      </c>
      <c r="AB79" s="121"/>
      <c r="AC79" s="119" t="n">
        <v>0</v>
      </c>
      <c r="AD79" s="119" t="n">
        <v>0</v>
      </c>
      <c r="AE79" s="119" t="n">
        <v>0</v>
      </c>
      <c r="AF79" s="121"/>
      <c r="AG79" s="122" t="n">
        <f aca="false">'form A info'!$AK119/1000</f>
        <v>0</v>
      </c>
    </row>
    <row r="80" customFormat="false" ht="12.75" hidden="false" customHeight="false" outlineLevel="0" collapsed="false">
      <c r="A80" s="111" t="n">
        <v>9075</v>
      </c>
      <c r="B80" s="111" t="s">
        <v>335</v>
      </c>
      <c r="C80" s="118" t="str">
        <f aca="false">'form A info'!G120</f>
        <v>y</v>
      </c>
      <c r="D80" s="119" t="n">
        <v>0</v>
      </c>
      <c r="E80" s="119" t="n">
        <v>0</v>
      </c>
      <c r="F80" s="119" t="n">
        <v>50</v>
      </c>
      <c r="G80" s="119" t="n">
        <v>19</v>
      </c>
      <c r="H80" s="120"/>
      <c r="I80" s="119" t="n">
        <v>0</v>
      </c>
      <c r="J80" s="119" t="n">
        <v>0</v>
      </c>
      <c r="K80" s="119" t="n">
        <v>10</v>
      </c>
      <c r="L80" s="119" t="n">
        <v>1</v>
      </c>
      <c r="M80" s="120"/>
      <c r="N80" s="119" t="n">
        <v>0</v>
      </c>
      <c r="O80" s="119" t="n">
        <v>0</v>
      </c>
      <c r="P80" s="119" t="n">
        <v>56</v>
      </c>
      <c r="Q80" s="119" t="n">
        <v>32</v>
      </c>
      <c r="R80" s="121"/>
      <c r="S80" s="119" t="n">
        <v>0</v>
      </c>
      <c r="T80" s="119" t="n">
        <v>0</v>
      </c>
      <c r="U80" s="119" t="n">
        <v>0</v>
      </c>
      <c r="V80" s="119" t="n">
        <v>0</v>
      </c>
      <c r="W80" s="121"/>
      <c r="X80" s="119" t="n">
        <v>0</v>
      </c>
      <c r="Y80" s="119" t="n">
        <v>0</v>
      </c>
      <c r="Z80" s="119" t="n">
        <v>0</v>
      </c>
      <c r="AA80" s="119" t="n">
        <v>0</v>
      </c>
      <c r="AB80" s="121"/>
      <c r="AC80" s="119" t="n">
        <v>0</v>
      </c>
      <c r="AD80" s="119" t="n">
        <v>0</v>
      </c>
      <c r="AE80" s="119" t="n">
        <v>46742</v>
      </c>
      <c r="AF80" s="121"/>
      <c r="AG80" s="122" t="n">
        <f aca="false">'form A info'!$AK120/1000</f>
        <v>0</v>
      </c>
    </row>
    <row r="81" customFormat="false" ht="12.75" hidden="false" customHeight="false" outlineLevel="0" collapsed="false">
      <c r="A81" s="111" t="n">
        <v>2912</v>
      </c>
      <c r="B81" s="111" t="s">
        <v>336</v>
      </c>
      <c r="C81" s="118" t="str">
        <f aca="false">'form A info'!G121</f>
        <v>y</v>
      </c>
      <c r="D81" s="119" t="n">
        <v>0</v>
      </c>
      <c r="E81" s="119" t="n">
        <v>0</v>
      </c>
      <c r="F81" s="119" t="n">
        <v>12</v>
      </c>
      <c r="G81" s="119" t="n">
        <v>1</v>
      </c>
      <c r="H81" s="120"/>
      <c r="I81" s="119" t="n">
        <v>0</v>
      </c>
      <c r="J81" s="119" t="n">
        <v>0</v>
      </c>
      <c r="K81" s="119" t="n">
        <v>0</v>
      </c>
      <c r="L81" s="119" t="n">
        <v>0</v>
      </c>
      <c r="M81" s="120"/>
      <c r="N81" s="119" t="n">
        <v>0</v>
      </c>
      <c r="O81" s="119" t="n">
        <v>0</v>
      </c>
      <c r="P81" s="119" t="n">
        <v>1</v>
      </c>
      <c r="Q81" s="119" t="n">
        <v>0</v>
      </c>
      <c r="R81" s="121"/>
      <c r="S81" s="119" t="n">
        <v>0</v>
      </c>
      <c r="T81" s="119" t="n">
        <v>0</v>
      </c>
      <c r="U81" s="119" t="n">
        <v>0</v>
      </c>
      <c r="V81" s="119" t="n">
        <v>0</v>
      </c>
      <c r="W81" s="121"/>
      <c r="X81" s="119" t="n">
        <v>0</v>
      </c>
      <c r="Y81" s="119" t="n">
        <v>0</v>
      </c>
      <c r="Z81" s="119" t="n">
        <v>0</v>
      </c>
      <c r="AA81" s="119" t="n">
        <v>0</v>
      </c>
      <c r="AB81" s="121"/>
      <c r="AC81" s="119" t="n">
        <v>0</v>
      </c>
      <c r="AD81" s="119" t="n">
        <v>0</v>
      </c>
      <c r="AE81" s="119" t="n">
        <v>0</v>
      </c>
      <c r="AF81" s="121"/>
      <c r="AG81" s="122" t="n">
        <f aca="false">'form A info'!$AK121/1000</f>
        <v>66.385</v>
      </c>
    </row>
    <row r="82" customFormat="false" ht="12.75" hidden="false" customHeight="false" outlineLevel="0" collapsed="false">
      <c r="A82" s="111" t="n">
        <v>2340</v>
      </c>
      <c r="B82" s="111" t="s">
        <v>339</v>
      </c>
      <c r="C82" s="118" t="str">
        <f aca="false">'form A info'!G122</f>
        <v>y</v>
      </c>
      <c r="D82" s="119" t="n">
        <v>277</v>
      </c>
      <c r="E82" s="119" t="n">
        <v>0</v>
      </c>
      <c r="F82" s="119" t="n">
        <v>99</v>
      </c>
      <c r="G82" s="119" t="n">
        <v>8</v>
      </c>
      <c r="H82" s="120"/>
      <c r="I82" s="119" t="n">
        <v>44</v>
      </c>
      <c r="J82" s="119" t="n">
        <v>5</v>
      </c>
      <c r="K82" s="119" t="n">
        <v>0</v>
      </c>
      <c r="L82" s="119" t="n">
        <v>0</v>
      </c>
      <c r="M82" s="120"/>
      <c r="N82" s="119" t="n">
        <v>10</v>
      </c>
      <c r="O82" s="119" t="n">
        <v>6</v>
      </c>
      <c r="P82" s="119" t="n">
        <v>35</v>
      </c>
      <c r="Q82" s="119" t="n">
        <v>0</v>
      </c>
      <c r="R82" s="121"/>
      <c r="S82" s="119" t="n">
        <v>45</v>
      </c>
      <c r="T82" s="119" t="n">
        <v>0</v>
      </c>
      <c r="U82" s="119" t="n">
        <v>0</v>
      </c>
      <c r="V82" s="119" t="n">
        <v>0</v>
      </c>
      <c r="W82" s="121"/>
      <c r="X82" s="119" t="n">
        <v>92</v>
      </c>
      <c r="Y82" s="119" t="n">
        <v>0</v>
      </c>
      <c r="Z82" s="119" t="n">
        <v>0</v>
      </c>
      <c r="AA82" s="119" t="n">
        <v>0</v>
      </c>
      <c r="AB82" s="121"/>
      <c r="AC82" s="119" t="n">
        <v>0</v>
      </c>
      <c r="AD82" s="119" t="n">
        <v>0</v>
      </c>
      <c r="AE82" s="119" t="n">
        <v>24041</v>
      </c>
      <c r="AF82" s="121"/>
      <c r="AG82" s="122" t="n">
        <f aca="false">'form A info'!$AK122/1000</f>
        <v>826.851</v>
      </c>
    </row>
    <row r="83" customFormat="false" ht="12.75" hidden="false" customHeight="false" outlineLevel="0" collapsed="false">
      <c r="A83" s="111" t="n">
        <v>4828</v>
      </c>
      <c r="B83" s="111" t="s">
        <v>667</v>
      </c>
      <c r="C83" s="118" t="str">
        <f aca="false">'form A info'!G124</f>
        <v>y</v>
      </c>
      <c r="D83" s="119" t="n">
        <v>329</v>
      </c>
      <c r="E83" s="119" t="n">
        <v>779</v>
      </c>
      <c r="F83" s="119" t="n">
        <v>394</v>
      </c>
      <c r="G83" s="119" t="n">
        <v>0</v>
      </c>
      <c r="H83" s="120"/>
      <c r="I83" s="119" t="n">
        <v>0</v>
      </c>
      <c r="J83" s="119" t="n">
        <v>0</v>
      </c>
      <c r="K83" s="119" t="n">
        <v>0</v>
      </c>
      <c r="L83" s="119" t="n">
        <v>0</v>
      </c>
      <c r="M83" s="120"/>
      <c r="N83" s="119" t="n">
        <v>25</v>
      </c>
      <c r="O83" s="119" t="n">
        <v>67</v>
      </c>
      <c r="P83" s="119" t="n">
        <v>1</v>
      </c>
      <c r="Q83" s="119" t="n">
        <v>0</v>
      </c>
      <c r="R83" s="121"/>
      <c r="S83" s="119" t="n">
        <v>36</v>
      </c>
      <c r="T83" s="119" t="n">
        <v>3</v>
      </c>
      <c r="U83" s="119" t="n">
        <v>0</v>
      </c>
      <c r="V83" s="119" t="n">
        <v>0</v>
      </c>
      <c r="W83" s="121"/>
      <c r="X83" s="119" t="n">
        <v>110</v>
      </c>
      <c r="Y83" s="119" t="n">
        <v>0</v>
      </c>
      <c r="Z83" s="119" t="n">
        <v>0</v>
      </c>
      <c r="AA83" s="119" t="n">
        <v>0</v>
      </c>
      <c r="AB83" s="121"/>
      <c r="AC83" s="119" t="n">
        <v>0</v>
      </c>
      <c r="AD83" s="119" t="n">
        <v>0</v>
      </c>
      <c r="AE83" s="119" t="n">
        <v>0</v>
      </c>
      <c r="AF83" s="121"/>
      <c r="AG83" s="122" t="n">
        <f aca="false">'form A info'!$AK124/1000</f>
        <v>315.018</v>
      </c>
    </row>
    <row r="84" customFormat="false" ht="12.75" hidden="false" customHeight="false" outlineLevel="0" collapsed="false">
      <c r="A84" s="111" t="n">
        <v>2356</v>
      </c>
      <c r="B84" s="111" t="s">
        <v>346</v>
      </c>
      <c r="C84" s="118" t="str">
        <f aca="false">'form A info'!G125</f>
        <v>y</v>
      </c>
      <c r="D84" s="119" t="n">
        <v>66</v>
      </c>
      <c r="E84" s="119" t="n">
        <v>290</v>
      </c>
      <c r="F84" s="119" t="n">
        <v>78</v>
      </c>
      <c r="G84" s="119" t="n">
        <v>0</v>
      </c>
      <c r="H84" s="120"/>
      <c r="I84" s="119" t="n">
        <v>0</v>
      </c>
      <c r="J84" s="119" t="n">
        <v>0</v>
      </c>
      <c r="K84" s="119" t="n">
        <v>0</v>
      </c>
      <c r="L84" s="119" t="n">
        <v>0</v>
      </c>
      <c r="M84" s="120"/>
      <c r="N84" s="119" t="n">
        <v>0</v>
      </c>
      <c r="O84" s="119" t="n">
        <v>22</v>
      </c>
      <c r="P84" s="119" t="n">
        <v>9</v>
      </c>
      <c r="Q84" s="119" t="n">
        <v>0</v>
      </c>
      <c r="R84" s="121"/>
      <c r="S84" s="119" t="n">
        <v>0</v>
      </c>
      <c r="T84" s="119" t="n">
        <v>0</v>
      </c>
      <c r="U84" s="119" t="n">
        <v>0</v>
      </c>
      <c r="V84" s="119" t="n">
        <v>0</v>
      </c>
      <c r="W84" s="121"/>
      <c r="X84" s="119" t="n">
        <v>0</v>
      </c>
      <c r="Y84" s="119" t="n">
        <v>0</v>
      </c>
      <c r="Z84" s="119" t="n">
        <v>0</v>
      </c>
      <c r="AA84" s="119" t="n">
        <v>0</v>
      </c>
      <c r="AB84" s="121"/>
      <c r="AC84" s="119" t="n">
        <v>0</v>
      </c>
      <c r="AD84" s="119" t="n">
        <v>0</v>
      </c>
      <c r="AE84" s="119" t="n">
        <v>3358</v>
      </c>
      <c r="AF84" s="121"/>
      <c r="AG84" s="122" t="n">
        <f aca="false">'form A info'!$AK125/1000</f>
        <v>451.295</v>
      </c>
    </row>
    <row r="85" customFormat="false" ht="12.75" hidden="false" customHeight="false" outlineLevel="0" collapsed="false">
      <c r="A85" s="111" t="n">
        <v>2518</v>
      </c>
      <c r="B85" s="111" t="s">
        <v>352</v>
      </c>
      <c r="C85" s="118" t="str">
        <f aca="false">'form A info'!G127</f>
        <v>y</v>
      </c>
      <c r="D85" s="119" t="n">
        <v>84</v>
      </c>
      <c r="E85" s="119" t="n">
        <v>382</v>
      </c>
      <c r="F85" s="119" t="n">
        <v>80</v>
      </c>
      <c r="G85" s="119" t="n">
        <v>39</v>
      </c>
      <c r="H85" s="120"/>
      <c r="I85" s="119" t="n">
        <v>0</v>
      </c>
      <c r="J85" s="119" t="n">
        <v>0</v>
      </c>
      <c r="K85" s="119" t="n">
        <v>0</v>
      </c>
      <c r="L85" s="119" t="n">
        <v>4</v>
      </c>
      <c r="M85" s="120"/>
      <c r="N85" s="119" t="n">
        <v>0</v>
      </c>
      <c r="O85" s="119" t="n">
        <v>9</v>
      </c>
      <c r="P85" s="119" t="n">
        <v>15</v>
      </c>
      <c r="Q85" s="119" t="n">
        <v>1</v>
      </c>
      <c r="R85" s="121"/>
      <c r="S85" s="119" t="n">
        <v>0</v>
      </c>
      <c r="T85" s="119" t="n">
        <v>0</v>
      </c>
      <c r="U85" s="119" t="n">
        <v>0</v>
      </c>
      <c r="V85" s="119" t="n">
        <v>0</v>
      </c>
      <c r="W85" s="121"/>
      <c r="X85" s="119" t="n">
        <v>0</v>
      </c>
      <c r="Y85" s="119" t="n">
        <v>0</v>
      </c>
      <c r="Z85" s="119" t="n">
        <v>0</v>
      </c>
      <c r="AA85" s="119" t="n">
        <v>0</v>
      </c>
      <c r="AB85" s="121"/>
      <c r="AC85" s="119" t="n">
        <v>9032</v>
      </c>
      <c r="AD85" s="119" t="n">
        <v>0</v>
      </c>
      <c r="AE85" s="119" t="n">
        <v>0</v>
      </c>
      <c r="AF85" s="121"/>
      <c r="AG85" s="122" t="n">
        <f aca="false">'form A info'!$AK127/1000</f>
        <v>0</v>
      </c>
    </row>
    <row r="86" customFormat="false" ht="12.75" hidden="false" customHeight="false" outlineLevel="0" collapsed="false">
      <c r="A86" s="111" t="n">
        <v>9605</v>
      </c>
      <c r="B86" s="111" t="s">
        <v>353</v>
      </c>
      <c r="C86" s="118" t="str">
        <f aca="false">'form A info'!G128</f>
        <v>y</v>
      </c>
      <c r="D86" s="119" t="n">
        <v>0</v>
      </c>
      <c r="E86" s="119" t="n">
        <v>123</v>
      </c>
      <c r="F86" s="119" t="n">
        <v>7</v>
      </c>
      <c r="G86" s="119" t="n">
        <v>0</v>
      </c>
      <c r="H86" s="120"/>
      <c r="I86" s="119" t="n">
        <v>0</v>
      </c>
      <c r="J86" s="119" t="n">
        <v>0</v>
      </c>
      <c r="K86" s="119" t="n">
        <v>0</v>
      </c>
      <c r="L86" s="119" t="n">
        <v>0</v>
      </c>
      <c r="M86" s="120"/>
      <c r="N86" s="119" t="n">
        <v>0</v>
      </c>
      <c r="O86" s="119" t="n">
        <v>0</v>
      </c>
      <c r="P86" s="119" t="n">
        <v>12</v>
      </c>
      <c r="Q86" s="119" t="n">
        <v>0</v>
      </c>
      <c r="R86" s="121"/>
      <c r="S86" s="119" t="n">
        <v>0</v>
      </c>
      <c r="T86" s="119" t="n">
        <v>0</v>
      </c>
      <c r="U86" s="119" t="n">
        <v>0</v>
      </c>
      <c r="V86" s="119" t="n">
        <v>0</v>
      </c>
      <c r="W86" s="121"/>
      <c r="X86" s="119" t="n">
        <v>0</v>
      </c>
      <c r="Y86" s="119" t="n">
        <v>0</v>
      </c>
      <c r="Z86" s="119" t="n">
        <v>0</v>
      </c>
      <c r="AA86" s="119" t="n">
        <v>0</v>
      </c>
      <c r="AB86" s="121"/>
      <c r="AC86" s="119" t="n">
        <v>0</v>
      </c>
      <c r="AD86" s="119" t="n">
        <v>0</v>
      </c>
      <c r="AE86" s="119" t="n">
        <v>0</v>
      </c>
      <c r="AF86" s="121"/>
      <c r="AG86" s="122" t="n">
        <f aca="false">'form A info'!$AK128/1000</f>
        <v>33.206</v>
      </c>
    </row>
    <row r="87" customFormat="false" ht="12.75" hidden="false" customHeight="false" outlineLevel="0" collapsed="false">
      <c r="A87" s="111" t="n">
        <v>2530</v>
      </c>
      <c r="B87" s="111" t="s">
        <v>360</v>
      </c>
      <c r="C87" s="118" t="str">
        <f aca="false">'form A info'!G131</f>
        <v>y</v>
      </c>
      <c r="D87" s="119" t="n">
        <v>0</v>
      </c>
      <c r="E87" s="119" t="n">
        <v>0</v>
      </c>
      <c r="F87" s="119" t="n">
        <v>4</v>
      </c>
      <c r="G87" s="119" t="n">
        <v>3</v>
      </c>
      <c r="H87" s="120"/>
      <c r="I87" s="119" t="n">
        <v>0</v>
      </c>
      <c r="J87" s="119" t="n">
        <v>0</v>
      </c>
      <c r="K87" s="119" t="n">
        <v>0</v>
      </c>
      <c r="L87" s="119" t="n">
        <v>1</v>
      </c>
      <c r="M87" s="120"/>
      <c r="N87" s="119" t="n">
        <v>0</v>
      </c>
      <c r="O87" s="119" t="n">
        <v>0</v>
      </c>
      <c r="P87" s="119" t="n">
        <v>0</v>
      </c>
      <c r="Q87" s="119" t="n">
        <v>1</v>
      </c>
      <c r="R87" s="121"/>
      <c r="S87" s="119" t="n">
        <v>0</v>
      </c>
      <c r="T87" s="119" t="n">
        <v>0</v>
      </c>
      <c r="U87" s="119" t="n">
        <v>0</v>
      </c>
      <c r="V87" s="119" t="n">
        <v>0</v>
      </c>
      <c r="W87" s="121"/>
      <c r="X87" s="119" t="n">
        <v>0</v>
      </c>
      <c r="Y87" s="119" t="n">
        <v>0</v>
      </c>
      <c r="Z87" s="119" t="n">
        <v>0</v>
      </c>
      <c r="AA87" s="119" t="n">
        <v>0</v>
      </c>
      <c r="AB87" s="121"/>
      <c r="AC87" s="119" t="n">
        <v>0</v>
      </c>
      <c r="AD87" s="119" t="n">
        <v>0</v>
      </c>
      <c r="AE87" s="119" t="n">
        <v>0</v>
      </c>
      <c r="AF87" s="121"/>
      <c r="AG87" s="122" t="n">
        <f aca="false">'form A info'!$AK131/1000</f>
        <v>0</v>
      </c>
    </row>
    <row r="88" customFormat="false" ht="12.75" hidden="false" customHeight="false" outlineLevel="0" collapsed="false">
      <c r="A88" s="111" t="n">
        <v>1506</v>
      </c>
      <c r="B88" s="111" t="s">
        <v>361</v>
      </c>
      <c r="C88" s="118" t="str">
        <f aca="false">'form A info'!G132</f>
        <v>y</v>
      </c>
      <c r="D88" s="119" t="n">
        <v>20</v>
      </c>
      <c r="E88" s="119" t="n">
        <v>0</v>
      </c>
      <c r="F88" s="119" t="n">
        <v>13</v>
      </c>
      <c r="G88" s="119" t="n">
        <v>5</v>
      </c>
      <c r="H88" s="120"/>
      <c r="I88" s="119" t="n">
        <v>0</v>
      </c>
      <c r="J88" s="119" t="n">
        <v>0</v>
      </c>
      <c r="K88" s="119" t="n">
        <v>1</v>
      </c>
      <c r="L88" s="119" t="n">
        <v>2</v>
      </c>
      <c r="M88" s="120"/>
      <c r="N88" s="119" t="n">
        <v>0</v>
      </c>
      <c r="O88" s="119" t="n">
        <v>0</v>
      </c>
      <c r="P88" s="119" t="n">
        <v>2</v>
      </c>
      <c r="Q88" s="119" t="n">
        <v>0</v>
      </c>
      <c r="R88" s="121"/>
      <c r="S88" s="119" t="n">
        <v>0</v>
      </c>
      <c r="T88" s="119" t="n">
        <v>0</v>
      </c>
      <c r="U88" s="119" t="n">
        <v>0</v>
      </c>
      <c r="V88" s="119" t="n">
        <v>0</v>
      </c>
      <c r="W88" s="121"/>
      <c r="X88" s="119" t="n">
        <v>0</v>
      </c>
      <c r="Y88" s="119" t="n">
        <v>0</v>
      </c>
      <c r="Z88" s="119" t="n">
        <v>0</v>
      </c>
      <c r="AA88" s="119" t="n">
        <v>0</v>
      </c>
      <c r="AB88" s="121"/>
      <c r="AC88" s="119" t="n">
        <v>0</v>
      </c>
      <c r="AD88" s="119" t="n">
        <v>0</v>
      </c>
      <c r="AE88" s="119" t="n">
        <v>0</v>
      </c>
      <c r="AF88" s="121"/>
      <c r="AG88" s="122" t="n">
        <f aca="false">'form A info'!$AK132/1000</f>
        <v>73.853</v>
      </c>
    </row>
    <row r="89" customFormat="false" ht="12.75" hidden="false" customHeight="false" outlineLevel="0" collapsed="false">
      <c r="A89" s="111" t="n">
        <v>2531</v>
      </c>
      <c r="B89" s="111" t="s">
        <v>363</v>
      </c>
      <c r="C89" s="118" t="str">
        <f aca="false">'form A info'!G133</f>
        <v>y</v>
      </c>
      <c r="D89" s="119" t="n">
        <v>0</v>
      </c>
      <c r="E89" s="119" t="n">
        <v>0</v>
      </c>
      <c r="F89" s="119" t="n">
        <v>4</v>
      </c>
      <c r="G89" s="119" t="n">
        <v>0</v>
      </c>
      <c r="H89" s="120"/>
      <c r="I89" s="119" t="n">
        <v>0</v>
      </c>
      <c r="J89" s="119" t="n">
        <v>0</v>
      </c>
      <c r="K89" s="119" t="n">
        <v>0</v>
      </c>
      <c r="L89" s="119" t="n">
        <v>0</v>
      </c>
      <c r="M89" s="120"/>
      <c r="N89" s="119" t="n">
        <v>0</v>
      </c>
      <c r="O89" s="119" t="n">
        <v>0</v>
      </c>
      <c r="P89" s="119" t="n">
        <v>0</v>
      </c>
      <c r="Q89" s="119" t="n">
        <v>0</v>
      </c>
      <c r="R89" s="121"/>
      <c r="S89" s="119" t="n">
        <v>0</v>
      </c>
      <c r="T89" s="119" t="n">
        <v>0</v>
      </c>
      <c r="U89" s="119" t="n">
        <v>0</v>
      </c>
      <c r="V89" s="119" t="n">
        <v>0</v>
      </c>
      <c r="W89" s="121"/>
      <c r="X89" s="119" t="n">
        <v>0</v>
      </c>
      <c r="Y89" s="119" t="n">
        <v>0</v>
      </c>
      <c r="Z89" s="119" t="n">
        <v>0</v>
      </c>
      <c r="AA89" s="119" t="n">
        <v>0</v>
      </c>
      <c r="AB89" s="121"/>
      <c r="AC89" s="119" t="n">
        <v>0</v>
      </c>
      <c r="AD89" s="119" t="n">
        <v>0</v>
      </c>
      <c r="AE89" s="119" t="n">
        <v>0</v>
      </c>
      <c r="AF89" s="121"/>
      <c r="AG89" s="122" t="n">
        <f aca="false">'form A info'!$AK133/1000</f>
        <v>17.86996</v>
      </c>
    </row>
    <row r="90" customFormat="false" ht="12.75" hidden="false" customHeight="false" outlineLevel="0" collapsed="false">
      <c r="A90" s="111" t="n">
        <v>2544</v>
      </c>
      <c r="B90" s="111" t="s">
        <v>364</v>
      </c>
      <c r="C90" s="118" t="str">
        <f aca="false">'form A info'!G134</f>
        <v>y</v>
      </c>
      <c r="D90" s="119" t="n">
        <v>0</v>
      </c>
      <c r="E90" s="119" t="n">
        <v>0</v>
      </c>
      <c r="F90" s="119" t="n">
        <v>0</v>
      </c>
      <c r="G90" s="119" t="n">
        <v>0</v>
      </c>
      <c r="H90" s="120"/>
      <c r="I90" s="119" t="n">
        <v>0</v>
      </c>
      <c r="J90" s="119" t="n">
        <v>0</v>
      </c>
      <c r="K90" s="119" t="n">
        <v>0</v>
      </c>
      <c r="L90" s="119" t="n">
        <v>0</v>
      </c>
      <c r="M90" s="120"/>
      <c r="N90" s="119" t="n">
        <v>0</v>
      </c>
      <c r="O90" s="119" t="n">
        <v>0</v>
      </c>
      <c r="P90" s="119" t="n">
        <v>0</v>
      </c>
      <c r="Q90" s="119" t="n">
        <v>0</v>
      </c>
      <c r="R90" s="121"/>
      <c r="S90" s="119" t="n">
        <v>0</v>
      </c>
      <c r="T90" s="119" t="n">
        <v>0</v>
      </c>
      <c r="U90" s="119" t="n">
        <v>0</v>
      </c>
      <c r="V90" s="119" t="n">
        <v>0</v>
      </c>
      <c r="W90" s="121"/>
      <c r="X90" s="119" t="n">
        <v>0</v>
      </c>
      <c r="Y90" s="119" t="n">
        <v>0</v>
      </c>
      <c r="Z90" s="119" t="n">
        <v>0</v>
      </c>
      <c r="AA90" s="119" t="n">
        <v>0</v>
      </c>
      <c r="AB90" s="121"/>
      <c r="AC90" s="119" t="n">
        <v>0</v>
      </c>
      <c r="AD90" s="119" t="n">
        <v>0</v>
      </c>
      <c r="AE90" s="119" t="n">
        <v>0</v>
      </c>
      <c r="AF90" s="121"/>
      <c r="AG90" s="122" t="n">
        <f aca="false">'form A info'!$AK134/1000</f>
        <v>0</v>
      </c>
    </row>
    <row r="91" customFormat="false" ht="12.75" hidden="false" customHeight="false" outlineLevel="0" collapsed="false">
      <c r="A91" s="111" t="n">
        <v>1583</v>
      </c>
      <c r="B91" s="111" t="s">
        <v>366</v>
      </c>
      <c r="C91" s="118" t="str">
        <f aca="false">'form A info'!G135</f>
        <v>y</v>
      </c>
      <c r="D91" s="119" t="n">
        <v>0</v>
      </c>
      <c r="E91" s="119" t="n">
        <v>0</v>
      </c>
      <c r="F91" s="119" t="n">
        <v>7</v>
      </c>
      <c r="G91" s="119" t="n">
        <v>5</v>
      </c>
      <c r="H91" s="120"/>
      <c r="I91" s="119" t="n">
        <v>0</v>
      </c>
      <c r="J91" s="119" t="n">
        <v>0</v>
      </c>
      <c r="K91" s="119" t="n">
        <v>0</v>
      </c>
      <c r="L91" s="119" t="n">
        <v>2</v>
      </c>
      <c r="M91" s="120"/>
      <c r="N91" s="119" t="n">
        <v>0</v>
      </c>
      <c r="O91" s="119" t="n">
        <v>0</v>
      </c>
      <c r="P91" s="119" t="n">
        <v>0</v>
      </c>
      <c r="Q91" s="119" t="n">
        <v>0</v>
      </c>
      <c r="R91" s="121"/>
      <c r="S91" s="119" t="n">
        <v>0</v>
      </c>
      <c r="T91" s="119" t="n">
        <v>0</v>
      </c>
      <c r="U91" s="119" t="n">
        <v>0</v>
      </c>
      <c r="V91" s="119" t="n">
        <v>0</v>
      </c>
      <c r="W91" s="121"/>
      <c r="X91" s="119" t="n">
        <v>0</v>
      </c>
      <c r="Y91" s="119" t="n">
        <v>0</v>
      </c>
      <c r="Z91" s="119" t="n">
        <v>0</v>
      </c>
      <c r="AA91" s="119" t="n">
        <v>0</v>
      </c>
      <c r="AB91" s="121"/>
      <c r="AC91" s="119" t="n">
        <v>0</v>
      </c>
      <c r="AD91" s="119" t="n">
        <v>0</v>
      </c>
      <c r="AE91" s="119" t="n">
        <v>0</v>
      </c>
      <c r="AF91" s="121"/>
      <c r="AG91" s="122" t="n">
        <f aca="false">'form A info'!$AK135/1000</f>
        <v>0</v>
      </c>
    </row>
    <row r="92" customFormat="false" ht="12.75" hidden="false" customHeight="false" outlineLevel="0" collapsed="false">
      <c r="A92" s="111" t="n">
        <v>2614</v>
      </c>
      <c r="B92" s="111" t="s">
        <v>367</v>
      </c>
      <c r="C92" s="118" t="str">
        <f aca="false">'form A info'!G136</f>
        <v>y</v>
      </c>
      <c r="D92" s="119" t="n">
        <v>0</v>
      </c>
      <c r="E92" s="119" t="n">
        <v>0</v>
      </c>
      <c r="F92" s="119" t="n">
        <v>12</v>
      </c>
      <c r="G92" s="119" t="n">
        <v>4</v>
      </c>
      <c r="H92" s="120"/>
      <c r="I92" s="119" t="n">
        <v>0</v>
      </c>
      <c r="J92" s="119" t="n">
        <v>0</v>
      </c>
      <c r="K92" s="119" t="n">
        <v>0</v>
      </c>
      <c r="L92" s="119" t="n">
        <v>0</v>
      </c>
      <c r="M92" s="120"/>
      <c r="N92" s="119" t="n">
        <v>0</v>
      </c>
      <c r="O92" s="119" t="n">
        <v>2</v>
      </c>
      <c r="P92" s="119" t="n">
        <v>3</v>
      </c>
      <c r="Q92" s="119" t="n">
        <v>0</v>
      </c>
      <c r="R92" s="121"/>
      <c r="S92" s="119" t="n">
        <v>0</v>
      </c>
      <c r="T92" s="119" t="n">
        <v>0</v>
      </c>
      <c r="U92" s="119" t="n">
        <v>0</v>
      </c>
      <c r="V92" s="119" t="n">
        <v>0</v>
      </c>
      <c r="W92" s="121"/>
      <c r="X92" s="119" t="n">
        <v>0</v>
      </c>
      <c r="Y92" s="119" t="n">
        <v>0</v>
      </c>
      <c r="Z92" s="119" t="n">
        <v>0</v>
      </c>
      <c r="AA92" s="119" t="n">
        <v>0</v>
      </c>
      <c r="AB92" s="121"/>
      <c r="AC92" s="119" t="n">
        <v>0</v>
      </c>
      <c r="AD92" s="119" t="n">
        <v>0</v>
      </c>
      <c r="AE92" s="119" t="n">
        <v>0</v>
      </c>
      <c r="AF92" s="121"/>
      <c r="AG92" s="122" t="n">
        <f aca="false">'form A info'!$AK136/1000</f>
        <v>0</v>
      </c>
    </row>
    <row r="93" customFormat="false" ht="12.75" hidden="false" customHeight="false" outlineLevel="0" collapsed="false">
      <c r="A93" s="111" t="n">
        <v>2547</v>
      </c>
      <c r="B93" s="111" t="s">
        <v>369</v>
      </c>
      <c r="C93" s="118" t="str">
        <f aca="false">'form A info'!G137</f>
        <v>y</v>
      </c>
      <c r="D93" s="119" t="n">
        <v>199</v>
      </c>
      <c r="E93" s="119" t="n">
        <v>0</v>
      </c>
      <c r="F93" s="119" t="n">
        <v>72</v>
      </c>
      <c r="G93" s="119" t="n">
        <v>7</v>
      </c>
      <c r="H93" s="120"/>
      <c r="I93" s="119" t="n">
        <v>0</v>
      </c>
      <c r="J93" s="119" t="n">
        <v>0</v>
      </c>
      <c r="K93" s="119" t="n">
        <v>0</v>
      </c>
      <c r="L93" s="119" t="n">
        <v>0</v>
      </c>
      <c r="M93" s="120"/>
      <c r="N93" s="119" t="n">
        <v>14</v>
      </c>
      <c r="O93" s="119" t="n">
        <v>7</v>
      </c>
      <c r="P93" s="119" t="n">
        <v>21</v>
      </c>
      <c r="Q93" s="119" t="n">
        <v>1</v>
      </c>
      <c r="R93" s="121"/>
      <c r="S93" s="119" t="n">
        <v>21</v>
      </c>
      <c r="T93" s="119" t="n">
        <v>0</v>
      </c>
      <c r="U93" s="119" t="n">
        <v>0</v>
      </c>
      <c r="V93" s="119" t="n">
        <v>0</v>
      </c>
      <c r="W93" s="121"/>
      <c r="X93" s="119" t="n">
        <v>59</v>
      </c>
      <c r="Y93" s="119" t="n">
        <v>0</v>
      </c>
      <c r="Z93" s="119" t="n">
        <v>0</v>
      </c>
      <c r="AA93" s="119" t="n">
        <v>0</v>
      </c>
      <c r="AB93" s="121"/>
      <c r="AC93" s="119" t="n">
        <v>0</v>
      </c>
      <c r="AD93" s="119" t="n">
        <v>0</v>
      </c>
      <c r="AE93" s="119" t="n">
        <v>250209</v>
      </c>
      <c r="AF93" s="121"/>
      <c r="AG93" s="122" t="n">
        <f aca="false">'form A info'!$AK137/1000</f>
        <v>470.038</v>
      </c>
    </row>
    <row r="94" customFormat="false" ht="12.75" hidden="false" customHeight="false" outlineLevel="0" collapsed="false">
      <c r="A94" s="111" t="n">
        <v>9133</v>
      </c>
      <c r="B94" s="111" t="s">
        <v>373</v>
      </c>
      <c r="C94" s="118" t="str">
        <f aca="false">'form A info'!G138</f>
        <v>y</v>
      </c>
      <c r="D94" s="119" t="n">
        <v>0</v>
      </c>
      <c r="E94" s="119" t="n">
        <v>0</v>
      </c>
      <c r="F94" s="119" t="n">
        <v>103</v>
      </c>
      <c r="G94" s="119" t="n">
        <v>9</v>
      </c>
      <c r="H94" s="120"/>
      <c r="I94" s="119" t="n">
        <v>0</v>
      </c>
      <c r="J94" s="119" t="n">
        <v>0</v>
      </c>
      <c r="K94" s="119" t="n">
        <v>2</v>
      </c>
      <c r="L94" s="119" t="n">
        <v>0</v>
      </c>
      <c r="M94" s="120"/>
      <c r="N94" s="119" t="n">
        <v>0</v>
      </c>
      <c r="O94" s="119" t="n">
        <v>0</v>
      </c>
      <c r="P94" s="119" t="n">
        <v>11</v>
      </c>
      <c r="Q94" s="119" t="n">
        <v>1</v>
      </c>
      <c r="R94" s="121"/>
      <c r="S94" s="119" t="n">
        <v>0</v>
      </c>
      <c r="T94" s="119" t="n">
        <v>0</v>
      </c>
      <c r="U94" s="119" t="n">
        <v>0</v>
      </c>
      <c r="V94" s="119" t="n">
        <v>0</v>
      </c>
      <c r="W94" s="121"/>
      <c r="X94" s="119" t="n">
        <v>0</v>
      </c>
      <c r="Y94" s="119" t="n">
        <v>0</v>
      </c>
      <c r="Z94" s="119" t="n">
        <v>0</v>
      </c>
      <c r="AA94" s="119" t="n">
        <v>0</v>
      </c>
      <c r="AB94" s="121"/>
      <c r="AC94" s="119" t="n">
        <v>31780</v>
      </c>
      <c r="AD94" s="119" t="n">
        <v>0</v>
      </c>
      <c r="AE94" s="119" t="n">
        <v>9128</v>
      </c>
      <c r="AF94" s="121"/>
      <c r="AG94" s="122" t="n">
        <f aca="false">'form A info'!$AK138/1000</f>
        <v>729.997</v>
      </c>
    </row>
    <row r="95" customFormat="false" ht="12.75" hidden="false" customHeight="false" outlineLevel="0" collapsed="false">
      <c r="A95" s="111" t="n">
        <v>1509</v>
      </c>
      <c r="B95" s="111" t="s">
        <v>375</v>
      </c>
      <c r="C95" s="118" t="str">
        <f aca="false">'form A info'!G139</f>
        <v>y</v>
      </c>
      <c r="D95" s="119" t="n">
        <v>14</v>
      </c>
      <c r="E95" s="119" t="n">
        <v>0</v>
      </c>
      <c r="F95" s="119" t="n">
        <v>19</v>
      </c>
      <c r="G95" s="119" t="n">
        <v>3</v>
      </c>
      <c r="H95" s="120"/>
      <c r="I95" s="119" t="n">
        <v>0</v>
      </c>
      <c r="J95" s="119" t="n">
        <v>0</v>
      </c>
      <c r="K95" s="119" t="n">
        <v>1</v>
      </c>
      <c r="L95" s="119" t="n">
        <v>1</v>
      </c>
      <c r="M95" s="120"/>
      <c r="N95" s="119" t="n">
        <v>0</v>
      </c>
      <c r="O95" s="119" t="n">
        <v>0</v>
      </c>
      <c r="P95" s="119" t="n">
        <v>1</v>
      </c>
      <c r="Q95" s="119" t="n">
        <v>0</v>
      </c>
      <c r="R95" s="121"/>
      <c r="S95" s="119" t="n">
        <v>0</v>
      </c>
      <c r="T95" s="119" t="n">
        <v>0</v>
      </c>
      <c r="U95" s="119" t="n">
        <v>0</v>
      </c>
      <c r="V95" s="119" t="n">
        <v>0</v>
      </c>
      <c r="W95" s="121"/>
      <c r="X95" s="119" t="n">
        <v>0</v>
      </c>
      <c r="Y95" s="119" t="n">
        <v>0</v>
      </c>
      <c r="Z95" s="119" t="n">
        <v>0</v>
      </c>
      <c r="AA95" s="119" t="n">
        <v>0</v>
      </c>
      <c r="AB95" s="121"/>
      <c r="AC95" s="119" t="n">
        <v>0</v>
      </c>
      <c r="AD95" s="119" t="n">
        <v>0</v>
      </c>
      <c r="AE95" s="119" t="n">
        <v>0</v>
      </c>
      <c r="AF95" s="121"/>
      <c r="AG95" s="122" t="n">
        <f aca="false">'form A info'!$AK139/1000</f>
        <v>65.72394</v>
      </c>
    </row>
    <row r="96" customFormat="false" ht="12.75" hidden="false" customHeight="false" outlineLevel="0" collapsed="false">
      <c r="A96" s="111" t="n">
        <v>3724</v>
      </c>
      <c r="B96" s="111" t="s">
        <v>377</v>
      </c>
      <c r="C96" s="118" t="str">
        <f aca="false">'form A info'!G140</f>
        <v>y</v>
      </c>
      <c r="D96" s="119" t="n">
        <v>0</v>
      </c>
      <c r="E96" s="119" t="n">
        <v>0</v>
      </c>
      <c r="F96" s="119" t="n">
        <v>1</v>
      </c>
      <c r="G96" s="119" t="n">
        <v>0</v>
      </c>
      <c r="H96" s="120"/>
      <c r="I96" s="119" t="n">
        <v>0</v>
      </c>
      <c r="J96" s="119" t="n">
        <v>0</v>
      </c>
      <c r="K96" s="119" t="n">
        <v>0</v>
      </c>
      <c r="L96" s="119" t="n">
        <v>4</v>
      </c>
      <c r="M96" s="120"/>
      <c r="N96" s="119" t="n">
        <v>0</v>
      </c>
      <c r="O96" s="119" t="n">
        <v>0</v>
      </c>
      <c r="P96" s="119" t="n">
        <v>0</v>
      </c>
      <c r="Q96" s="119" t="n">
        <v>0</v>
      </c>
      <c r="R96" s="121"/>
      <c r="S96" s="119" t="n">
        <v>0</v>
      </c>
      <c r="T96" s="119" t="n">
        <v>0</v>
      </c>
      <c r="U96" s="119" t="n">
        <v>0</v>
      </c>
      <c r="V96" s="119" t="n">
        <v>0</v>
      </c>
      <c r="W96" s="121"/>
      <c r="X96" s="119" t="n">
        <v>0</v>
      </c>
      <c r="Y96" s="119" t="n">
        <v>0</v>
      </c>
      <c r="Z96" s="119" t="n">
        <v>0</v>
      </c>
      <c r="AA96" s="119" t="n">
        <v>0</v>
      </c>
      <c r="AB96" s="121"/>
      <c r="AC96" s="119" t="n">
        <v>0</v>
      </c>
      <c r="AD96" s="119" t="n">
        <v>0</v>
      </c>
      <c r="AE96" s="119" t="n">
        <v>0</v>
      </c>
      <c r="AF96" s="121"/>
      <c r="AG96" s="122" t="n">
        <f aca="false">'form A info'!$AK140/1000</f>
        <v>3.75142</v>
      </c>
    </row>
    <row r="97" customFormat="false" ht="12.75" hidden="false" customHeight="false" outlineLevel="0" collapsed="false">
      <c r="A97" s="111" t="n">
        <v>4666</v>
      </c>
      <c r="B97" s="111" t="s">
        <v>378</v>
      </c>
      <c r="C97" s="118" t="str">
        <f aca="false">'form A info'!G141</f>
        <v>y</v>
      </c>
      <c r="D97" s="119" t="n">
        <v>967</v>
      </c>
      <c r="E97" s="119" t="n">
        <v>0</v>
      </c>
      <c r="F97" s="119" t="n">
        <v>553</v>
      </c>
      <c r="G97" s="119" t="n">
        <v>0</v>
      </c>
      <c r="H97" s="120"/>
      <c r="I97" s="119" t="n">
        <v>0</v>
      </c>
      <c r="J97" s="119" t="n">
        <v>0</v>
      </c>
      <c r="K97" s="119" t="n">
        <v>0</v>
      </c>
      <c r="L97" s="119" t="n">
        <v>0</v>
      </c>
      <c r="M97" s="120"/>
      <c r="N97" s="119" t="n">
        <v>0</v>
      </c>
      <c r="O97" s="119" t="n">
        <v>165</v>
      </c>
      <c r="P97" s="119" t="n">
        <v>93</v>
      </c>
      <c r="Q97" s="119" t="n">
        <v>0</v>
      </c>
      <c r="R97" s="121"/>
      <c r="S97" s="119" t="n">
        <v>11</v>
      </c>
      <c r="T97" s="119" t="n">
        <v>0</v>
      </c>
      <c r="U97" s="119" t="n">
        <v>0</v>
      </c>
      <c r="V97" s="119" t="n">
        <v>0</v>
      </c>
      <c r="W97" s="121"/>
      <c r="X97" s="119" t="n">
        <v>42</v>
      </c>
      <c r="Y97" s="119" t="n">
        <v>0</v>
      </c>
      <c r="Z97" s="119" t="n">
        <v>0</v>
      </c>
      <c r="AA97" s="119" t="n">
        <v>0</v>
      </c>
      <c r="AB97" s="121"/>
      <c r="AC97" s="119" t="n">
        <v>0</v>
      </c>
      <c r="AD97" s="119" t="n">
        <v>0</v>
      </c>
      <c r="AE97" s="119" t="n">
        <v>0</v>
      </c>
      <c r="AF97" s="121"/>
      <c r="AG97" s="122" t="n">
        <f aca="false">'form A info'!$AK141/1000</f>
        <v>0</v>
      </c>
    </row>
    <row r="98" customFormat="false" ht="12.75" hidden="false" customHeight="false" outlineLevel="0" collapsed="false">
      <c r="A98" s="111" t="n">
        <v>2580</v>
      </c>
      <c r="B98" s="111" t="s">
        <v>383</v>
      </c>
      <c r="C98" s="118" t="str">
        <f aca="false">'form A info'!G144</f>
        <v>y</v>
      </c>
      <c r="D98" s="119" t="n">
        <v>35</v>
      </c>
      <c r="E98" s="119" t="n">
        <v>484</v>
      </c>
      <c r="F98" s="119" t="n">
        <v>85</v>
      </c>
      <c r="G98" s="119" t="n">
        <v>40</v>
      </c>
      <c r="H98" s="120"/>
      <c r="I98" s="119" t="n">
        <v>0</v>
      </c>
      <c r="J98" s="119" t="n">
        <v>0</v>
      </c>
      <c r="K98" s="119" t="n">
        <v>0</v>
      </c>
      <c r="L98" s="119" t="n">
        <v>0</v>
      </c>
      <c r="M98" s="120"/>
      <c r="N98" s="119" t="n">
        <v>0</v>
      </c>
      <c r="O98" s="119" t="n">
        <v>17</v>
      </c>
      <c r="P98" s="119" t="n">
        <v>30</v>
      </c>
      <c r="Q98" s="119" t="n">
        <v>0</v>
      </c>
      <c r="R98" s="121"/>
      <c r="S98" s="119" t="n">
        <v>22</v>
      </c>
      <c r="T98" s="119" t="n">
        <v>0</v>
      </c>
      <c r="U98" s="119" t="n">
        <v>0</v>
      </c>
      <c r="V98" s="119" t="n">
        <v>0</v>
      </c>
      <c r="W98" s="121"/>
      <c r="X98" s="119" t="n">
        <v>0</v>
      </c>
      <c r="Y98" s="119" t="n">
        <v>0</v>
      </c>
      <c r="Z98" s="119" t="n">
        <v>0</v>
      </c>
      <c r="AA98" s="119" t="n">
        <v>0</v>
      </c>
      <c r="AB98" s="121"/>
      <c r="AC98" s="119" t="n">
        <v>8534</v>
      </c>
      <c r="AD98" s="119" t="n">
        <v>0</v>
      </c>
      <c r="AE98" s="119" t="n">
        <v>10755</v>
      </c>
      <c r="AF98" s="121"/>
      <c r="AG98" s="122" t="n">
        <f aca="false">'form A info'!$AK144/1000</f>
        <v>373.577</v>
      </c>
    </row>
    <row r="99" customFormat="false" ht="12.75" hidden="false" customHeight="false" outlineLevel="0" collapsed="false">
      <c r="A99" s="111" t="n">
        <v>732</v>
      </c>
      <c r="B99" s="111" t="s">
        <v>386</v>
      </c>
      <c r="C99" s="118" t="str">
        <f aca="false">'form A info'!G146</f>
        <v>y</v>
      </c>
      <c r="D99" s="119" t="n">
        <v>26</v>
      </c>
      <c r="E99" s="119" t="n">
        <v>876</v>
      </c>
      <c r="F99" s="119" t="n">
        <v>92</v>
      </c>
      <c r="G99" s="119" t="n">
        <v>19</v>
      </c>
      <c r="H99" s="120"/>
      <c r="I99" s="119" t="n">
        <v>0</v>
      </c>
      <c r="J99" s="119" t="n">
        <v>9</v>
      </c>
      <c r="K99" s="119" t="n">
        <v>9</v>
      </c>
      <c r="L99" s="119" t="n">
        <v>3</v>
      </c>
      <c r="M99" s="120"/>
      <c r="N99" s="119" t="n">
        <v>0</v>
      </c>
      <c r="O99" s="119" t="n">
        <v>50</v>
      </c>
      <c r="P99" s="119" t="n">
        <v>9</v>
      </c>
      <c r="Q99" s="119" t="n">
        <v>0</v>
      </c>
      <c r="R99" s="121"/>
      <c r="S99" s="119" t="n">
        <v>0</v>
      </c>
      <c r="T99" s="119" t="n">
        <v>0</v>
      </c>
      <c r="U99" s="119" t="n">
        <v>0</v>
      </c>
      <c r="V99" s="119" t="n">
        <v>0</v>
      </c>
      <c r="W99" s="121"/>
      <c r="X99" s="119" t="n">
        <v>0</v>
      </c>
      <c r="Y99" s="119" t="n">
        <v>0</v>
      </c>
      <c r="Z99" s="119" t="n">
        <v>0</v>
      </c>
      <c r="AA99" s="119" t="n">
        <v>0</v>
      </c>
      <c r="AB99" s="121"/>
      <c r="AC99" s="119" t="n">
        <v>0</v>
      </c>
      <c r="AD99" s="119" t="n">
        <v>0</v>
      </c>
      <c r="AE99" s="119" t="n">
        <v>0</v>
      </c>
      <c r="AF99" s="121"/>
      <c r="AG99" s="122" t="n">
        <f aca="false">'form A info'!$AK146/1000</f>
        <v>209.18924</v>
      </c>
    </row>
    <row r="100" customFormat="false" ht="12.75" hidden="false" customHeight="false" outlineLevel="0" collapsed="false">
      <c r="A100" s="111" t="n">
        <v>9180</v>
      </c>
      <c r="B100" s="111" t="s">
        <v>389</v>
      </c>
      <c r="C100" s="118" t="str">
        <f aca="false">'form A info'!G147</f>
        <v>y</v>
      </c>
      <c r="D100" s="119" t="n">
        <v>0</v>
      </c>
      <c r="E100" s="119" t="n">
        <v>0</v>
      </c>
      <c r="F100" s="119" t="n">
        <v>174</v>
      </c>
      <c r="G100" s="119" t="n">
        <v>15</v>
      </c>
      <c r="H100" s="120"/>
      <c r="I100" s="119" t="n">
        <v>0</v>
      </c>
      <c r="J100" s="119" t="n">
        <v>0</v>
      </c>
      <c r="K100" s="119" t="n">
        <v>0</v>
      </c>
      <c r="L100" s="119" t="n">
        <v>0</v>
      </c>
      <c r="M100" s="120"/>
      <c r="N100" s="119" t="n">
        <v>0</v>
      </c>
      <c r="O100" s="119" t="n">
        <v>0</v>
      </c>
      <c r="P100" s="119" t="n">
        <v>79</v>
      </c>
      <c r="Q100" s="119" t="n">
        <v>-6</v>
      </c>
      <c r="R100" s="121"/>
      <c r="S100" s="119" t="n">
        <v>0</v>
      </c>
      <c r="T100" s="119" t="n">
        <v>0</v>
      </c>
      <c r="U100" s="119" t="n">
        <v>0</v>
      </c>
      <c r="V100" s="119" t="n">
        <v>0</v>
      </c>
      <c r="W100" s="121"/>
      <c r="X100" s="119" t="n">
        <v>0</v>
      </c>
      <c r="Y100" s="119" t="n">
        <v>0</v>
      </c>
      <c r="Z100" s="119" t="n">
        <v>0</v>
      </c>
      <c r="AA100" s="119" t="n">
        <v>0</v>
      </c>
      <c r="AB100" s="121"/>
      <c r="AC100" s="119" t="n">
        <v>0</v>
      </c>
      <c r="AD100" s="119" t="n">
        <v>0</v>
      </c>
      <c r="AE100" s="119" t="n">
        <v>5000</v>
      </c>
      <c r="AF100" s="121"/>
      <c r="AG100" s="122" t="n">
        <f aca="false">'form A info'!$AK147/1000</f>
        <v>530.497</v>
      </c>
    </row>
    <row r="101" customFormat="false" ht="12.75" hidden="false" customHeight="false" outlineLevel="0" collapsed="false">
      <c r="A101" s="111" t="n">
        <v>520</v>
      </c>
      <c r="B101" s="111" t="s">
        <v>392</v>
      </c>
      <c r="C101" s="118" t="str">
        <f aca="false">'form A info'!G148</f>
        <v>y</v>
      </c>
      <c r="D101" s="119" t="n">
        <v>0</v>
      </c>
      <c r="E101" s="119" t="n">
        <v>0</v>
      </c>
      <c r="F101" s="119" t="n">
        <v>0</v>
      </c>
      <c r="G101" s="119" t="n">
        <v>0</v>
      </c>
      <c r="H101" s="120"/>
      <c r="I101" s="119" t="n">
        <v>0</v>
      </c>
      <c r="J101" s="119" t="n">
        <v>0</v>
      </c>
      <c r="K101" s="119" t="n">
        <v>0</v>
      </c>
      <c r="L101" s="119" t="n">
        <v>0</v>
      </c>
      <c r="M101" s="120"/>
      <c r="N101" s="119" t="n">
        <v>0</v>
      </c>
      <c r="O101" s="119" t="n">
        <v>0</v>
      </c>
      <c r="P101" s="119" t="n">
        <v>0</v>
      </c>
      <c r="Q101" s="119" t="n">
        <v>0</v>
      </c>
      <c r="R101" s="121"/>
      <c r="S101" s="119" t="n">
        <v>0</v>
      </c>
      <c r="T101" s="119" t="n">
        <v>0</v>
      </c>
      <c r="U101" s="119" t="n">
        <v>0</v>
      </c>
      <c r="V101" s="119" t="n">
        <v>0</v>
      </c>
      <c r="W101" s="121"/>
      <c r="X101" s="119" t="n">
        <v>0</v>
      </c>
      <c r="Y101" s="119" t="n">
        <v>0</v>
      </c>
      <c r="Z101" s="119" t="n">
        <v>0</v>
      </c>
      <c r="AA101" s="119" t="n">
        <v>0</v>
      </c>
      <c r="AB101" s="121"/>
      <c r="AC101" s="119" t="n">
        <v>0</v>
      </c>
      <c r="AD101" s="119" t="n">
        <v>0</v>
      </c>
      <c r="AE101" s="119" t="n">
        <v>0</v>
      </c>
      <c r="AF101" s="121"/>
      <c r="AG101" s="122" t="n">
        <f aca="false">'form A info'!$AK148/1000</f>
        <v>97.268</v>
      </c>
    </row>
    <row r="102" customFormat="false" ht="12.75" hidden="false" customHeight="false" outlineLevel="0" collapsed="false">
      <c r="A102" s="111" t="n">
        <v>2568</v>
      </c>
      <c r="B102" s="111" t="s">
        <v>392</v>
      </c>
      <c r="C102" s="118" t="str">
        <f aca="false">'form A info'!G149</f>
        <v>y</v>
      </c>
      <c r="D102" s="119" t="n">
        <v>10</v>
      </c>
      <c r="E102" s="119" t="n">
        <v>0</v>
      </c>
      <c r="F102" s="119" t="n">
        <v>33</v>
      </c>
      <c r="G102" s="119" t="n">
        <v>6</v>
      </c>
      <c r="H102" s="120"/>
      <c r="I102" s="119" t="n">
        <v>0</v>
      </c>
      <c r="J102" s="119" t="n">
        <v>0</v>
      </c>
      <c r="K102" s="119" t="n">
        <v>13</v>
      </c>
      <c r="L102" s="119" t="n">
        <v>1</v>
      </c>
      <c r="M102" s="120"/>
      <c r="N102" s="119" t="n">
        <v>0</v>
      </c>
      <c r="O102" s="119" t="n">
        <v>2</v>
      </c>
      <c r="P102" s="119" t="n">
        <v>3</v>
      </c>
      <c r="Q102" s="119" t="n">
        <v>1</v>
      </c>
      <c r="R102" s="121"/>
      <c r="S102" s="119" t="n">
        <v>0</v>
      </c>
      <c r="T102" s="119" t="n">
        <v>0</v>
      </c>
      <c r="U102" s="119" t="n">
        <v>0</v>
      </c>
      <c r="V102" s="119" t="n">
        <v>0</v>
      </c>
      <c r="W102" s="121"/>
      <c r="X102" s="119" t="n">
        <v>0</v>
      </c>
      <c r="Y102" s="119" t="n">
        <v>0</v>
      </c>
      <c r="Z102" s="119" t="n">
        <v>0</v>
      </c>
      <c r="AA102" s="119" t="n">
        <v>0</v>
      </c>
      <c r="AB102" s="121"/>
      <c r="AC102" s="119" t="n">
        <v>0</v>
      </c>
      <c r="AD102" s="119" t="n">
        <v>0</v>
      </c>
      <c r="AE102" s="119" t="n">
        <v>175226</v>
      </c>
      <c r="AF102" s="121"/>
      <c r="AG102" s="122" t="n">
        <f aca="false">'form A info'!$AK149/1000</f>
        <v>0</v>
      </c>
    </row>
    <row r="103" customFormat="false" ht="12.75" hidden="false" customHeight="false" outlineLevel="0" collapsed="false">
      <c r="A103" s="111" t="n">
        <v>1584</v>
      </c>
      <c r="B103" s="111" t="s">
        <v>394</v>
      </c>
      <c r="C103" s="118" t="str">
        <f aca="false">'form A info'!G150</f>
        <v>y</v>
      </c>
      <c r="D103" s="119" t="n">
        <v>43</v>
      </c>
      <c r="E103" s="119" t="n">
        <v>0</v>
      </c>
      <c r="F103" s="119" t="n">
        <v>61</v>
      </c>
      <c r="G103" s="119" t="n">
        <v>17</v>
      </c>
      <c r="H103" s="120"/>
      <c r="I103" s="119" t="n">
        <v>0</v>
      </c>
      <c r="J103" s="119" t="n">
        <v>0</v>
      </c>
      <c r="K103" s="119" t="n">
        <v>8</v>
      </c>
      <c r="L103" s="119" t="n">
        <v>1</v>
      </c>
      <c r="M103" s="120"/>
      <c r="N103" s="119" t="n">
        <v>0</v>
      </c>
      <c r="O103" s="119" t="n">
        <v>0</v>
      </c>
      <c r="P103" s="119" t="n">
        <v>12</v>
      </c>
      <c r="Q103" s="119" t="n">
        <v>2</v>
      </c>
      <c r="R103" s="121"/>
      <c r="S103" s="119" t="n">
        <v>0</v>
      </c>
      <c r="T103" s="119" t="n">
        <v>0</v>
      </c>
      <c r="U103" s="119" t="n">
        <v>0</v>
      </c>
      <c r="V103" s="119" t="n">
        <v>0</v>
      </c>
      <c r="W103" s="121"/>
      <c r="X103" s="119" t="n">
        <v>0</v>
      </c>
      <c r="Y103" s="119" t="n">
        <v>0</v>
      </c>
      <c r="Z103" s="119" t="n">
        <v>0</v>
      </c>
      <c r="AA103" s="119" t="n">
        <v>0</v>
      </c>
      <c r="AB103" s="121"/>
      <c r="AC103" s="119" t="n">
        <v>0</v>
      </c>
      <c r="AD103" s="119" t="n">
        <v>0</v>
      </c>
      <c r="AE103" s="119" t="n">
        <v>90213</v>
      </c>
      <c r="AF103" s="121"/>
      <c r="AG103" s="122" t="n">
        <f aca="false">'form A info'!$AK150/1000</f>
        <v>509.72</v>
      </c>
    </row>
    <row r="104" customFormat="false" ht="12.75" hidden="false" customHeight="false" outlineLevel="0" collapsed="false">
      <c r="A104" s="111" t="n">
        <v>2654</v>
      </c>
      <c r="B104" s="111" t="s">
        <v>396</v>
      </c>
      <c r="C104" s="118" t="str">
        <f aca="false">'form A info'!G151</f>
        <v>y</v>
      </c>
      <c r="D104" s="119" t="n">
        <v>0</v>
      </c>
      <c r="E104" s="119" t="n">
        <v>0</v>
      </c>
      <c r="F104" s="119" t="n">
        <v>11</v>
      </c>
      <c r="G104" s="119" t="n">
        <v>4</v>
      </c>
      <c r="H104" s="120"/>
      <c r="I104" s="119" t="n">
        <v>0</v>
      </c>
      <c r="J104" s="119" t="n">
        <v>0</v>
      </c>
      <c r="K104" s="119" t="n">
        <v>0</v>
      </c>
      <c r="L104" s="119" t="n">
        <v>1</v>
      </c>
      <c r="M104" s="120"/>
      <c r="N104" s="119" t="n">
        <v>0</v>
      </c>
      <c r="O104" s="119" t="n">
        <v>0</v>
      </c>
      <c r="P104" s="119" t="n">
        <v>3</v>
      </c>
      <c r="Q104" s="119" t="n">
        <v>5</v>
      </c>
      <c r="R104" s="121"/>
      <c r="S104" s="119" t="n">
        <v>0</v>
      </c>
      <c r="T104" s="119" t="n">
        <v>0</v>
      </c>
      <c r="U104" s="119" t="n">
        <v>0</v>
      </c>
      <c r="V104" s="119" t="n">
        <v>0</v>
      </c>
      <c r="W104" s="121"/>
      <c r="X104" s="119" t="n">
        <v>0</v>
      </c>
      <c r="Y104" s="119" t="n">
        <v>0</v>
      </c>
      <c r="Z104" s="119" t="n">
        <v>0</v>
      </c>
      <c r="AA104" s="119" t="n">
        <v>0</v>
      </c>
      <c r="AB104" s="121"/>
      <c r="AC104" s="119" t="n">
        <v>0</v>
      </c>
      <c r="AD104" s="119" t="n">
        <v>0</v>
      </c>
      <c r="AE104" s="119" t="n">
        <v>0</v>
      </c>
      <c r="AF104" s="121"/>
      <c r="AG104" s="122" t="n">
        <f aca="false">'form A info'!$AK151/1000</f>
        <v>78.71</v>
      </c>
    </row>
    <row r="105" customFormat="false" ht="12.75" hidden="false" customHeight="false" outlineLevel="0" collapsed="false">
      <c r="A105" s="111" t="n">
        <v>4830</v>
      </c>
      <c r="B105" s="111" t="s">
        <v>668</v>
      </c>
      <c r="C105" s="118" t="str">
        <f aca="false">'form A info'!G152</f>
        <v>y</v>
      </c>
      <c r="D105" s="119" t="n">
        <v>662</v>
      </c>
      <c r="E105" s="119" t="n">
        <v>593</v>
      </c>
      <c r="F105" s="119" t="n">
        <v>314</v>
      </c>
      <c r="G105" s="119" t="n">
        <v>6</v>
      </c>
      <c r="H105" s="120"/>
      <c r="I105" s="119" t="n">
        <v>0</v>
      </c>
      <c r="J105" s="119" t="n">
        <v>0</v>
      </c>
      <c r="K105" s="119" t="n">
        <v>64</v>
      </c>
      <c r="L105" s="119" t="n">
        <v>1</v>
      </c>
      <c r="M105" s="120"/>
      <c r="N105" s="119" t="n">
        <v>13</v>
      </c>
      <c r="O105" s="119" t="n">
        <v>32</v>
      </c>
      <c r="P105" s="119" t="n">
        <v>25</v>
      </c>
      <c r="Q105" s="119" t="n">
        <v>1</v>
      </c>
      <c r="R105" s="121"/>
      <c r="S105" s="119" t="n">
        <v>25</v>
      </c>
      <c r="T105" s="119" t="n">
        <v>3</v>
      </c>
      <c r="U105" s="119" t="n">
        <v>0</v>
      </c>
      <c r="V105" s="119" t="n">
        <v>0</v>
      </c>
      <c r="W105" s="121"/>
      <c r="X105" s="119" t="n">
        <v>175</v>
      </c>
      <c r="Y105" s="119" t="n">
        <v>0</v>
      </c>
      <c r="Z105" s="119" t="n">
        <v>0</v>
      </c>
      <c r="AA105" s="119" t="n">
        <v>0</v>
      </c>
      <c r="AB105" s="121"/>
      <c r="AC105" s="119" t="n">
        <v>0</v>
      </c>
      <c r="AD105" s="119" t="n">
        <v>0</v>
      </c>
      <c r="AE105" s="119" t="n">
        <v>0</v>
      </c>
      <c r="AF105" s="121"/>
      <c r="AG105" s="122" t="n">
        <f aca="false">'form A info'!$AK152/1000</f>
        <v>79.439</v>
      </c>
    </row>
    <row r="106" customFormat="false" ht="12.75" hidden="false" customHeight="false" outlineLevel="0" collapsed="false">
      <c r="A106" s="111" t="n">
        <v>1585</v>
      </c>
      <c r="B106" s="111" t="s">
        <v>400</v>
      </c>
      <c r="C106" s="118" t="str">
        <f aca="false">'form A info'!G153</f>
        <v>y</v>
      </c>
      <c r="D106" s="119" t="n">
        <v>0</v>
      </c>
      <c r="E106" s="119" t="n">
        <v>0</v>
      </c>
      <c r="F106" s="119" t="n">
        <v>8</v>
      </c>
      <c r="G106" s="119" t="n">
        <v>5</v>
      </c>
      <c r="H106" s="120"/>
      <c r="I106" s="119" t="n">
        <v>0</v>
      </c>
      <c r="J106" s="119" t="n">
        <v>0</v>
      </c>
      <c r="K106" s="119" t="n">
        <v>0</v>
      </c>
      <c r="L106" s="119" t="n">
        <v>0</v>
      </c>
      <c r="M106" s="120"/>
      <c r="N106" s="119" t="n">
        <v>0</v>
      </c>
      <c r="O106" s="119" t="n">
        <v>0</v>
      </c>
      <c r="P106" s="119" t="n">
        <v>0</v>
      </c>
      <c r="Q106" s="119" t="n">
        <v>0</v>
      </c>
      <c r="R106" s="121"/>
      <c r="S106" s="119" t="n">
        <v>0</v>
      </c>
      <c r="T106" s="119" t="n">
        <v>0</v>
      </c>
      <c r="U106" s="119" t="n">
        <v>0</v>
      </c>
      <c r="V106" s="119" t="n">
        <v>0</v>
      </c>
      <c r="W106" s="121"/>
      <c r="X106" s="119" t="n">
        <v>0</v>
      </c>
      <c r="Y106" s="119" t="n">
        <v>0</v>
      </c>
      <c r="Z106" s="119" t="n">
        <v>0</v>
      </c>
      <c r="AA106" s="119" t="n">
        <v>0</v>
      </c>
      <c r="AB106" s="121"/>
      <c r="AC106" s="119" t="n">
        <v>0</v>
      </c>
      <c r="AD106" s="119" t="n">
        <v>0</v>
      </c>
      <c r="AE106" s="119" t="n">
        <v>0</v>
      </c>
      <c r="AF106" s="121"/>
      <c r="AG106" s="122" t="n">
        <f aca="false">'form A info'!$AK153/1000</f>
        <v>0</v>
      </c>
    </row>
    <row r="107" customFormat="false" ht="12.75" hidden="false" customHeight="false" outlineLevel="0" collapsed="false">
      <c r="A107" s="111" t="n">
        <v>9397</v>
      </c>
      <c r="B107" s="111" t="s">
        <v>402</v>
      </c>
      <c r="C107" s="118" t="str">
        <f aca="false">'form A info'!G154</f>
        <v>y</v>
      </c>
      <c r="D107" s="119" t="n">
        <v>199</v>
      </c>
      <c r="E107" s="119" t="n">
        <v>0</v>
      </c>
      <c r="F107" s="119" t="n">
        <v>116</v>
      </c>
      <c r="G107" s="119" t="n">
        <v>-49</v>
      </c>
      <c r="H107" s="120"/>
      <c r="I107" s="119" t="n">
        <v>0</v>
      </c>
      <c r="J107" s="119" t="n">
        <v>0</v>
      </c>
      <c r="K107" s="119" t="n">
        <v>0</v>
      </c>
      <c r="L107" s="119" t="n">
        <v>0</v>
      </c>
      <c r="M107" s="120"/>
      <c r="N107" s="119" t="n">
        <v>0</v>
      </c>
      <c r="O107" s="119" t="n">
        <v>0</v>
      </c>
      <c r="P107" s="119" t="n">
        <v>67</v>
      </c>
      <c r="Q107" s="119" t="n">
        <v>0</v>
      </c>
      <c r="R107" s="121"/>
      <c r="S107" s="119" t="n">
        <v>12</v>
      </c>
      <c r="T107" s="119" t="n">
        <v>0</v>
      </c>
      <c r="U107" s="119" t="n">
        <v>0</v>
      </c>
      <c r="V107" s="119" t="n">
        <v>0</v>
      </c>
      <c r="W107" s="121"/>
      <c r="X107" s="119" t="n">
        <v>27</v>
      </c>
      <c r="Y107" s="119" t="n">
        <v>0</v>
      </c>
      <c r="Z107" s="119" t="n">
        <v>0</v>
      </c>
      <c r="AA107" s="119" t="n">
        <v>0</v>
      </c>
      <c r="AB107" s="121"/>
      <c r="AC107" s="119" t="n">
        <v>16458</v>
      </c>
      <c r="AD107" s="119" t="n">
        <v>0</v>
      </c>
      <c r="AE107" s="119" t="n">
        <v>0</v>
      </c>
      <c r="AF107" s="121"/>
      <c r="AG107" s="122" t="n">
        <f aca="false">'form A info'!$AK154/1000</f>
        <v>759.244</v>
      </c>
    </row>
    <row r="108" customFormat="false" ht="12.75" hidden="false" customHeight="false" outlineLevel="0" collapsed="false">
      <c r="A108" s="111" t="n">
        <v>1540</v>
      </c>
      <c r="B108" s="111" t="s">
        <v>410</v>
      </c>
      <c r="C108" s="118" t="str">
        <f aca="false">'form A info'!G156</f>
        <v>y</v>
      </c>
      <c r="D108" s="119" t="n">
        <v>116</v>
      </c>
      <c r="E108" s="119" t="n">
        <v>6</v>
      </c>
      <c r="F108" s="119" t="n">
        <v>113</v>
      </c>
      <c r="G108" s="119" t="n">
        <v>53</v>
      </c>
      <c r="H108" s="120"/>
      <c r="I108" s="119" t="n">
        <v>0</v>
      </c>
      <c r="J108" s="119" t="n">
        <v>0</v>
      </c>
      <c r="K108" s="119" t="n">
        <v>1</v>
      </c>
      <c r="L108" s="119" t="n">
        <v>0</v>
      </c>
      <c r="M108" s="120"/>
      <c r="N108" s="119" t="n">
        <v>0</v>
      </c>
      <c r="O108" s="119" t="n">
        <v>4</v>
      </c>
      <c r="P108" s="119" t="n">
        <v>64</v>
      </c>
      <c r="Q108" s="119" t="n">
        <v>1</v>
      </c>
      <c r="R108" s="121"/>
      <c r="S108" s="119" t="n">
        <v>0</v>
      </c>
      <c r="T108" s="119" t="n">
        <v>0</v>
      </c>
      <c r="U108" s="119" t="n">
        <v>0</v>
      </c>
      <c r="V108" s="119" t="n">
        <v>0</v>
      </c>
      <c r="W108" s="121"/>
      <c r="X108" s="119" t="n">
        <v>0</v>
      </c>
      <c r="Y108" s="119" t="n">
        <v>0</v>
      </c>
      <c r="Z108" s="119" t="n">
        <v>0</v>
      </c>
      <c r="AA108" s="119" t="n">
        <v>0</v>
      </c>
      <c r="AB108" s="121"/>
      <c r="AC108" s="119" t="n">
        <v>0</v>
      </c>
      <c r="AD108" s="119" t="n">
        <v>0</v>
      </c>
      <c r="AE108" s="119" t="n">
        <v>0</v>
      </c>
      <c r="AF108" s="121"/>
      <c r="AG108" s="122" t="n">
        <f aca="false">'form A info'!$AK156/1000</f>
        <v>371.338</v>
      </c>
    </row>
    <row r="109" customFormat="false" ht="12.75" hidden="false" customHeight="false" outlineLevel="0" collapsed="false">
      <c r="A109" s="111" t="n">
        <v>1926</v>
      </c>
      <c r="B109" s="111" t="s">
        <v>415</v>
      </c>
      <c r="C109" s="118" t="str">
        <f aca="false">'form A info'!G158</f>
        <v>y</v>
      </c>
      <c r="D109" s="119" t="n">
        <v>0</v>
      </c>
      <c r="E109" s="119" t="n">
        <v>0</v>
      </c>
      <c r="F109" s="119" t="n">
        <v>1</v>
      </c>
      <c r="G109" s="119" t="n">
        <v>-12</v>
      </c>
      <c r="H109" s="120"/>
      <c r="I109" s="119" t="n">
        <v>0</v>
      </c>
      <c r="J109" s="119" t="n">
        <v>0</v>
      </c>
      <c r="K109" s="119" t="n">
        <v>0</v>
      </c>
      <c r="L109" s="119" t="n">
        <v>0</v>
      </c>
      <c r="M109" s="120"/>
      <c r="N109" s="119" t="n">
        <v>0</v>
      </c>
      <c r="O109" s="119" t="n">
        <v>0</v>
      </c>
      <c r="P109" s="119" t="n">
        <v>0</v>
      </c>
      <c r="Q109" s="119" t="n">
        <v>1</v>
      </c>
      <c r="R109" s="121"/>
      <c r="S109" s="119" t="n">
        <v>0</v>
      </c>
      <c r="T109" s="119" t="n">
        <v>0</v>
      </c>
      <c r="U109" s="119" t="n">
        <v>0</v>
      </c>
      <c r="V109" s="119" t="n">
        <v>0</v>
      </c>
      <c r="W109" s="121"/>
      <c r="X109" s="119" t="n">
        <v>0</v>
      </c>
      <c r="Y109" s="119" t="n">
        <v>0</v>
      </c>
      <c r="Z109" s="119" t="n">
        <v>0</v>
      </c>
      <c r="AA109" s="119" t="n">
        <v>0</v>
      </c>
      <c r="AB109" s="121"/>
      <c r="AC109" s="119" t="n">
        <v>0</v>
      </c>
      <c r="AD109" s="119" t="n">
        <v>0</v>
      </c>
      <c r="AE109" s="119" t="n">
        <v>0</v>
      </c>
      <c r="AF109" s="121"/>
      <c r="AG109" s="122" t="n">
        <f aca="false">'form A info'!$AK158/1000</f>
        <v>0</v>
      </c>
    </row>
    <row r="110" customFormat="false" ht="12.75" hidden="false" customHeight="false" outlineLevel="0" collapsed="false">
      <c r="A110" s="111" t="n">
        <v>3527</v>
      </c>
      <c r="B110" s="111" t="s">
        <v>417</v>
      </c>
      <c r="C110" s="118" t="str">
        <f aca="false">'form A info'!G159</f>
        <v>y</v>
      </c>
      <c r="D110" s="119" t="n">
        <v>0</v>
      </c>
      <c r="E110" s="119" t="n">
        <v>0</v>
      </c>
      <c r="F110" s="119" t="n">
        <v>7</v>
      </c>
      <c r="G110" s="119" t="n">
        <v>19</v>
      </c>
      <c r="H110" s="120"/>
      <c r="I110" s="119" t="n">
        <v>0</v>
      </c>
      <c r="J110" s="119" t="n">
        <v>0</v>
      </c>
      <c r="K110" s="119" t="n">
        <v>0</v>
      </c>
      <c r="L110" s="119" t="n">
        <v>1</v>
      </c>
      <c r="M110" s="120"/>
      <c r="N110" s="119" t="n">
        <v>0</v>
      </c>
      <c r="O110" s="119" t="n">
        <v>0</v>
      </c>
      <c r="P110" s="119" t="n">
        <v>0</v>
      </c>
      <c r="Q110" s="119" t="n">
        <v>0</v>
      </c>
      <c r="R110" s="121"/>
      <c r="S110" s="119" t="n">
        <v>0</v>
      </c>
      <c r="T110" s="119" t="n">
        <v>0</v>
      </c>
      <c r="U110" s="119" t="n">
        <v>0</v>
      </c>
      <c r="V110" s="119" t="n">
        <v>0</v>
      </c>
      <c r="W110" s="121"/>
      <c r="X110" s="119" t="n">
        <v>0</v>
      </c>
      <c r="Y110" s="119" t="n">
        <v>0</v>
      </c>
      <c r="Z110" s="119" t="n">
        <v>0</v>
      </c>
      <c r="AA110" s="119" t="n">
        <v>0</v>
      </c>
      <c r="AB110" s="121"/>
      <c r="AC110" s="119" t="n">
        <v>0</v>
      </c>
      <c r="AD110" s="119" t="n">
        <v>0</v>
      </c>
      <c r="AE110" s="119" t="n">
        <v>0</v>
      </c>
      <c r="AF110" s="121"/>
      <c r="AG110" s="122" t="n">
        <f aca="false">'form A info'!$AK159/1000</f>
        <v>0</v>
      </c>
    </row>
    <row r="111" customFormat="false" ht="12.75" hidden="false" customHeight="false" outlineLevel="0" collapsed="false">
      <c r="A111" s="111" t="n">
        <v>2717</v>
      </c>
      <c r="B111" s="111" t="s">
        <v>419</v>
      </c>
      <c r="C111" s="118" t="str">
        <f aca="false">'form A info'!G160</f>
        <v>y</v>
      </c>
      <c r="D111" s="119" t="n">
        <v>54</v>
      </c>
      <c r="E111" s="119" t="n">
        <v>683</v>
      </c>
      <c r="F111" s="119" t="n">
        <v>114</v>
      </c>
      <c r="G111" s="119" t="n">
        <v>0</v>
      </c>
      <c r="H111" s="120"/>
      <c r="I111" s="119" t="n">
        <v>0</v>
      </c>
      <c r="J111" s="119" t="n">
        <v>0</v>
      </c>
      <c r="K111" s="119" t="n">
        <v>0</v>
      </c>
      <c r="L111" s="119" t="n">
        <v>0</v>
      </c>
      <c r="M111" s="120"/>
      <c r="N111" s="119" t="n">
        <v>0</v>
      </c>
      <c r="O111" s="119" t="n">
        <v>13</v>
      </c>
      <c r="P111" s="119" t="n">
        <v>33</v>
      </c>
      <c r="Q111" s="119" t="n">
        <v>0</v>
      </c>
      <c r="R111" s="121"/>
      <c r="S111" s="119" t="n">
        <v>0</v>
      </c>
      <c r="T111" s="119" t="n">
        <v>0</v>
      </c>
      <c r="U111" s="119" t="n">
        <v>0</v>
      </c>
      <c r="V111" s="119" t="n">
        <v>0</v>
      </c>
      <c r="W111" s="121"/>
      <c r="X111" s="119" t="n">
        <v>0</v>
      </c>
      <c r="Y111" s="119" t="n">
        <v>0</v>
      </c>
      <c r="Z111" s="119" t="n">
        <v>0</v>
      </c>
      <c r="AA111" s="119" t="n">
        <v>0</v>
      </c>
      <c r="AB111" s="121"/>
      <c r="AC111" s="119" t="n">
        <v>0</v>
      </c>
      <c r="AD111" s="119" t="n">
        <v>0</v>
      </c>
      <c r="AE111" s="119" t="n">
        <v>18095</v>
      </c>
      <c r="AF111" s="121"/>
      <c r="AG111" s="122" t="n">
        <f aca="false">'form A info'!$AK160/1000</f>
        <v>556.433</v>
      </c>
    </row>
    <row r="112" customFormat="false" ht="12.75" hidden="false" customHeight="false" outlineLevel="0" collapsed="false">
      <c r="A112" s="111" t="n">
        <v>9245</v>
      </c>
      <c r="B112" s="111" t="s">
        <v>422</v>
      </c>
      <c r="C112" s="118" t="str">
        <f aca="false">'form A info'!G161</f>
        <v>y</v>
      </c>
      <c r="D112" s="119" t="n">
        <v>0</v>
      </c>
      <c r="E112" s="119" t="n">
        <v>0</v>
      </c>
      <c r="F112" s="119" t="n">
        <v>145</v>
      </c>
      <c r="G112" s="119" t="n">
        <v>2</v>
      </c>
      <c r="H112" s="120"/>
      <c r="I112" s="119" t="n">
        <v>0</v>
      </c>
      <c r="J112" s="119" t="n">
        <v>0</v>
      </c>
      <c r="K112" s="119" t="n">
        <v>14</v>
      </c>
      <c r="L112" s="119" t="n">
        <v>0</v>
      </c>
      <c r="M112" s="120"/>
      <c r="N112" s="119" t="n">
        <v>0</v>
      </c>
      <c r="O112" s="119" t="n">
        <v>0</v>
      </c>
      <c r="P112" s="119" t="n">
        <v>9</v>
      </c>
      <c r="Q112" s="119" t="n">
        <v>0</v>
      </c>
      <c r="R112" s="121"/>
      <c r="S112" s="119" t="n">
        <v>0</v>
      </c>
      <c r="T112" s="119" t="n">
        <v>0</v>
      </c>
      <c r="U112" s="119" t="n">
        <v>0</v>
      </c>
      <c r="V112" s="119" t="n">
        <v>0</v>
      </c>
      <c r="W112" s="121"/>
      <c r="X112" s="119" t="n">
        <v>0</v>
      </c>
      <c r="Y112" s="119" t="n">
        <v>0</v>
      </c>
      <c r="Z112" s="119" t="n">
        <v>0</v>
      </c>
      <c r="AA112" s="119" t="n">
        <v>0</v>
      </c>
      <c r="AB112" s="121"/>
      <c r="AC112" s="119" t="n">
        <v>0</v>
      </c>
      <c r="AD112" s="119" t="n">
        <v>0</v>
      </c>
      <c r="AE112" s="119" t="n">
        <v>0</v>
      </c>
      <c r="AF112" s="121"/>
      <c r="AG112" s="122" t="n">
        <f aca="false">'form A info'!$AK161/1000</f>
        <v>0</v>
      </c>
    </row>
    <row r="113" customFormat="false" ht="12.75" hidden="false" customHeight="false" outlineLevel="0" collapsed="false">
      <c r="A113" s="111" t="n">
        <v>9250</v>
      </c>
      <c r="B113" s="111" t="s">
        <v>424</v>
      </c>
      <c r="C113" s="118" t="str">
        <f aca="false">'form A info'!G162</f>
        <v>y</v>
      </c>
      <c r="D113" s="119" t="n">
        <v>0</v>
      </c>
      <c r="E113" s="119" t="n">
        <v>0</v>
      </c>
      <c r="F113" s="119" t="n">
        <v>111</v>
      </c>
      <c r="G113" s="119" t="n">
        <v>2</v>
      </c>
      <c r="H113" s="120"/>
      <c r="I113" s="119" t="n">
        <v>0</v>
      </c>
      <c r="J113" s="119" t="n">
        <v>0</v>
      </c>
      <c r="K113" s="119" t="n">
        <v>67</v>
      </c>
      <c r="L113" s="119" t="n">
        <v>1</v>
      </c>
      <c r="M113" s="120"/>
      <c r="N113" s="119" t="n">
        <v>0</v>
      </c>
      <c r="O113" s="119" t="n">
        <v>0</v>
      </c>
      <c r="P113" s="119" t="n">
        <v>107</v>
      </c>
      <c r="Q113" s="119" t="n">
        <v>176</v>
      </c>
      <c r="R113" s="121"/>
      <c r="S113" s="119" t="n">
        <v>0</v>
      </c>
      <c r="T113" s="119" t="n">
        <v>0</v>
      </c>
      <c r="U113" s="119" t="n">
        <v>0</v>
      </c>
      <c r="V113" s="119" t="n">
        <v>0</v>
      </c>
      <c r="W113" s="121"/>
      <c r="X113" s="119" t="n">
        <v>67</v>
      </c>
      <c r="Y113" s="119" t="n">
        <v>0</v>
      </c>
      <c r="Z113" s="119" t="n">
        <v>0</v>
      </c>
      <c r="AA113" s="119" t="n">
        <v>0</v>
      </c>
      <c r="AB113" s="121"/>
      <c r="AC113" s="119" t="n">
        <v>82314</v>
      </c>
      <c r="AD113" s="119" t="n">
        <v>0</v>
      </c>
      <c r="AE113" s="119" t="n">
        <v>45586</v>
      </c>
      <c r="AF113" s="121"/>
      <c r="AG113" s="122" t="n">
        <f aca="false">'form A info'!$AK162/1000</f>
        <v>822.693</v>
      </c>
    </row>
    <row r="114" customFormat="false" ht="12.75" hidden="false" customHeight="false" outlineLevel="0" collapsed="false">
      <c r="A114" s="111" t="n">
        <v>4831</v>
      </c>
      <c r="B114" s="111" t="s">
        <v>427</v>
      </c>
      <c r="C114" s="118" t="str">
        <f aca="false">'form A info'!G163</f>
        <v>y</v>
      </c>
      <c r="D114" s="119" t="n">
        <v>259</v>
      </c>
      <c r="E114" s="119" t="n">
        <v>0</v>
      </c>
      <c r="F114" s="119" t="n">
        <v>204</v>
      </c>
      <c r="G114" s="119" t="n">
        <v>8</v>
      </c>
      <c r="H114" s="120"/>
      <c r="I114" s="119" t="n">
        <v>0</v>
      </c>
      <c r="J114" s="119" t="n">
        <v>0</v>
      </c>
      <c r="K114" s="119" t="n">
        <v>0</v>
      </c>
      <c r="L114" s="119" t="n">
        <v>0</v>
      </c>
      <c r="M114" s="120"/>
      <c r="N114" s="119" t="n">
        <v>2</v>
      </c>
      <c r="O114" s="119" t="n">
        <v>26</v>
      </c>
      <c r="P114" s="119" t="n">
        <v>5</v>
      </c>
      <c r="Q114" s="119" t="n">
        <v>0</v>
      </c>
      <c r="R114" s="121"/>
      <c r="S114" s="119" t="n">
        <v>6</v>
      </c>
      <c r="T114" s="119" t="n">
        <v>0</v>
      </c>
      <c r="U114" s="119" t="n">
        <v>0</v>
      </c>
      <c r="V114" s="119" t="n">
        <v>0</v>
      </c>
      <c r="W114" s="121"/>
      <c r="X114" s="119" t="n">
        <v>10</v>
      </c>
      <c r="Y114" s="119" t="n">
        <v>0</v>
      </c>
      <c r="Z114" s="119" t="n">
        <v>0</v>
      </c>
      <c r="AA114" s="119" t="n">
        <v>0</v>
      </c>
      <c r="AB114" s="121"/>
      <c r="AC114" s="119" t="n">
        <v>0</v>
      </c>
      <c r="AD114" s="119" t="n">
        <v>0</v>
      </c>
      <c r="AE114" s="119" t="n">
        <v>0</v>
      </c>
      <c r="AF114" s="121"/>
      <c r="AG114" s="122" t="n">
        <f aca="false">'form A info'!$AK163/1000</f>
        <v>28.05</v>
      </c>
    </row>
    <row r="115" customFormat="false" ht="12.75" hidden="false" customHeight="false" outlineLevel="0" collapsed="false">
      <c r="A115" s="111" t="n">
        <v>544</v>
      </c>
      <c r="B115" s="111" t="s">
        <v>428</v>
      </c>
      <c r="C115" s="118" t="str">
        <f aca="false">'form A info'!G164</f>
        <v>y</v>
      </c>
      <c r="D115" s="119" t="n">
        <v>0</v>
      </c>
      <c r="E115" s="119" t="n">
        <v>0</v>
      </c>
      <c r="F115" s="119" t="n">
        <v>30</v>
      </c>
      <c r="G115" s="119" t="n">
        <v>6</v>
      </c>
      <c r="H115" s="120"/>
      <c r="I115" s="119" t="n">
        <v>0</v>
      </c>
      <c r="J115" s="119" t="n">
        <v>0</v>
      </c>
      <c r="K115" s="119" t="n">
        <v>0</v>
      </c>
      <c r="L115" s="119" t="n">
        <v>0</v>
      </c>
      <c r="M115" s="120"/>
      <c r="N115" s="119" t="n">
        <v>0</v>
      </c>
      <c r="O115" s="119" t="n">
        <v>8</v>
      </c>
      <c r="P115" s="119" t="n">
        <v>14</v>
      </c>
      <c r="Q115" s="119" t="n">
        <v>0</v>
      </c>
      <c r="R115" s="121"/>
      <c r="S115" s="119" t="n">
        <v>0</v>
      </c>
      <c r="T115" s="119" t="n">
        <v>0</v>
      </c>
      <c r="U115" s="119" t="n">
        <v>0</v>
      </c>
      <c r="V115" s="119" t="n">
        <v>0</v>
      </c>
      <c r="W115" s="121"/>
      <c r="X115" s="119" t="n">
        <v>0</v>
      </c>
      <c r="Y115" s="119" t="n">
        <v>0</v>
      </c>
      <c r="Z115" s="119" t="n">
        <v>0</v>
      </c>
      <c r="AA115" s="119" t="n">
        <v>0</v>
      </c>
      <c r="AB115" s="121"/>
      <c r="AC115" s="119" t="n">
        <v>0</v>
      </c>
      <c r="AD115" s="119" t="n">
        <v>0</v>
      </c>
      <c r="AE115" s="119" t="n">
        <v>0</v>
      </c>
      <c r="AF115" s="121"/>
      <c r="AG115" s="122" t="n">
        <f aca="false">'form A info'!$AK164/1000</f>
        <v>0</v>
      </c>
    </row>
    <row r="116" customFormat="false" ht="12.75" hidden="false" customHeight="false" outlineLevel="0" collapsed="false">
      <c r="A116" s="111" t="n">
        <v>2525</v>
      </c>
      <c r="B116" s="111" t="s">
        <v>430</v>
      </c>
      <c r="C116" s="118" t="str">
        <f aca="false">'form A info'!G165</f>
        <v>y</v>
      </c>
      <c r="D116" s="119" t="n">
        <v>0</v>
      </c>
      <c r="E116" s="119" t="n">
        <v>0</v>
      </c>
      <c r="F116" s="119" t="n">
        <v>18</v>
      </c>
      <c r="G116" s="119" t="n">
        <v>6</v>
      </c>
      <c r="H116" s="120"/>
      <c r="I116" s="119" t="n">
        <v>0</v>
      </c>
      <c r="J116" s="119" t="n">
        <v>0</v>
      </c>
      <c r="K116" s="119" t="n">
        <v>0</v>
      </c>
      <c r="L116" s="119" t="n">
        <v>0</v>
      </c>
      <c r="M116" s="120"/>
      <c r="N116" s="119" t="n">
        <v>0</v>
      </c>
      <c r="O116" s="119" t="n">
        <v>1</v>
      </c>
      <c r="P116" s="119" t="n">
        <v>0</v>
      </c>
      <c r="Q116" s="119" t="n">
        <v>0</v>
      </c>
      <c r="R116" s="121"/>
      <c r="S116" s="119" t="n">
        <v>0</v>
      </c>
      <c r="T116" s="119" t="n">
        <v>0</v>
      </c>
      <c r="U116" s="119" t="n">
        <v>0</v>
      </c>
      <c r="V116" s="119" t="n">
        <v>0</v>
      </c>
      <c r="W116" s="121"/>
      <c r="X116" s="119" t="n">
        <v>0</v>
      </c>
      <c r="Y116" s="119" t="n">
        <v>0</v>
      </c>
      <c r="Z116" s="119" t="n">
        <v>0</v>
      </c>
      <c r="AA116" s="119" t="n">
        <v>0</v>
      </c>
      <c r="AB116" s="121"/>
      <c r="AC116" s="119" t="n">
        <v>0</v>
      </c>
      <c r="AD116" s="119" t="n">
        <v>0</v>
      </c>
      <c r="AE116" s="119" t="n">
        <v>0</v>
      </c>
      <c r="AF116" s="121"/>
      <c r="AG116" s="122" t="n">
        <f aca="false">'form A info'!$AK165/1000</f>
        <v>0</v>
      </c>
    </row>
    <row r="117" customFormat="false" ht="12.75" hidden="false" customHeight="false" outlineLevel="0" collapsed="false">
      <c r="A117" s="111" t="n">
        <v>2743</v>
      </c>
      <c r="B117" s="111" t="s">
        <v>432</v>
      </c>
      <c r="C117" s="118" t="str">
        <f aca="false">'form A info'!G166</f>
        <v>y</v>
      </c>
      <c r="D117" s="119" t="n">
        <v>189</v>
      </c>
      <c r="E117" s="119" t="n">
        <v>281</v>
      </c>
      <c r="F117" s="119" t="n">
        <v>27</v>
      </c>
      <c r="G117" s="119" t="n">
        <v>0</v>
      </c>
      <c r="H117" s="120"/>
      <c r="I117" s="119" t="n">
        <v>34</v>
      </c>
      <c r="J117" s="119" t="n">
        <v>0</v>
      </c>
      <c r="K117" s="119" t="n">
        <v>1</v>
      </c>
      <c r="L117" s="119" t="n">
        <v>0</v>
      </c>
      <c r="M117" s="120"/>
      <c r="N117" s="119" t="n">
        <v>16</v>
      </c>
      <c r="O117" s="119" t="n">
        <v>17</v>
      </c>
      <c r="P117" s="119" t="n">
        <v>19</v>
      </c>
      <c r="Q117" s="119" t="n">
        <v>0</v>
      </c>
      <c r="R117" s="121"/>
      <c r="S117" s="119" t="n">
        <v>28</v>
      </c>
      <c r="T117" s="119" t="n">
        <v>0</v>
      </c>
      <c r="U117" s="119" t="n">
        <v>0</v>
      </c>
      <c r="V117" s="119" t="n">
        <v>0</v>
      </c>
      <c r="W117" s="121"/>
      <c r="X117" s="119" t="n">
        <v>95</v>
      </c>
      <c r="Y117" s="119" t="n">
        <v>0</v>
      </c>
      <c r="Z117" s="119" t="n">
        <v>0</v>
      </c>
      <c r="AA117" s="119" t="n">
        <v>0</v>
      </c>
      <c r="AB117" s="121"/>
      <c r="AC117" s="119" t="n">
        <v>0</v>
      </c>
      <c r="AD117" s="119" t="n">
        <v>0</v>
      </c>
      <c r="AE117" s="119" t="n">
        <v>324699</v>
      </c>
      <c r="AF117" s="121"/>
      <c r="AG117" s="122" t="n">
        <f aca="false">'form A info'!$AK166/1000</f>
        <v>861.468</v>
      </c>
    </row>
    <row r="118" customFormat="false" ht="12.75" hidden="false" customHeight="false" outlineLevel="0" collapsed="false">
      <c r="A118" s="111" t="n">
        <v>4668</v>
      </c>
      <c r="B118" s="111" t="s">
        <v>435</v>
      </c>
      <c r="C118" s="118" t="str">
        <f aca="false">'form A info'!G167</f>
        <v>y</v>
      </c>
      <c r="D118" s="119" t="n">
        <v>0</v>
      </c>
      <c r="E118" s="119" t="n">
        <v>0</v>
      </c>
      <c r="F118" s="119" t="n">
        <v>189</v>
      </c>
      <c r="G118" s="119" t="n">
        <v>1</v>
      </c>
      <c r="H118" s="120"/>
      <c r="I118" s="119" t="n">
        <v>0</v>
      </c>
      <c r="J118" s="119" t="n">
        <v>0</v>
      </c>
      <c r="K118" s="119" t="n">
        <v>15</v>
      </c>
      <c r="L118" s="119" t="n">
        <v>0</v>
      </c>
      <c r="M118" s="120"/>
      <c r="N118" s="119" t="n">
        <v>0</v>
      </c>
      <c r="O118" s="119" t="n">
        <v>0</v>
      </c>
      <c r="P118" s="119" t="n">
        <v>35</v>
      </c>
      <c r="Q118" s="119" t="n">
        <v>0</v>
      </c>
      <c r="R118" s="121"/>
      <c r="S118" s="119" t="n">
        <v>0</v>
      </c>
      <c r="T118" s="119" t="n">
        <v>0</v>
      </c>
      <c r="U118" s="119" t="n">
        <v>0</v>
      </c>
      <c r="V118" s="119" t="n">
        <v>0</v>
      </c>
      <c r="W118" s="121"/>
      <c r="X118" s="119" t="n">
        <v>0</v>
      </c>
      <c r="Y118" s="119" t="n">
        <v>0</v>
      </c>
      <c r="Z118" s="119" t="n">
        <v>0</v>
      </c>
      <c r="AA118" s="119" t="n">
        <v>0</v>
      </c>
      <c r="AB118" s="121"/>
      <c r="AC118" s="119" t="n">
        <v>0</v>
      </c>
      <c r="AD118" s="119" t="n">
        <v>0</v>
      </c>
      <c r="AE118" s="119" t="n">
        <v>9761</v>
      </c>
      <c r="AF118" s="121"/>
      <c r="AG118" s="122" t="n">
        <f aca="false">'form A info'!$AK167/1000</f>
        <v>747.373</v>
      </c>
    </row>
    <row r="119" customFormat="false" ht="12.75" hidden="false" customHeight="false" outlineLevel="0" collapsed="false">
      <c r="A119" s="111" t="n">
        <v>4832</v>
      </c>
      <c r="B119" s="111" t="s">
        <v>439</v>
      </c>
      <c r="C119" s="118" t="str">
        <f aca="false">'form A info'!G169</f>
        <v>y</v>
      </c>
      <c r="D119" s="119" t="n">
        <v>0</v>
      </c>
      <c r="E119" s="119" t="n">
        <v>0</v>
      </c>
      <c r="F119" s="119" t="n">
        <v>242</v>
      </c>
      <c r="G119" s="119" t="n">
        <v>5</v>
      </c>
      <c r="H119" s="120"/>
      <c r="I119" s="119" t="n">
        <v>0</v>
      </c>
      <c r="J119" s="119" t="n">
        <v>0</v>
      </c>
      <c r="K119" s="119" t="n">
        <v>0</v>
      </c>
      <c r="L119" s="119" t="n">
        <v>0</v>
      </c>
      <c r="M119" s="120"/>
      <c r="N119" s="119" t="n">
        <v>0</v>
      </c>
      <c r="O119" s="119" t="n">
        <v>0</v>
      </c>
      <c r="P119" s="119" t="n">
        <v>40</v>
      </c>
      <c r="Q119" s="119" t="n">
        <v>1</v>
      </c>
      <c r="R119" s="121"/>
      <c r="S119" s="119" t="n">
        <v>0</v>
      </c>
      <c r="T119" s="119" t="n">
        <v>1</v>
      </c>
      <c r="U119" s="119" t="n">
        <v>0</v>
      </c>
      <c r="V119" s="119" t="n">
        <v>0</v>
      </c>
      <c r="W119" s="121"/>
      <c r="X119" s="119" t="n">
        <v>4</v>
      </c>
      <c r="Y119" s="119" t="n">
        <v>0</v>
      </c>
      <c r="Z119" s="119" t="n">
        <v>0</v>
      </c>
      <c r="AA119" s="119" t="n">
        <v>0</v>
      </c>
      <c r="AB119" s="121"/>
      <c r="AC119" s="119" t="n">
        <v>0</v>
      </c>
      <c r="AD119" s="119" t="n">
        <v>0</v>
      </c>
      <c r="AE119" s="119" t="n">
        <v>0</v>
      </c>
      <c r="AF119" s="121"/>
      <c r="AG119" s="122" t="n">
        <f aca="false">'form A info'!$AK169/1000</f>
        <v>26.383</v>
      </c>
    </row>
    <row r="120" customFormat="false" ht="12.75" hidden="false" customHeight="false" outlineLevel="0" collapsed="false">
      <c r="A120" s="111" t="n">
        <v>2924</v>
      </c>
      <c r="B120" s="111" t="s">
        <v>443</v>
      </c>
      <c r="C120" s="118" t="str">
        <f aca="false">'form A info'!G171</f>
        <v>y</v>
      </c>
      <c r="D120" s="119" t="n">
        <v>0</v>
      </c>
      <c r="E120" s="119" t="n">
        <v>0</v>
      </c>
      <c r="F120" s="119" t="n">
        <v>173</v>
      </c>
      <c r="G120" s="119" t="n">
        <v>17</v>
      </c>
      <c r="H120" s="120"/>
      <c r="I120" s="119" t="n">
        <v>0</v>
      </c>
      <c r="J120" s="119" t="n">
        <v>0</v>
      </c>
      <c r="K120" s="119" t="n">
        <v>0</v>
      </c>
      <c r="L120" s="119" t="n">
        <v>0</v>
      </c>
      <c r="M120" s="120"/>
      <c r="N120" s="119" t="n">
        <v>0</v>
      </c>
      <c r="O120" s="119" t="n">
        <v>37</v>
      </c>
      <c r="P120" s="119" t="n">
        <v>32</v>
      </c>
      <c r="Q120" s="119" t="n">
        <v>0</v>
      </c>
      <c r="R120" s="121"/>
      <c r="S120" s="119" t="n">
        <v>0</v>
      </c>
      <c r="T120" s="119" t="n">
        <v>0</v>
      </c>
      <c r="U120" s="119" t="n">
        <v>0</v>
      </c>
      <c r="V120" s="119" t="n">
        <v>0</v>
      </c>
      <c r="W120" s="121"/>
      <c r="X120" s="119" t="n">
        <v>0</v>
      </c>
      <c r="Y120" s="119" t="n">
        <v>0</v>
      </c>
      <c r="Z120" s="119" t="n">
        <v>0</v>
      </c>
      <c r="AA120" s="119" t="n">
        <v>0</v>
      </c>
      <c r="AB120" s="121"/>
      <c r="AC120" s="119" t="n">
        <v>99165</v>
      </c>
      <c r="AD120" s="119" t="n">
        <v>0</v>
      </c>
      <c r="AE120" s="119" t="n">
        <v>0</v>
      </c>
      <c r="AF120" s="121"/>
      <c r="AG120" s="122" t="n">
        <f aca="false">'form A info'!$AK171/1000</f>
        <v>694.8</v>
      </c>
    </row>
    <row r="121" customFormat="false" ht="12.75" hidden="false" customHeight="false" outlineLevel="0" collapsed="false">
      <c r="A121" s="111" t="n">
        <v>4670</v>
      </c>
      <c r="B121" s="111" t="s">
        <v>445</v>
      </c>
      <c r="C121" s="118" t="str">
        <f aca="false">'form A info'!G172</f>
        <v>y</v>
      </c>
      <c r="D121" s="119" t="n">
        <v>1520</v>
      </c>
      <c r="E121" s="119" t="n">
        <v>0</v>
      </c>
      <c r="F121" s="119" t="n">
        <v>64</v>
      </c>
      <c r="G121" s="119" t="n">
        <v>-46</v>
      </c>
      <c r="H121" s="120"/>
      <c r="I121" s="119" t="n">
        <v>0</v>
      </c>
      <c r="J121" s="119" t="n">
        <v>0</v>
      </c>
      <c r="K121" s="119" t="n">
        <v>0</v>
      </c>
      <c r="L121" s="119" t="n">
        <v>0</v>
      </c>
      <c r="M121" s="120"/>
      <c r="N121" s="119" t="n">
        <v>29</v>
      </c>
      <c r="O121" s="119" t="n">
        <v>0</v>
      </c>
      <c r="P121" s="119" t="n">
        <v>1</v>
      </c>
      <c r="Q121" s="119" t="n">
        <v>0</v>
      </c>
      <c r="R121" s="121"/>
      <c r="S121" s="119" t="n">
        <v>0</v>
      </c>
      <c r="T121" s="119" t="n">
        <v>0</v>
      </c>
      <c r="U121" s="119" t="n">
        <v>0</v>
      </c>
      <c r="V121" s="119" t="n">
        <v>0</v>
      </c>
      <c r="W121" s="121"/>
      <c r="X121" s="119" t="n">
        <v>415</v>
      </c>
      <c r="Y121" s="119" t="n">
        <v>0</v>
      </c>
      <c r="Z121" s="119" t="n">
        <v>0</v>
      </c>
      <c r="AA121" s="119" t="n">
        <v>0</v>
      </c>
      <c r="AB121" s="121"/>
      <c r="AC121" s="119" t="n">
        <v>0</v>
      </c>
      <c r="AD121" s="119" t="n">
        <v>0</v>
      </c>
      <c r="AE121" s="119" t="n">
        <v>0</v>
      </c>
      <c r="AF121" s="121"/>
      <c r="AG121" s="122" t="n">
        <f aca="false">'form A info'!$AK172/1000</f>
        <v>0</v>
      </c>
    </row>
    <row r="122" customFormat="false" ht="12.75" hidden="false" customHeight="false" outlineLevel="0" collapsed="false">
      <c r="A122" s="111" t="n">
        <v>4508</v>
      </c>
      <c r="B122" s="111" t="s">
        <v>446</v>
      </c>
      <c r="C122" s="118" t="str">
        <f aca="false">'form A info'!G173</f>
        <v>y</v>
      </c>
      <c r="D122" s="119" t="n">
        <v>0</v>
      </c>
      <c r="E122" s="119" t="n">
        <v>0</v>
      </c>
      <c r="F122" s="119" t="n">
        <v>163</v>
      </c>
      <c r="G122" s="119" t="n">
        <v>0</v>
      </c>
      <c r="H122" s="120"/>
      <c r="I122" s="119" t="n">
        <v>0</v>
      </c>
      <c r="J122" s="119" t="n">
        <v>0</v>
      </c>
      <c r="K122" s="119" t="n">
        <v>0</v>
      </c>
      <c r="L122" s="119" t="n">
        <v>0</v>
      </c>
      <c r="M122" s="120"/>
      <c r="N122" s="119" t="n">
        <v>0</v>
      </c>
      <c r="O122" s="119" t="n">
        <v>0</v>
      </c>
      <c r="P122" s="119" t="n">
        <v>60</v>
      </c>
      <c r="Q122" s="119" t="n">
        <v>0</v>
      </c>
      <c r="R122" s="121"/>
      <c r="S122" s="119" t="n">
        <v>0</v>
      </c>
      <c r="T122" s="119" t="n">
        <v>0</v>
      </c>
      <c r="U122" s="119" t="n">
        <v>0</v>
      </c>
      <c r="V122" s="119" t="n">
        <v>0</v>
      </c>
      <c r="W122" s="121"/>
      <c r="X122" s="119" t="n">
        <v>0</v>
      </c>
      <c r="Y122" s="119" t="n">
        <v>0</v>
      </c>
      <c r="Z122" s="119" t="n">
        <v>0</v>
      </c>
      <c r="AA122" s="119" t="n">
        <v>0</v>
      </c>
      <c r="AB122" s="121"/>
      <c r="AC122" s="119" t="n">
        <v>14498</v>
      </c>
      <c r="AD122" s="119" t="n">
        <v>0</v>
      </c>
      <c r="AE122" s="119" t="n">
        <v>7000</v>
      </c>
      <c r="AF122" s="121"/>
      <c r="AG122" s="122" t="n">
        <f aca="false">'form A info'!$AK173/1000</f>
        <v>0</v>
      </c>
    </row>
    <row r="123" customFormat="false" ht="12.75" hidden="false" customHeight="false" outlineLevel="0" collapsed="false">
      <c r="A123" s="111" t="n">
        <v>1536</v>
      </c>
      <c r="B123" s="111" t="s">
        <v>450</v>
      </c>
      <c r="C123" s="118" t="str">
        <f aca="false">'form A info'!G175</f>
        <v>y</v>
      </c>
      <c r="D123" s="119" t="n">
        <v>0</v>
      </c>
      <c r="E123" s="119" t="n">
        <v>0</v>
      </c>
      <c r="F123" s="119" t="n">
        <v>5</v>
      </c>
      <c r="G123" s="119" t="n">
        <v>0</v>
      </c>
      <c r="H123" s="120"/>
      <c r="I123" s="119" t="n">
        <v>0</v>
      </c>
      <c r="J123" s="119" t="n">
        <v>0</v>
      </c>
      <c r="K123" s="119" t="n">
        <v>0</v>
      </c>
      <c r="L123" s="119" t="n">
        <v>0</v>
      </c>
      <c r="M123" s="120"/>
      <c r="N123" s="119" t="n">
        <v>0</v>
      </c>
      <c r="O123" s="119" t="n">
        <v>0</v>
      </c>
      <c r="P123" s="119" t="n">
        <v>0</v>
      </c>
      <c r="Q123" s="119" t="n">
        <v>0</v>
      </c>
      <c r="R123" s="121"/>
      <c r="S123" s="119" t="n">
        <v>0</v>
      </c>
      <c r="T123" s="119" t="n">
        <v>0</v>
      </c>
      <c r="U123" s="119" t="n">
        <v>0</v>
      </c>
      <c r="V123" s="119" t="n">
        <v>0</v>
      </c>
      <c r="W123" s="121"/>
      <c r="X123" s="119" t="n">
        <v>0</v>
      </c>
      <c r="Y123" s="119" t="n">
        <v>0</v>
      </c>
      <c r="Z123" s="119" t="n">
        <v>0</v>
      </c>
      <c r="AA123" s="119" t="n">
        <v>0</v>
      </c>
      <c r="AB123" s="121"/>
      <c r="AC123" s="119" t="n">
        <v>0</v>
      </c>
      <c r="AD123" s="119" t="n">
        <v>0</v>
      </c>
      <c r="AE123" s="119" t="n">
        <v>0</v>
      </c>
      <c r="AF123" s="121"/>
      <c r="AG123" s="122" t="n">
        <f aca="false">'form A info'!$AK175/1000</f>
        <v>0</v>
      </c>
    </row>
    <row r="124" customFormat="false" ht="12.75" hidden="false" customHeight="false" outlineLevel="0" collapsed="false">
      <c r="A124" s="111" t="n">
        <v>4834</v>
      </c>
      <c r="B124" s="111" t="s">
        <v>669</v>
      </c>
      <c r="C124" s="118" t="str">
        <f aca="false">'form A info'!G176</f>
        <v>y</v>
      </c>
      <c r="D124" s="119" t="n">
        <v>327</v>
      </c>
      <c r="E124" s="119" t="n">
        <v>540</v>
      </c>
      <c r="F124" s="119" t="n">
        <v>215</v>
      </c>
      <c r="G124" s="119" t="n">
        <v>0</v>
      </c>
      <c r="H124" s="120"/>
      <c r="I124" s="119" t="n">
        <v>0</v>
      </c>
      <c r="J124" s="119" t="n">
        <v>0</v>
      </c>
      <c r="K124" s="119" t="n">
        <v>0</v>
      </c>
      <c r="L124" s="119" t="n">
        <v>0</v>
      </c>
      <c r="M124" s="120"/>
      <c r="N124" s="119" t="n">
        <v>32</v>
      </c>
      <c r="O124" s="119" t="n">
        <v>85</v>
      </c>
      <c r="P124" s="119" t="n">
        <v>92</v>
      </c>
      <c r="Q124" s="119" t="n">
        <v>0</v>
      </c>
      <c r="R124" s="121"/>
      <c r="S124" s="119" t="n">
        <v>9</v>
      </c>
      <c r="T124" s="119" t="n">
        <v>1</v>
      </c>
      <c r="U124" s="119" t="n">
        <v>0</v>
      </c>
      <c r="V124" s="119" t="n">
        <v>0</v>
      </c>
      <c r="W124" s="121"/>
      <c r="X124" s="119" t="n">
        <v>60</v>
      </c>
      <c r="Y124" s="119" t="n">
        <v>0</v>
      </c>
      <c r="Z124" s="119" t="n">
        <v>0</v>
      </c>
      <c r="AA124" s="119" t="n">
        <v>0</v>
      </c>
      <c r="AB124" s="121"/>
      <c r="AC124" s="119" t="n">
        <v>0</v>
      </c>
      <c r="AD124" s="119" t="n">
        <v>0</v>
      </c>
      <c r="AE124" s="119" t="n">
        <v>0</v>
      </c>
      <c r="AF124" s="121"/>
      <c r="AG124" s="122" t="n">
        <f aca="false">'form A info'!$AK176/1000</f>
        <v>1.512</v>
      </c>
    </row>
    <row r="125" customFormat="false" ht="12.75" hidden="false" customHeight="false" outlineLevel="0" collapsed="false">
      <c r="A125" s="111" t="n">
        <v>2318</v>
      </c>
      <c r="B125" s="111" t="s">
        <v>461</v>
      </c>
      <c r="C125" s="118" t="str">
        <f aca="false">'form A info'!G179</f>
        <v>y</v>
      </c>
      <c r="D125" s="119" t="n">
        <v>51</v>
      </c>
      <c r="E125" s="119" t="n">
        <v>61</v>
      </c>
      <c r="F125" s="119" t="n">
        <v>24</v>
      </c>
      <c r="G125" s="119" t="n">
        <v>-1</v>
      </c>
      <c r="H125" s="120"/>
      <c r="I125" s="119" t="n">
        <v>0</v>
      </c>
      <c r="J125" s="119" t="n">
        <v>0</v>
      </c>
      <c r="K125" s="119" t="n">
        <v>2</v>
      </c>
      <c r="L125" s="119" t="n">
        <v>0</v>
      </c>
      <c r="M125" s="120"/>
      <c r="N125" s="119" t="n">
        <v>0</v>
      </c>
      <c r="O125" s="119" t="n">
        <v>1</v>
      </c>
      <c r="P125" s="119" t="n">
        <v>4</v>
      </c>
      <c r="Q125" s="119" t="n">
        <v>0</v>
      </c>
      <c r="R125" s="121"/>
      <c r="S125" s="119" t="n">
        <v>0</v>
      </c>
      <c r="T125" s="119" t="n">
        <v>0</v>
      </c>
      <c r="U125" s="119" t="n">
        <v>0</v>
      </c>
      <c r="V125" s="119" t="n">
        <v>0</v>
      </c>
      <c r="W125" s="121"/>
      <c r="X125" s="119" t="n">
        <v>0</v>
      </c>
      <c r="Y125" s="119" t="n">
        <v>0</v>
      </c>
      <c r="Z125" s="119" t="n">
        <v>0</v>
      </c>
      <c r="AA125" s="119" t="n">
        <v>0</v>
      </c>
      <c r="AB125" s="121"/>
      <c r="AC125" s="119" t="n">
        <v>9776</v>
      </c>
      <c r="AD125" s="119" t="n">
        <v>0</v>
      </c>
      <c r="AE125" s="119" t="n">
        <v>14515</v>
      </c>
      <c r="AF125" s="121"/>
      <c r="AG125" s="122" t="n">
        <f aca="false">'form A info'!$AK179/1000</f>
        <v>352.425</v>
      </c>
    </row>
    <row r="126" customFormat="false" ht="12.75" hidden="false" customHeight="false" outlineLevel="0" collapsed="false">
      <c r="A126" s="111" t="n">
        <v>9419</v>
      </c>
      <c r="B126" s="111" t="s">
        <v>463</v>
      </c>
      <c r="C126" s="118" t="str">
        <f aca="false">'form A info'!G180</f>
        <v>y</v>
      </c>
      <c r="D126" s="119" t="n">
        <v>0</v>
      </c>
      <c r="E126" s="119" t="n">
        <v>0</v>
      </c>
      <c r="F126" s="119" t="n">
        <v>62</v>
      </c>
      <c r="G126" s="119" t="n">
        <v>26</v>
      </c>
      <c r="H126" s="120"/>
      <c r="I126" s="119" t="n">
        <v>0</v>
      </c>
      <c r="J126" s="119" t="n">
        <v>0</v>
      </c>
      <c r="K126" s="119" t="n">
        <v>6</v>
      </c>
      <c r="L126" s="119" t="n">
        <v>2</v>
      </c>
      <c r="M126" s="120"/>
      <c r="N126" s="119" t="n">
        <v>0</v>
      </c>
      <c r="O126" s="119" t="n">
        <v>0</v>
      </c>
      <c r="P126" s="119" t="n">
        <v>7</v>
      </c>
      <c r="Q126" s="119" t="n">
        <v>3</v>
      </c>
      <c r="R126" s="121"/>
      <c r="S126" s="119" t="n">
        <v>0</v>
      </c>
      <c r="T126" s="119" t="n">
        <v>0</v>
      </c>
      <c r="U126" s="119" t="n">
        <v>0</v>
      </c>
      <c r="V126" s="119" t="n">
        <v>0</v>
      </c>
      <c r="W126" s="121"/>
      <c r="X126" s="119" t="n">
        <v>0</v>
      </c>
      <c r="Y126" s="119" t="n">
        <v>0</v>
      </c>
      <c r="Z126" s="119" t="n">
        <v>0</v>
      </c>
      <c r="AA126" s="119" t="n">
        <v>0</v>
      </c>
      <c r="AB126" s="121"/>
      <c r="AC126" s="119" t="n">
        <v>88626</v>
      </c>
      <c r="AD126" s="119" t="n">
        <v>0</v>
      </c>
      <c r="AE126" s="119" t="n">
        <v>0</v>
      </c>
      <c r="AF126" s="121"/>
      <c r="AG126" s="122" t="n">
        <f aca="false">'form A info'!$AK180/1000</f>
        <v>430.564</v>
      </c>
    </row>
    <row r="127" customFormat="false" ht="12.75" hidden="false" customHeight="false" outlineLevel="0" collapsed="false">
      <c r="A127" s="111" t="n">
        <v>9421</v>
      </c>
      <c r="B127" s="111" t="s">
        <v>465</v>
      </c>
      <c r="C127" s="118" t="str">
        <f aca="false">'form A info'!G181</f>
        <v>y</v>
      </c>
      <c r="D127" s="119" t="n">
        <v>0</v>
      </c>
      <c r="E127" s="119" t="n">
        <v>0</v>
      </c>
      <c r="F127" s="119" t="n">
        <v>382</v>
      </c>
      <c r="G127" s="119" t="n">
        <v>10</v>
      </c>
      <c r="H127" s="120"/>
      <c r="I127" s="119" t="n">
        <v>0</v>
      </c>
      <c r="J127" s="119" t="n">
        <v>0</v>
      </c>
      <c r="K127" s="119" t="n">
        <v>16</v>
      </c>
      <c r="L127" s="119" t="n">
        <v>14</v>
      </c>
      <c r="M127" s="120"/>
      <c r="N127" s="119" t="n">
        <v>0</v>
      </c>
      <c r="O127" s="119" t="n">
        <v>0</v>
      </c>
      <c r="P127" s="119" t="n">
        <v>116</v>
      </c>
      <c r="Q127" s="119" t="n">
        <v>0</v>
      </c>
      <c r="R127" s="121"/>
      <c r="S127" s="119" t="n">
        <v>0</v>
      </c>
      <c r="T127" s="119" t="n">
        <v>0</v>
      </c>
      <c r="U127" s="119" t="n">
        <v>0</v>
      </c>
      <c r="V127" s="119" t="n">
        <v>0</v>
      </c>
      <c r="W127" s="121"/>
      <c r="X127" s="119" t="n">
        <v>0</v>
      </c>
      <c r="Y127" s="119" t="n">
        <v>0</v>
      </c>
      <c r="Z127" s="119" t="n">
        <v>0</v>
      </c>
      <c r="AA127" s="119" t="n">
        <v>0</v>
      </c>
      <c r="AB127" s="121"/>
      <c r="AC127" s="119" t="n">
        <v>0</v>
      </c>
      <c r="AD127" s="119" t="n">
        <v>0</v>
      </c>
      <c r="AE127" s="119" t="n">
        <v>0</v>
      </c>
      <c r="AF127" s="121"/>
      <c r="AG127" s="122" t="n">
        <f aca="false">'form A info'!$AK181/1000</f>
        <v>972.717</v>
      </c>
    </row>
    <row r="128" customFormat="false" ht="12.75" hidden="false" customHeight="false" outlineLevel="0" collapsed="false">
      <c r="A128" s="111" t="n">
        <v>3518</v>
      </c>
      <c r="B128" s="111" t="s">
        <v>467</v>
      </c>
      <c r="C128" s="118" t="str">
        <f aca="false">'form A info'!G182</f>
        <v>y</v>
      </c>
      <c r="D128" s="119" t="n">
        <v>0</v>
      </c>
      <c r="E128" s="119" t="n">
        <v>0</v>
      </c>
      <c r="F128" s="119" t="n">
        <v>10</v>
      </c>
      <c r="G128" s="119" t="n">
        <v>0</v>
      </c>
      <c r="H128" s="120"/>
      <c r="I128" s="119" t="n">
        <v>0</v>
      </c>
      <c r="J128" s="119" t="n">
        <v>0</v>
      </c>
      <c r="K128" s="119" t="n">
        <v>0</v>
      </c>
      <c r="L128" s="119" t="n">
        <v>0</v>
      </c>
      <c r="M128" s="120"/>
      <c r="N128" s="119" t="n">
        <v>0</v>
      </c>
      <c r="O128" s="119" t="n">
        <v>0</v>
      </c>
      <c r="P128" s="119" t="n">
        <v>0</v>
      </c>
      <c r="Q128" s="119" t="n">
        <v>0</v>
      </c>
      <c r="R128" s="121"/>
      <c r="S128" s="119" t="n">
        <v>0</v>
      </c>
      <c r="T128" s="119" t="n">
        <v>0</v>
      </c>
      <c r="U128" s="119" t="n">
        <v>0</v>
      </c>
      <c r="V128" s="119" t="n">
        <v>0</v>
      </c>
      <c r="W128" s="121"/>
      <c r="X128" s="119" t="n">
        <v>0</v>
      </c>
      <c r="Y128" s="119" t="n">
        <v>0</v>
      </c>
      <c r="Z128" s="119" t="n">
        <v>0</v>
      </c>
      <c r="AA128" s="119" t="n">
        <v>0</v>
      </c>
      <c r="AB128" s="121"/>
      <c r="AC128" s="119" t="n">
        <v>0</v>
      </c>
      <c r="AD128" s="119" t="n">
        <v>0</v>
      </c>
      <c r="AE128" s="119" t="n">
        <v>0</v>
      </c>
      <c r="AF128" s="121"/>
      <c r="AG128" s="122" t="n">
        <f aca="false">'form A info'!$AK182/1000</f>
        <v>75.404</v>
      </c>
    </row>
    <row r="129" customFormat="false" ht="12.75" hidden="false" customHeight="false" outlineLevel="0" collapsed="false">
      <c r="A129" s="111" t="n">
        <v>9555</v>
      </c>
      <c r="B129" s="111" t="s">
        <v>469</v>
      </c>
      <c r="C129" s="118" t="str">
        <f aca="false">'form A info'!G183</f>
        <v>y</v>
      </c>
      <c r="D129" s="119" t="n">
        <v>0</v>
      </c>
      <c r="E129" s="119" t="n">
        <v>0</v>
      </c>
      <c r="F129" s="119" t="n">
        <v>168</v>
      </c>
      <c r="G129" s="119" t="n">
        <v>10</v>
      </c>
      <c r="H129" s="120"/>
      <c r="I129" s="119" t="n">
        <v>0</v>
      </c>
      <c r="J129" s="119" t="n">
        <v>0</v>
      </c>
      <c r="K129" s="119" t="n">
        <v>6</v>
      </c>
      <c r="L129" s="119" t="n">
        <v>0</v>
      </c>
      <c r="M129" s="120"/>
      <c r="N129" s="119" t="n">
        <v>0</v>
      </c>
      <c r="O129" s="119" t="n">
        <v>0</v>
      </c>
      <c r="P129" s="119" t="n">
        <v>20</v>
      </c>
      <c r="Q129" s="119" t="n">
        <v>0</v>
      </c>
      <c r="R129" s="121"/>
      <c r="S129" s="119" t="n">
        <v>0</v>
      </c>
      <c r="T129" s="119" t="n">
        <v>0</v>
      </c>
      <c r="U129" s="119" t="n">
        <v>0</v>
      </c>
      <c r="V129" s="119" t="n">
        <v>0</v>
      </c>
      <c r="W129" s="121"/>
      <c r="X129" s="119" t="n">
        <v>0</v>
      </c>
      <c r="Y129" s="119" t="n">
        <v>0</v>
      </c>
      <c r="Z129" s="119" t="n">
        <v>0</v>
      </c>
      <c r="AA129" s="119" t="n">
        <v>0</v>
      </c>
      <c r="AB129" s="121"/>
      <c r="AC129" s="119" t="n">
        <v>13500</v>
      </c>
      <c r="AD129" s="119" t="n">
        <v>0</v>
      </c>
      <c r="AE129" s="119" t="n">
        <v>0</v>
      </c>
      <c r="AF129" s="121"/>
      <c r="AG129" s="122" t="n">
        <f aca="false">'form A info'!$AK183/1000</f>
        <v>459.312</v>
      </c>
    </row>
    <row r="130" customFormat="false" ht="12.75" hidden="false" customHeight="false" outlineLevel="0" collapsed="false">
      <c r="A130" s="111" t="n">
        <v>9448</v>
      </c>
      <c r="B130" s="111" t="s">
        <v>471</v>
      </c>
      <c r="C130" s="118" t="str">
        <f aca="false">'form A info'!G184</f>
        <v>y</v>
      </c>
      <c r="D130" s="119" t="n">
        <v>0</v>
      </c>
      <c r="E130" s="119" t="n">
        <v>0</v>
      </c>
      <c r="F130" s="119" t="n">
        <v>28</v>
      </c>
      <c r="G130" s="119" t="n">
        <v>9</v>
      </c>
      <c r="H130" s="120"/>
      <c r="I130" s="119" t="n">
        <v>0</v>
      </c>
      <c r="J130" s="119" t="n">
        <v>0</v>
      </c>
      <c r="K130" s="119" t="n">
        <v>2</v>
      </c>
      <c r="L130" s="119" t="n">
        <v>2</v>
      </c>
      <c r="M130" s="120"/>
      <c r="N130" s="119" t="n">
        <v>0</v>
      </c>
      <c r="O130" s="119" t="n">
        <v>0</v>
      </c>
      <c r="P130" s="119" t="n">
        <v>5</v>
      </c>
      <c r="Q130" s="119" t="n">
        <v>1</v>
      </c>
      <c r="R130" s="121"/>
      <c r="S130" s="119" t="n">
        <v>0</v>
      </c>
      <c r="T130" s="119" t="n">
        <v>0</v>
      </c>
      <c r="U130" s="119" t="n">
        <v>0</v>
      </c>
      <c r="V130" s="119" t="n">
        <v>0</v>
      </c>
      <c r="W130" s="121"/>
      <c r="X130" s="119" t="n">
        <v>0</v>
      </c>
      <c r="Y130" s="119" t="n">
        <v>0</v>
      </c>
      <c r="Z130" s="119" t="n">
        <v>0</v>
      </c>
      <c r="AA130" s="119" t="n">
        <v>0</v>
      </c>
      <c r="AB130" s="121"/>
      <c r="AC130" s="119" t="n">
        <v>0</v>
      </c>
      <c r="AD130" s="119" t="n">
        <v>0</v>
      </c>
      <c r="AE130" s="119" t="n">
        <v>25926</v>
      </c>
      <c r="AF130" s="121"/>
      <c r="AG130" s="122" t="n">
        <f aca="false">'form A info'!$AK184/1000</f>
        <v>237.598</v>
      </c>
    </row>
    <row r="131" customFormat="false" ht="12.75" hidden="false" customHeight="false" outlineLevel="0" collapsed="false">
      <c r="A131" s="111" t="n">
        <v>9445</v>
      </c>
      <c r="B131" s="111" t="s">
        <v>474</v>
      </c>
      <c r="C131" s="118" t="str">
        <f aca="false">'form A info'!G185</f>
        <v>y</v>
      </c>
      <c r="D131" s="119" t="n">
        <v>0</v>
      </c>
      <c r="E131" s="119" t="n">
        <v>1</v>
      </c>
      <c r="F131" s="119" t="n">
        <v>92</v>
      </c>
      <c r="G131" s="119" t="n">
        <v>37</v>
      </c>
      <c r="H131" s="120"/>
      <c r="I131" s="119" t="n">
        <v>0</v>
      </c>
      <c r="J131" s="119" t="n">
        <v>0</v>
      </c>
      <c r="K131" s="119" t="n">
        <v>14</v>
      </c>
      <c r="L131" s="119" t="n">
        <v>12</v>
      </c>
      <c r="M131" s="120"/>
      <c r="N131" s="119" t="n">
        <v>0</v>
      </c>
      <c r="O131" s="119" t="n">
        <v>0</v>
      </c>
      <c r="P131" s="119" t="n">
        <v>102</v>
      </c>
      <c r="Q131" s="119" t="n">
        <v>0</v>
      </c>
      <c r="R131" s="121"/>
      <c r="S131" s="119" t="n">
        <v>0</v>
      </c>
      <c r="T131" s="119" t="n">
        <v>0</v>
      </c>
      <c r="U131" s="119" t="n">
        <v>0</v>
      </c>
      <c r="V131" s="119" t="n">
        <v>0</v>
      </c>
      <c r="W131" s="121"/>
      <c r="X131" s="119" t="n">
        <v>0</v>
      </c>
      <c r="Y131" s="119" t="n">
        <v>0</v>
      </c>
      <c r="Z131" s="119" t="n">
        <v>0</v>
      </c>
      <c r="AA131" s="119" t="n">
        <v>0</v>
      </c>
      <c r="AB131" s="121"/>
      <c r="AC131" s="119" t="n">
        <v>0</v>
      </c>
      <c r="AD131" s="119" t="n">
        <v>0</v>
      </c>
      <c r="AE131" s="119" t="n">
        <v>0</v>
      </c>
      <c r="AF131" s="121"/>
      <c r="AG131" s="122" t="n">
        <f aca="false">'form A info'!$AK185/1000</f>
        <v>303.22</v>
      </c>
    </row>
    <row r="132" customFormat="false" ht="12.75" hidden="false" customHeight="false" outlineLevel="0" collapsed="false">
      <c r="A132" s="111" t="n">
        <v>4671</v>
      </c>
      <c r="B132" s="111" t="s">
        <v>480</v>
      </c>
      <c r="C132" s="118" t="str">
        <f aca="false">'form A info'!G188</f>
        <v>y</v>
      </c>
      <c r="D132" s="119" t="n">
        <v>277</v>
      </c>
      <c r="E132" s="119" t="n">
        <v>0</v>
      </c>
      <c r="F132" s="119" t="n">
        <v>296</v>
      </c>
      <c r="G132" s="119" t="n">
        <v>4</v>
      </c>
      <c r="H132" s="120"/>
      <c r="I132" s="119" t="n">
        <v>127</v>
      </c>
      <c r="J132" s="119" t="n">
        <v>0</v>
      </c>
      <c r="K132" s="119" t="n">
        <v>5</v>
      </c>
      <c r="L132" s="119" t="n">
        <v>0</v>
      </c>
      <c r="M132" s="120"/>
      <c r="N132" s="119" t="n">
        <v>18</v>
      </c>
      <c r="O132" s="119" t="n">
        <v>0</v>
      </c>
      <c r="P132" s="119" t="n">
        <v>7</v>
      </c>
      <c r="Q132" s="119" t="n">
        <v>-1</v>
      </c>
      <c r="R132" s="121"/>
      <c r="S132" s="119" t="n">
        <v>105</v>
      </c>
      <c r="T132" s="119" t="n">
        <v>0</v>
      </c>
      <c r="U132" s="119" t="n">
        <v>0</v>
      </c>
      <c r="V132" s="119" t="n">
        <v>0</v>
      </c>
      <c r="W132" s="121"/>
      <c r="X132" s="119" t="n">
        <v>248</v>
      </c>
      <c r="Y132" s="119" t="n">
        <v>0</v>
      </c>
      <c r="Z132" s="119" t="n">
        <v>0</v>
      </c>
      <c r="AA132" s="119" t="n">
        <v>0</v>
      </c>
      <c r="AB132" s="121"/>
      <c r="AC132" s="119" t="n">
        <v>0</v>
      </c>
      <c r="AD132" s="119" t="n">
        <v>0</v>
      </c>
      <c r="AE132" s="119" t="n">
        <v>0</v>
      </c>
      <c r="AF132" s="121"/>
      <c r="AG132" s="122" t="n">
        <f aca="false">'form A info'!$AK188/1000</f>
        <v>0</v>
      </c>
    </row>
    <row r="133" customFormat="false" ht="12.75" hidden="false" customHeight="false" outlineLevel="0" collapsed="false">
      <c r="A133" s="111" t="n">
        <v>4835</v>
      </c>
      <c r="B133" s="111" t="s">
        <v>670</v>
      </c>
      <c r="C133" s="118" t="str">
        <f aca="false">'form A info'!G190</f>
        <v>y</v>
      </c>
      <c r="D133" s="119" t="n">
        <v>657</v>
      </c>
      <c r="E133" s="119" t="n">
        <v>1072</v>
      </c>
      <c r="F133" s="119" t="n">
        <v>576</v>
      </c>
      <c r="G133" s="119" t="n">
        <v>0</v>
      </c>
      <c r="H133" s="120"/>
      <c r="I133" s="119" t="n">
        <v>0</v>
      </c>
      <c r="J133" s="119" t="n">
        <v>0</v>
      </c>
      <c r="K133" s="119" t="n">
        <v>0</v>
      </c>
      <c r="L133" s="119" t="n">
        <v>0</v>
      </c>
      <c r="M133" s="120"/>
      <c r="N133" s="119" t="n">
        <v>20</v>
      </c>
      <c r="O133" s="119" t="n">
        <v>119</v>
      </c>
      <c r="P133" s="119" t="n">
        <v>0</v>
      </c>
      <c r="Q133" s="119" t="n">
        <v>0</v>
      </c>
      <c r="R133" s="121"/>
      <c r="S133" s="119" t="n">
        <v>72</v>
      </c>
      <c r="T133" s="119" t="n">
        <v>4</v>
      </c>
      <c r="U133" s="119" t="n">
        <v>0</v>
      </c>
      <c r="V133" s="119" t="n">
        <v>0</v>
      </c>
      <c r="W133" s="121"/>
      <c r="X133" s="119" t="n">
        <v>108</v>
      </c>
      <c r="Y133" s="119" t="n">
        <v>0</v>
      </c>
      <c r="Z133" s="119" t="n">
        <v>0</v>
      </c>
      <c r="AA133" s="119" t="n">
        <v>0</v>
      </c>
      <c r="AB133" s="121"/>
      <c r="AC133" s="119" t="n">
        <v>0</v>
      </c>
      <c r="AD133" s="119" t="n">
        <v>0</v>
      </c>
      <c r="AE133" s="119" t="n">
        <v>0</v>
      </c>
      <c r="AF133" s="121"/>
      <c r="AG133" s="122" t="n">
        <f aca="false">'form A info'!$AK190/1000</f>
        <v>143.493</v>
      </c>
    </row>
    <row r="134" customFormat="false" ht="12.75" hidden="false" customHeight="false" outlineLevel="0" collapsed="false">
      <c r="A134" s="111" t="n">
        <v>4836</v>
      </c>
      <c r="B134" s="111" t="s">
        <v>671</v>
      </c>
      <c r="C134" s="118" t="str">
        <f aca="false">'form A info'!G192</f>
        <v>y</v>
      </c>
      <c r="D134" s="119" t="n">
        <v>120</v>
      </c>
      <c r="E134" s="119" t="n">
        <v>0</v>
      </c>
      <c r="F134" s="119" t="n">
        <v>1379</v>
      </c>
      <c r="G134" s="119" t="n">
        <v>19</v>
      </c>
      <c r="H134" s="120"/>
      <c r="I134" s="119" t="n">
        <v>0</v>
      </c>
      <c r="J134" s="119" t="n">
        <v>0</v>
      </c>
      <c r="K134" s="119" t="n">
        <v>-2</v>
      </c>
      <c r="L134" s="119" t="n">
        <v>0</v>
      </c>
      <c r="M134" s="120"/>
      <c r="N134" s="119" t="n">
        <v>0</v>
      </c>
      <c r="O134" s="119" t="n">
        <v>0</v>
      </c>
      <c r="P134" s="119" t="n">
        <v>35</v>
      </c>
      <c r="Q134" s="119" t="n">
        <v>4</v>
      </c>
      <c r="R134" s="121"/>
      <c r="S134" s="119" t="n">
        <v>0</v>
      </c>
      <c r="T134" s="119" t="n">
        <v>0</v>
      </c>
      <c r="U134" s="119" t="n">
        <v>0</v>
      </c>
      <c r="V134" s="119" t="n">
        <v>0</v>
      </c>
      <c r="W134" s="121"/>
      <c r="X134" s="119" t="n">
        <v>0</v>
      </c>
      <c r="Y134" s="119" t="n">
        <v>0</v>
      </c>
      <c r="Z134" s="119" t="n">
        <v>0</v>
      </c>
      <c r="AA134" s="119" t="n">
        <v>0</v>
      </c>
      <c r="AB134" s="121"/>
      <c r="AC134" s="119" t="n">
        <v>0</v>
      </c>
      <c r="AD134" s="119" t="n">
        <v>0</v>
      </c>
      <c r="AE134" s="119" t="n">
        <v>0</v>
      </c>
      <c r="AF134" s="121"/>
      <c r="AG134" s="122" t="n">
        <f aca="false">'form A info'!$AK192/1000</f>
        <v>0</v>
      </c>
    </row>
    <row r="135" customFormat="false" ht="12.75" hidden="false" customHeight="false" outlineLevel="0" collapsed="false">
      <c r="A135" s="111" t="n">
        <v>3107</v>
      </c>
      <c r="B135" s="111" t="s">
        <v>491</v>
      </c>
      <c r="C135" s="118" t="str">
        <f aca="false">'form A info'!G193</f>
        <v>y</v>
      </c>
      <c r="D135" s="119" t="n">
        <v>493</v>
      </c>
      <c r="E135" s="119" t="n">
        <v>632</v>
      </c>
      <c r="F135" s="119" t="n">
        <v>193</v>
      </c>
      <c r="G135" s="119" t="n">
        <v>1</v>
      </c>
      <c r="H135" s="120"/>
      <c r="I135" s="119" t="n">
        <v>0</v>
      </c>
      <c r="J135" s="119" t="n">
        <v>29</v>
      </c>
      <c r="K135" s="119" t="n">
        <v>0</v>
      </c>
      <c r="L135" s="119" t="n">
        <v>0</v>
      </c>
      <c r="M135" s="120"/>
      <c r="N135" s="119" t="n">
        <v>15</v>
      </c>
      <c r="O135" s="119" t="n">
        <v>31</v>
      </c>
      <c r="P135" s="119" t="n">
        <v>47</v>
      </c>
      <c r="Q135" s="119" t="n">
        <v>0</v>
      </c>
      <c r="R135" s="121"/>
      <c r="S135" s="119" t="n">
        <v>57</v>
      </c>
      <c r="T135" s="119" t="n">
        <v>0</v>
      </c>
      <c r="U135" s="119" t="n">
        <v>0</v>
      </c>
      <c r="V135" s="119" t="n">
        <v>0</v>
      </c>
      <c r="W135" s="121"/>
      <c r="X135" s="119" t="n">
        <v>90</v>
      </c>
      <c r="Y135" s="119" t="n">
        <v>0</v>
      </c>
      <c r="Z135" s="119" t="n">
        <v>0</v>
      </c>
      <c r="AA135" s="119" t="n">
        <v>0</v>
      </c>
      <c r="AB135" s="121"/>
      <c r="AC135" s="119" t="n">
        <v>182949</v>
      </c>
      <c r="AD135" s="119" t="n">
        <v>0</v>
      </c>
      <c r="AE135" s="119" t="n">
        <v>0</v>
      </c>
      <c r="AF135" s="121"/>
      <c r="AG135" s="122" t="n">
        <f aca="false">'form A info'!$AK193/1000</f>
        <v>1427.621</v>
      </c>
    </row>
    <row r="136" customFormat="false" ht="12.75" hidden="false" customHeight="false" outlineLevel="0" collapsed="false">
      <c r="A136" s="111" t="n">
        <v>4837</v>
      </c>
      <c r="B136" s="111" t="s">
        <v>495</v>
      </c>
      <c r="C136" s="118" t="str">
        <f aca="false">'form A info'!G196</f>
        <v>y</v>
      </c>
      <c r="D136" s="119" t="n">
        <v>243</v>
      </c>
      <c r="E136" s="119" t="n">
        <v>0</v>
      </c>
      <c r="F136" s="119" t="n">
        <v>261</v>
      </c>
      <c r="G136" s="119" t="n">
        <v>9</v>
      </c>
      <c r="H136" s="120"/>
      <c r="I136" s="119" t="n">
        <v>0</v>
      </c>
      <c r="J136" s="119" t="n">
        <v>0</v>
      </c>
      <c r="K136" s="119" t="n">
        <v>-29</v>
      </c>
      <c r="L136" s="119" t="n">
        <v>0</v>
      </c>
      <c r="M136" s="120"/>
      <c r="N136" s="119" t="n">
        <v>0</v>
      </c>
      <c r="O136" s="119" t="n">
        <v>0</v>
      </c>
      <c r="P136" s="119" t="n">
        <v>94</v>
      </c>
      <c r="Q136" s="119" t="n">
        <v>0</v>
      </c>
      <c r="R136" s="121"/>
      <c r="S136" s="119" t="n">
        <v>1</v>
      </c>
      <c r="T136" s="119" t="n">
        <v>2</v>
      </c>
      <c r="U136" s="119" t="n">
        <v>0</v>
      </c>
      <c r="V136" s="119" t="n">
        <v>0</v>
      </c>
      <c r="W136" s="121"/>
      <c r="X136" s="119" t="n">
        <v>13</v>
      </c>
      <c r="Y136" s="119" t="n">
        <v>0</v>
      </c>
      <c r="Z136" s="119" t="n">
        <v>0</v>
      </c>
      <c r="AA136" s="119" t="n">
        <v>0</v>
      </c>
      <c r="AB136" s="121"/>
      <c r="AC136" s="119" t="n">
        <v>0</v>
      </c>
      <c r="AD136" s="119" t="n">
        <v>0</v>
      </c>
      <c r="AE136" s="119" t="n">
        <v>0</v>
      </c>
      <c r="AF136" s="121"/>
      <c r="AG136" s="122" t="n">
        <f aca="false">'form A info'!$AK196/1000</f>
        <v>0</v>
      </c>
    </row>
    <row r="137" customFormat="false" ht="12.75" hidden="false" customHeight="false" outlineLevel="0" collapsed="false">
      <c r="A137" s="111" t="n">
        <v>4674</v>
      </c>
      <c r="B137" s="111" t="s">
        <v>508</v>
      </c>
      <c r="C137" s="118" t="str">
        <f aca="false">'form A info'!G203</f>
        <v>y</v>
      </c>
      <c r="D137" s="119" t="n">
        <v>764</v>
      </c>
      <c r="E137" s="119" t="n">
        <v>199</v>
      </c>
      <c r="F137" s="119" t="n">
        <v>147</v>
      </c>
      <c r="G137" s="119" t="n">
        <v>-29</v>
      </c>
      <c r="H137" s="120"/>
      <c r="I137" s="119" t="n">
        <v>0</v>
      </c>
      <c r="J137" s="119" t="n">
        <v>0</v>
      </c>
      <c r="K137" s="119" t="n">
        <v>2</v>
      </c>
      <c r="L137" s="119" t="n">
        <v>2</v>
      </c>
      <c r="M137" s="120"/>
      <c r="N137" s="119" t="n">
        <v>0</v>
      </c>
      <c r="O137" s="119" t="n">
        <v>60</v>
      </c>
      <c r="P137" s="119" t="n">
        <v>40</v>
      </c>
      <c r="Q137" s="119" t="n">
        <v>-9</v>
      </c>
      <c r="R137" s="121"/>
      <c r="S137" s="119" t="n">
        <v>34</v>
      </c>
      <c r="T137" s="119" t="n">
        <v>0</v>
      </c>
      <c r="U137" s="119" t="n">
        <v>0</v>
      </c>
      <c r="V137" s="119" t="n">
        <v>0</v>
      </c>
      <c r="W137" s="121"/>
      <c r="X137" s="119" t="n">
        <v>88</v>
      </c>
      <c r="Y137" s="119" t="n">
        <v>0</v>
      </c>
      <c r="Z137" s="119" t="n">
        <v>0</v>
      </c>
      <c r="AA137" s="119" t="n">
        <v>0</v>
      </c>
      <c r="AB137" s="121"/>
      <c r="AC137" s="119" t="n">
        <v>0</v>
      </c>
      <c r="AD137" s="119" t="n">
        <v>0</v>
      </c>
      <c r="AE137" s="119" t="n">
        <v>21165</v>
      </c>
      <c r="AF137" s="121"/>
      <c r="AG137" s="122" t="n">
        <f aca="false">'form A info'!$AK203/1000</f>
        <v>936.983</v>
      </c>
    </row>
    <row r="138" customFormat="false" ht="12.75" hidden="false" customHeight="false" outlineLevel="0" collapsed="false">
      <c r="A138" s="111" t="n">
        <v>3725</v>
      </c>
      <c r="B138" s="111" t="s">
        <v>510</v>
      </c>
      <c r="C138" s="118" t="str">
        <f aca="false">'form A info'!G204</f>
        <v>y</v>
      </c>
      <c r="D138" s="119" t="n">
        <v>41</v>
      </c>
      <c r="E138" s="119" t="n">
        <v>329</v>
      </c>
      <c r="F138" s="119" t="n">
        <v>69</v>
      </c>
      <c r="G138" s="119" t="n">
        <v>0</v>
      </c>
      <c r="H138" s="120"/>
      <c r="I138" s="119" t="n">
        <v>0</v>
      </c>
      <c r="J138" s="119" t="n">
        <v>0</v>
      </c>
      <c r="K138" s="119" t="n">
        <v>0</v>
      </c>
      <c r="L138" s="119" t="n">
        <v>0</v>
      </c>
      <c r="M138" s="120"/>
      <c r="N138" s="119" t="n">
        <v>0</v>
      </c>
      <c r="O138" s="119" t="n">
        <v>10</v>
      </c>
      <c r="P138" s="119" t="n">
        <v>8</v>
      </c>
      <c r="Q138" s="119" t="n">
        <v>0</v>
      </c>
      <c r="R138" s="121"/>
      <c r="S138" s="119" t="n">
        <v>0</v>
      </c>
      <c r="T138" s="119" t="n">
        <v>0</v>
      </c>
      <c r="U138" s="119" t="n">
        <v>0</v>
      </c>
      <c r="V138" s="119" t="n">
        <v>0</v>
      </c>
      <c r="W138" s="121"/>
      <c r="X138" s="119" t="n">
        <v>0</v>
      </c>
      <c r="Y138" s="119" t="n">
        <v>0</v>
      </c>
      <c r="Z138" s="119" t="n">
        <v>0</v>
      </c>
      <c r="AA138" s="119" t="n">
        <v>0</v>
      </c>
      <c r="AB138" s="121"/>
      <c r="AC138" s="119" t="n">
        <v>0</v>
      </c>
      <c r="AD138" s="119" t="n">
        <v>0</v>
      </c>
      <c r="AE138" s="119" t="n">
        <v>10591</v>
      </c>
      <c r="AF138" s="121"/>
      <c r="AG138" s="122" t="n">
        <f aca="false">'form A info'!$AK204/1000</f>
        <v>435.047</v>
      </c>
    </row>
    <row r="139" customFormat="false" ht="12.75" hidden="false" customHeight="false" outlineLevel="0" collapsed="false">
      <c r="A139" s="111" t="n">
        <v>4838</v>
      </c>
      <c r="B139" s="111" t="s">
        <v>672</v>
      </c>
      <c r="C139" s="118" t="str">
        <f aca="false">'form A info'!G206</f>
        <v>y</v>
      </c>
      <c r="D139" s="119" t="n">
        <v>214</v>
      </c>
      <c r="E139" s="119" t="n">
        <v>0</v>
      </c>
      <c r="F139" s="119" t="n">
        <v>783</v>
      </c>
      <c r="G139" s="119" t="n">
        <v>5</v>
      </c>
      <c r="H139" s="120"/>
      <c r="I139" s="119" t="n">
        <v>0</v>
      </c>
      <c r="J139" s="119" t="n">
        <v>0</v>
      </c>
      <c r="K139" s="119" t="n">
        <v>74</v>
      </c>
      <c r="L139" s="119" t="n">
        <v>0</v>
      </c>
      <c r="M139" s="120"/>
      <c r="N139" s="119" t="n">
        <v>162</v>
      </c>
      <c r="O139" s="119" t="n">
        <v>0</v>
      </c>
      <c r="P139" s="119" t="n">
        <v>32</v>
      </c>
      <c r="Q139" s="119" t="n">
        <v>3</v>
      </c>
      <c r="R139" s="121"/>
      <c r="S139" s="119" t="n">
        <v>35</v>
      </c>
      <c r="T139" s="119" t="n">
        <v>0</v>
      </c>
      <c r="U139" s="119" t="n">
        <v>0</v>
      </c>
      <c r="V139" s="119" t="n">
        <v>0</v>
      </c>
      <c r="W139" s="121"/>
      <c r="X139" s="119" t="n">
        <v>76</v>
      </c>
      <c r="Y139" s="119" t="n">
        <v>0</v>
      </c>
      <c r="Z139" s="119" t="n">
        <v>0</v>
      </c>
      <c r="AA139" s="119" t="n">
        <v>0</v>
      </c>
      <c r="AB139" s="121"/>
      <c r="AC139" s="119" t="n">
        <v>0</v>
      </c>
      <c r="AD139" s="119" t="n">
        <v>0</v>
      </c>
      <c r="AE139" s="119" t="n">
        <v>0</v>
      </c>
      <c r="AF139" s="121"/>
      <c r="AG139" s="122" t="n">
        <f aca="false">'form A info'!$AK206/1000</f>
        <v>117.485</v>
      </c>
    </row>
    <row r="140" customFormat="false" ht="12.75" hidden="false" customHeight="false" outlineLevel="0" collapsed="false">
      <c r="A140" s="111" t="n">
        <v>9550</v>
      </c>
      <c r="B140" s="111" t="s">
        <v>519</v>
      </c>
      <c r="C140" s="118" t="str">
        <f aca="false">'form A info'!G208</f>
        <v>y</v>
      </c>
      <c r="D140" s="119" t="n">
        <v>0</v>
      </c>
      <c r="E140" s="119" t="n">
        <v>0</v>
      </c>
      <c r="F140" s="119" t="n">
        <v>306</v>
      </c>
      <c r="G140" s="119" t="n">
        <v>12</v>
      </c>
      <c r="H140" s="120"/>
      <c r="I140" s="119" t="n">
        <v>0</v>
      </c>
      <c r="J140" s="119" t="n">
        <v>0</v>
      </c>
      <c r="K140" s="119" t="n">
        <v>13</v>
      </c>
      <c r="L140" s="119" t="n">
        <v>4</v>
      </c>
      <c r="M140" s="120"/>
      <c r="N140" s="119" t="n">
        <v>0</v>
      </c>
      <c r="O140" s="119" t="n">
        <v>0</v>
      </c>
      <c r="P140" s="119" t="n">
        <v>14</v>
      </c>
      <c r="Q140" s="119" t="n">
        <v>4</v>
      </c>
      <c r="R140" s="121"/>
      <c r="S140" s="119" t="n">
        <v>0</v>
      </c>
      <c r="T140" s="119" t="n">
        <v>0</v>
      </c>
      <c r="U140" s="119" t="n">
        <v>0</v>
      </c>
      <c r="V140" s="119" t="n">
        <v>0</v>
      </c>
      <c r="W140" s="121"/>
      <c r="X140" s="119" t="n">
        <v>0</v>
      </c>
      <c r="Y140" s="119" t="n">
        <v>0</v>
      </c>
      <c r="Z140" s="119" t="n">
        <v>0</v>
      </c>
      <c r="AA140" s="119" t="n">
        <v>0</v>
      </c>
      <c r="AB140" s="121"/>
      <c r="AC140" s="119" t="n">
        <v>0</v>
      </c>
      <c r="AD140" s="119" t="n">
        <v>0</v>
      </c>
      <c r="AE140" s="119" t="n">
        <v>14200</v>
      </c>
      <c r="AF140" s="121"/>
      <c r="AG140" s="122" t="n">
        <f aca="false">'form A info'!$AK208/1000</f>
        <v>931.568</v>
      </c>
    </row>
    <row r="141" customFormat="false" ht="12.75" hidden="false" customHeight="false" outlineLevel="0" collapsed="false">
      <c r="A141" s="111" t="n">
        <v>508</v>
      </c>
      <c r="B141" s="111" t="s">
        <v>526</v>
      </c>
      <c r="C141" s="118" t="str">
        <f aca="false">'form A info'!G211</f>
        <v>y</v>
      </c>
      <c r="D141" s="119" t="n">
        <v>328</v>
      </c>
      <c r="E141" s="119" t="n">
        <v>1303</v>
      </c>
      <c r="F141" s="119" t="n">
        <v>109</v>
      </c>
      <c r="G141" s="119" t="n">
        <v>0</v>
      </c>
      <c r="H141" s="120"/>
      <c r="I141" s="119" t="n">
        <v>1</v>
      </c>
      <c r="J141" s="119" t="n">
        <v>22</v>
      </c>
      <c r="K141" s="119" t="n">
        <v>0</v>
      </c>
      <c r="L141" s="119" t="n">
        <v>0</v>
      </c>
      <c r="M141" s="120"/>
      <c r="N141" s="119" t="n">
        <v>18</v>
      </c>
      <c r="O141" s="119" t="n">
        <v>36</v>
      </c>
      <c r="P141" s="119" t="n">
        <v>8</v>
      </c>
      <c r="Q141" s="119" t="n">
        <v>0</v>
      </c>
      <c r="R141" s="121"/>
      <c r="S141" s="119" t="n">
        <v>45</v>
      </c>
      <c r="T141" s="119" t="n">
        <v>0</v>
      </c>
      <c r="U141" s="119" t="n">
        <v>0</v>
      </c>
      <c r="V141" s="119" t="n">
        <v>0</v>
      </c>
      <c r="W141" s="121"/>
      <c r="X141" s="119" t="n">
        <v>76</v>
      </c>
      <c r="Y141" s="119" t="n">
        <v>0</v>
      </c>
      <c r="Z141" s="119" t="n">
        <v>0</v>
      </c>
      <c r="AA141" s="119" t="n">
        <v>0</v>
      </c>
      <c r="AB141" s="121"/>
      <c r="AC141" s="119" t="n">
        <v>25000</v>
      </c>
      <c r="AD141" s="119" t="n">
        <v>0</v>
      </c>
      <c r="AE141" s="119" t="n">
        <v>25937</v>
      </c>
      <c r="AF141" s="121"/>
      <c r="AG141" s="122" t="n">
        <f aca="false">'form A info'!$AK211/1000</f>
        <v>1151.545</v>
      </c>
    </row>
    <row r="142" customFormat="false" ht="12.75" hidden="false" customHeight="false" outlineLevel="0" collapsed="false">
      <c r="A142" s="111" t="n">
        <v>3881</v>
      </c>
      <c r="B142" s="111" t="s">
        <v>673</v>
      </c>
      <c r="C142" s="118" t="str">
        <f aca="false">'form A info'!G212</f>
        <v>y</v>
      </c>
      <c r="D142" s="119" t="n">
        <v>366</v>
      </c>
      <c r="E142" s="119" t="n">
        <v>369</v>
      </c>
      <c r="F142" s="119" t="n">
        <v>152</v>
      </c>
      <c r="G142" s="119" t="n">
        <v>4</v>
      </c>
      <c r="H142" s="120"/>
      <c r="I142" s="119" t="n">
        <v>57</v>
      </c>
      <c r="J142" s="119" t="n">
        <v>15</v>
      </c>
      <c r="K142" s="119" t="n">
        <v>1</v>
      </c>
      <c r="L142" s="119" t="n">
        <v>0</v>
      </c>
      <c r="M142" s="120"/>
      <c r="N142" s="119" t="n">
        <v>8</v>
      </c>
      <c r="O142" s="119" t="n">
        <v>15</v>
      </c>
      <c r="P142" s="119" t="n">
        <v>31</v>
      </c>
      <c r="Q142" s="119" t="n">
        <v>0</v>
      </c>
      <c r="R142" s="121"/>
      <c r="S142" s="119" t="n">
        <v>34</v>
      </c>
      <c r="T142" s="119" t="n">
        <v>0</v>
      </c>
      <c r="U142" s="119" t="n">
        <v>0</v>
      </c>
      <c r="V142" s="119" t="n">
        <v>0</v>
      </c>
      <c r="W142" s="121"/>
      <c r="X142" s="119" t="n">
        <v>61</v>
      </c>
      <c r="Y142" s="119" t="n">
        <v>0</v>
      </c>
      <c r="Z142" s="119" t="n">
        <v>0</v>
      </c>
      <c r="AA142" s="119" t="n">
        <v>0</v>
      </c>
      <c r="AB142" s="121"/>
      <c r="AC142" s="119" t="n">
        <v>0</v>
      </c>
      <c r="AD142" s="119" t="n">
        <v>0</v>
      </c>
      <c r="AE142" s="119" t="n">
        <v>0</v>
      </c>
      <c r="AF142" s="121"/>
      <c r="AG142" s="122" t="n">
        <f aca="false">'form A info'!$AK212/1000</f>
        <v>768.498</v>
      </c>
    </row>
    <row r="143" customFormat="false" ht="12.75" hidden="false" customHeight="false" outlineLevel="0" collapsed="false">
      <c r="A143" s="111" t="n">
        <v>3762</v>
      </c>
      <c r="B143" s="111" t="s">
        <v>532</v>
      </c>
      <c r="C143" s="118" t="str">
        <f aca="false">'form A info'!G213</f>
        <v>y</v>
      </c>
      <c r="D143" s="119" t="n">
        <v>0</v>
      </c>
      <c r="E143" s="119" t="n">
        <v>0</v>
      </c>
      <c r="F143" s="119" t="n">
        <v>23</v>
      </c>
      <c r="G143" s="119" t="n">
        <v>5</v>
      </c>
      <c r="H143" s="120"/>
      <c r="I143" s="119" t="n">
        <v>0</v>
      </c>
      <c r="J143" s="119" t="n">
        <v>0</v>
      </c>
      <c r="K143" s="119" t="n">
        <v>0</v>
      </c>
      <c r="L143" s="119" t="n">
        <v>0</v>
      </c>
      <c r="M143" s="120"/>
      <c r="N143" s="119" t="n">
        <v>0</v>
      </c>
      <c r="O143" s="119" t="n">
        <v>14</v>
      </c>
      <c r="P143" s="119" t="n">
        <v>0</v>
      </c>
      <c r="Q143" s="119" t="n">
        <v>0</v>
      </c>
      <c r="R143" s="121"/>
      <c r="S143" s="119" t="n">
        <v>0</v>
      </c>
      <c r="T143" s="119" t="n">
        <v>0</v>
      </c>
      <c r="U143" s="119" t="n">
        <v>0</v>
      </c>
      <c r="V143" s="119" t="n">
        <v>0</v>
      </c>
      <c r="W143" s="121"/>
      <c r="X143" s="119" t="n">
        <v>0</v>
      </c>
      <c r="Y143" s="119" t="n">
        <v>0</v>
      </c>
      <c r="Z143" s="119" t="n">
        <v>0</v>
      </c>
      <c r="AA143" s="119" t="n">
        <v>0</v>
      </c>
      <c r="AB143" s="121"/>
      <c r="AC143" s="119" t="n">
        <v>0</v>
      </c>
      <c r="AD143" s="119" t="n">
        <v>0</v>
      </c>
      <c r="AE143" s="119" t="n">
        <v>0</v>
      </c>
      <c r="AF143" s="121"/>
      <c r="AG143" s="122" t="n">
        <f aca="false">'form A info'!$AK213/1000</f>
        <v>108.844</v>
      </c>
    </row>
    <row r="144" customFormat="false" ht="12.75" hidden="false" customHeight="false" outlineLevel="0" collapsed="false">
      <c r="A144" s="111" t="n">
        <v>9570</v>
      </c>
      <c r="B144" s="111" t="s">
        <v>534</v>
      </c>
      <c r="C144" s="118" t="str">
        <f aca="false">'form A info'!G214</f>
        <v>y</v>
      </c>
      <c r="D144" s="119" t="n">
        <v>0</v>
      </c>
      <c r="E144" s="119" t="n">
        <v>0</v>
      </c>
      <c r="F144" s="119" t="n">
        <v>181</v>
      </c>
      <c r="G144" s="119" t="n">
        <v>44</v>
      </c>
      <c r="H144" s="120"/>
      <c r="I144" s="119" t="n">
        <v>0</v>
      </c>
      <c r="J144" s="119" t="n">
        <v>0</v>
      </c>
      <c r="K144" s="119" t="n">
        <v>11</v>
      </c>
      <c r="L144" s="119" t="n">
        <v>13</v>
      </c>
      <c r="M144" s="120"/>
      <c r="N144" s="119" t="n">
        <v>0</v>
      </c>
      <c r="O144" s="119" t="n">
        <v>0</v>
      </c>
      <c r="P144" s="119" t="n">
        <v>51</v>
      </c>
      <c r="Q144" s="119" t="n">
        <v>-44</v>
      </c>
      <c r="R144" s="121"/>
      <c r="S144" s="119" t="n">
        <v>0</v>
      </c>
      <c r="T144" s="119" t="n">
        <v>0</v>
      </c>
      <c r="U144" s="119" t="n">
        <v>0</v>
      </c>
      <c r="V144" s="119" t="n">
        <v>0</v>
      </c>
      <c r="W144" s="121"/>
      <c r="X144" s="119" t="n">
        <v>0</v>
      </c>
      <c r="Y144" s="119" t="n">
        <v>0</v>
      </c>
      <c r="Z144" s="119" t="n">
        <v>0</v>
      </c>
      <c r="AA144" s="119" t="n">
        <v>0</v>
      </c>
      <c r="AB144" s="121"/>
      <c r="AC144" s="119" t="n">
        <v>0</v>
      </c>
      <c r="AD144" s="119" t="n">
        <v>0</v>
      </c>
      <c r="AE144" s="119" t="n">
        <v>0</v>
      </c>
      <c r="AF144" s="121"/>
      <c r="AG144" s="122" t="n">
        <f aca="false">'form A info'!$AK214/1000</f>
        <v>679.153</v>
      </c>
    </row>
    <row r="145" customFormat="false" ht="12.75" hidden="false" customHeight="false" outlineLevel="0" collapsed="false">
      <c r="A145" s="111" t="n">
        <v>2550</v>
      </c>
      <c r="B145" s="111" t="s">
        <v>536</v>
      </c>
      <c r="C145" s="118" t="str">
        <f aca="false">'form A info'!G215</f>
        <v>y</v>
      </c>
      <c r="D145" s="119" t="n">
        <v>412</v>
      </c>
      <c r="E145" s="119" t="n">
        <v>587</v>
      </c>
      <c r="F145" s="119" t="n">
        <v>224</v>
      </c>
      <c r="G145" s="119" t="n">
        <v>0</v>
      </c>
      <c r="H145" s="120"/>
      <c r="I145" s="119" t="n">
        <v>0</v>
      </c>
      <c r="J145" s="119" t="n">
        <v>0</v>
      </c>
      <c r="K145" s="119" t="n">
        <v>0</v>
      </c>
      <c r="L145" s="119" t="n">
        <v>0</v>
      </c>
      <c r="M145" s="120"/>
      <c r="N145" s="119" t="n">
        <v>23</v>
      </c>
      <c r="O145" s="119" t="n">
        <v>12</v>
      </c>
      <c r="P145" s="119" t="n">
        <v>42</v>
      </c>
      <c r="Q145" s="119" t="n">
        <v>0</v>
      </c>
      <c r="R145" s="121"/>
      <c r="S145" s="119" t="n">
        <v>42</v>
      </c>
      <c r="T145" s="119" t="n">
        <v>0</v>
      </c>
      <c r="U145" s="119" t="n">
        <v>0</v>
      </c>
      <c r="V145" s="119" t="n">
        <v>0</v>
      </c>
      <c r="W145" s="121"/>
      <c r="X145" s="119" t="n">
        <v>49</v>
      </c>
      <c r="Y145" s="119" t="n">
        <v>1</v>
      </c>
      <c r="Z145" s="119" t="n">
        <v>0</v>
      </c>
      <c r="AA145" s="119" t="n">
        <v>0</v>
      </c>
      <c r="AB145" s="121"/>
      <c r="AC145" s="119" t="n">
        <v>0</v>
      </c>
      <c r="AD145" s="119" t="n">
        <v>0</v>
      </c>
      <c r="AE145" s="119" t="n">
        <v>0</v>
      </c>
      <c r="AF145" s="121"/>
      <c r="AG145" s="122" t="n">
        <f aca="false">'form A info'!$AK215/1000</f>
        <v>814.037</v>
      </c>
    </row>
    <row r="146" customFormat="false" ht="12.75" hidden="false" customHeight="false" outlineLevel="0" collapsed="false">
      <c r="A146" s="111" t="n">
        <v>9600</v>
      </c>
      <c r="B146" s="111" t="s">
        <v>537</v>
      </c>
      <c r="C146" s="118" t="str">
        <f aca="false">'form A info'!G216</f>
        <v>y</v>
      </c>
      <c r="D146" s="119" t="n">
        <v>0</v>
      </c>
      <c r="E146" s="119" t="n">
        <v>0</v>
      </c>
      <c r="F146" s="119" t="n">
        <v>123</v>
      </c>
      <c r="G146" s="119" t="n">
        <v>21</v>
      </c>
      <c r="H146" s="120"/>
      <c r="I146" s="119" t="n">
        <v>0</v>
      </c>
      <c r="J146" s="119" t="n">
        <v>0</v>
      </c>
      <c r="K146" s="119" t="n">
        <v>10</v>
      </c>
      <c r="L146" s="119" t="n">
        <v>18</v>
      </c>
      <c r="M146" s="120"/>
      <c r="N146" s="119" t="n">
        <v>0</v>
      </c>
      <c r="O146" s="119" t="n">
        <v>0</v>
      </c>
      <c r="P146" s="119" t="n">
        <v>161</v>
      </c>
      <c r="Q146" s="119" t="n">
        <v>4</v>
      </c>
      <c r="R146" s="121"/>
      <c r="S146" s="119" t="n">
        <v>0</v>
      </c>
      <c r="T146" s="119" t="n">
        <v>0</v>
      </c>
      <c r="U146" s="119" t="n">
        <v>0</v>
      </c>
      <c r="V146" s="119" t="n">
        <v>0</v>
      </c>
      <c r="W146" s="121"/>
      <c r="X146" s="119" t="n">
        <v>0</v>
      </c>
      <c r="Y146" s="119" t="n">
        <v>0</v>
      </c>
      <c r="Z146" s="119" t="n">
        <v>0</v>
      </c>
      <c r="AA146" s="119" t="n">
        <v>0</v>
      </c>
      <c r="AB146" s="121"/>
      <c r="AC146" s="119" t="n">
        <v>567938</v>
      </c>
      <c r="AD146" s="119" t="n">
        <v>0</v>
      </c>
      <c r="AE146" s="119" t="n">
        <v>0</v>
      </c>
      <c r="AF146" s="121"/>
      <c r="AG146" s="122" t="n">
        <f aca="false">'form A info'!$AK216/1000</f>
        <v>735.375</v>
      </c>
    </row>
    <row r="147" customFormat="false" ht="12.75" hidden="false" customHeight="false" outlineLevel="0" collapsed="false">
      <c r="A147" s="111" t="n">
        <v>3911</v>
      </c>
      <c r="B147" s="111" t="s">
        <v>540</v>
      </c>
      <c r="C147" s="118" t="str">
        <f aca="false">'form A info'!G217</f>
        <v>y</v>
      </c>
      <c r="D147" s="119" t="n">
        <v>0</v>
      </c>
      <c r="E147" s="119" t="n">
        <v>0</v>
      </c>
      <c r="F147" s="119" t="n">
        <v>8</v>
      </c>
      <c r="G147" s="119" t="n">
        <v>0</v>
      </c>
      <c r="H147" s="120"/>
      <c r="I147" s="119" t="n">
        <v>0</v>
      </c>
      <c r="J147" s="119" t="n">
        <v>0</v>
      </c>
      <c r="K147" s="119" t="n">
        <v>0</v>
      </c>
      <c r="L147" s="119" t="n">
        <v>2</v>
      </c>
      <c r="M147" s="120"/>
      <c r="N147" s="119" t="n">
        <v>0</v>
      </c>
      <c r="O147" s="119" t="n">
        <v>0</v>
      </c>
      <c r="P147" s="119" t="n">
        <v>0</v>
      </c>
      <c r="Q147" s="119" t="n">
        <v>0</v>
      </c>
      <c r="R147" s="121"/>
      <c r="S147" s="119" t="n">
        <v>0</v>
      </c>
      <c r="T147" s="119" t="n">
        <v>0</v>
      </c>
      <c r="U147" s="119" t="n">
        <v>0</v>
      </c>
      <c r="V147" s="119" t="n">
        <v>0</v>
      </c>
      <c r="W147" s="121"/>
      <c r="X147" s="119" t="n">
        <v>0</v>
      </c>
      <c r="Y147" s="119" t="n">
        <v>0</v>
      </c>
      <c r="Z147" s="119" t="n">
        <v>0</v>
      </c>
      <c r="AA147" s="119" t="n">
        <v>0</v>
      </c>
      <c r="AB147" s="121"/>
      <c r="AC147" s="119" t="n">
        <v>0</v>
      </c>
      <c r="AD147" s="119" t="n">
        <v>0</v>
      </c>
      <c r="AE147" s="119" t="n">
        <v>0</v>
      </c>
      <c r="AF147" s="121"/>
      <c r="AG147" s="122" t="n">
        <f aca="false">'form A info'!$AK217/1000</f>
        <v>12.05508</v>
      </c>
    </row>
    <row r="148" customFormat="false" ht="12.75" hidden="false" customHeight="false" outlineLevel="0" collapsed="false">
      <c r="A148" s="111" t="n">
        <v>9620</v>
      </c>
      <c r="B148" s="111" t="s">
        <v>542</v>
      </c>
      <c r="C148" s="118" t="str">
        <f aca="false">'form A info'!G218</f>
        <v>y</v>
      </c>
      <c r="D148" s="119" t="n">
        <v>0</v>
      </c>
      <c r="E148" s="119" t="n">
        <v>0</v>
      </c>
      <c r="F148" s="119" t="n">
        <v>1</v>
      </c>
      <c r="G148" s="119" t="n">
        <v>0</v>
      </c>
      <c r="H148" s="120"/>
      <c r="I148" s="119" t="n">
        <v>0</v>
      </c>
      <c r="J148" s="119" t="n">
        <v>0</v>
      </c>
      <c r="K148" s="119" t="n">
        <v>0</v>
      </c>
      <c r="L148" s="119" t="n">
        <v>0</v>
      </c>
      <c r="M148" s="120"/>
      <c r="N148" s="119" t="n">
        <v>0</v>
      </c>
      <c r="O148" s="119" t="n">
        <v>0</v>
      </c>
      <c r="P148" s="119" t="n">
        <v>9</v>
      </c>
      <c r="Q148" s="119" t="n">
        <v>0</v>
      </c>
      <c r="R148" s="121"/>
      <c r="S148" s="119" t="n">
        <v>0</v>
      </c>
      <c r="T148" s="119" t="n">
        <v>0</v>
      </c>
      <c r="U148" s="119" t="n">
        <v>0</v>
      </c>
      <c r="V148" s="119" t="n">
        <v>0</v>
      </c>
      <c r="W148" s="121"/>
      <c r="X148" s="119" t="n">
        <v>0</v>
      </c>
      <c r="Y148" s="119" t="n">
        <v>0</v>
      </c>
      <c r="Z148" s="119" t="n">
        <v>0</v>
      </c>
      <c r="AA148" s="119" t="n">
        <v>0</v>
      </c>
      <c r="AB148" s="121"/>
      <c r="AC148" s="119" t="n">
        <v>0</v>
      </c>
      <c r="AD148" s="119" t="n">
        <v>0</v>
      </c>
      <c r="AE148" s="119" t="n">
        <v>0</v>
      </c>
      <c r="AF148" s="121"/>
      <c r="AG148" s="122" t="n">
        <f aca="false">'form A info'!$AK218/1000</f>
        <v>3.516</v>
      </c>
    </row>
    <row r="149" customFormat="false" ht="12.75" hidden="false" customHeight="false" outlineLevel="0" collapsed="false">
      <c r="A149" s="111" t="n">
        <v>2307</v>
      </c>
      <c r="B149" s="111" t="s">
        <v>543</v>
      </c>
      <c r="C149" s="118" t="str">
        <f aca="false">'form A info'!G219</f>
        <v>y</v>
      </c>
      <c r="D149" s="119" t="n">
        <v>38</v>
      </c>
      <c r="E149" s="119" t="n">
        <v>174</v>
      </c>
      <c r="F149" s="119" t="n">
        <v>62</v>
      </c>
      <c r="G149" s="119" t="n">
        <v>15</v>
      </c>
      <c r="H149" s="120"/>
      <c r="I149" s="119" t="n">
        <v>0</v>
      </c>
      <c r="J149" s="119" t="n">
        <v>0</v>
      </c>
      <c r="K149" s="119" t="n">
        <v>0</v>
      </c>
      <c r="L149" s="119" t="n">
        <v>0</v>
      </c>
      <c r="M149" s="120"/>
      <c r="N149" s="119" t="n">
        <v>0</v>
      </c>
      <c r="O149" s="119" t="n">
        <v>14</v>
      </c>
      <c r="P149" s="119" t="n">
        <v>2</v>
      </c>
      <c r="Q149" s="119" t="n">
        <v>0</v>
      </c>
      <c r="R149" s="121"/>
      <c r="S149" s="119" t="n">
        <v>0</v>
      </c>
      <c r="T149" s="119" t="n">
        <v>0</v>
      </c>
      <c r="U149" s="119" t="n">
        <v>0</v>
      </c>
      <c r="V149" s="119" t="n">
        <v>0</v>
      </c>
      <c r="W149" s="121"/>
      <c r="X149" s="119" t="n">
        <v>0</v>
      </c>
      <c r="Y149" s="119" t="n">
        <v>0</v>
      </c>
      <c r="Z149" s="119" t="n">
        <v>0</v>
      </c>
      <c r="AA149" s="119" t="n">
        <v>0</v>
      </c>
      <c r="AB149" s="121"/>
      <c r="AC149" s="119" t="n">
        <v>0</v>
      </c>
      <c r="AD149" s="119" t="n">
        <v>0</v>
      </c>
      <c r="AE149" s="119" t="n">
        <v>0</v>
      </c>
      <c r="AF149" s="121"/>
      <c r="AG149" s="122" t="n">
        <f aca="false">'form A info'!$AK219/1000</f>
        <v>204.122</v>
      </c>
    </row>
    <row r="150" customFormat="false" ht="12.75" hidden="false" customHeight="false" outlineLevel="0" collapsed="false">
      <c r="A150" s="111" t="n">
        <v>2311</v>
      </c>
      <c r="B150" s="111" t="s">
        <v>544</v>
      </c>
      <c r="C150" s="118" t="str">
        <f aca="false">'form A info'!G220</f>
        <v>y</v>
      </c>
      <c r="D150" s="119" t="n">
        <v>0</v>
      </c>
      <c r="E150" s="119" t="n">
        <v>0</v>
      </c>
      <c r="F150" s="119" t="n">
        <v>0</v>
      </c>
      <c r="G150" s="119" t="n">
        <v>5</v>
      </c>
      <c r="H150" s="120"/>
      <c r="I150" s="119" t="n">
        <v>0</v>
      </c>
      <c r="J150" s="119" t="n">
        <v>0</v>
      </c>
      <c r="K150" s="119" t="n">
        <v>2</v>
      </c>
      <c r="L150" s="119" t="n">
        <v>0</v>
      </c>
      <c r="M150" s="120"/>
      <c r="N150" s="119" t="n">
        <v>0</v>
      </c>
      <c r="O150" s="119" t="n">
        <v>0</v>
      </c>
      <c r="P150" s="119" t="n">
        <v>0</v>
      </c>
      <c r="Q150" s="119" t="n">
        <v>0</v>
      </c>
      <c r="R150" s="121"/>
      <c r="S150" s="119" t="n">
        <v>0</v>
      </c>
      <c r="T150" s="119" t="n">
        <v>0</v>
      </c>
      <c r="U150" s="119" t="n">
        <v>0</v>
      </c>
      <c r="V150" s="119" t="n">
        <v>0</v>
      </c>
      <c r="W150" s="121"/>
      <c r="X150" s="119" t="n">
        <v>0</v>
      </c>
      <c r="Y150" s="119" t="n">
        <v>0</v>
      </c>
      <c r="Z150" s="119" t="n">
        <v>0</v>
      </c>
      <c r="AA150" s="119" t="n">
        <v>0</v>
      </c>
      <c r="AB150" s="121"/>
      <c r="AC150" s="119" t="n">
        <v>0</v>
      </c>
      <c r="AD150" s="119" t="n">
        <v>0</v>
      </c>
      <c r="AE150" s="119" t="n">
        <v>0</v>
      </c>
      <c r="AF150" s="121"/>
      <c r="AG150" s="122" t="n">
        <f aca="false">'form A info'!$AK220/1000</f>
        <v>12.66164</v>
      </c>
    </row>
    <row r="151" customFormat="false" ht="12.75" hidden="false" customHeight="false" outlineLevel="0" collapsed="false">
      <c r="A151" s="111" t="n">
        <v>4839</v>
      </c>
      <c r="B151" s="111" t="s">
        <v>546</v>
      </c>
      <c r="C151" s="118" t="str">
        <f aca="false">'form A info'!G222</f>
        <v>y</v>
      </c>
      <c r="D151" s="119" t="n">
        <v>0</v>
      </c>
      <c r="E151" s="119" t="n">
        <v>1001</v>
      </c>
      <c r="F151" s="119" t="n">
        <v>570</v>
      </c>
      <c r="G151" s="119" t="n">
        <v>1</v>
      </c>
      <c r="H151" s="120"/>
      <c r="I151" s="119" t="n">
        <v>0</v>
      </c>
      <c r="J151" s="119" t="n">
        <v>0</v>
      </c>
      <c r="K151" s="119" t="n">
        <v>0</v>
      </c>
      <c r="L151" s="119" t="n">
        <v>0</v>
      </c>
      <c r="M151" s="120"/>
      <c r="N151" s="119" t="n">
        <v>0</v>
      </c>
      <c r="O151" s="119" t="n">
        <v>87</v>
      </c>
      <c r="P151" s="119" t="n">
        <v>37</v>
      </c>
      <c r="Q151" s="119" t="n">
        <v>5</v>
      </c>
      <c r="R151" s="121"/>
      <c r="S151" s="119" t="n">
        <v>0</v>
      </c>
      <c r="T151" s="119" t="n">
        <v>1</v>
      </c>
      <c r="U151" s="119" t="n">
        <v>0</v>
      </c>
      <c r="V151" s="119" t="n">
        <v>0</v>
      </c>
      <c r="W151" s="121"/>
      <c r="X151" s="119" t="n">
        <v>0</v>
      </c>
      <c r="Y151" s="119" t="n">
        <v>0</v>
      </c>
      <c r="Z151" s="119" t="n">
        <v>0</v>
      </c>
      <c r="AA151" s="119" t="n">
        <v>0</v>
      </c>
      <c r="AB151" s="121"/>
      <c r="AC151" s="119" t="n">
        <v>0</v>
      </c>
      <c r="AD151" s="119" t="n">
        <v>0</v>
      </c>
      <c r="AE151" s="119" t="n">
        <v>0</v>
      </c>
      <c r="AF151" s="121"/>
      <c r="AG151" s="122" t="n">
        <f aca="false">'form A info'!$AK222/1000</f>
        <v>0</v>
      </c>
    </row>
    <row r="152" customFormat="false" ht="12.75" hidden="false" customHeight="false" outlineLevel="0" collapsed="false">
      <c r="A152" s="111" t="n">
        <v>2105</v>
      </c>
      <c r="B152" s="111" t="s">
        <v>550</v>
      </c>
      <c r="C152" s="118" t="str">
        <f aca="false">'form A info'!G224</f>
        <v>y</v>
      </c>
      <c r="D152" s="119" t="n">
        <v>278</v>
      </c>
      <c r="E152" s="119" t="n">
        <v>876</v>
      </c>
      <c r="F152" s="119" t="n">
        <v>127</v>
      </c>
      <c r="G152" s="119" t="n">
        <v>-1</v>
      </c>
      <c r="H152" s="120"/>
      <c r="I152" s="119" t="n">
        <v>0</v>
      </c>
      <c r="J152" s="119" t="n">
        <v>0</v>
      </c>
      <c r="K152" s="119" t="n">
        <v>0</v>
      </c>
      <c r="L152" s="119" t="n">
        <v>0</v>
      </c>
      <c r="M152" s="120"/>
      <c r="N152" s="119" t="n">
        <v>5</v>
      </c>
      <c r="O152" s="119" t="n">
        <v>12</v>
      </c>
      <c r="P152" s="119" t="n">
        <v>20</v>
      </c>
      <c r="Q152" s="119" t="n">
        <v>4</v>
      </c>
      <c r="R152" s="121"/>
      <c r="S152" s="119" t="n">
        <v>39</v>
      </c>
      <c r="T152" s="119" t="n">
        <v>0</v>
      </c>
      <c r="U152" s="119" t="n">
        <v>0</v>
      </c>
      <c r="V152" s="119" t="n">
        <v>0</v>
      </c>
      <c r="W152" s="121"/>
      <c r="X152" s="119" t="n">
        <v>68</v>
      </c>
      <c r="Y152" s="119" t="n">
        <v>0</v>
      </c>
      <c r="Z152" s="119" t="n">
        <v>0</v>
      </c>
      <c r="AA152" s="119" t="n">
        <v>0</v>
      </c>
      <c r="AB152" s="121"/>
      <c r="AC152" s="119" t="n">
        <v>0</v>
      </c>
      <c r="AD152" s="119" t="n">
        <v>36100</v>
      </c>
      <c r="AE152" s="119" t="n">
        <v>51262</v>
      </c>
      <c r="AF152" s="121"/>
      <c r="AG152" s="122" t="n">
        <f aca="false">'form A info'!$AK224/1000</f>
        <v>477.571</v>
      </c>
    </row>
    <row r="153" customFormat="false" ht="12.75" hidden="false" customHeight="false" outlineLevel="0" collapsed="false">
      <c r="A153" s="111" t="n">
        <v>3920</v>
      </c>
      <c r="B153" s="111" t="s">
        <v>553</v>
      </c>
      <c r="C153" s="118" t="str">
        <f aca="false">'form A info'!G225</f>
        <v>y</v>
      </c>
      <c r="D153" s="119" t="n">
        <v>94</v>
      </c>
      <c r="E153" s="119" t="n">
        <v>695</v>
      </c>
      <c r="F153" s="119" t="n">
        <v>104</v>
      </c>
      <c r="G153" s="119" t="n">
        <v>1</v>
      </c>
      <c r="H153" s="120"/>
      <c r="I153" s="119" t="n">
        <v>0</v>
      </c>
      <c r="J153" s="119" t="n">
        <v>0</v>
      </c>
      <c r="K153" s="119" t="n">
        <v>0</v>
      </c>
      <c r="L153" s="119" t="n">
        <v>0</v>
      </c>
      <c r="M153" s="120"/>
      <c r="N153" s="119" t="n">
        <v>0</v>
      </c>
      <c r="O153" s="119" t="n">
        <v>12</v>
      </c>
      <c r="P153" s="119" t="n">
        <v>47</v>
      </c>
      <c r="Q153" s="119" t="n">
        <v>0</v>
      </c>
      <c r="R153" s="121"/>
      <c r="S153" s="119" t="n">
        <v>0</v>
      </c>
      <c r="T153" s="119" t="n">
        <v>0</v>
      </c>
      <c r="U153" s="119" t="n">
        <v>0</v>
      </c>
      <c r="V153" s="119" t="n">
        <v>0</v>
      </c>
      <c r="W153" s="121"/>
      <c r="X153" s="119" t="n">
        <v>0</v>
      </c>
      <c r="Y153" s="119" t="n">
        <v>0</v>
      </c>
      <c r="Z153" s="119" t="n">
        <v>0</v>
      </c>
      <c r="AA153" s="119" t="n">
        <v>0</v>
      </c>
      <c r="AB153" s="121"/>
      <c r="AC153" s="119" t="n">
        <v>0</v>
      </c>
      <c r="AD153" s="119" t="n">
        <v>0</v>
      </c>
      <c r="AE153" s="119" t="n">
        <v>2039</v>
      </c>
      <c r="AF153" s="121"/>
      <c r="AG153" s="122" t="n">
        <f aca="false">'form A info'!$AK225/1000</f>
        <v>345.52392</v>
      </c>
    </row>
    <row r="154" customFormat="false" ht="12.75" hidden="false" customHeight="false" outlineLevel="0" collapsed="false">
      <c r="A154" s="111" t="n">
        <v>9896</v>
      </c>
      <c r="B154" s="111" t="s">
        <v>555</v>
      </c>
      <c r="C154" s="118" t="str">
        <f aca="false">'form A info'!G226</f>
        <v>y</v>
      </c>
      <c r="D154" s="119" t="n">
        <v>0</v>
      </c>
      <c r="E154" s="119" t="n">
        <v>0</v>
      </c>
      <c r="F154" s="119" t="n">
        <v>273</v>
      </c>
      <c r="G154" s="119" t="n">
        <v>-3</v>
      </c>
      <c r="H154" s="120"/>
      <c r="I154" s="119" t="n">
        <v>0</v>
      </c>
      <c r="J154" s="119" t="n">
        <v>0</v>
      </c>
      <c r="K154" s="119" t="n">
        <v>1</v>
      </c>
      <c r="L154" s="119" t="n">
        <v>0</v>
      </c>
      <c r="M154" s="120"/>
      <c r="N154" s="119" t="n">
        <v>0</v>
      </c>
      <c r="O154" s="119" t="n">
        <v>0</v>
      </c>
      <c r="P154" s="119" t="n">
        <v>24</v>
      </c>
      <c r="Q154" s="119" t="n">
        <v>75</v>
      </c>
      <c r="R154" s="121"/>
      <c r="S154" s="119" t="n">
        <v>0</v>
      </c>
      <c r="T154" s="119" t="n">
        <v>0</v>
      </c>
      <c r="U154" s="119" t="n">
        <v>0</v>
      </c>
      <c r="V154" s="119" t="n">
        <v>0</v>
      </c>
      <c r="W154" s="121"/>
      <c r="X154" s="119" t="n">
        <v>0</v>
      </c>
      <c r="Y154" s="119" t="n">
        <v>0</v>
      </c>
      <c r="Z154" s="119" t="n">
        <v>0</v>
      </c>
      <c r="AA154" s="119" t="n">
        <v>0</v>
      </c>
      <c r="AB154" s="121"/>
      <c r="AC154" s="119" t="n">
        <v>7900</v>
      </c>
      <c r="AD154" s="119" t="n">
        <v>0</v>
      </c>
      <c r="AE154" s="119" t="n">
        <v>0</v>
      </c>
      <c r="AF154" s="121"/>
      <c r="AG154" s="122" t="n">
        <f aca="false">'form A info'!$AK226/1000</f>
        <v>811.912</v>
      </c>
    </row>
    <row r="155" customFormat="false" ht="12.75" hidden="false" customHeight="false" outlineLevel="0" collapsed="false">
      <c r="A155" s="111" t="n">
        <v>9690</v>
      </c>
      <c r="B155" s="111" t="s">
        <v>561</v>
      </c>
      <c r="C155" s="118" t="str">
        <f aca="false">'form A info'!G228</f>
        <v>y</v>
      </c>
      <c r="D155" s="119" t="n">
        <v>0</v>
      </c>
      <c r="E155" s="119" t="n">
        <v>0</v>
      </c>
      <c r="F155" s="119" t="n">
        <v>234</v>
      </c>
      <c r="G155" s="119" t="n">
        <v>1</v>
      </c>
      <c r="H155" s="120"/>
      <c r="I155" s="119" t="n">
        <v>0</v>
      </c>
      <c r="J155" s="119" t="n">
        <v>0</v>
      </c>
      <c r="K155" s="119" t="n">
        <v>0</v>
      </c>
      <c r="L155" s="119" t="n">
        <v>0</v>
      </c>
      <c r="M155" s="120"/>
      <c r="N155" s="119" t="n">
        <v>0</v>
      </c>
      <c r="O155" s="119" t="n">
        <v>0</v>
      </c>
      <c r="P155" s="119" t="n">
        <v>200</v>
      </c>
      <c r="Q155" s="119" t="n">
        <v>0</v>
      </c>
      <c r="R155" s="121"/>
      <c r="S155" s="119" t="n">
        <v>0</v>
      </c>
      <c r="T155" s="119" t="n">
        <v>0</v>
      </c>
      <c r="U155" s="119" t="n">
        <v>0</v>
      </c>
      <c r="V155" s="119" t="n">
        <v>0</v>
      </c>
      <c r="W155" s="121"/>
      <c r="X155" s="119" t="n">
        <v>0</v>
      </c>
      <c r="Y155" s="119" t="n">
        <v>0</v>
      </c>
      <c r="Z155" s="119" t="n">
        <v>0</v>
      </c>
      <c r="AA155" s="119" t="n">
        <v>0</v>
      </c>
      <c r="AB155" s="121"/>
      <c r="AC155" s="119" t="n">
        <v>0</v>
      </c>
      <c r="AD155" s="119" t="n">
        <v>0</v>
      </c>
      <c r="AE155" s="119" t="n">
        <v>10000</v>
      </c>
      <c r="AF155" s="121"/>
      <c r="AG155" s="122" t="n">
        <f aca="false">'form A info'!$AK228/1000</f>
        <v>4.697</v>
      </c>
    </row>
    <row r="156" customFormat="false" ht="12.75" hidden="false" customHeight="false" outlineLevel="0" collapsed="false">
      <c r="A156" s="111" t="n">
        <v>2520</v>
      </c>
      <c r="B156" s="111" t="s">
        <v>566</v>
      </c>
      <c r="C156" s="118" t="str">
        <f aca="false">'form A info'!G230</f>
        <v>y</v>
      </c>
      <c r="D156" s="119" t="n">
        <v>203</v>
      </c>
      <c r="E156" s="119" t="n">
        <v>185</v>
      </c>
      <c r="F156" s="119" t="n">
        <v>82</v>
      </c>
      <c r="G156" s="119" t="n">
        <v>3</v>
      </c>
      <c r="H156" s="120"/>
      <c r="I156" s="119" t="n">
        <v>9</v>
      </c>
      <c r="J156" s="119" t="n">
        <v>7</v>
      </c>
      <c r="K156" s="119" t="n">
        <v>1</v>
      </c>
      <c r="L156" s="119" t="n">
        <v>1</v>
      </c>
      <c r="M156" s="120"/>
      <c r="N156" s="119" t="n">
        <v>2</v>
      </c>
      <c r="O156" s="119" t="n">
        <v>7</v>
      </c>
      <c r="P156" s="119" t="n">
        <v>21</v>
      </c>
      <c r="Q156" s="119" t="n">
        <v>0</v>
      </c>
      <c r="R156" s="121"/>
      <c r="S156" s="119" t="n">
        <v>25</v>
      </c>
      <c r="T156" s="119" t="n">
        <v>0</v>
      </c>
      <c r="U156" s="119" t="n">
        <v>0</v>
      </c>
      <c r="V156" s="119" t="n">
        <v>0</v>
      </c>
      <c r="W156" s="121"/>
      <c r="X156" s="119" t="n">
        <v>39</v>
      </c>
      <c r="Y156" s="119" t="n">
        <v>0</v>
      </c>
      <c r="Z156" s="119" t="n">
        <v>0</v>
      </c>
      <c r="AA156" s="119" t="n">
        <v>0</v>
      </c>
      <c r="AB156" s="121"/>
      <c r="AC156" s="119" t="n">
        <v>0</v>
      </c>
      <c r="AD156" s="119" t="n">
        <v>0</v>
      </c>
      <c r="AE156" s="119" t="n">
        <v>9737</v>
      </c>
      <c r="AF156" s="121"/>
      <c r="AG156" s="122" t="n">
        <f aca="false">'form A info'!$AK230/1000</f>
        <v>77.517</v>
      </c>
    </row>
    <row r="157" customFormat="false" ht="12.75" hidden="false" customHeight="false" outlineLevel="0" collapsed="false">
      <c r="A157" s="111" t="n">
        <v>4116</v>
      </c>
      <c r="B157" s="111" t="s">
        <v>566</v>
      </c>
      <c r="C157" s="118" t="str">
        <f aca="false">'form A info'!G231</f>
        <v>y</v>
      </c>
      <c r="D157" s="119" t="n">
        <v>31</v>
      </c>
      <c r="E157" s="119" t="n">
        <v>0</v>
      </c>
      <c r="F157" s="119" t="n">
        <v>50</v>
      </c>
      <c r="G157" s="119" t="n">
        <v>2</v>
      </c>
      <c r="H157" s="120"/>
      <c r="I157" s="119" t="n">
        <v>0</v>
      </c>
      <c r="J157" s="119" t="n">
        <v>0</v>
      </c>
      <c r="K157" s="119" t="n">
        <v>1</v>
      </c>
      <c r="L157" s="119" t="n">
        <v>0</v>
      </c>
      <c r="M157" s="120"/>
      <c r="N157" s="119" t="n">
        <v>0</v>
      </c>
      <c r="O157" s="119" t="n">
        <v>0</v>
      </c>
      <c r="P157" s="119" t="n">
        <v>0</v>
      </c>
      <c r="Q157" s="119" t="n">
        <v>0</v>
      </c>
      <c r="R157" s="121"/>
      <c r="S157" s="119" t="n">
        <v>0</v>
      </c>
      <c r="T157" s="119" t="n">
        <v>0</v>
      </c>
      <c r="U157" s="119" t="n">
        <v>0</v>
      </c>
      <c r="V157" s="119" t="n">
        <v>0</v>
      </c>
      <c r="W157" s="121"/>
      <c r="X157" s="119" t="n">
        <v>0</v>
      </c>
      <c r="Y157" s="119" t="n">
        <v>0</v>
      </c>
      <c r="Z157" s="119" t="n">
        <v>0</v>
      </c>
      <c r="AA157" s="119" t="n">
        <v>0</v>
      </c>
      <c r="AB157" s="121"/>
      <c r="AC157" s="119" t="n">
        <v>2661</v>
      </c>
      <c r="AD157" s="119" t="n">
        <v>0</v>
      </c>
      <c r="AE157" s="119" t="n">
        <v>6769</v>
      </c>
      <c r="AF157" s="121"/>
      <c r="AG157" s="122" t="n">
        <f aca="false">'form A info'!$AK231/1000</f>
        <v>379.394</v>
      </c>
    </row>
    <row r="158" customFormat="false" ht="12.75" hidden="false" customHeight="false" outlineLevel="0" collapsed="false">
      <c r="A158" s="111" t="n">
        <v>9750</v>
      </c>
      <c r="B158" s="111" t="s">
        <v>571</v>
      </c>
      <c r="C158" s="118" t="str">
        <f aca="false">'form A info'!G233</f>
        <v>y</v>
      </c>
      <c r="D158" s="119" t="n">
        <v>0</v>
      </c>
      <c r="E158" s="119" t="n">
        <v>0</v>
      </c>
      <c r="F158" s="119" t="n">
        <v>81</v>
      </c>
      <c r="G158" s="119" t="n">
        <v>11</v>
      </c>
      <c r="H158" s="120"/>
      <c r="I158" s="119" t="n">
        <v>0</v>
      </c>
      <c r="J158" s="119" t="n">
        <v>0</v>
      </c>
      <c r="K158" s="119" t="n">
        <v>8</v>
      </c>
      <c r="L158" s="119" t="n">
        <v>6</v>
      </c>
      <c r="M158" s="120"/>
      <c r="N158" s="119" t="n">
        <v>0</v>
      </c>
      <c r="O158" s="119" t="n">
        <v>0</v>
      </c>
      <c r="P158" s="119" t="n">
        <v>2</v>
      </c>
      <c r="Q158" s="119" t="n">
        <v>2</v>
      </c>
      <c r="R158" s="121"/>
      <c r="S158" s="119" t="n">
        <v>0</v>
      </c>
      <c r="T158" s="119" t="n">
        <v>0</v>
      </c>
      <c r="U158" s="119" t="n">
        <v>0</v>
      </c>
      <c r="V158" s="119" t="n">
        <v>0</v>
      </c>
      <c r="W158" s="121"/>
      <c r="X158" s="119" t="n">
        <v>0</v>
      </c>
      <c r="Y158" s="119" t="n">
        <v>0</v>
      </c>
      <c r="Z158" s="119" t="n">
        <v>0</v>
      </c>
      <c r="AA158" s="119" t="n">
        <v>0</v>
      </c>
      <c r="AB158" s="121"/>
      <c r="AC158" s="119" t="n">
        <v>32017</v>
      </c>
      <c r="AD158" s="119" t="n">
        <v>0</v>
      </c>
      <c r="AE158" s="119" t="n">
        <v>0</v>
      </c>
      <c r="AF158" s="121"/>
      <c r="AG158" s="122" t="n">
        <f aca="false">'form A info'!$AK233/1000</f>
        <v>0</v>
      </c>
    </row>
    <row r="159" customFormat="false" ht="12.75" hidden="false" customHeight="false" outlineLevel="0" collapsed="false">
      <c r="A159" s="111" t="n">
        <v>1511</v>
      </c>
      <c r="B159" s="111" t="s">
        <v>572</v>
      </c>
      <c r="C159" s="118" t="str">
        <f aca="false">'form A info'!G234</f>
        <v>y</v>
      </c>
      <c r="D159" s="119" t="n">
        <v>78</v>
      </c>
      <c r="E159" s="119" t="n">
        <v>895</v>
      </c>
      <c r="F159" s="119" t="n">
        <v>60</v>
      </c>
      <c r="G159" s="119" t="n">
        <v>9</v>
      </c>
      <c r="H159" s="120"/>
      <c r="I159" s="119" t="n">
        <v>0</v>
      </c>
      <c r="J159" s="119" t="n">
        <v>0</v>
      </c>
      <c r="K159" s="119" t="n">
        <v>0</v>
      </c>
      <c r="L159" s="119" t="n">
        <v>0</v>
      </c>
      <c r="M159" s="120"/>
      <c r="N159" s="119" t="n">
        <v>0</v>
      </c>
      <c r="O159" s="119" t="n">
        <v>13</v>
      </c>
      <c r="P159" s="119" t="n">
        <v>32</v>
      </c>
      <c r="Q159" s="119" t="n">
        <v>0</v>
      </c>
      <c r="R159" s="121"/>
      <c r="S159" s="119" t="n">
        <v>0</v>
      </c>
      <c r="T159" s="119" t="n">
        <v>0</v>
      </c>
      <c r="U159" s="119" t="n">
        <v>0</v>
      </c>
      <c r="V159" s="119" t="n">
        <v>0</v>
      </c>
      <c r="W159" s="121"/>
      <c r="X159" s="119" t="n">
        <v>0</v>
      </c>
      <c r="Y159" s="119" t="n">
        <v>0</v>
      </c>
      <c r="Z159" s="119" t="n">
        <v>0</v>
      </c>
      <c r="AA159" s="119" t="n">
        <v>0</v>
      </c>
      <c r="AB159" s="121"/>
      <c r="AC159" s="119" t="n">
        <v>8500</v>
      </c>
      <c r="AD159" s="119" t="n">
        <v>0</v>
      </c>
      <c r="AE159" s="119" t="n">
        <v>3597</v>
      </c>
      <c r="AF159" s="121"/>
      <c r="AG159" s="122" t="n">
        <f aca="false">'form A info'!$AK234/1000</f>
        <v>456.634</v>
      </c>
    </row>
    <row r="160" customFormat="false" ht="12.75" hidden="false" customHeight="false" outlineLevel="0" collapsed="false">
      <c r="A160" s="111" t="n">
        <v>1582</v>
      </c>
      <c r="B160" s="111" t="s">
        <v>580</v>
      </c>
      <c r="C160" s="118" t="str">
        <f aca="false">'form A info'!G238</f>
        <v>y</v>
      </c>
      <c r="D160" s="119" t="n">
        <v>0</v>
      </c>
      <c r="E160" s="119" t="n">
        <v>0</v>
      </c>
      <c r="F160" s="119" t="n">
        <v>6</v>
      </c>
      <c r="G160" s="119" t="n">
        <v>0</v>
      </c>
      <c r="H160" s="120"/>
      <c r="I160" s="119" t="n">
        <v>0</v>
      </c>
      <c r="J160" s="119" t="n">
        <v>0</v>
      </c>
      <c r="K160" s="119" t="n">
        <v>0</v>
      </c>
      <c r="L160" s="119" t="n">
        <v>1</v>
      </c>
      <c r="M160" s="120"/>
      <c r="N160" s="119" t="n">
        <v>0</v>
      </c>
      <c r="O160" s="119" t="n">
        <v>0</v>
      </c>
      <c r="P160" s="119" t="n">
        <v>0</v>
      </c>
      <c r="Q160" s="119" t="n">
        <v>0</v>
      </c>
      <c r="R160" s="121"/>
      <c r="S160" s="119" t="n">
        <v>0</v>
      </c>
      <c r="T160" s="119" t="n">
        <v>0</v>
      </c>
      <c r="U160" s="119" t="n">
        <v>0</v>
      </c>
      <c r="V160" s="119" t="n">
        <v>0</v>
      </c>
      <c r="W160" s="121"/>
      <c r="X160" s="119" t="n">
        <v>0</v>
      </c>
      <c r="Y160" s="119" t="n">
        <v>0</v>
      </c>
      <c r="Z160" s="119" t="n">
        <v>0</v>
      </c>
      <c r="AA160" s="119" t="n">
        <v>0</v>
      </c>
      <c r="AB160" s="121"/>
      <c r="AC160" s="119" t="n">
        <v>0</v>
      </c>
      <c r="AD160" s="119" t="n">
        <v>0</v>
      </c>
      <c r="AE160" s="119" t="n">
        <v>0</v>
      </c>
      <c r="AF160" s="121"/>
      <c r="AG160" s="122" t="n">
        <f aca="false">'form A info'!$AK238/1000</f>
        <v>14.447</v>
      </c>
    </row>
    <row r="161" customFormat="false" ht="12.75" hidden="false" customHeight="false" outlineLevel="0" collapsed="false">
      <c r="A161" s="111" t="n">
        <v>4841</v>
      </c>
      <c r="B161" s="111" t="s">
        <v>582</v>
      </c>
      <c r="C161" s="118" t="str">
        <f aca="false">'form A info'!G239</f>
        <v>y</v>
      </c>
      <c r="D161" s="119" t="n">
        <v>0</v>
      </c>
      <c r="E161" s="119" t="n">
        <v>0</v>
      </c>
      <c r="F161" s="119" t="n">
        <v>191</v>
      </c>
      <c r="G161" s="119" t="n">
        <v>13</v>
      </c>
      <c r="H161" s="120"/>
      <c r="I161" s="119" t="n">
        <v>0</v>
      </c>
      <c r="J161" s="119" t="n">
        <v>0</v>
      </c>
      <c r="K161" s="119" t="n">
        <v>33</v>
      </c>
      <c r="L161" s="119" t="n">
        <v>0</v>
      </c>
      <c r="M161" s="120"/>
      <c r="N161" s="119" t="n">
        <v>0</v>
      </c>
      <c r="O161" s="119" t="n">
        <v>62</v>
      </c>
      <c r="P161" s="119" t="n">
        <v>12</v>
      </c>
      <c r="Q161" s="119" t="n">
        <v>0</v>
      </c>
      <c r="R161" s="121"/>
      <c r="S161" s="119" t="n">
        <v>0</v>
      </c>
      <c r="T161" s="119" t="n">
        <v>1</v>
      </c>
      <c r="U161" s="119" t="n">
        <v>0</v>
      </c>
      <c r="V161" s="119" t="n">
        <v>0</v>
      </c>
      <c r="W161" s="121"/>
      <c r="X161" s="119" t="n">
        <v>0</v>
      </c>
      <c r="Y161" s="119" t="n">
        <v>0</v>
      </c>
      <c r="Z161" s="119" t="n">
        <v>0</v>
      </c>
      <c r="AA161" s="119" t="n">
        <v>0</v>
      </c>
      <c r="AB161" s="121"/>
      <c r="AC161" s="119" t="n">
        <v>111138</v>
      </c>
      <c r="AD161" s="119" t="n">
        <v>0</v>
      </c>
      <c r="AE161" s="119" t="n">
        <v>0</v>
      </c>
      <c r="AF161" s="121"/>
      <c r="AG161" s="122" t="n">
        <f aca="false">'form A info'!$AK239/1000</f>
        <v>0</v>
      </c>
    </row>
    <row r="162" customFormat="false" ht="12.75" hidden="false" customHeight="false" outlineLevel="0" collapsed="false">
      <c r="A162" s="111" t="n">
        <v>9773</v>
      </c>
      <c r="B162" s="111" t="s">
        <v>586</v>
      </c>
      <c r="C162" s="118" t="str">
        <f aca="false">'form A info'!G241</f>
        <v>y</v>
      </c>
      <c r="D162" s="119" t="n">
        <v>0</v>
      </c>
      <c r="E162" s="119" t="n">
        <v>0</v>
      </c>
      <c r="F162" s="119" t="n">
        <v>130</v>
      </c>
      <c r="G162" s="119" t="n">
        <v>38</v>
      </c>
      <c r="H162" s="120"/>
      <c r="I162" s="119" t="n">
        <v>0</v>
      </c>
      <c r="J162" s="119" t="n">
        <v>0</v>
      </c>
      <c r="K162" s="119" t="n">
        <v>0</v>
      </c>
      <c r="L162" s="119" t="n">
        <v>0</v>
      </c>
      <c r="M162" s="120"/>
      <c r="N162" s="119" t="n">
        <v>0</v>
      </c>
      <c r="O162" s="119" t="n">
        <v>0</v>
      </c>
      <c r="P162" s="119" t="n">
        <v>5</v>
      </c>
      <c r="Q162" s="119" t="n">
        <v>4</v>
      </c>
      <c r="R162" s="121"/>
      <c r="S162" s="119" t="n">
        <v>0</v>
      </c>
      <c r="T162" s="119" t="n">
        <v>0</v>
      </c>
      <c r="U162" s="119" t="n">
        <v>0</v>
      </c>
      <c r="V162" s="119" t="n">
        <v>0</v>
      </c>
      <c r="W162" s="121"/>
      <c r="X162" s="119" t="n">
        <v>0</v>
      </c>
      <c r="Y162" s="119" t="n">
        <v>0</v>
      </c>
      <c r="Z162" s="119" t="n">
        <v>0</v>
      </c>
      <c r="AA162" s="119" t="n">
        <v>0</v>
      </c>
      <c r="AB162" s="121"/>
      <c r="AC162" s="119" t="n">
        <v>21985</v>
      </c>
      <c r="AD162" s="119" t="n">
        <v>0</v>
      </c>
      <c r="AE162" s="119" t="n">
        <v>0</v>
      </c>
      <c r="AF162" s="121"/>
      <c r="AG162" s="122" t="n">
        <f aca="false">'form A info'!$AK241/1000</f>
        <v>748.716</v>
      </c>
    </row>
    <row r="163" customFormat="false" ht="12.75" hidden="false" customHeight="false" outlineLevel="0" collapsed="false">
      <c r="A163" s="111" t="n">
        <v>3917</v>
      </c>
      <c r="B163" s="111" t="s">
        <v>587</v>
      </c>
      <c r="C163" s="118" t="str">
        <f aca="false">'form A info'!G242</f>
        <v>y</v>
      </c>
      <c r="D163" s="119" t="n">
        <v>208</v>
      </c>
      <c r="E163" s="119" t="n">
        <v>315</v>
      </c>
      <c r="F163" s="119" t="n">
        <v>127</v>
      </c>
      <c r="G163" s="119" t="n">
        <v>0</v>
      </c>
      <c r="H163" s="120"/>
      <c r="I163" s="119" t="n">
        <v>0</v>
      </c>
      <c r="J163" s="119" t="n">
        <v>17</v>
      </c>
      <c r="K163" s="119" t="n">
        <v>0</v>
      </c>
      <c r="L163" s="119" t="n">
        <v>0</v>
      </c>
      <c r="M163" s="120"/>
      <c r="N163" s="119" t="n">
        <v>15</v>
      </c>
      <c r="O163" s="119" t="n">
        <v>32</v>
      </c>
      <c r="P163" s="119" t="n">
        <v>25</v>
      </c>
      <c r="Q163" s="119" t="n">
        <v>0</v>
      </c>
      <c r="R163" s="121"/>
      <c r="S163" s="119" t="n">
        <v>21</v>
      </c>
      <c r="T163" s="119" t="n">
        <v>0</v>
      </c>
      <c r="U163" s="119" t="n">
        <v>0</v>
      </c>
      <c r="V163" s="119" t="n">
        <v>0</v>
      </c>
      <c r="W163" s="121"/>
      <c r="X163" s="119" t="n">
        <v>75</v>
      </c>
      <c r="Y163" s="119" t="n">
        <v>0</v>
      </c>
      <c r="Z163" s="119" t="n">
        <v>0</v>
      </c>
      <c r="AA163" s="119" t="n">
        <v>0</v>
      </c>
      <c r="AB163" s="121"/>
      <c r="AC163" s="119" t="n">
        <v>0</v>
      </c>
      <c r="AD163" s="119" t="n">
        <v>0</v>
      </c>
      <c r="AE163" s="119" t="n">
        <v>8045</v>
      </c>
      <c r="AF163" s="121"/>
      <c r="AG163" s="122" t="n">
        <f aca="false">'form A info'!$AK242/1000</f>
        <v>760.235</v>
      </c>
    </row>
    <row r="164" customFormat="false" ht="12.75" hidden="false" customHeight="false" outlineLevel="0" collapsed="false">
      <c r="A164" s="111" t="n">
        <v>3915</v>
      </c>
      <c r="B164" s="111" t="s">
        <v>590</v>
      </c>
      <c r="C164" s="118" t="str">
        <f aca="false">'form A info'!G243</f>
        <v>y</v>
      </c>
      <c r="D164" s="119" t="n">
        <v>0</v>
      </c>
      <c r="E164" s="119" t="n">
        <v>0</v>
      </c>
      <c r="F164" s="119" t="n">
        <v>8</v>
      </c>
      <c r="G164" s="119" t="n">
        <v>0</v>
      </c>
      <c r="H164" s="120"/>
      <c r="I164" s="119" t="n">
        <v>0</v>
      </c>
      <c r="J164" s="119" t="n">
        <v>0</v>
      </c>
      <c r="K164" s="119" t="n">
        <v>0</v>
      </c>
      <c r="L164" s="119" t="n">
        <v>0</v>
      </c>
      <c r="M164" s="120"/>
      <c r="N164" s="119" t="n">
        <v>0</v>
      </c>
      <c r="O164" s="119" t="n">
        <v>0</v>
      </c>
      <c r="P164" s="119" t="n">
        <v>1</v>
      </c>
      <c r="Q164" s="119" t="n">
        <v>6</v>
      </c>
      <c r="R164" s="121"/>
      <c r="S164" s="119" t="n">
        <v>0</v>
      </c>
      <c r="T164" s="119" t="n">
        <v>0</v>
      </c>
      <c r="U164" s="119" t="n">
        <v>0</v>
      </c>
      <c r="V164" s="119" t="n">
        <v>0</v>
      </c>
      <c r="W164" s="121"/>
      <c r="X164" s="119" t="n">
        <v>0</v>
      </c>
      <c r="Y164" s="119" t="n">
        <v>0</v>
      </c>
      <c r="Z164" s="119" t="n">
        <v>0</v>
      </c>
      <c r="AA164" s="119" t="n">
        <v>0</v>
      </c>
      <c r="AB164" s="121"/>
      <c r="AC164" s="119" t="n">
        <v>0</v>
      </c>
      <c r="AD164" s="119" t="n">
        <v>0</v>
      </c>
      <c r="AE164" s="119" t="n">
        <v>0</v>
      </c>
      <c r="AF164" s="121"/>
      <c r="AG164" s="122" t="n">
        <f aca="false">'form A info'!$AK243/1000</f>
        <v>49.219</v>
      </c>
    </row>
    <row r="165" customFormat="false" ht="12.75" hidden="false" customHeight="false" outlineLevel="0" collapsed="false">
      <c r="A165" s="111" t="n">
        <v>4842</v>
      </c>
      <c r="B165" s="111" t="s">
        <v>600</v>
      </c>
      <c r="C165" s="118" t="str">
        <f aca="false">'form A info'!G248</f>
        <v>y</v>
      </c>
      <c r="D165" s="119" t="n">
        <v>400</v>
      </c>
      <c r="E165" s="119" t="n">
        <v>976</v>
      </c>
      <c r="F165" s="119" t="n">
        <v>395</v>
      </c>
      <c r="G165" s="119" t="n">
        <v>0</v>
      </c>
      <c r="H165" s="120"/>
      <c r="I165" s="119" t="n">
        <v>0</v>
      </c>
      <c r="J165" s="119" t="n">
        <v>0</v>
      </c>
      <c r="K165" s="119" t="n">
        <v>0</v>
      </c>
      <c r="L165" s="119" t="n">
        <v>0</v>
      </c>
      <c r="M165" s="120"/>
      <c r="N165" s="119" t="n">
        <v>28</v>
      </c>
      <c r="O165" s="119" t="n">
        <v>19</v>
      </c>
      <c r="P165" s="119" t="n">
        <v>20</v>
      </c>
      <c r="Q165" s="119" t="n">
        <v>0</v>
      </c>
      <c r="R165" s="121"/>
      <c r="S165" s="119" t="n">
        <v>17</v>
      </c>
      <c r="T165" s="119" t="n">
        <v>2</v>
      </c>
      <c r="U165" s="119" t="n">
        <v>0</v>
      </c>
      <c r="V165" s="119" t="n">
        <v>0</v>
      </c>
      <c r="W165" s="121"/>
      <c r="X165" s="119" t="n">
        <v>87</v>
      </c>
      <c r="Y165" s="119" t="n">
        <v>0</v>
      </c>
      <c r="Z165" s="119" t="n">
        <v>0</v>
      </c>
      <c r="AA165" s="119" t="n">
        <v>0</v>
      </c>
      <c r="AB165" s="121"/>
      <c r="AC165" s="119" t="n">
        <v>0</v>
      </c>
      <c r="AD165" s="119" t="n">
        <v>0</v>
      </c>
      <c r="AE165" s="119" t="n">
        <v>0</v>
      </c>
      <c r="AF165" s="121"/>
      <c r="AG165" s="122" t="n">
        <f aca="false">'form A info'!$AK248/1000</f>
        <v>0</v>
      </c>
    </row>
    <row r="166" customFormat="false" ht="12.75" hidden="false" customHeight="false" outlineLevel="0" collapsed="false">
      <c r="A166" s="111" t="n">
        <v>4536</v>
      </c>
      <c r="B166" s="111" t="s">
        <v>603</v>
      </c>
      <c r="C166" s="118" t="str">
        <f aca="false">'form A info'!G249</f>
        <v>y</v>
      </c>
      <c r="D166" s="119" t="n">
        <v>91</v>
      </c>
      <c r="E166" s="119" t="n">
        <v>724</v>
      </c>
      <c r="F166" s="119" t="n">
        <v>70</v>
      </c>
      <c r="G166" s="119" t="n">
        <v>0</v>
      </c>
      <c r="H166" s="120"/>
      <c r="I166" s="119" t="n">
        <v>13</v>
      </c>
      <c r="J166" s="119" t="n">
        <v>8</v>
      </c>
      <c r="K166" s="119" t="n">
        <v>0</v>
      </c>
      <c r="L166" s="119" t="n">
        <v>0</v>
      </c>
      <c r="M166" s="120"/>
      <c r="N166" s="119" t="n">
        <v>0</v>
      </c>
      <c r="O166" s="119" t="n">
        <v>29</v>
      </c>
      <c r="P166" s="119" t="n">
        <v>8</v>
      </c>
      <c r="Q166" s="119" t="n">
        <v>0</v>
      </c>
      <c r="R166" s="121"/>
      <c r="S166" s="119" t="n">
        <v>0</v>
      </c>
      <c r="T166" s="119" t="n">
        <v>0</v>
      </c>
      <c r="U166" s="119" t="n">
        <v>0</v>
      </c>
      <c r="V166" s="119" t="n">
        <v>0</v>
      </c>
      <c r="W166" s="121"/>
      <c r="X166" s="119" t="n">
        <v>0</v>
      </c>
      <c r="Y166" s="119" t="n">
        <v>0</v>
      </c>
      <c r="Z166" s="119" t="n">
        <v>0</v>
      </c>
      <c r="AA166" s="119" t="n">
        <v>0</v>
      </c>
      <c r="AB166" s="121"/>
      <c r="AC166" s="119" t="n">
        <v>13935</v>
      </c>
      <c r="AD166" s="119" t="n">
        <v>0</v>
      </c>
      <c r="AE166" s="119" t="n">
        <v>70755</v>
      </c>
      <c r="AF166" s="121"/>
      <c r="AG166" s="122" t="n">
        <f aca="false">'form A info'!$AK249/1000</f>
        <v>309.857</v>
      </c>
    </row>
    <row r="167" customFormat="false" ht="12.75" hidden="false" customHeight="false" outlineLevel="0" collapsed="false">
      <c r="A167" s="111" t="n">
        <v>3764</v>
      </c>
      <c r="B167" s="111" t="s">
        <v>605</v>
      </c>
      <c r="C167" s="118" t="str">
        <f aca="false">'form A info'!G250</f>
        <v>y</v>
      </c>
      <c r="D167" s="119" t="n">
        <v>0</v>
      </c>
      <c r="E167" s="119" t="n">
        <v>0</v>
      </c>
      <c r="F167" s="119" t="n">
        <v>24</v>
      </c>
      <c r="G167" s="119" t="n">
        <v>5</v>
      </c>
      <c r="H167" s="120"/>
      <c r="I167" s="119" t="n">
        <v>0</v>
      </c>
      <c r="J167" s="119" t="n">
        <v>-1</v>
      </c>
      <c r="K167" s="119" t="n">
        <v>0</v>
      </c>
      <c r="L167" s="119" t="n">
        <v>2</v>
      </c>
      <c r="M167" s="120"/>
      <c r="N167" s="119" t="n">
        <v>0</v>
      </c>
      <c r="O167" s="119" t="n">
        <v>21</v>
      </c>
      <c r="P167" s="119" t="n">
        <v>0</v>
      </c>
      <c r="Q167" s="119" t="n">
        <v>0</v>
      </c>
      <c r="R167" s="121"/>
      <c r="S167" s="119" t="n">
        <v>0</v>
      </c>
      <c r="T167" s="119" t="n">
        <v>0</v>
      </c>
      <c r="U167" s="119" t="n">
        <v>0</v>
      </c>
      <c r="V167" s="119" t="n">
        <v>0</v>
      </c>
      <c r="W167" s="121"/>
      <c r="X167" s="119" t="n">
        <v>0</v>
      </c>
      <c r="Y167" s="119" t="n">
        <v>0</v>
      </c>
      <c r="Z167" s="119" t="n">
        <v>0</v>
      </c>
      <c r="AA167" s="119" t="n">
        <v>0</v>
      </c>
      <c r="AB167" s="121"/>
      <c r="AC167" s="119" t="n">
        <v>0</v>
      </c>
      <c r="AD167" s="119" t="n">
        <v>0</v>
      </c>
      <c r="AE167" s="119" t="n">
        <v>0</v>
      </c>
      <c r="AF167" s="121"/>
      <c r="AG167" s="122" t="n">
        <f aca="false">'form A info'!$AK250/1000</f>
        <v>0</v>
      </c>
    </row>
    <row r="168" customFormat="false" ht="12.75" hidden="false" customHeight="false" outlineLevel="0" collapsed="false">
      <c r="A168" s="111" t="n">
        <v>4530</v>
      </c>
      <c r="B168" s="111" t="s">
        <v>674</v>
      </c>
      <c r="C168" s="118" t="str">
        <f aca="false">'form A info'!G251</f>
        <v>y</v>
      </c>
      <c r="D168" s="119" t="n">
        <v>5</v>
      </c>
      <c r="E168" s="119" t="n">
        <v>313</v>
      </c>
      <c r="F168" s="119" t="n">
        <v>66</v>
      </c>
      <c r="G168" s="119" t="n">
        <v>0</v>
      </c>
      <c r="H168" s="120"/>
      <c r="I168" s="119" t="n">
        <v>5</v>
      </c>
      <c r="J168" s="119" t="n">
        <v>313</v>
      </c>
      <c r="K168" s="119" t="n">
        <v>66</v>
      </c>
      <c r="L168" s="119" t="n">
        <v>0</v>
      </c>
      <c r="M168" s="120"/>
      <c r="N168" s="119" t="n">
        <v>0</v>
      </c>
      <c r="O168" s="119" t="n">
        <v>0</v>
      </c>
      <c r="P168" s="119" t="n">
        <v>1</v>
      </c>
      <c r="Q168" s="119" t="n">
        <v>1</v>
      </c>
      <c r="R168" s="121"/>
      <c r="S168" s="119" t="n">
        <v>0</v>
      </c>
      <c r="T168" s="119" t="n">
        <v>0</v>
      </c>
      <c r="U168" s="119" t="n">
        <v>0</v>
      </c>
      <c r="V168" s="119" t="n">
        <v>0</v>
      </c>
      <c r="W168" s="121"/>
      <c r="X168" s="119" t="n">
        <v>0</v>
      </c>
      <c r="Y168" s="119" t="n">
        <v>0</v>
      </c>
      <c r="Z168" s="119" t="n">
        <v>0</v>
      </c>
      <c r="AA168" s="119" t="n">
        <v>0</v>
      </c>
      <c r="AB168" s="121"/>
      <c r="AC168" s="119" t="n">
        <v>0</v>
      </c>
      <c r="AD168" s="119" t="n">
        <v>0</v>
      </c>
      <c r="AE168" s="119" t="n">
        <v>0</v>
      </c>
      <c r="AF168" s="121"/>
      <c r="AG168" s="122" t="n">
        <f aca="false">'form A info'!$AK251/1000</f>
        <v>73.49</v>
      </c>
    </row>
    <row r="169" customFormat="false" ht="12.75" hidden="false" customHeight="false" outlineLevel="0" collapsed="false">
      <c r="A169" s="111" t="n">
        <v>4523</v>
      </c>
      <c r="B169" s="111" t="s">
        <v>610</v>
      </c>
      <c r="C169" s="118" t="str">
        <f aca="false">'form A info'!G253</f>
        <v>y</v>
      </c>
      <c r="D169" s="119" t="n">
        <v>145</v>
      </c>
      <c r="E169" s="119" t="n">
        <v>515</v>
      </c>
      <c r="F169" s="119" t="n">
        <v>143</v>
      </c>
      <c r="G169" s="119" t="n">
        <v>0</v>
      </c>
      <c r="H169" s="120"/>
      <c r="I169" s="119" t="n">
        <v>0</v>
      </c>
      <c r="J169" s="119" t="n">
        <v>0</v>
      </c>
      <c r="K169" s="119" t="n">
        <v>0</v>
      </c>
      <c r="L169" s="119" t="n">
        <v>0</v>
      </c>
      <c r="M169" s="120"/>
      <c r="N169" s="119" t="n">
        <v>0</v>
      </c>
      <c r="O169" s="119" t="n">
        <v>0</v>
      </c>
      <c r="P169" s="119" t="n">
        <v>0</v>
      </c>
      <c r="Q169" s="119" t="n">
        <v>0</v>
      </c>
      <c r="R169" s="121"/>
      <c r="S169" s="119" t="n">
        <v>0</v>
      </c>
      <c r="T169" s="119" t="n">
        <v>0</v>
      </c>
      <c r="U169" s="119" t="n">
        <v>0</v>
      </c>
      <c r="V169" s="119" t="n">
        <v>0</v>
      </c>
      <c r="W169" s="121"/>
      <c r="X169" s="119" t="n">
        <v>14</v>
      </c>
      <c r="Y169" s="119" t="n">
        <v>1</v>
      </c>
      <c r="Z169" s="119" t="n">
        <v>0</v>
      </c>
      <c r="AA169" s="119" t="n">
        <v>0</v>
      </c>
      <c r="AB169" s="121"/>
      <c r="AC169" s="119" t="n">
        <v>10352</v>
      </c>
      <c r="AD169" s="119" t="n">
        <v>0</v>
      </c>
      <c r="AE169" s="119" t="n">
        <v>0</v>
      </c>
      <c r="AF169" s="121"/>
      <c r="AG169" s="122" t="n">
        <f aca="false">'form A info'!$AK253/1000</f>
        <v>979.201</v>
      </c>
    </row>
    <row r="170" customFormat="false" ht="12.75" hidden="false" customHeight="false" outlineLevel="0" collapsed="false">
      <c r="A170" s="111" t="n">
        <v>4533</v>
      </c>
      <c r="B170" s="111" t="s">
        <v>612</v>
      </c>
      <c r="C170" s="118" t="str">
        <f aca="false">'form A info'!G254</f>
        <v>y</v>
      </c>
      <c r="D170" s="119" t="n">
        <v>0</v>
      </c>
      <c r="E170" s="119" t="n">
        <v>0</v>
      </c>
      <c r="F170" s="119" t="n">
        <v>4</v>
      </c>
      <c r="G170" s="119" t="n">
        <v>0</v>
      </c>
      <c r="H170" s="120"/>
      <c r="I170" s="119" t="n">
        <v>0</v>
      </c>
      <c r="J170" s="119" t="n">
        <v>0</v>
      </c>
      <c r="K170" s="119" t="n">
        <v>0</v>
      </c>
      <c r="L170" s="119" t="n">
        <v>0</v>
      </c>
      <c r="M170" s="120"/>
      <c r="N170" s="119" t="n">
        <v>0</v>
      </c>
      <c r="O170" s="119" t="n">
        <v>0</v>
      </c>
      <c r="P170" s="119" t="n">
        <v>1</v>
      </c>
      <c r="Q170" s="119" t="n">
        <v>1</v>
      </c>
      <c r="R170" s="121"/>
      <c r="S170" s="119" t="n">
        <v>0</v>
      </c>
      <c r="T170" s="119" t="n">
        <v>0</v>
      </c>
      <c r="U170" s="119" t="n">
        <v>0</v>
      </c>
      <c r="V170" s="119" t="n">
        <v>0</v>
      </c>
      <c r="W170" s="121"/>
      <c r="X170" s="119" t="n">
        <v>0</v>
      </c>
      <c r="Y170" s="119" t="n">
        <v>0</v>
      </c>
      <c r="Z170" s="119" t="n">
        <v>0</v>
      </c>
      <c r="AA170" s="119" t="n">
        <v>0</v>
      </c>
      <c r="AB170" s="121"/>
      <c r="AC170" s="119" t="n">
        <v>0</v>
      </c>
      <c r="AD170" s="119" t="n">
        <v>0</v>
      </c>
      <c r="AE170" s="119" t="n">
        <v>0</v>
      </c>
      <c r="AF170" s="121"/>
      <c r="AG170" s="122" t="n">
        <f aca="false">'form A info'!$AK254/1000</f>
        <v>0</v>
      </c>
    </row>
    <row r="171" customFormat="false" ht="12.75" hidden="false" customHeight="false" outlineLevel="0" collapsed="false">
      <c r="A171" s="111" t="n">
        <v>9855</v>
      </c>
      <c r="B171" s="111" t="s">
        <v>615</v>
      </c>
      <c r="C171" s="118" t="str">
        <f aca="false">'form A info'!G255</f>
        <v>y</v>
      </c>
      <c r="D171" s="119" t="n">
        <v>0</v>
      </c>
      <c r="E171" s="119" t="n">
        <v>0</v>
      </c>
      <c r="F171" s="119" t="n">
        <v>249</v>
      </c>
      <c r="G171" s="119" t="n">
        <v>22</v>
      </c>
      <c r="H171" s="120"/>
      <c r="I171" s="119" t="n">
        <v>0</v>
      </c>
      <c r="J171" s="119" t="n">
        <v>0</v>
      </c>
      <c r="K171" s="119" t="n">
        <v>10</v>
      </c>
      <c r="L171" s="119" t="n">
        <v>0</v>
      </c>
      <c r="M171" s="120"/>
      <c r="N171" s="119" t="n">
        <v>0</v>
      </c>
      <c r="O171" s="119" t="n">
        <v>0</v>
      </c>
      <c r="P171" s="119" t="n">
        <v>7</v>
      </c>
      <c r="Q171" s="119" t="n">
        <v>3</v>
      </c>
      <c r="R171" s="121"/>
      <c r="S171" s="119" t="n">
        <v>0</v>
      </c>
      <c r="T171" s="119" t="n">
        <v>0</v>
      </c>
      <c r="U171" s="119" t="n">
        <v>0</v>
      </c>
      <c r="V171" s="119" t="n">
        <v>0</v>
      </c>
      <c r="W171" s="121"/>
      <c r="X171" s="119" t="n">
        <v>0</v>
      </c>
      <c r="Y171" s="119" t="n">
        <v>0</v>
      </c>
      <c r="Z171" s="119" t="n">
        <v>0</v>
      </c>
      <c r="AA171" s="119" t="n">
        <v>0</v>
      </c>
      <c r="AB171" s="121"/>
      <c r="AC171" s="119" t="n">
        <v>0</v>
      </c>
      <c r="AD171" s="119" t="n">
        <v>0</v>
      </c>
      <c r="AE171" s="119" t="n">
        <v>0</v>
      </c>
      <c r="AF171" s="121"/>
      <c r="AG171" s="122" t="n">
        <f aca="false">'form A info'!$AK255/1000</f>
        <v>0</v>
      </c>
    </row>
    <row r="172" customFormat="false" ht="12.75" hidden="false" customHeight="false" outlineLevel="0" collapsed="false">
      <c r="A172" s="111" t="n">
        <v>4602</v>
      </c>
      <c r="B172" s="111" t="s">
        <v>60</v>
      </c>
      <c r="C172" s="124" t="str">
        <f aca="false">'form A info'!G10</f>
        <v>n</v>
      </c>
      <c r="D172" s="119" t="n">
        <v>0</v>
      </c>
      <c r="E172" s="119" t="n">
        <v>0</v>
      </c>
      <c r="F172" s="119" t="n">
        <v>28</v>
      </c>
      <c r="G172" s="119" t="n">
        <v>0</v>
      </c>
      <c r="H172" s="120"/>
      <c r="I172" s="119" t="n">
        <v>0</v>
      </c>
      <c r="J172" s="119" t="n">
        <v>0</v>
      </c>
      <c r="K172" s="119" t="n">
        <v>0</v>
      </c>
      <c r="L172" s="119" t="n">
        <v>0</v>
      </c>
      <c r="M172" s="120"/>
      <c r="N172" s="119" t="n">
        <v>0</v>
      </c>
      <c r="O172" s="119" t="n">
        <v>23</v>
      </c>
      <c r="P172" s="119" t="n">
        <v>23</v>
      </c>
      <c r="Q172" s="119" t="n">
        <v>0</v>
      </c>
      <c r="R172" s="121"/>
      <c r="S172" s="119" t="n">
        <v>0</v>
      </c>
      <c r="T172" s="119" t="n">
        <v>0</v>
      </c>
      <c r="U172" s="119" t="n">
        <v>0</v>
      </c>
      <c r="V172" s="119" t="n">
        <v>0</v>
      </c>
      <c r="W172" s="121"/>
      <c r="X172" s="119" t="n">
        <v>0</v>
      </c>
      <c r="Y172" s="119" t="n">
        <v>0</v>
      </c>
      <c r="Z172" s="119" t="n">
        <v>0</v>
      </c>
      <c r="AA172" s="119" t="n">
        <v>0</v>
      </c>
      <c r="AB172" s="121"/>
      <c r="AC172" s="119" t="n">
        <v>0</v>
      </c>
      <c r="AD172" s="119" t="n">
        <v>0</v>
      </c>
      <c r="AE172" s="119" t="n">
        <v>0</v>
      </c>
      <c r="AF172" s="121"/>
      <c r="AG172" s="122" t="n">
        <f aca="false">'form A info'!$AK10/1000</f>
        <v>0</v>
      </c>
    </row>
    <row r="173" customFormat="false" ht="12.75" hidden="false" customHeight="false" outlineLevel="0" collapsed="false">
      <c r="A173" s="111" t="n">
        <v>8086</v>
      </c>
      <c r="B173" s="111" t="s">
        <v>72</v>
      </c>
      <c r="C173" s="124" t="str">
        <f aca="false">'form A info'!G14</f>
        <v>n</v>
      </c>
      <c r="D173" s="119"/>
      <c r="E173" s="119"/>
      <c r="F173" s="119" t="n">
        <v>540</v>
      </c>
      <c r="G173" s="119"/>
      <c r="H173" s="120"/>
      <c r="I173" s="119"/>
      <c r="J173" s="119"/>
      <c r="K173" s="119"/>
      <c r="L173" s="119"/>
      <c r="M173" s="120"/>
      <c r="N173" s="119"/>
      <c r="O173" s="119"/>
      <c r="P173" s="119" t="n">
        <v>361</v>
      </c>
      <c r="Q173" s="119"/>
      <c r="R173" s="121"/>
      <c r="S173" s="119"/>
      <c r="T173" s="119"/>
      <c r="U173" s="119"/>
      <c r="V173" s="119"/>
      <c r="W173" s="121"/>
      <c r="X173" s="119"/>
      <c r="Y173" s="119"/>
      <c r="Z173" s="119"/>
      <c r="AA173" s="119"/>
      <c r="AB173" s="121"/>
      <c r="AC173" s="119"/>
      <c r="AD173" s="119"/>
      <c r="AE173" s="119"/>
      <c r="AF173" s="121"/>
      <c r="AG173" s="122" t="n">
        <f aca="false">'form A info'!$AK14/1000</f>
        <v>0</v>
      </c>
    </row>
    <row r="174" customFormat="false" ht="12.75" hidden="false" customHeight="false" outlineLevel="0" collapsed="false">
      <c r="A174" s="111" t="n">
        <v>9087</v>
      </c>
      <c r="B174" s="111" t="s">
        <v>73</v>
      </c>
      <c r="C174" s="124" t="str">
        <f aca="false">'form A info'!G15</f>
        <v>n</v>
      </c>
      <c r="D174" s="119" t="n">
        <v>229</v>
      </c>
      <c r="E174" s="119" t="n">
        <v>449</v>
      </c>
      <c r="F174" s="119" t="n">
        <v>307</v>
      </c>
      <c r="G174" s="119" t="n">
        <v>50</v>
      </c>
      <c r="H174" s="120"/>
      <c r="I174" s="119" t="n">
        <v>0</v>
      </c>
      <c r="J174" s="119" t="n">
        <v>0</v>
      </c>
      <c r="K174" s="119" t="n">
        <v>0</v>
      </c>
      <c r="L174" s="119" t="n">
        <v>0</v>
      </c>
      <c r="M174" s="120"/>
      <c r="N174" s="119" t="n">
        <v>0</v>
      </c>
      <c r="O174" s="119" t="n">
        <v>114</v>
      </c>
      <c r="P174" s="119" t="n">
        <v>43</v>
      </c>
      <c r="Q174" s="119" t="n">
        <v>0</v>
      </c>
      <c r="R174" s="121"/>
      <c r="S174" s="119" t="n">
        <v>19</v>
      </c>
      <c r="T174" s="119" t="n">
        <v>0</v>
      </c>
      <c r="U174" s="119" t="n">
        <v>0</v>
      </c>
      <c r="V174" s="119" t="n">
        <v>0</v>
      </c>
      <c r="W174" s="121"/>
      <c r="X174" s="119" t="n">
        <v>146</v>
      </c>
      <c r="Y174" s="119" t="n">
        <v>0</v>
      </c>
      <c r="Z174" s="119" t="n">
        <v>0</v>
      </c>
      <c r="AA174" s="119" t="n">
        <v>0</v>
      </c>
      <c r="AB174" s="121"/>
      <c r="AC174" s="119" t="n">
        <v>0</v>
      </c>
      <c r="AD174" s="119" t="n">
        <v>12926</v>
      </c>
      <c r="AE174" s="119" t="n">
        <v>47091</v>
      </c>
      <c r="AF174" s="121"/>
      <c r="AG174" s="122" t="n">
        <f aca="false">'form A info'!$AK15/1000</f>
        <v>1178.969</v>
      </c>
    </row>
    <row r="175" customFormat="false" ht="12.75" hidden="false" customHeight="false" outlineLevel="0" collapsed="false">
      <c r="A175" s="111" t="n">
        <v>8120</v>
      </c>
      <c r="B175" s="111" t="s">
        <v>92</v>
      </c>
      <c r="C175" s="125" t="str">
        <f aca="false">'form A info'!G20</f>
        <v>n</v>
      </c>
      <c r="D175" s="119" t="n">
        <v>0</v>
      </c>
      <c r="E175" s="119" t="n">
        <v>0</v>
      </c>
      <c r="F175" s="119" t="n">
        <v>156</v>
      </c>
      <c r="G175" s="119" t="n">
        <v>0</v>
      </c>
      <c r="H175" s="120"/>
      <c r="I175" s="119" t="n">
        <v>0</v>
      </c>
      <c r="J175" s="119" t="n">
        <v>0</v>
      </c>
      <c r="K175" s="119" t="n">
        <v>23</v>
      </c>
      <c r="L175" s="119" t="n">
        <v>0</v>
      </c>
      <c r="M175" s="120"/>
      <c r="N175" s="119" t="n">
        <v>0</v>
      </c>
      <c r="O175" s="119" t="n">
        <v>0</v>
      </c>
      <c r="P175" s="119" t="n">
        <v>16</v>
      </c>
      <c r="Q175" s="119" t="n">
        <v>0</v>
      </c>
      <c r="R175" s="121"/>
      <c r="S175" s="119" t="n">
        <v>0</v>
      </c>
      <c r="T175" s="119" t="n">
        <v>0</v>
      </c>
      <c r="U175" s="119" t="n">
        <v>0</v>
      </c>
      <c r="V175" s="119" t="n">
        <v>0</v>
      </c>
      <c r="W175" s="121"/>
      <c r="X175" s="119" t="n">
        <v>0</v>
      </c>
      <c r="Y175" s="119" t="n">
        <v>0</v>
      </c>
      <c r="Z175" s="119" t="n">
        <v>0</v>
      </c>
      <c r="AA175" s="119" t="n">
        <v>0</v>
      </c>
      <c r="AB175" s="121"/>
      <c r="AC175" s="119" t="n">
        <v>0</v>
      </c>
      <c r="AD175" s="119" t="n">
        <v>0</v>
      </c>
      <c r="AE175" s="119" t="n">
        <v>0</v>
      </c>
      <c r="AF175" s="121"/>
      <c r="AG175" s="122" t="n">
        <f aca="false">'form A info'!$AK20/1000</f>
        <v>573.856</v>
      </c>
    </row>
    <row r="176" customFormat="false" ht="12.75" hidden="false" customHeight="false" outlineLevel="0" collapsed="false">
      <c r="A176" s="111" t="n">
        <v>6730</v>
      </c>
      <c r="B176" s="111" t="s">
        <v>123</v>
      </c>
      <c r="C176" s="124" t="str">
        <f aca="false">'form A info'!G30</f>
        <v>n</v>
      </c>
      <c r="D176" s="119" t="n">
        <v>0</v>
      </c>
      <c r="E176" s="119" t="n">
        <v>0</v>
      </c>
      <c r="F176" s="119" t="n">
        <v>0</v>
      </c>
      <c r="G176" s="119" t="n">
        <v>0</v>
      </c>
      <c r="H176" s="120"/>
      <c r="I176" s="119" t="n">
        <v>0</v>
      </c>
      <c r="J176" s="119" t="n">
        <v>0</v>
      </c>
      <c r="K176" s="119" t="n">
        <v>0</v>
      </c>
      <c r="L176" s="119" t="n">
        <v>0</v>
      </c>
      <c r="M176" s="120"/>
      <c r="N176" s="119" t="n">
        <v>0</v>
      </c>
      <c r="O176" s="119" t="n">
        <v>0</v>
      </c>
      <c r="P176" s="119" t="n">
        <v>0</v>
      </c>
      <c r="Q176" s="119" t="n">
        <v>0</v>
      </c>
      <c r="R176" s="121"/>
      <c r="S176" s="119" t="n">
        <v>0</v>
      </c>
      <c r="T176" s="119" t="n">
        <v>0</v>
      </c>
      <c r="U176" s="119" t="n">
        <v>0</v>
      </c>
      <c r="V176" s="119" t="n">
        <v>0</v>
      </c>
      <c r="W176" s="121"/>
      <c r="X176" s="119" t="n">
        <v>0</v>
      </c>
      <c r="Y176" s="119" t="n">
        <v>0</v>
      </c>
      <c r="Z176" s="119" t="n">
        <v>0</v>
      </c>
      <c r="AA176" s="119" t="n">
        <v>0</v>
      </c>
      <c r="AB176" s="121"/>
      <c r="AC176" s="119" t="n">
        <v>0</v>
      </c>
      <c r="AD176" s="119" t="n">
        <v>0</v>
      </c>
      <c r="AE176" s="119" t="n">
        <v>0</v>
      </c>
      <c r="AF176" s="121"/>
      <c r="AG176" s="122" t="n">
        <f aca="false">'form A info'!$AK30/1000</f>
        <v>0</v>
      </c>
    </row>
    <row r="177" customFormat="false" ht="12.75" hidden="false" customHeight="false" outlineLevel="0" collapsed="false">
      <c r="A177" s="111" t="n">
        <v>8245</v>
      </c>
      <c r="B177" s="111" t="s">
        <v>135</v>
      </c>
      <c r="C177" s="124" t="str">
        <f aca="false">'form A info'!G34</f>
        <v>n</v>
      </c>
      <c r="D177" s="119" t="n">
        <v>0</v>
      </c>
      <c r="E177" s="119" t="n">
        <v>0</v>
      </c>
      <c r="F177" s="119" t="n">
        <v>443</v>
      </c>
      <c r="G177" s="119" t="n">
        <v>116</v>
      </c>
      <c r="H177" s="120"/>
      <c r="I177" s="119" t="n">
        <v>0</v>
      </c>
      <c r="J177" s="119" t="n">
        <v>0</v>
      </c>
      <c r="K177" s="119" t="n">
        <v>31</v>
      </c>
      <c r="L177" s="119" t="n">
        <v>4</v>
      </c>
      <c r="M177" s="120"/>
      <c r="N177" s="119" t="n">
        <v>0</v>
      </c>
      <c r="O177" s="119" t="n">
        <v>0</v>
      </c>
      <c r="P177" s="119" t="n">
        <v>158</v>
      </c>
      <c r="Q177" s="119" t="n">
        <v>14</v>
      </c>
      <c r="R177" s="121"/>
      <c r="S177" s="119" t="n">
        <v>0</v>
      </c>
      <c r="T177" s="119" t="n">
        <v>0</v>
      </c>
      <c r="U177" s="119" t="n">
        <v>0</v>
      </c>
      <c r="V177" s="119" t="n">
        <v>0</v>
      </c>
      <c r="W177" s="121"/>
      <c r="X177" s="119" t="n">
        <v>19</v>
      </c>
      <c r="Y177" s="119" t="n">
        <v>0</v>
      </c>
      <c r="Z177" s="119" t="n">
        <v>0</v>
      </c>
      <c r="AA177" s="119" t="n">
        <v>0</v>
      </c>
      <c r="AB177" s="121"/>
      <c r="AC177" s="119" t="n">
        <v>0</v>
      </c>
      <c r="AD177" s="119" t="n">
        <v>0</v>
      </c>
      <c r="AE177" s="119" t="n">
        <v>0</v>
      </c>
      <c r="AF177" s="121"/>
      <c r="AG177" s="122" t="n">
        <f aca="false">'form A info'!$AK34/1000</f>
        <v>1175.747</v>
      </c>
    </row>
    <row r="178" customFormat="false" ht="12.75" hidden="false" customHeight="false" outlineLevel="0" collapsed="false">
      <c r="A178" s="111" t="n">
        <v>9888</v>
      </c>
      <c r="B178" s="111" t="s">
        <v>158</v>
      </c>
      <c r="C178" s="124" t="str">
        <f aca="false">'form A info'!G41</f>
        <v>n</v>
      </c>
      <c r="D178" s="119" t="n">
        <v>0</v>
      </c>
      <c r="E178" s="119" t="n">
        <v>589</v>
      </c>
      <c r="F178" s="119" t="n">
        <v>155</v>
      </c>
      <c r="G178" s="119" t="n">
        <v>0</v>
      </c>
      <c r="H178" s="120"/>
      <c r="I178" s="119" t="n">
        <v>0</v>
      </c>
      <c r="J178" s="119" t="n">
        <v>0</v>
      </c>
      <c r="K178" s="119" t="n">
        <v>14</v>
      </c>
      <c r="L178" s="119" t="n">
        <v>0</v>
      </c>
      <c r="M178" s="120"/>
      <c r="N178" s="119" t="n">
        <v>0</v>
      </c>
      <c r="O178" s="119" t="n">
        <v>0</v>
      </c>
      <c r="P178" s="119" t="n">
        <v>28</v>
      </c>
      <c r="Q178" s="119" t="n">
        <v>0</v>
      </c>
      <c r="R178" s="121"/>
      <c r="S178" s="119" t="n">
        <v>0</v>
      </c>
      <c r="T178" s="119" t="n">
        <v>0</v>
      </c>
      <c r="U178" s="119" t="n">
        <v>0</v>
      </c>
      <c r="V178" s="119" t="n">
        <v>0</v>
      </c>
      <c r="W178" s="121"/>
      <c r="X178" s="119" t="n">
        <v>0</v>
      </c>
      <c r="Y178" s="119" t="n">
        <v>0</v>
      </c>
      <c r="Z178" s="119" t="n">
        <v>0</v>
      </c>
      <c r="AA178" s="119" t="n">
        <v>0</v>
      </c>
      <c r="AB178" s="121"/>
      <c r="AC178" s="119" t="n">
        <v>0</v>
      </c>
      <c r="AD178" s="119" t="n">
        <v>0</v>
      </c>
      <c r="AE178" s="119" t="n">
        <v>0</v>
      </c>
      <c r="AF178" s="121"/>
      <c r="AG178" s="122" t="n">
        <f aca="false">'form A info'!$AK41/1000</f>
        <v>729.283</v>
      </c>
    </row>
    <row r="179" customFormat="false" ht="12.75" hidden="false" customHeight="false" outlineLevel="0" collapsed="false">
      <c r="A179" s="111" t="n">
        <v>564</v>
      </c>
      <c r="B179" s="111" t="s">
        <v>161</v>
      </c>
      <c r="C179" s="124" t="str">
        <f aca="false">'form A info'!G43</f>
        <v>n</v>
      </c>
      <c r="D179" s="119" t="n">
        <v>344</v>
      </c>
      <c r="E179" s="119" t="n">
        <v>652</v>
      </c>
      <c r="F179" s="119" t="n">
        <v>164</v>
      </c>
      <c r="G179" s="119" t="n">
        <v>0</v>
      </c>
      <c r="H179" s="120"/>
      <c r="I179" s="119" t="n">
        <v>0</v>
      </c>
      <c r="J179" s="119" t="n">
        <v>0</v>
      </c>
      <c r="K179" s="119" t="n">
        <v>1</v>
      </c>
      <c r="L179" s="119" t="n">
        <v>0</v>
      </c>
      <c r="M179" s="120"/>
      <c r="N179" s="119" t="n">
        <v>1107</v>
      </c>
      <c r="O179" s="119" t="n">
        <v>52</v>
      </c>
      <c r="P179" s="119" t="n">
        <v>41</v>
      </c>
      <c r="Q179" s="119" t="n">
        <v>0</v>
      </c>
      <c r="R179" s="121"/>
      <c r="S179" s="119" t="n">
        <v>46</v>
      </c>
      <c r="T179" s="119" t="n">
        <v>0</v>
      </c>
      <c r="U179" s="119" t="n">
        <v>0</v>
      </c>
      <c r="V179" s="119" t="n">
        <v>0</v>
      </c>
      <c r="W179" s="121"/>
      <c r="X179" s="119" t="n">
        <v>112</v>
      </c>
      <c r="Y179" s="119" t="n">
        <v>1</v>
      </c>
      <c r="Z179" s="119" t="n">
        <v>0</v>
      </c>
      <c r="AA179" s="119" t="n">
        <v>0</v>
      </c>
      <c r="AB179" s="121"/>
      <c r="AC179" s="119" t="n">
        <v>0</v>
      </c>
      <c r="AD179" s="119" t="n">
        <v>0</v>
      </c>
      <c r="AE179" s="119" t="n">
        <v>0</v>
      </c>
      <c r="AF179" s="121"/>
      <c r="AG179" s="122" t="n">
        <f aca="false">'form A info'!$AK43/1000</f>
        <v>0</v>
      </c>
    </row>
    <row r="180" customFormat="false" ht="12.75" hidden="false" customHeight="false" outlineLevel="0" collapsed="false">
      <c r="A180" s="111" t="n">
        <v>526</v>
      </c>
      <c r="B180" s="111" t="s">
        <v>162</v>
      </c>
      <c r="C180" s="124" t="str">
        <f aca="false">'form A info'!G44</f>
        <v>n</v>
      </c>
      <c r="D180" s="119" t="n">
        <v>206</v>
      </c>
      <c r="E180" s="119" t="n">
        <v>39</v>
      </c>
      <c r="F180" s="119" t="n">
        <v>46</v>
      </c>
      <c r="G180" s="119" t="n">
        <v>0</v>
      </c>
      <c r="H180" s="120"/>
      <c r="I180" s="119" t="n">
        <v>0</v>
      </c>
      <c r="J180" s="119" t="n">
        <v>0</v>
      </c>
      <c r="K180" s="119" t="n">
        <v>0</v>
      </c>
      <c r="L180" s="119" t="n">
        <v>0</v>
      </c>
      <c r="M180" s="120"/>
      <c r="N180" s="119" t="n">
        <v>0</v>
      </c>
      <c r="O180" s="119" t="n">
        <v>3</v>
      </c>
      <c r="P180" s="119" t="n">
        <v>11</v>
      </c>
      <c r="Q180" s="119" t="n">
        <v>0</v>
      </c>
      <c r="R180" s="121"/>
      <c r="S180" s="119" t="n">
        <v>17</v>
      </c>
      <c r="T180" s="119" t="n">
        <v>0</v>
      </c>
      <c r="U180" s="119" t="n">
        <v>0</v>
      </c>
      <c r="V180" s="119" t="n">
        <v>0</v>
      </c>
      <c r="W180" s="121"/>
      <c r="X180" s="119" t="n">
        <v>55</v>
      </c>
      <c r="Y180" s="119" t="n">
        <v>1</v>
      </c>
      <c r="Z180" s="119" t="n">
        <v>0</v>
      </c>
      <c r="AA180" s="119" t="n">
        <v>0</v>
      </c>
      <c r="AB180" s="121"/>
      <c r="AC180" s="119" t="n">
        <v>20631</v>
      </c>
      <c r="AD180" s="119" t="n">
        <v>0</v>
      </c>
      <c r="AE180" s="119" t="n">
        <v>70865</v>
      </c>
      <c r="AF180" s="121"/>
      <c r="AG180" s="122" t="n">
        <f aca="false">'form A info'!$AK44/1000</f>
        <v>0</v>
      </c>
    </row>
    <row r="181" customFormat="false" ht="12.75" hidden="false" customHeight="false" outlineLevel="0" collapsed="false">
      <c r="A181" s="111" t="n">
        <v>548</v>
      </c>
      <c r="B181" s="111" t="s">
        <v>163</v>
      </c>
      <c r="C181" s="124" t="str">
        <f aca="false">'form A info'!G45</f>
        <v>n</v>
      </c>
      <c r="D181" s="119" t="n">
        <v>0</v>
      </c>
      <c r="E181" s="119" t="n">
        <v>0</v>
      </c>
      <c r="F181" s="119" t="n">
        <v>32</v>
      </c>
      <c r="G181" s="119" t="n">
        <v>0</v>
      </c>
      <c r="H181" s="120"/>
      <c r="I181" s="119" t="n">
        <v>0</v>
      </c>
      <c r="J181" s="119" t="n">
        <v>0</v>
      </c>
      <c r="K181" s="119" t="n">
        <v>0</v>
      </c>
      <c r="L181" s="119" t="n">
        <v>0</v>
      </c>
      <c r="M181" s="120"/>
      <c r="N181" s="119" t="n">
        <v>0</v>
      </c>
      <c r="O181" s="119" t="n">
        <v>23</v>
      </c>
      <c r="P181" s="119" t="n">
        <v>0</v>
      </c>
      <c r="Q181" s="119" t="n">
        <v>0</v>
      </c>
      <c r="R181" s="121"/>
      <c r="S181" s="119" t="n">
        <v>0</v>
      </c>
      <c r="T181" s="119" t="n">
        <v>0</v>
      </c>
      <c r="U181" s="119" t="n">
        <v>0</v>
      </c>
      <c r="V181" s="119" t="n">
        <v>0</v>
      </c>
      <c r="W181" s="121"/>
      <c r="X181" s="119" t="n">
        <v>0</v>
      </c>
      <c r="Y181" s="119" t="n">
        <v>0</v>
      </c>
      <c r="Z181" s="119" t="n">
        <v>0</v>
      </c>
      <c r="AA181" s="119" t="n">
        <v>0</v>
      </c>
      <c r="AB181" s="121"/>
      <c r="AC181" s="119" t="n">
        <v>0</v>
      </c>
      <c r="AD181" s="119" t="n">
        <v>0</v>
      </c>
      <c r="AE181" s="119" t="n">
        <v>0</v>
      </c>
      <c r="AF181" s="121"/>
      <c r="AG181" s="122" t="n">
        <f aca="false">'form A info'!$AK45/1000</f>
        <v>0</v>
      </c>
    </row>
    <row r="182" customFormat="false" ht="12.75" hidden="false" customHeight="false" outlineLevel="0" collapsed="false">
      <c r="A182" s="111" t="n">
        <v>9862</v>
      </c>
      <c r="B182" s="111" t="s">
        <v>175</v>
      </c>
      <c r="C182" s="124" t="str">
        <f aca="false">'form A info'!G49</f>
        <v>n</v>
      </c>
      <c r="D182" s="119" t="n">
        <v>0</v>
      </c>
      <c r="E182" s="119" t="n">
        <v>0</v>
      </c>
      <c r="F182" s="119" t="n">
        <v>234</v>
      </c>
      <c r="G182" s="119" t="n">
        <v>2</v>
      </c>
      <c r="H182" s="120"/>
      <c r="I182" s="119" t="n">
        <v>0</v>
      </c>
      <c r="J182" s="119" t="n">
        <v>0</v>
      </c>
      <c r="K182" s="119" t="n">
        <v>0</v>
      </c>
      <c r="L182" s="119" t="n">
        <v>0</v>
      </c>
      <c r="M182" s="120"/>
      <c r="N182" s="119" t="n">
        <v>0</v>
      </c>
      <c r="O182" s="119" t="n">
        <v>0</v>
      </c>
      <c r="P182" s="119" t="n">
        <v>10</v>
      </c>
      <c r="Q182" s="119" t="n">
        <v>7</v>
      </c>
      <c r="R182" s="121"/>
      <c r="S182" s="119" t="n">
        <v>0</v>
      </c>
      <c r="T182" s="119" t="n">
        <v>0</v>
      </c>
      <c r="U182" s="119" t="n">
        <v>0</v>
      </c>
      <c r="V182" s="119" t="n">
        <v>0</v>
      </c>
      <c r="W182" s="121"/>
      <c r="X182" s="119" t="n">
        <v>0</v>
      </c>
      <c r="Y182" s="119" t="n">
        <v>0</v>
      </c>
      <c r="Z182" s="119" t="n">
        <v>0</v>
      </c>
      <c r="AA182" s="119" t="n">
        <v>0</v>
      </c>
      <c r="AB182" s="121"/>
      <c r="AC182" s="119" t="n">
        <v>12000</v>
      </c>
      <c r="AD182" s="119" t="n">
        <v>0</v>
      </c>
      <c r="AE182" s="119" t="n">
        <v>0</v>
      </c>
      <c r="AF182" s="121"/>
      <c r="AG182" s="122" t="n">
        <f aca="false">'form A info'!$AK49/1000</f>
        <v>871.547</v>
      </c>
    </row>
    <row r="183" customFormat="false" ht="12.75" hidden="false" customHeight="false" outlineLevel="0" collapsed="false">
      <c r="A183" s="111" t="n">
        <v>7320</v>
      </c>
      <c r="B183" s="111" t="s">
        <v>184</v>
      </c>
      <c r="C183" s="124" t="str">
        <f aca="false">'form A info'!G52</f>
        <v>n</v>
      </c>
      <c r="D183" s="119" t="n">
        <v>415</v>
      </c>
      <c r="E183" s="119"/>
      <c r="F183" s="119" t="n">
        <v>231</v>
      </c>
      <c r="G183" s="119" t="n">
        <v>10</v>
      </c>
      <c r="H183" s="120"/>
      <c r="I183" s="119"/>
      <c r="J183" s="119"/>
      <c r="K183" s="119" t="n">
        <v>1</v>
      </c>
      <c r="L183" s="119"/>
      <c r="M183" s="120"/>
      <c r="N183" s="119"/>
      <c r="O183" s="119"/>
      <c r="P183" s="119"/>
      <c r="Q183" s="119"/>
      <c r="R183" s="121"/>
      <c r="S183" s="119" t="n">
        <v>59</v>
      </c>
      <c r="T183" s="119"/>
      <c r="U183" s="119"/>
      <c r="V183" s="119"/>
      <c r="W183" s="121"/>
      <c r="X183" s="119" t="n">
        <v>29</v>
      </c>
      <c r="Y183" s="119"/>
      <c r="Z183" s="119"/>
      <c r="AA183" s="119"/>
      <c r="AB183" s="121"/>
      <c r="AC183" s="119"/>
      <c r="AD183" s="119"/>
      <c r="AE183" s="119"/>
      <c r="AF183" s="121"/>
      <c r="AG183" s="122" t="n">
        <f aca="false">'form A info'!$AK52/1000</f>
        <v>0</v>
      </c>
    </row>
    <row r="184" customFormat="false" ht="12.75" hidden="false" customHeight="false" outlineLevel="0" collapsed="false">
      <c r="A184" s="111" t="n">
        <v>584</v>
      </c>
      <c r="B184" s="111" t="s">
        <v>675</v>
      </c>
      <c r="C184" s="124" t="str">
        <f aca="false">'form A info'!G55</f>
        <v>n</v>
      </c>
      <c r="D184" s="119" t="n">
        <v>0</v>
      </c>
      <c r="E184" s="119" t="n">
        <v>0</v>
      </c>
      <c r="F184" s="119" t="n">
        <v>11</v>
      </c>
      <c r="G184" s="119" t="n">
        <v>11</v>
      </c>
      <c r="H184" s="120"/>
      <c r="I184" s="119" t="n">
        <v>0</v>
      </c>
      <c r="J184" s="119" t="n">
        <v>0</v>
      </c>
      <c r="K184" s="119" t="n">
        <v>0</v>
      </c>
      <c r="L184" s="119" t="n">
        <v>4</v>
      </c>
      <c r="M184" s="120"/>
      <c r="N184" s="119" t="n">
        <v>0</v>
      </c>
      <c r="O184" s="119" t="n">
        <v>5</v>
      </c>
      <c r="P184" s="119" t="n">
        <v>2</v>
      </c>
      <c r="Q184" s="119" t="n">
        <v>0</v>
      </c>
      <c r="R184" s="121"/>
      <c r="S184" s="119" t="n">
        <v>0</v>
      </c>
      <c r="T184" s="119" t="n">
        <v>0</v>
      </c>
      <c r="U184" s="119" t="n">
        <v>0</v>
      </c>
      <c r="V184" s="119" t="n">
        <v>0</v>
      </c>
      <c r="W184" s="121"/>
      <c r="X184" s="119" t="n">
        <v>0</v>
      </c>
      <c r="Y184" s="119" t="n">
        <v>0</v>
      </c>
      <c r="Z184" s="119" t="n">
        <v>0</v>
      </c>
      <c r="AA184" s="119" t="n">
        <v>0</v>
      </c>
      <c r="AB184" s="121"/>
      <c r="AC184" s="119" t="n">
        <v>0</v>
      </c>
      <c r="AD184" s="119" t="n">
        <v>0</v>
      </c>
      <c r="AE184" s="119" t="n">
        <v>0</v>
      </c>
      <c r="AF184" s="121"/>
      <c r="AG184" s="122" t="n">
        <f aca="false">'form A info'!$AK55/1000</f>
        <v>0</v>
      </c>
    </row>
    <row r="185" customFormat="false" ht="12.75" hidden="false" customHeight="false" outlineLevel="0" collapsed="false">
      <c r="A185" s="111" t="n">
        <v>735</v>
      </c>
      <c r="B185" s="111" t="s">
        <v>197</v>
      </c>
      <c r="C185" s="124" t="str">
        <f aca="false">'form A info'!G57</f>
        <v>n</v>
      </c>
      <c r="D185" s="119" t="n">
        <v>0</v>
      </c>
      <c r="E185" s="119" t="n">
        <v>0</v>
      </c>
      <c r="F185" s="119" t="n">
        <v>469</v>
      </c>
      <c r="G185" s="119" t="n">
        <v>0</v>
      </c>
      <c r="H185" s="120"/>
      <c r="I185" s="119" t="n">
        <v>0</v>
      </c>
      <c r="J185" s="119" t="n">
        <v>0</v>
      </c>
      <c r="K185" s="119" t="n">
        <v>0</v>
      </c>
      <c r="L185" s="119" t="n">
        <v>0</v>
      </c>
      <c r="M185" s="120"/>
      <c r="N185" s="119" t="n">
        <v>0</v>
      </c>
      <c r="O185" s="119" t="n">
        <v>0</v>
      </c>
      <c r="P185" s="119" t="n">
        <v>33</v>
      </c>
      <c r="Q185" s="119" t="n">
        <v>0</v>
      </c>
      <c r="R185" s="121"/>
      <c r="S185" s="119" t="n">
        <v>0</v>
      </c>
      <c r="T185" s="119" t="n">
        <v>0</v>
      </c>
      <c r="U185" s="119" t="n">
        <v>0</v>
      </c>
      <c r="V185" s="119" t="n">
        <v>0</v>
      </c>
      <c r="W185" s="121"/>
      <c r="X185" s="119" t="n">
        <v>0</v>
      </c>
      <c r="Y185" s="119" t="n">
        <v>0</v>
      </c>
      <c r="Z185" s="119" t="n">
        <v>0</v>
      </c>
      <c r="AA185" s="119" t="n">
        <v>0</v>
      </c>
      <c r="AB185" s="121"/>
      <c r="AC185" s="119" t="n">
        <v>0</v>
      </c>
      <c r="AD185" s="119" t="n">
        <v>0</v>
      </c>
      <c r="AE185" s="119" t="n">
        <v>0</v>
      </c>
      <c r="AF185" s="121"/>
      <c r="AG185" s="122" t="n">
        <f aca="false">'form A info'!$AK57/1000</f>
        <v>867.2</v>
      </c>
    </row>
    <row r="186" customFormat="false" ht="12.75" hidden="false" customHeight="false" outlineLevel="0" collapsed="false">
      <c r="A186" s="111" t="n">
        <v>4773</v>
      </c>
      <c r="B186" s="111" t="s">
        <v>210</v>
      </c>
      <c r="C186" s="124" t="str">
        <f aca="false">'form A info'!G62</f>
        <v>n</v>
      </c>
      <c r="D186" s="119" t="n">
        <v>71</v>
      </c>
      <c r="E186" s="119" t="n">
        <v>453</v>
      </c>
      <c r="F186" s="119" t="n">
        <v>133</v>
      </c>
      <c r="G186" s="119" t="n">
        <v>0</v>
      </c>
      <c r="H186" s="120"/>
      <c r="I186" s="119" t="n">
        <v>0</v>
      </c>
      <c r="J186" s="119" t="n">
        <v>23</v>
      </c>
      <c r="K186" s="119" t="n">
        <v>5</v>
      </c>
      <c r="L186" s="119" t="n">
        <v>0</v>
      </c>
      <c r="M186" s="120"/>
      <c r="N186" s="119" t="n">
        <v>0</v>
      </c>
      <c r="O186" s="119" t="n">
        <v>26</v>
      </c>
      <c r="P186" s="119" t="n">
        <v>13</v>
      </c>
      <c r="Q186" s="119" t="n">
        <v>0</v>
      </c>
      <c r="R186" s="121"/>
      <c r="S186" s="119" t="n">
        <v>0</v>
      </c>
      <c r="T186" s="119" t="n">
        <v>0</v>
      </c>
      <c r="U186" s="119" t="n">
        <v>0</v>
      </c>
      <c r="V186" s="119" t="n">
        <v>0</v>
      </c>
      <c r="W186" s="121"/>
      <c r="X186" s="119" t="n">
        <v>0</v>
      </c>
      <c r="Y186" s="119" t="n">
        <v>3</v>
      </c>
      <c r="Z186" s="119" t="n">
        <v>0</v>
      </c>
      <c r="AA186" s="119" t="n">
        <v>0</v>
      </c>
      <c r="AB186" s="121"/>
      <c r="AC186" s="119" t="n">
        <v>44824</v>
      </c>
      <c r="AD186" s="119" t="n">
        <v>0</v>
      </c>
      <c r="AE186" s="119" t="n">
        <v>44824</v>
      </c>
      <c r="AF186" s="121"/>
      <c r="AG186" s="122" t="n">
        <f aca="false">'form A info'!$AK62/1000</f>
        <v>0</v>
      </c>
    </row>
    <row r="187" customFormat="false" ht="12.75" hidden="false" customHeight="false" outlineLevel="0" collapsed="false">
      <c r="A187" s="111" t="n">
        <v>4781</v>
      </c>
      <c r="B187" s="111" t="s">
        <v>217</v>
      </c>
      <c r="C187" s="124" t="str">
        <f aca="false">'form A info'!G65</f>
        <v>n</v>
      </c>
      <c r="D187" s="119"/>
      <c r="E187" s="119" t="n">
        <v>747</v>
      </c>
      <c r="F187" s="119" t="n">
        <v>-65</v>
      </c>
      <c r="G187" s="119" t="n">
        <v>21</v>
      </c>
      <c r="H187" s="120"/>
      <c r="I187" s="119"/>
      <c r="J187" s="119"/>
      <c r="K187" s="119" t="n">
        <v>10</v>
      </c>
      <c r="L187" s="119"/>
      <c r="M187" s="120"/>
      <c r="N187" s="119"/>
      <c r="O187" s="119" t="n">
        <v>39</v>
      </c>
      <c r="P187" s="119" t="n">
        <v>5</v>
      </c>
      <c r="Q187" s="119"/>
      <c r="R187" s="121"/>
      <c r="S187" s="119"/>
      <c r="T187" s="119"/>
      <c r="U187" s="119"/>
      <c r="V187" s="119"/>
      <c r="W187" s="121"/>
      <c r="X187" s="119"/>
      <c r="Y187" s="119"/>
      <c r="Z187" s="119"/>
      <c r="AA187" s="119"/>
      <c r="AB187" s="121"/>
      <c r="AC187" s="119"/>
      <c r="AD187" s="119"/>
      <c r="AE187" s="119"/>
      <c r="AF187" s="121"/>
      <c r="AG187" s="122" t="n">
        <f aca="false">'form A info'!$AK65/1000</f>
        <v>0</v>
      </c>
    </row>
    <row r="188" customFormat="false" ht="12.75" hidden="false" customHeight="false" outlineLevel="0" collapsed="false">
      <c r="A188" s="111" t="n">
        <v>1101</v>
      </c>
      <c r="B188" s="111" t="s">
        <v>676</v>
      </c>
      <c r="C188" s="124" t="str">
        <f aca="false">'form A info'!G66</f>
        <v>n</v>
      </c>
      <c r="D188" s="119" t="n">
        <v>0</v>
      </c>
      <c r="E188" s="119" t="n">
        <v>0</v>
      </c>
      <c r="F188" s="119" t="n">
        <v>12</v>
      </c>
      <c r="G188" s="119" t="n">
        <v>0</v>
      </c>
      <c r="H188" s="120"/>
      <c r="I188" s="119" t="n">
        <v>0</v>
      </c>
      <c r="J188" s="119" t="n">
        <v>0</v>
      </c>
      <c r="K188" s="119" t="n">
        <v>0</v>
      </c>
      <c r="L188" s="119" t="n">
        <v>1</v>
      </c>
      <c r="M188" s="120"/>
      <c r="N188" s="119" t="n">
        <v>0</v>
      </c>
      <c r="O188" s="119" t="n">
        <v>6</v>
      </c>
      <c r="P188" s="119" t="n">
        <v>16</v>
      </c>
      <c r="Q188" s="119" t="n">
        <v>0</v>
      </c>
      <c r="R188" s="121"/>
      <c r="S188" s="119" t="n">
        <v>0</v>
      </c>
      <c r="T188" s="119" t="n">
        <v>0</v>
      </c>
      <c r="U188" s="119" t="n">
        <v>0</v>
      </c>
      <c r="V188" s="119" t="n">
        <v>0</v>
      </c>
      <c r="W188" s="121"/>
      <c r="X188" s="119" t="n">
        <v>0</v>
      </c>
      <c r="Y188" s="119" t="n">
        <v>0</v>
      </c>
      <c r="Z188" s="119" t="n">
        <v>0</v>
      </c>
      <c r="AA188" s="119" t="n">
        <v>0</v>
      </c>
      <c r="AB188" s="121"/>
      <c r="AC188" s="119" t="n">
        <v>0</v>
      </c>
      <c r="AD188" s="119" t="n">
        <v>0</v>
      </c>
      <c r="AE188" s="119" t="n">
        <v>0</v>
      </c>
      <c r="AF188" s="121"/>
      <c r="AG188" s="122" t="n">
        <f aca="false">'form A info'!$AK66/1000</f>
        <v>0</v>
      </c>
    </row>
    <row r="189" customFormat="false" ht="12.75" hidden="false" customHeight="false" outlineLevel="0" collapsed="false">
      <c r="A189" s="111" t="n">
        <v>1137</v>
      </c>
      <c r="B189" s="111" t="s">
        <v>220</v>
      </c>
      <c r="C189" s="124" t="str">
        <f aca="false">'form A info'!G67</f>
        <v>n</v>
      </c>
      <c r="D189" s="119"/>
      <c r="E189" s="119"/>
      <c r="F189" s="119" t="n">
        <v>329</v>
      </c>
      <c r="G189" s="119" t="n">
        <v>-3</v>
      </c>
      <c r="H189" s="120"/>
      <c r="I189" s="119"/>
      <c r="J189" s="119" t="n">
        <v>57</v>
      </c>
      <c r="K189" s="119" t="n">
        <v>-8</v>
      </c>
      <c r="L189" s="119"/>
      <c r="M189" s="120"/>
      <c r="N189" s="119"/>
      <c r="O189" s="119"/>
      <c r="P189" s="119" t="n">
        <v>17</v>
      </c>
      <c r="Q189" s="119"/>
      <c r="R189" s="121"/>
      <c r="S189" s="119"/>
      <c r="T189" s="119"/>
      <c r="U189" s="119"/>
      <c r="V189" s="119"/>
      <c r="W189" s="121"/>
      <c r="X189" s="119"/>
      <c r="Y189" s="119"/>
      <c r="Z189" s="119"/>
      <c r="AA189" s="119"/>
      <c r="AB189" s="121"/>
      <c r="AC189" s="119"/>
      <c r="AD189" s="119"/>
      <c r="AE189" s="119"/>
      <c r="AF189" s="121"/>
      <c r="AG189" s="122" t="n">
        <f aca="false">'form A info'!$AK67/1000</f>
        <v>0</v>
      </c>
    </row>
    <row r="190" customFormat="false" ht="12.75" hidden="false" customHeight="false" outlineLevel="0" collapsed="false">
      <c r="A190" s="111" t="n">
        <v>1116</v>
      </c>
      <c r="B190" s="111" t="s">
        <v>221</v>
      </c>
      <c r="C190" s="124" t="str">
        <f aca="false">'form A info'!G68</f>
        <v>n</v>
      </c>
      <c r="D190" s="119" t="n">
        <v>364</v>
      </c>
      <c r="E190" s="119" t="n">
        <v>518</v>
      </c>
      <c r="F190" s="119" t="n">
        <v>235</v>
      </c>
      <c r="G190" s="119" t="n">
        <v>0</v>
      </c>
      <c r="H190" s="120"/>
      <c r="I190" s="119" t="n">
        <v>5</v>
      </c>
      <c r="J190" s="119" t="n">
        <v>86</v>
      </c>
      <c r="K190" s="119" t="n">
        <v>0</v>
      </c>
      <c r="L190" s="119" t="n">
        <v>0</v>
      </c>
      <c r="M190" s="120"/>
      <c r="N190" s="119" t="n">
        <v>9</v>
      </c>
      <c r="O190" s="119" t="n">
        <v>66</v>
      </c>
      <c r="P190" s="119" t="n">
        <v>145</v>
      </c>
      <c r="Q190" s="119" t="n">
        <v>0</v>
      </c>
      <c r="R190" s="121"/>
      <c r="S190" s="119" t="n">
        <v>102</v>
      </c>
      <c r="T190" s="119" t="n">
        <v>0</v>
      </c>
      <c r="U190" s="119" t="n">
        <v>0</v>
      </c>
      <c r="V190" s="119" t="n">
        <v>0</v>
      </c>
      <c r="W190" s="121"/>
      <c r="X190" s="119" t="n">
        <v>140</v>
      </c>
      <c r="Y190" s="119" t="n">
        <v>0</v>
      </c>
      <c r="Z190" s="119" t="n">
        <v>0</v>
      </c>
      <c r="AA190" s="119" t="n">
        <v>0</v>
      </c>
      <c r="AB190" s="121"/>
      <c r="AC190" s="119" t="n">
        <v>2010</v>
      </c>
      <c r="AD190" s="119" t="n">
        <v>25000</v>
      </c>
      <c r="AE190" s="119" t="n">
        <v>0</v>
      </c>
      <c r="AF190" s="121"/>
      <c r="AG190" s="122" t="n">
        <f aca="false">'form A info'!$AK68/1000</f>
        <v>1695.745</v>
      </c>
    </row>
    <row r="191" customFormat="false" ht="12.75" hidden="false" customHeight="false" outlineLevel="0" collapsed="false">
      <c r="A191" s="111" t="n">
        <v>7323</v>
      </c>
      <c r="B191" s="111" t="s">
        <v>677</v>
      </c>
      <c r="C191" s="124" t="str">
        <f aca="false">'form A info'!G69</f>
        <v>n</v>
      </c>
      <c r="D191" s="119" t="n">
        <v>566</v>
      </c>
      <c r="E191" s="119" t="n">
        <v>397</v>
      </c>
      <c r="F191" s="119" t="n">
        <v>253</v>
      </c>
      <c r="G191" s="119" t="n">
        <v>43</v>
      </c>
      <c r="H191" s="120"/>
      <c r="I191" s="119" t="n">
        <v>0</v>
      </c>
      <c r="J191" s="119" t="n">
        <v>17</v>
      </c>
      <c r="K191" s="119" t="n">
        <v>0</v>
      </c>
      <c r="L191" s="119" t="n">
        <v>0</v>
      </c>
      <c r="M191" s="120"/>
      <c r="N191" s="119" t="n">
        <v>19</v>
      </c>
      <c r="O191" s="119" t="n">
        <v>24</v>
      </c>
      <c r="P191" s="119" t="n">
        <v>74</v>
      </c>
      <c r="Q191" s="119" t="n">
        <v>0</v>
      </c>
      <c r="R191" s="121"/>
      <c r="S191" s="119" t="n">
        <v>41</v>
      </c>
      <c r="T191" s="119" t="n">
        <v>0</v>
      </c>
      <c r="U191" s="119" t="n">
        <v>0</v>
      </c>
      <c r="V191" s="119" t="n">
        <v>0</v>
      </c>
      <c r="W191" s="121"/>
      <c r="X191" s="119" t="n">
        <v>97</v>
      </c>
      <c r="Y191" s="119" t="n">
        <v>0</v>
      </c>
      <c r="Z191" s="119" t="n">
        <v>0</v>
      </c>
      <c r="AA191" s="119" t="n">
        <v>0</v>
      </c>
      <c r="AB191" s="121"/>
      <c r="AC191" s="119" t="n">
        <v>0</v>
      </c>
      <c r="AD191" s="119" t="n">
        <v>0</v>
      </c>
      <c r="AE191" s="119" t="n">
        <v>0</v>
      </c>
      <c r="AF191" s="121"/>
      <c r="AG191" s="122" t="n">
        <f aca="false">'form A info'!$AK69/1000</f>
        <v>363.65</v>
      </c>
    </row>
    <row r="192" customFormat="false" ht="12.75" hidden="false" customHeight="false" outlineLevel="0" collapsed="false">
      <c r="A192" s="111" t="n">
        <v>8544</v>
      </c>
      <c r="B192" s="111" t="s">
        <v>227</v>
      </c>
      <c r="C192" s="124" t="str">
        <f aca="false">'form A info'!G71</f>
        <v>n</v>
      </c>
      <c r="D192" s="119" t="n">
        <v>0</v>
      </c>
      <c r="E192" s="119" t="n">
        <v>0</v>
      </c>
      <c r="F192" s="119" t="n">
        <v>344</v>
      </c>
      <c r="G192" s="119" t="n">
        <v>0</v>
      </c>
      <c r="H192" s="120"/>
      <c r="I192" s="119" t="n">
        <v>0</v>
      </c>
      <c r="J192" s="119" t="n">
        <v>0</v>
      </c>
      <c r="K192" s="119" t="n">
        <v>0</v>
      </c>
      <c r="L192" s="119" t="n">
        <v>0</v>
      </c>
      <c r="M192" s="120"/>
      <c r="N192" s="119" t="n">
        <v>0</v>
      </c>
      <c r="O192" s="119" t="n">
        <v>0</v>
      </c>
      <c r="P192" s="119" t="n">
        <v>42</v>
      </c>
      <c r="Q192" s="119" t="n">
        <v>0</v>
      </c>
      <c r="R192" s="121"/>
      <c r="S192" s="119" t="n">
        <v>0</v>
      </c>
      <c r="T192" s="119" t="n">
        <v>0</v>
      </c>
      <c r="U192" s="119" t="n">
        <v>0</v>
      </c>
      <c r="V192" s="119" t="n">
        <v>0</v>
      </c>
      <c r="W192" s="121"/>
      <c r="X192" s="119" t="n">
        <v>0</v>
      </c>
      <c r="Y192" s="119" t="n">
        <v>0</v>
      </c>
      <c r="Z192" s="119" t="n">
        <v>0</v>
      </c>
      <c r="AA192" s="119" t="n">
        <v>0</v>
      </c>
      <c r="AB192" s="121"/>
      <c r="AC192" s="119" t="n">
        <v>0</v>
      </c>
      <c r="AD192" s="119" t="n">
        <v>0</v>
      </c>
      <c r="AE192" s="119" t="n">
        <v>0</v>
      </c>
      <c r="AF192" s="121"/>
      <c r="AG192" s="122" t="n">
        <f aca="false">'form A info'!$AK71/1000</f>
        <v>1281.234</v>
      </c>
    </row>
    <row r="193" customFormat="false" ht="12.75" hidden="false" customHeight="false" outlineLevel="0" collapsed="false">
      <c r="A193" s="111" t="n">
        <v>1145</v>
      </c>
      <c r="B193" s="111" t="s">
        <v>239</v>
      </c>
      <c r="C193" s="124" t="str">
        <f aca="false">'form A info'!G75</f>
        <v>n</v>
      </c>
      <c r="D193" s="119" t="n">
        <v>133</v>
      </c>
      <c r="E193" s="119" t="n">
        <v>1045</v>
      </c>
      <c r="F193" s="119" t="n">
        <v>80</v>
      </c>
      <c r="G193" s="119" t="n">
        <v>0</v>
      </c>
      <c r="H193" s="120"/>
      <c r="I193" s="119" t="n">
        <v>0</v>
      </c>
      <c r="J193" s="119" t="n">
        <v>122</v>
      </c>
      <c r="K193" s="119" t="n">
        <v>0</v>
      </c>
      <c r="L193" s="119" t="n">
        <v>0</v>
      </c>
      <c r="M193" s="120"/>
      <c r="N193" s="119" t="n">
        <v>22</v>
      </c>
      <c r="O193" s="119" t="n">
        <v>133</v>
      </c>
      <c r="P193" s="119" t="n">
        <v>50</v>
      </c>
      <c r="Q193" s="119" t="n">
        <v>0</v>
      </c>
      <c r="R193" s="121"/>
      <c r="S193" s="119" t="n">
        <v>31</v>
      </c>
      <c r="T193" s="119" t="n">
        <v>0</v>
      </c>
      <c r="U193" s="119" t="n">
        <v>0</v>
      </c>
      <c r="V193" s="119" t="n">
        <v>0</v>
      </c>
      <c r="W193" s="121"/>
      <c r="X193" s="119" t="n">
        <v>78</v>
      </c>
      <c r="Y193" s="119" t="n">
        <v>6</v>
      </c>
      <c r="Z193" s="119" t="n">
        <v>0</v>
      </c>
      <c r="AA193" s="119" t="n">
        <v>0</v>
      </c>
      <c r="AB193" s="121"/>
      <c r="AC193" s="119" t="n">
        <v>5067</v>
      </c>
      <c r="AD193" s="119" t="n">
        <v>0</v>
      </c>
      <c r="AE193" s="119" t="n">
        <v>0</v>
      </c>
      <c r="AF193" s="121"/>
      <c r="AG193" s="122" t="n">
        <f aca="false">'form A info'!$AK75/1000</f>
        <v>0</v>
      </c>
    </row>
    <row r="194" customFormat="false" ht="12.75" hidden="false" customHeight="false" outlineLevel="0" collapsed="false">
      <c r="A194" s="111" t="n">
        <v>509</v>
      </c>
      <c r="B194" s="111" t="s">
        <v>248</v>
      </c>
      <c r="C194" s="124" t="str">
        <f aca="false">'form A info'!G78</f>
        <v>n</v>
      </c>
      <c r="D194" s="119" t="n">
        <v>0</v>
      </c>
      <c r="E194" s="119" t="n">
        <v>0</v>
      </c>
      <c r="F194" s="119" t="n">
        <v>25</v>
      </c>
      <c r="G194" s="119" t="n">
        <v>0</v>
      </c>
      <c r="H194" s="120"/>
      <c r="I194" s="119" t="n">
        <v>0</v>
      </c>
      <c r="J194" s="119" t="n">
        <v>0</v>
      </c>
      <c r="K194" s="119" t="n">
        <v>0</v>
      </c>
      <c r="L194" s="119" t="n">
        <v>0</v>
      </c>
      <c r="M194" s="120"/>
      <c r="N194" s="119" t="n">
        <v>0</v>
      </c>
      <c r="O194" s="119" t="n">
        <v>14</v>
      </c>
      <c r="P194" s="119" t="n">
        <v>0</v>
      </c>
      <c r="Q194" s="119" t="n">
        <v>0</v>
      </c>
      <c r="R194" s="121"/>
      <c r="S194" s="119" t="n">
        <v>0</v>
      </c>
      <c r="T194" s="119" t="n">
        <v>0</v>
      </c>
      <c r="U194" s="119" t="n">
        <v>0</v>
      </c>
      <c r="V194" s="119" t="n">
        <v>0</v>
      </c>
      <c r="W194" s="121"/>
      <c r="X194" s="119" t="n">
        <v>0</v>
      </c>
      <c r="Y194" s="119" t="n">
        <v>0</v>
      </c>
      <c r="Z194" s="119" t="n">
        <v>0</v>
      </c>
      <c r="AA194" s="119" t="n">
        <v>0</v>
      </c>
      <c r="AB194" s="121"/>
      <c r="AC194" s="119" t="n">
        <v>0</v>
      </c>
      <c r="AD194" s="119" t="n">
        <v>0</v>
      </c>
      <c r="AE194" s="119" t="n">
        <v>0</v>
      </c>
      <c r="AF194" s="121"/>
      <c r="AG194" s="122" t="n">
        <f aca="false">'form A info'!$AK78/1000</f>
        <v>59.46882</v>
      </c>
    </row>
    <row r="195" customFormat="false" ht="12.75" hidden="false" customHeight="false" outlineLevel="0" collapsed="false">
      <c r="A195" s="111" t="n">
        <v>1310</v>
      </c>
      <c r="B195" s="111" t="s">
        <v>256</v>
      </c>
      <c r="C195" s="124" t="str">
        <f aca="false">'form A info'!G81</f>
        <v>n</v>
      </c>
      <c r="D195" s="119" t="n">
        <v>66</v>
      </c>
      <c r="E195" s="119" t="n">
        <v>463</v>
      </c>
      <c r="F195" s="119" t="n">
        <v>85</v>
      </c>
      <c r="G195" s="119" t="n">
        <v>51</v>
      </c>
      <c r="H195" s="120"/>
      <c r="I195" s="119"/>
      <c r="J195" s="119"/>
      <c r="K195" s="119"/>
      <c r="L195" s="119"/>
      <c r="M195" s="120"/>
      <c r="N195" s="119"/>
      <c r="O195" s="119"/>
      <c r="P195" s="119"/>
      <c r="Q195" s="119"/>
      <c r="R195" s="121"/>
      <c r="S195" s="119"/>
      <c r="T195" s="119"/>
      <c r="U195" s="119"/>
      <c r="V195" s="119"/>
      <c r="W195" s="121"/>
      <c r="X195" s="119"/>
      <c r="Y195" s="119"/>
      <c r="Z195" s="119"/>
      <c r="AA195" s="119"/>
      <c r="AB195" s="121"/>
      <c r="AC195" s="119"/>
      <c r="AD195" s="119"/>
      <c r="AE195" s="119"/>
      <c r="AF195" s="121"/>
      <c r="AG195" s="122" t="n">
        <f aca="false">'form A info'!$AK81/1000</f>
        <v>437.958</v>
      </c>
    </row>
    <row r="196" customFormat="false" ht="12.75" hidden="false" customHeight="false" outlineLevel="0" collapsed="false">
      <c r="A196" s="111" t="n">
        <v>4776</v>
      </c>
      <c r="B196" s="111" t="s">
        <v>257</v>
      </c>
      <c r="C196" s="124" t="str">
        <f aca="false">'form A info'!G82</f>
        <v>n</v>
      </c>
      <c r="D196" s="119" t="n">
        <v>84</v>
      </c>
      <c r="E196" s="119" t="n">
        <v>951</v>
      </c>
      <c r="F196" s="119" t="n">
        <v>385</v>
      </c>
      <c r="G196" s="119" t="n">
        <v>14</v>
      </c>
      <c r="H196" s="120"/>
      <c r="I196" s="119" t="n">
        <v>0</v>
      </c>
      <c r="J196" s="119" t="n">
        <v>32</v>
      </c>
      <c r="K196" s="119" t="n">
        <v>19</v>
      </c>
      <c r="L196" s="119" t="n">
        <v>0</v>
      </c>
      <c r="M196" s="120"/>
      <c r="N196" s="119" t="n">
        <v>0</v>
      </c>
      <c r="O196" s="119" t="n">
        <v>0</v>
      </c>
      <c r="P196" s="119" t="n">
        <v>10</v>
      </c>
      <c r="Q196" s="119" t="n">
        <v>1</v>
      </c>
      <c r="R196" s="121"/>
      <c r="S196" s="119" t="n">
        <v>0</v>
      </c>
      <c r="T196" s="119" t="n">
        <v>0</v>
      </c>
      <c r="U196" s="119" t="n">
        <v>0</v>
      </c>
      <c r="V196" s="119" t="n">
        <v>0</v>
      </c>
      <c r="W196" s="121"/>
      <c r="X196" s="119" t="n">
        <v>0</v>
      </c>
      <c r="Y196" s="119" t="n">
        <v>5</v>
      </c>
      <c r="Z196" s="119" t="n">
        <v>0</v>
      </c>
      <c r="AA196" s="119" t="n">
        <v>0</v>
      </c>
      <c r="AB196" s="121"/>
      <c r="AC196" s="119" t="n">
        <v>0</v>
      </c>
      <c r="AD196" s="119" t="n">
        <v>0</v>
      </c>
      <c r="AE196" s="119" t="n">
        <v>0</v>
      </c>
      <c r="AF196" s="121"/>
      <c r="AG196" s="122" t="n">
        <f aca="false">'form A info'!$AK82/1000</f>
        <v>879.563</v>
      </c>
    </row>
    <row r="197" customFormat="false" ht="12.75" hidden="false" customHeight="false" outlineLevel="0" collapsed="false">
      <c r="B197" s="123" t="s">
        <v>262</v>
      </c>
      <c r="C197" s="124" t="str">
        <f aca="false">'form A info'!G85</f>
        <v>n</v>
      </c>
      <c r="D197" s="119"/>
      <c r="E197" s="119"/>
      <c r="F197" s="119"/>
      <c r="G197" s="119"/>
      <c r="H197" s="120"/>
      <c r="I197" s="119"/>
      <c r="J197" s="119"/>
      <c r="K197" s="119"/>
      <c r="L197" s="119"/>
      <c r="M197" s="120"/>
      <c r="N197" s="119"/>
      <c r="O197" s="119"/>
      <c r="P197" s="119"/>
      <c r="Q197" s="119"/>
      <c r="R197" s="121"/>
      <c r="S197" s="119"/>
      <c r="T197" s="119"/>
      <c r="U197" s="119"/>
      <c r="V197" s="119"/>
      <c r="W197" s="121"/>
      <c r="X197" s="119"/>
      <c r="Y197" s="119"/>
      <c r="Z197" s="119"/>
      <c r="AA197" s="119"/>
      <c r="AB197" s="121"/>
      <c r="AC197" s="119"/>
      <c r="AD197" s="119"/>
      <c r="AE197" s="119"/>
      <c r="AF197" s="121"/>
      <c r="AG197" s="122" t="n">
        <f aca="false">'form A info'!$AK85/1000</f>
        <v>0</v>
      </c>
    </row>
    <row r="198" customFormat="false" ht="12.75" hidden="false" customHeight="false" outlineLevel="0" collapsed="false">
      <c r="A198" s="111" t="n">
        <v>8685</v>
      </c>
      <c r="B198" s="111" t="s">
        <v>263</v>
      </c>
      <c r="C198" s="124" t="str">
        <f aca="false">'form A info'!G86</f>
        <v>n</v>
      </c>
      <c r="D198" s="119"/>
      <c r="E198" s="119"/>
      <c r="F198" s="119" t="n">
        <v>308</v>
      </c>
      <c r="G198" s="119" t="n">
        <v>10</v>
      </c>
      <c r="H198" s="120"/>
      <c r="I198" s="119"/>
      <c r="J198" s="119"/>
      <c r="K198" s="119"/>
      <c r="L198" s="119"/>
      <c r="M198" s="120"/>
      <c r="N198" s="119"/>
      <c r="O198" s="119"/>
      <c r="P198" s="119"/>
      <c r="Q198" s="119"/>
      <c r="R198" s="121"/>
      <c r="S198" s="119"/>
      <c r="T198" s="119"/>
      <c r="U198" s="119"/>
      <c r="V198" s="119"/>
      <c r="W198" s="121"/>
      <c r="X198" s="119"/>
      <c r="Y198" s="119"/>
      <c r="Z198" s="119"/>
      <c r="AA198" s="119"/>
      <c r="AB198" s="121"/>
      <c r="AC198" s="119"/>
      <c r="AD198" s="119"/>
      <c r="AE198" s="119"/>
      <c r="AF198" s="121"/>
      <c r="AG198" s="122" t="n">
        <f aca="false">'form A info'!$AK86/1000</f>
        <v>0</v>
      </c>
    </row>
    <row r="199" customFormat="false" ht="12.75" hidden="false" customHeight="false" outlineLevel="0" collapsed="false">
      <c r="A199" s="111" t="n">
        <v>4824</v>
      </c>
      <c r="B199" s="111" t="s">
        <v>274</v>
      </c>
      <c r="C199" s="124" t="str">
        <f aca="false">'form A info'!G92</f>
        <v>n</v>
      </c>
      <c r="D199" s="119" t="n">
        <v>483</v>
      </c>
      <c r="E199" s="119" t="n">
        <v>965</v>
      </c>
      <c r="F199" s="119" t="n">
        <v>313</v>
      </c>
      <c r="G199" s="119" t="n">
        <v>0</v>
      </c>
      <c r="H199" s="120"/>
      <c r="I199" s="119" t="n">
        <v>0</v>
      </c>
      <c r="J199" s="119" t="n">
        <v>0</v>
      </c>
      <c r="K199" s="119" t="n">
        <v>0</v>
      </c>
      <c r="L199" s="119" t="n">
        <v>0</v>
      </c>
      <c r="M199" s="120"/>
      <c r="N199" s="119" t="n">
        <v>0</v>
      </c>
      <c r="O199" s="119" t="n">
        <v>171</v>
      </c>
      <c r="P199" s="119" t="n">
        <v>49</v>
      </c>
      <c r="Q199" s="119" t="n">
        <v>0</v>
      </c>
      <c r="R199" s="121"/>
      <c r="S199" s="119" t="n">
        <v>0</v>
      </c>
      <c r="T199" s="119" t="n">
        <v>0</v>
      </c>
      <c r="U199" s="119" t="n">
        <v>0</v>
      </c>
      <c r="V199" s="119" t="n">
        <v>0</v>
      </c>
      <c r="W199" s="121"/>
      <c r="X199" s="119" t="n">
        <v>32</v>
      </c>
      <c r="Y199" s="119" t="n">
        <v>6</v>
      </c>
      <c r="Z199" s="119" t="n">
        <v>0</v>
      </c>
      <c r="AA199" s="119" t="n">
        <v>0</v>
      </c>
      <c r="AB199" s="121"/>
      <c r="AC199" s="119" t="n">
        <v>0</v>
      </c>
      <c r="AD199" s="119" t="n">
        <v>0</v>
      </c>
      <c r="AE199" s="119" t="n">
        <v>0</v>
      </c>
      <c r="AF199" s="121"/>
      <c r="AG199" s="122" t="n">
        <f aca="false">'form A info'!$AK92/1000</f>
        <v>0</v>
      </c>
    </row>
    <row r="200" customFormat="false" ht="12.75" hidden="false" customHeight="false" outlineLevel="0" collapsed="false">
      <c r="A200" s="111" t="n">
        <v>4826</v>
      </c>
      <c r="B200" s="111" t="s">
        <v>285</v>
      </c>
      <c r="C200" s="124" t="str">
        <f aca="false">'form A info'!G96</f>
        <v>n</v>
      </c>
      <c r="D200" s="119" t="n">
        <v>386</v>
      </c>
      <c r="E200" s="119" t="n">
        <v>708</v>
      </c>
      <c r="F200" s="119" t="n">
        <v>316</v>
      </c>
      <c r="G200" s="119" t="n">
        <v>1</v>
      </c>
      <c r="H200" s="120"/>
      <c r="I200" s="119"/>
      <c r="J200" s="119"/>
      <c r="K200" s="119" t="n">
        <v>49</v>
      </c>
      <c r="L200" s="119" t="n">
        <v>18</v>
      </c>
      <c r="M200" s="120"/>
      <c r="N200" s="119"/>
      <c r="O200" s="119"/>
      <c r="P200" s="119" t="n">
        <v>3</v>
      </c>
      <c r="Q200" s="119"/>
      <c r="R200" s="121"/>
      <c r="S200" s="119"/>
      <c r="T200" s="119"/>
      <c r="U200" s="119"/>
      <c r="V200" s="119"/>
      <c r="W200" s="121"/>
      <c r="X200" s="119"/>
      <c r="Y200" s="119"/>
      <c r="Z200" s="119"/>
      <c r="AA200" s="119"/>
      <c r="AB200" s="121"/>
      <c r="AC200" s="119"/>
      <c r="AD200" s="119"/>
      <c r="AE200" s="119"/>
      <c r="AF200" s="121"/>
      <c r="AG200" s="122" t="n">
        <f aca="false">'form A info'!$AK96/1000</f>
        <v>0</v>
      </c>
    </row>
    <row r="201" customFormat="false" ht="12.75" hidden="false" customHeight="false" outlineLevel="0" collapsed="false">
      <c r="A201" s="111" t="n">
        <v>8807</v>
      </c>
      <c r="B201" s="111" t="s">
        <v>293</v>
      </c>
      <c r="C201" s="124" t="str">
        <f aca="false">'form A info'!G99</f>
        <v>n</v>
      </c>
      <c r="D201" s="119" t="n">
        <v>0</v>
      </c>
      <c r="E201" s="119" t="n">
        <v>0</v>
      </c>
      <c r="F201" s="119" t="n">
        <v>8</v>
      </c>
      <c r="G201" s="119" t="n">
        <v>0</v>
      </c>
      <c r="H201" s="120"/>
      <c r="I201" s="119" t="n">
        <v>0</v>
      </c>
      <c r="J201" s="119" t="n">
        <v>0</v>
      </c>
      <c r="K201" s="119" t="n">
        <v>0</v>
      </c>
      <c r="L201" s="119" t="n">
        <v>0</v>
      </c>
      <c r="M201" s="120"/>
      <c r="N201" s="119" t="n">
        <v>0</v>
      </c>
      <c r="O201" s="119" t="n">
        <v>0</v>
      </c>
      <c r="P201" s="119" t="n">
        <v>0</v>
      </c>
      <c r="Q201" s="119" t="n">
        <v>0</v>
      </c>
      <c r="R201" s="121"/>
      <c r="S201" s="119" t="n">
        <v>0</v>
      </c>
      <c r="T201" s="119" t="n">
        <v>0</v>
      </c>
      <c r="U201" s="119" t="n">
        <v>0</v>
      </c>
      <c r="V201" s="119" t="n">
        <v>0</v>
      </c>
      <c r="W201" s="121"/>
      <c r="X201" s="119" t="n">
        <v>0</v>
      </c>
      <c r="Y201" s="119" t="n">
        <v>0</v>
      </c>
      <c r="Z201" s="119" t="n">
        <v>0</v>
      </c>
      <c r="AA201" s="119" t="n">
        <v>0</v>
      </c>
      <c r="AB201" s="121"/>
      <c r="AC201" s="119" t="n">
        <v>0</v>
      </c>
      <c r="AD201" s="119" t="n">
        <v>0</v>
      </c>
      <c r="AE201" s="119" t="n">
        <v>0</v>
      </c>
      <c r="AF201" s="121"/>
      <c r="AG201" s="122" t="n">
        <f aca="false">'form A info'!$AK99/1000</f>
        <v>0</v>
      </c>
    </row>
    <row r="202" customFormat="false" ht="12.75" hidden="false" customHeight="false" outlineLevel="0" collapsed="false">
      <c r="A202" s="111" t="n">
        <v>8808</v>
      </c>
      <c r="B202" s="111" t="s">
        <v>296</v>
      </c>
      <c r="C202" s="124" t="str">
        <f aca="false">'form A info'!G100</f>
        <v>n</v>
      </c>
      <c r="D202" s="119" t="n">
        <v>280</v>
      </c>
      <c r="E202" s="119" t="n">
        <v>583</v>
      </c>
      <c r="F202" s="119" t="n">
        <v>288</v>
      </c>
      <c r="G202" s="119" t="n">
        <v>0</v>
      </c>
      <c r="H202" s="120"/>
      <c r="I202" s="119" t="n">
        <v>0</v>
      </c>
      <c r="J202" s="119" t="n">
        <v>0</v>
      </c>
      <c r="K202" s="119" t="n">
        <v>0</v>
      </c>
      <c r="L202" s="119" t="n">
        <v>0</v>
      </c>
      <c r="M202" s="120"/>
      <c r="N202" s="119" t="n">
        <v>0</v>
      </c>
      <c r="O202" s="119" t="n">
        <v>0</v>
      </c>
      <c r="P202" s="119" t="n">
        <v>38</v>
      </c>
      <c r="Q202" s="119" t="n">
        <v>3</v>
      </c>
      <c r="R202" s="121"/>
      <c r="S202" s="119" t="n">
        <v>1</v>
      </c>
      <c r="T202" s="119" t="n">
        <v>0</v>
      </c>
      <c r="U202" s="119" t="n">
        <v>0</v>
      </c>
      <c r="V202" s="119" t="n">
        <v>0</v>
      </c>
      <c r="W202" s="121"/>
      <c r="X202" s="119" t="n">
        <v>3</v>
      </c>
      <c r="Y202" s="119" t="n">
        <v>0</v>
      </c>
      <c r="Z202" s="119" t="n">
        <v>0</v>
      </c>
      <c r="AA202" s="119" t="n">
        <v>0</v>
      </c>
      <c r="AB202" s="121"/>
      <c r="AC202" s="119" t="n">
        <v>0</v>
      </c>
      <c r="AD202" s="119" t="n">
        <v>0</v>
      </c>
      <c r="AE202" s="119" t="n">
        <v>0</v>
      </c>
      <c r="AF202" s="121"/>
      <c r="AG202" s="122" t="n">
        <f aca="false">'form A info'!$AK100/1000</f>
        <v>608.432</v>
      </c>
    </row>
    <row r="203" customFormat="false" ht="12.75" hidden="false" customHeight="false" outlineLevel="0" collapsed="false">
      <c r="A203" s="111" t="n">
        <v>2110</v>
      </c>
      <c r="B203" s="111" t="s">
        <v>307</v>
      </c>
      <c r="C203" s="124" t="str">
        <f aca="false">'form A info'!G105</f>
        <v>n</v>
      </c>
      <c r="D203" s="119"/>
      <c r="E203" s="119"/>
      <c r="F203" s="119" t="n">
        <v>107</v>
      </c>
      <c r="G203" s="119" t="n">
        <v>7</v>
      </c>
      <c r="H203" s="120"/>
      <c r="I203" s="119"/>
      <c r="J203" s="119"/>
      <c r="K203" s="119"/>
      <c r="L203" s="119"/>
      <c r="M203" s="120"/>
      <c r="N203" s="119"/>
      <c r="O203" s="119"/>
      <c r="P203" s="119" t="n">
        <v>8</v>
      </c>
      <c r="Q203" s="119" t="n">
        <v>2</v>
      </c>
      <c r="R203" s="121"/>
      <c r="S203" s="119"/>
      <c r="T203" s="119"/>
      <c r="U203" s="119"/>
      <c r="V203" s="119"/>
      <c r="W203" s="121"/>
      <c r="X203" s="119"/>
      <c r="Y203" s="119"/>
      <c r="Z203" s="119"/>
      <c r="AA203" s="119"/>
      <c r="AB203" s="121"/>
      <c r="AC203" s="119"/>
      <c r="AD203" s="119"/>
      <c r="AE203" s="119"/>
      <c r="AF203" s="121"/>
      <c r="AG203" s="122" t="n">
        <f aca="false">'form A info'!$AK105/1000</f>
        <v>0</v>
      </c>
    </row>
    <row r="204" customFormat="false" ht="12.75" hidden="false" customHeight="false" outlineLevel="0" collapsed="false">
      <c r="A204" s="111" t="n">
        <v>2111</v>
      </c>
      <c r="B204" s="111" t="s">
        <v>307</v>
      </c>
      <c r="C204" s="124" t="str">
        <f aca="false">'form A info'!G106</f>
        <v>n</v>
      </c>
      <c r="D204" s="119"/>
      <c r="E204" s="119"/>
      <c r="F204" s="119" t="n">
        <v>121</v>
      </c>
      <c r="G204" s="119" t="n">
        <v>12</v>
      </c>
      <c r="H204" s="120"/>
      <c r="I204" s="119"/>
      <c r="J204" s="119"/>
      <c r="K204" s="119"/>
      <c r="L204" s="119"/>
      <c r="M204" s="120"/>
      <c r="N204" s="119"/>
      <c r="O204" s="119"/>
      <c r="P204" s="119" t="n">
        <v>12</v>
      </c>
      <c r="Q204" s="119"/>
      <c r="R204" s="121"/>
      <c r="S204" s="119"/>
      <c r="T204" s="119"/>
      <c r="U204" s="119"/>
      <c r="V204" s="119"/>
      <c r="W204" s="121"/>
      <c r="X204" s="119"/>
      <c r="Y204" s="119"/>
      <c r="Z204" s="119"/>
      <c r="AA204" s="119"/>
      <c r="AB204" s="121"/>
      <c r="AC204" s="119"/>
      <c r="AD204" s="119"/>
      <c r="AE204" s="119"/>
      <c r="AF204" s="121"/>
      <c r="AG204" s="122" t="n">
        <f aca="false">'form A info'!$AK106/1000</f>
        <v>0</v>
      </c>
    </row>
    <row r="205" customFormat="false" ht="12.75" hidden="false" customHeight="false" outlineLevel="0" collapsed="false">
      <c r="A205" s="111" t="n">
        <v>9894</v>
      </c>
      <c r="B205" s="111" t="s">
        <v>324</v>
      </c>
      <c r="C205" s="124" t="str">
        <f aca="false">'form A info'!G115</f>
        <v>n</v>
      </c>
      <c r="D205" s="119" t="n">
        <v>0</v>
      </c>
      <c r="E205" s="119" t="n">
        <v>0</v>
      </c>
      <c r="F205" s="119" t="n">
        <v>250</v>
      </c>
      <c r="G205" s="119" t="n">
        <v>4</v>
      </c>
      <c r="H205" s="120"/>
      <c r="I205" s="119" t="n">
        <v>0</v>
      </c>
      <c r="J205" s="119" t="n">
        <v>0</v>
      </c>
      <c r="K205" s="119" t="n">
        <v>2</v>
      </c>
      <c r="L205" s="119" t="n">
        <v>0</v>
      </c>
      <c r="M205" s="120"/>
      <c r="N205" s="119" t="n">
        <v>0</v>
      </c>
      <c r="O205" s="119" t="n">
        <v>0</v>
      </c>
      <c r="P205" s="119" t="n">
        <v>20</v>
      </c>
      <c r="Q205" s="119" t="n">
        <v>1</v>
      </c>
      <c r="R205" s="121"/>
      <c r="S205" s="119" t="n">
        <v>0</v>
      </c>
      <c r="T205" s="119" t="n">
        <v>0</v>
      </c>
      <c r="U205" s="119" t="n">
        <v>0</v>
      </c>
      <c r="V205" s="119" t="n">
        <v>0</v>
      </c>
      <c r="W205" s="121"/>
      <c r="X205" s="119" t="n">
        <v>0</v>
      </c>
      <c r="Y205" s="119" t="n">
        <v>0</v>
      </c>
      <c r="Z205" s="119" t="n">
        <v>0</v>
      </c>
      <c r="AA205" s="119" t="n">
        <v>0</v>
      </c>
      <c r="AB205" s="121"/>
      <c r="AC205" s="119" t="n">
        <v>0</v>
      </c>
      <c r="AD205" s="119" t="n">
        <v>0</v>
      </c>
      <c r="AE205" s="119" t="n">
        <v>0</v>
      </c>
      <c r="AF205" s="121"/>
      <c r="AG205" s="122" t="n">
        <f aca="false">'form A info'!$AK115/1000</f>
        <v>402.763</v>
      </c>
    </row>
    <row r="206" customFormat="false" ht="12.75" hidden="false" customHeight="false" outlineLevel="0" collapsed="false">
      <c r="A206" s="111" t="n">
        <v>2324</v>
      </c>
      <c r="B206" s="111" t="s">
        <v>326</v>
      </c>
      <c r="C206" s="124" t="str">
        <f aca="false">'form A info'!G116</f>
        <v>n</v>
      </c>
      <c r="D206" s="119" t="n">
        <v>310</v>
      </c>
      <c r="E206" s="119" t="n">
        <v>1022</v>
      </c>
      <c r="F206" s="119" t="n">
        <v>97</v>
      </c>
      <c r="G206" s="119" t="n">
        <v>50</v>
      </c>
      <c r="H206" s="120"/>
      <c r="I206" s="119" t="n">
        <v>0</v>
      </c>
      <c r="J206" s="119" t="n">
        <v>0</v>
      </c>
      <c r="K206" s="119" t="n">
        <v>0</v>
      </c>
      <c r="L206" s="119" t="n">
        <v>0</v>
      </c>
      <c r="M206" s="120"/>
      <c r="N206" s="119" t="n">
        <v>62</v>
      </c>
      <c r="O206" s="119" t="n">
        <v>62</v>
      </c>
      <c r="P206" s="119" t="n">
        <v>65</v>
      </c>
      <c r="Q206" s="119" t="n">
        <v>0</v>
      </c>
      <c r="R206" s="121"/>
      <c r="S206" s="119" t="n">
        <v>43</v>
      </c>
      <c r="T206" s="119" t="n">
        <v>0</v>
      </c>
      <c r="U206" s="119" t="n">
        <v>0</v>
      </c>
      <c r="V206" s="119" t="n">
        <v>0</v>
      </c>
      <c r="W206" s="121"/>
      <c r="X206" s="119" t="n">
        <v>86</v>
      </c>
      <c r="Y206" s="119" t="n">
        <v>0</v>
      </c>
      <c r="Z206" s="119" t="n">
        <v>0</v>
      </c>
      <c r="AA206" s="119" t="n">
        <v>0</v>
      </c>
      <c r="AB206" s="121"/>
      <c r="AC206" s="119" t="n">
        <v>0</v>
      </c>
      <c r="AD206" s="119" t="n">
        <v>0</v>
      </c>
      <c r="AE206" s="119" t="n">
        <v>0</v>
      </c>
      <c r="AF206" s="121"/>
      <c r="AG206" s="122" t="n">
        <f aca="false">'form A info'!$AK116/1000</f>
        <v>1030.783</v>
      </c>
    </row>
    <row r="207" customFormat="false" ht="12.75" hidden="false" customHeight="false" outlineLevel="0" collapsed="false">
      <c r="A207" s="111" t="n">
        <v>4770</v>
      </c>
      <c r="B207" s="111" t="s">
        <v>342</v>
      </c>
      <c r="C207" s="124" t="str">
        <f aca="false">'form A info'!G123</f>
        <v>n</v>
      </c>
      <c r="D207" s="119"/>
      <c r="E207" s="119"/>
      <c r="F207" s="119" t="n">
        <v>286</v>
      </c>
      <c r="G207" s="119" t="n">
        <v>9</v>
      </c>
      <c r="H207" s="120"/>
      <c r="I207" s="119"/>
      <c r="J207" s="119"/>
      <c r="K207" s="119" t="n">
        <v>20</v>
      </c>
      <c r="L207" s="119"/>
      <c r="M207" s="120"/>
      <c r="N207" s="119"/>
      <c r="O207" s="119" t="n">
        <v>40</v>
      </c>
      <c r="P207" s="119" t="n">
        <v>-1</v>
      </c>
      <c r="Q207" s="119"/>
      <c r="R207" s="121"/>
      <c r="S207" s="119"/>
      <c r="T207" s="119"/>
      <c r="U207" s="119"/>
      <c r="V207" s="119"/>
      <c r="W207" s="121"/>
      <c r="X207" s="119"/>
      <c r="Y207" s="119"/>
      <c r="Z207" s="119"/>
      <c r="AA207" s="119"/>
      <c r="AB207" s="121"/>
      <c r="AC207" s="119"/>
      <c r="AD207" s="119"/>
      <c r="AE207" s="119"/>
      <c r="AF207" s="121"/>
      <c r="AG207" s="122" t="n">
        <f aca="false">'form A info'!$AK123/1000</f>
        <v>0</v>
      </c>
    </row>
    <row r="208" customFormat="false" ht="12.75" hidden="false" customHeight="false" outlineLevel="0" collapsed="false">
      <c r="A208" s="111" t="n">
        <v>2380</v>
      </c>
      <c r="B208" s="111" t="s">
        <v>678</v>
      </c>
      <c r="C208" s="124" t="str">
        <f aca="false">'form A info'!G126</f>
        <v>n</v>
      </c>
      <c r="D208" s="119" t="n">
        <v>207</v>
      </c>
      <c r="E208" s="119" t="n">
        <v>596</v>
      </c>
      <c r="F208" s="119" t="n">
        <v>109</v>
      </c>
      <c r="G208" s="119" t="n">
        <v>1</v>
      </c>
      <c r="H208" s="120"/>
      <c r="I208" s="119" t="n">
        <v>9</v>
      </c>
      <c r="J208" s="119" t="n">
        <v>23</v>
      </c>
      <c r="K208" s="119" t="n">
        <v>2</v>
      </c>
      <c r="L208" s="119" t="n">
        <v>0</v>
      </c>
      <c r="M208" s="120"/>
      <c r="N208" s="119" t="n">
        <v>31</v>
      </c>
      <c r="O208" s="119" t="n">
        <v>58</v>
      </c>
      <c r="P208" s="119" t="n">
        <v>70</v>
      </c>
      <c r="Q208" s="119" t="n">
        <v>11</v>
      </c>
      <c r="R208" s="121"/>
      <c r="S208" s="119" t="n">
        <v>77</v>
      </c>
      <c r="T208" s="119" t="n">
        <v>0</v>
      </c>
      <c r="U208" s="119" t="n">
        <v>0</v>
      </c>
      <c r="V208" s="119" t="n">
        <v>0</v>
      </c>
      <c r="W208" s="121"/>
      <c r="X208" s="119" t="n">
        <v>61</v>
      </c>
      <c r="Y208" s="119" t="n">
        <v>0</v>
      </c>
      <c r="Z208" s="119" t="n">
        <v>0</v>
      </c>
      <c r="AA208" s="119" t="n">
        <v>0</v>
      </c>
      <c r="AB208" s="121"/>
      <c r="AC208" s="119" t="n">
        <v>49553</v>
      </c>
      <c r="AD208" s="119" t="n">
        <v>0</v>
      </c>
      <c r="AE208" s="119" t="n">
        <v>0</v>
      </c>
      <c r="AF208" s="121"/>
      <c r="AG208" s="122" t="n">
        <f aca="false">'form A info'!$AK126/1000</f>
        <v>0</v>
      </c>
    </row>
    <row r="209" customFormat="false" ht="12.75" hidden="false" customHeight="false" outlineLevel="0" collapsed="false">
      <c r="A209" s="111" t="n">
        <v>2631</v>
      </c>
      <c r="B209" s="111" t="s">
        <v>679</v>
      </c>
      <c r="C209" s="124" t="str">
        <f aca="false">'form A info'!G129</f>
        <v>n</v>
      </c>
      <c r="D209" s="119" t="n">
        <v>0</v>
      </c>
      <c r="E209" s="119" t="n">
        <v>0</v>
      </c>
      <c r="F209" s="119" t="n">
        <v>0</v>
      </c>
      <c r="G209" s="119" t="n">
        <v>0</v>
      </c>
      <c r="H209" s="120"/>
      <c r="I209" s="119" t="n">
        <v>0</v>
      </c>
      <c r="J209" s="119" t="n">
        <v>0</v>
      </c>
      <c r="K209" s="119" t="n">
        <v>0</v>
      </c>
      <c r="L209" s="119" t="n">
        <v>0</v>
      </c>
      <c r="M209" s="120"/>
      <c r="N209" s="119" t="n">
        <v>0</v>
      </c>
      <c r="O209" s="119" t="n">
        <v>0</v>
      </c>
      <c r="P209" s="119" t="n">
        <v>0</v>
      </c>
      <c r="Q209" s="119" t="n">
        <v>0</v>
      </c>
      <c r="R209" s="121"/>
      <c r="S209" s="119" t="n">
        <v>0</v>
      </c>
      <c r="T209" s="119" t="n">
        <v>0</v>
      </c>
      <c r="U209" s="119" t="n">
        <v>0</v>
      </c>
      <c r="V209" s="119" t="n">
        <v>0</v>
      </c>
      <c r="W209" s="121"/>
      <c r="X209" s="119" t="n">
        <v>0</v>
      </c>
      <c r="Y209" s="119" t="n">
        <v>0</v>
      </c>
      <c r="Z209" s="119" t="n">
        <v>0</v>
      </c>
      <c r="AA209" s="119" t="n">
        <v>0</v>
      </c>
      <c r="AB209" s="121"/>
      <c r="AC209" s="119" t="n">
        <v>0</v>
      </c>
      <c r="AD209" s="119" t="n">
        <v>0</v>
      </c>
      <c r="AE209" s="119" t="n">
        <v>0</v>
      </c>
      <c r="AF209" s="121"/>
      <c r="AG209" s="122" t="n">
        <f aca="false">'form A info'!$AK129/1000</f>
        <v>0</v>
      </c>
    </row>
    <row r="210" customFormat="false" ht="12.75" hidden="false" customHeight="false" outlineLevel="0" collapsed="false">
      <c r="A210" s="111" t="n">
        <v>3878</v>
      </c>
      <c r="B210" s="111" t="s">
        <v>358</v>
      </c>
      <c r="C210" s="124" t="str">
        <f aca="false">'form A info'!G130</f>
        <v>n</v>
      </c>
      <c r="D210" s="119" t="n">
        <v>800</v>
      </c>
      <c r="E210" s="119" t="n">
        <v>1262</v>
      </c>
      <c r="F210" s="119" t="n">
        <v>460</v>
      </c>
      <c r="G210" s="119" t="n">
        <v>50</v>
      </c>
      <c r="H210" s="120"/>
      <c r="I210" s="119" t="n">
        <v>0</v>
      </c>
      <c r="J210" s="119" t="n">
        <v>34</v>
      </c>
      <c r="K210" s="119" t="n">
        <v>0</v>
      </c>
      <c r="L210" s="119" t="n">
        <v>0</v>
      </c>
      <c r="M210" s="120"/>
      <c r="N210" s="119" t="n">
        <v>-1</v>
      </c>
      <c r="O210" s="119" t="n">
        <v>102</v>
      </c>
      <c r="P210" s="119" t="n">
        <v>68</v>
      </c>
      <c r="Q210" s="119" t="n">
        <v>0</v>
      </c>
      <c r="R210" s="121"/>
      <c r="S210" s="119" t="n">
        <v>73</v>
      </c>
      <c r="T210" s="119" t="n">
        <v>22</v>
      </c>
      <c r="U210" s="119" t="n">
        <v>0</v>
      </c>
      <c r="V210" s="119" t="n">
        <v>0</v>
      </c>
      <c r="W210" s="121"/>
      <c r="X210" s="119" t="n">
        <v>536</v>
      </c>
      <c r="Y210" s="119" t="n">
        <v>0</v>
      </c>
      <c r="Z210" s="119" t="n">
        <v>0</v>
      </c>
      <c r="AA210" s="119" t="n">
        <v>0</v>
      </c>
      <c r="AB210" s="121"/>
      <c r="AC210" s="119" t="n">
        <v>0</v>
      </c>
      <c r="AD210" s="119" t="n">
        <v>0</v>
      </c>
      <c r="AE210" s="119" t="n">
        <v>0</v>
      </c>
      <c r="AF210" s="121"/>
      <c r="AG210" s="122" t="n">
        <f aca="false">'form A info'!$AK130/1000</f>
        <v>0</v>
      </c>
    </row>
    <row r="211" customFormat="false" ht="12.75" hidden="false" customHeight="false" outlineLevel="0" collapsed="false">
      <c r="A211" s="111" t="n">
        <v>4779</v>
      </c>
      <c r="B211" s="111" t="s">
        <v>381</v>
      </c>
      <c r="C211" s="124" t="str">
        <f aca="false">'form A info'!G142</f>
        <v>n</v>
      </c>
      <c r="D211" s="119"/>
      <c r="E211" s="119" t="n">
        <v>539</v>
      </c>
      <c r="F211" s="119" t="n">
        <v>-71</v>
      </c>
      <c r="G211" s="119" t="n">
        <v>1</v>
      </c>
      <c r="H211" s="120"/>
      <c r="I211" s="119"/>
      <c r="J211" s="119"/>
      <c r="K211" s="119" t="n">
        <v>4</v>
      </c>
      <c r="L211" s="119"/>
      <c r="M211" s="120"/>
      <c r="N211" s="119"/>
      <c r="O211" s="119" t="n">
        <v>27</v>
      </c>
      <c r="P211" s="119" t="n">
        <v>17</v>
      </c>
      <c r="Q211" s="119"/>
      <c r="R211" s="121"/>
      <c r="S211" s="119"/>
      <c r="T211" s="119"/>
      <c r="U211" s="119"/>
      <c r="V211" s="119"/>
      <c r="W211" s="121"/>
      <c r="X211" s="119"/>
      <c r="Y211" s="119"/>
      <c r="Z211" s="119"/>
      <c r="AA211" s="119"/>
      <c r="AB211" s="121"/>
      <c r="AC211" s="119"/>
      <c r="AD211" s="119"/>
      <c r="AE211" s="119"/>
      <c r="AF211" s="121"/>
      <c r="AG211" s="122" t="n">
        <f aca="false">'form A info'!$AK142/1000</f>
        <v>0</v>
      </c>
    </row>
    <row r="212" customFormat="false" ht="12.75" hidden="false" customHeight="false" outlineLevel="0" collapsed="false">
      <c r="A212" s="111" t="n">
        <v>9780</v>
      </c>
      <c r="B212" s="111" t="s">
        <v>382</v>
      </c>
      <c r="C212" s="124" t="str">
        <f aca="false">'form A info'!G143</f>
        <v>n</v>
      </c>
      <c r="D212" s="119" t="n">
        <v>0</v>
      </c>
      <c r="E212" s="119" t="n">
        <v>0</v>
      </c>
      <c r="F212" s="119" t="n">
        <v>251</v>
      </c>
      <c r="G212" s="119" t="n">
        <v>3</v>
      </c>
      <c r="H212" s="120"/>
      <c r="I212" s="119" t="n">
        <v>0</v>
      </c>
      <c r="J212" s="119" t="n">
        <v>0</v>
      </c>
      <c r="K212" s="119" t="n">
        <v>1</v>
      </c>
      <c r="L212" s="119" t="n">
        <v>0</v>
      </c>
      <c r="M212" s="120"/>
      <c r="N212" s="119" t="n">
        <v>0</v>
      </c>
      <c r="O212" s="119" t="n">
        <v>0</v>
      </c>
      <c r="P212" s="119" t="n">
        <v>36</v>
      </c>
      <c r="Q212" s="119" t="n">
        <v>0</v>
      </c>
      <c r="R212" s="121"/>
      <c r="S212" s="119" t="n">
        <v>0</v>
      </c>
      <c r="T212" s="119" t="n">
        <v>0</v>
      </c>
      <c r="U212" s="119" t="n">
        <v>0</v>
      </c>
      <c r="V212" s="119" t="n">
        <v>0</v>
      </c>
      <c r="W212" s="121"/>
      <c r="X212" s="119" t="n">
        <v>0</v>
      </c>
      <c r="Y212" s="119" t="n">
        <v>0</v>
      </c>
      <c r="Z212" s="119" t="n">
        <v>0</v>
      </c>
      <c r="AA212" s="119" t="n">
        <v>0</v>
      </c>
      <c r="AB212" s="121"/>
      <c r="AC212" s="119" t="n">
        <v>0</v>
      </c>
      <c r="AD212" s="119" t="n">
        <v>81652</v>
      </c>
      <c r="AE212" s="119" t="n">
        <v>0</v>
      </c>
      <c r="AF212" s="121"/>
      <c r="AG212" s="122" t="n">
        <f aca="false">'form A info'!$AK143/1000</f>
        <v>1234.68</v>
      </c>
    </row>
    <row r="213" customFormat="false" ht="12.75" hidden="false" customHeight="false" outlineLevel="0" collapsed="false">
      <c r="A213" s="111" t="n">
        <v>3854</v>
      </c>
      <c r="B213" s="111" t="s">
        <v>385</v>
      </c>
      <c r="C213" s="124" t="str">
        <f aca="false">'form A info'!G145</f>
        <v>n</v>
      </c>
      <c r="D213" s="119" t="n">
        <v>113</v>
      </c>
      <c r="E213" s="119" t="n">
        <v>360</v>
      </c>
      <c r="F213" s="119" t="n">
        <v>83</v>
      </c>
      <c r="G213" s="119" t="n">
        <v>-2</v>
      </c>
      <c r="H213" s="120"/>
      <c r="I213" s="119"/>
      <c r="J213" s="119"/>
      <c r="K213" s="119"/>
      <c r="L213" s="119"/>
      <c r="M213" s="120"/>
      <c r="N213" s="119"/>
      <c r="O213" s="119"/>
      <c r="P213" s="119"/>
      <c r="Q213" s="119"/>
      <c r="R213" s="121"/>
      <c r="S213" s="119"/>
      <c r="T213" s="119"/>
      <c r="U213" s="119"/>
      <c r="V213" s="119"/>
      <c r="W213" s="121"/>
      <c r="X213" s="119"/>
      <c r="Y213" s="119"/>
      <c r="Z213" s="119"/>
      <c r="AA213" s="119"/>
      <c r="AB213" s="121"/>
      <c r="AC213" s="119" t="n">
        <v>9297</v>
      </c>
      <c r="AD213" s="119"/>
      <c r="AE213" s="119"/>
      <c r="AF213" s="121"/>
      <c r="AG213" s="122" t="n">
        <f aca="false">'form A info'!$AK145/1000</f>
        <v>0</v>
      </c>
    </row>
    <row r="214" customFormat="false" ht="12.75" hidden="false" customHeight="false" outlineLevel="0" collapsed="false">
      <c r="A214" s="111" t="n">
        <v>2810</v>
      </c>
      <c r="B214" s="111" t="s">
        <v>407</v>
      </c>
      <c r="C214" s="124" t="str">
        <f aca="false">'form A info'!G155</f>
        <v>n</v>
      </c>
      <c r="D214" s="119" t="n">
        <v>476</v>
      </c>
      <c r="E214" s="119" t="n">
        <v>969</v>
      </c>
      <c r="F214" s="119" t="n">
        <v>278</v>
      </c>
      <c r="G214" s="119" t="n">
        <v>0</v>
      </c>
      <c r="H214" s="120"/>
      <c r="I214" s="119" t="n">
        <v>33</v>
      </c>
      <c r="J214" s="119" t="n">
        <v>17</v>
      </c>
      <c r="K214" s="119" t="n">
        <v>0</v>
      </c>
      <c r="L214" s="119" t="n">
        <v>0</v>
      </c>
      <c r="M214" s="120"/>
      <c r="N214" s="119" t="n">
        <v>29</v>
      </c>
      <c r="O214" s="119" t="n">
        <v>48</v>
      </c>
      <c r="P214" s="119" t="n">
        <v>168</v>
      </c>
      <c r="Q214" s="119" t="n">
        <v>0</v>
      </c>
      <c r="R214" s="121"/>
      <c r="S214" s="119" t="n">
        <v>69</v>
      </c>
      <c r="T214" s="119" t="n">
        <v>0</v>
      </c>
      <c r="U214" s="119" t="n">
        <v>0</v>
      </c>
      <c r="V214" s="119" t="n">
        <v>0</v>
      </c>
      <c r="W214" s="121"/>
      <c r="X214" s="119" t="n">
        <v>152</v>
      </c>
      <c r="Y214" s="119" t="n">
        <v>0</v>
      </c>
      <c r="Z214" s="119" t="n">
        <v>0</v>
      </c>
      <c r="AA214" s="119" t="n">
        <v>0</v>
      </c>
      <c r="AB214" s="121"/>
      <c r="AC214" s="119" t="n">
        <v>41063</v>
      </c>
      <c r="AD214" s="119" t="n">
        <v>0</v>
      </c>
      <c r="AE214" s="119" t="n">
        <v>0</v>
      </c>
      <c r="AF214" s="121"/>
      <c r="AG214" s="122" t="n">
        <f aca="false">'form A info'!$AK155/1000</f>
        <v>220.214</v>
      </c>
    </row>
    <row r="215" customFormat="false" ht="12.75" hidden="false" customHeight="false" outlineLevel="0" collapsed="false">
      <c r="A215" s="111" t="n">
        <v>4771</v>
      </c>
      <c r="B215" s="111" t="s">
        <v>680</v>
      </c>
      <c r="C215" s="124" t="str">
        <f aca="false">'form A info'!G157</f>
        <v>n</v>
      </c>
      <c r="D215" s="119" t="n">
        <v>0</v>
      </c>
      <c r="E215" s="119" t="n">
        <v>185</v>
      </c>
      <c r="F215" s="119" t="n">
        <v>268</v>
      </c>
      <c r="G215" s="119" t="n">
        <v>48</v>
      </c>
      <c r="H215" s="120"/>
      <c r="I215" s="119" t="n">
        <v>0</v>
      </c>
      <c r="J215" s="119" t="n">
        <v>6</v>
      </c>
      <c r="K215" s="119" t="n">
        <v>11</v>
      </c>
      <c r="L215" s="119" t="n">
        <v>11</v>
      </c>
      <c r="M215" s="120"/>
      <c r="N215" s="119" t="n">
        <v>0</v>
      </c>
      <c r="O215" s="119" t="n">
        <v>34</v>
      </c>
      <c r="P215" s="119" t="n">
        <v>24</v>
      </c>
      <c r="Q215" s="119" t="n">
        <v>0</v>
      </c>
      <c r="R215" s="121"/>
      <c r="S215" s="119" t="n">
        <v>0</v>
      </c>
      <c r="T215" s="119" t="n">
        <v>0</v>
      </c>
      <c r="U215" s="119" t="n">
        <v>0</v>
      </c>
      <c r="V215" s="119" t="n">
        <v>0</v>
      </c>
      <c r="W215" s="121"/>
      <c r="X215" s="119" t="n">
        <v>0</v>
      </c>
      <c r="Y215" s="119" t="n">
        <v>0</v>
      </c>
      <c r="Z215" s="119" t="n">
        <v>0</v>
      </c>
      <c r="AA215" s="119" t="n">
        <v>0</v>
      </c>
      <c r="AB215" s="121"/>
      <c r="AC215" s="119" t="n">
        <v>31510</v>
      </c>
      <c r="AD215" s="119" t="n">
        <v>0</v>
      </c>
      <c r="AE215" s="119" t="n">
        <v>0</v>
      </c>
      <c r="AF215" s="121"/>
      <c r="AG215" s="122" t="n">
        <f aca="false">'form A info'!$AK157/1000</f>
        <v>289.219</v>
      </c>
    </row>
    <row r="216" customFormat="false" ht="12.75" hidden="false" customHeight="false" outlineLevel="0" collapsed="false">
      <c r="A216" s="111" t="n">
        <v>2905</v>
      </c>
      <c r="B216" s="111" t="s">
        <v>438</v>
      </c>
      <c r="C216" s="124" t="str">
        <f aca="false">'form A info'!G168</f>
        <v>n</v>
      </c>
      <c r="D216" s="119" t="n">
        <v>33</v>
      </c>
      <c r="E216" s="119" t="n">
        <v>314</v>
      </c>
      <c r="F216" s="119" t="n">
        <v>45</v>
      </c>
      <c r="G216" s="119" t="n">
        <v>10</v>
      </c>
      <c r="H216" s="120"/>
      <c r="I216" s="119"/>
      <c r="J216" s="119"/>
      <c r="K216" s="119"/>
      <c r="L216" s="119" t="n">
        <v>1</v>
      </c>
      <c r="M216" s="120"/>
      <c r="N216" s="119"/>
      <c r="O216" s="119"/>
      <c r="P216" s="119"/>
      <c r="Q216" s="119"/>
      <c r="R216" s="121"/>
      <c r="S216" s="119"/>
      <c r="T216" s="119"/>
      <c r="U216" s="119"/>
      <c r="V216" s="119"/>
      <c r="W216" s="121"/>
      <c r="X216" s="119"/>
      <c r="Y216" s="119"/>
      <c r="Z216" s="119"/>
      <c r="AA216" s="119"/>
      <c r="AB216" s="121"/>
      <c r="AC216" s="119"/>
      <c r="AD216" s="119"/>
      <c r="AE216" s="119"/>
      <c r="AF216" s="121"/>
      <c r="AG216" s="122" t="n">
        <f aca="false">'form A info'!$AK168/1000</f>
        <v>144.386</v>
      </c>
    </row>
    <row r="217" customFormat="false" ht="12.75" hidden="false" customHeight="false" outlineLevel="0" collapsed="false">
      <c r="A217" s="111" t="n">
        <v>1625</v>
      </c>
      <c r="B217" s="111" t="s">
        <v>441</v>
      </c>
      <c r="C217" s="124" t="str">
        <f aca="false">'form A info'!G170</f>
        <v>n</v>
      </c>
      <c r="D217" s="119" t="n">
        <v>0</v>
      </c>
      <c r="E217" s="119" t="n">
        <v>0</v>
      </c>
      <c r="F217" s="119" t="n">
        <v>232</v>
      </c>
      <c r="G217" s="119" t="n">
        <v>-25</v>
      </c>
      <c r="H217" s="120"/>
      <c r="I217" s="119" t="n">
        <v>0</v>
      </c>
      <c r="J217" s="119" t="n">
        <v>0</v>
      </c>
      <c r="K217" s="119" t="n">
        <v>1</v>
      </c>
      <c r="L217" s="119" t="n">
        <v>0</v>
      </c>
      <c r="M217" s="120"/>
      <c r="N217" s="119" t="n">
        <v>0</v>
      </c>
      <c r="O217" s="119" t="n">
        <v>0</v>
      </c>
      <c r="P217" s="119" t="n">
        <v>2</v>
      </c>
      <c r="Q217" s="119" t="n">
        <v>20</v>
      </c>
      <c r="R217" s="121"/>
      <c r="S217" s="119" t="n">
        <v>0</v>
      </c>
      <c r="T217" s="119" t="n">
        <v>0</v>
      </c>
      <c r="U217" s="119" t="n">
        <v>0</v>
      </c>
      <c r="V217" s="119" t="n">
        <v>0</v>
      </c>
      <c r="W217" s="121"/>
      <c r="X217" s="119" t="n">
        <v>35</v>
      </c>
      <c r="Y217" s="119" t="n">
        <v>0</v>
      </c>
      <c r="Z217" s="119" t="n">
        <v>0</v>
      </c>
      <c r="AA217" s="119" t="n">
        <v>0</v>
      </c>
      <c r="AB217" s="121"/>
      <c r="AC217" s="119" t="n">
        <v>24500</v>
      </c>
      <c r="AD217" s="119" t="n">
        <v>0</v>
      </c>
      <c r="AE217" s="119" t="n">
        <v>0</v>
      </c>
      <c r="AF217" s="121"/>
      <c r="AG217" s="122" t="n">
        <f aca="false">'form A info'!$AK170/1000</f>
        <v>0</v>
      </c>
    </row>
    <row r="218" customFormat="false" ht="12.75" hidden="false" customHeight="false" outlineLevel="0" collapsed="false">
      <c r="B218" s="123" t="s">
        <v>447</v>
      </c>
      <c r="C218" s="124" t="str">
        <f aca="false">'form A info'!G174</f>
        <v>n</v>
      </c>
      <c r="D218" s="119"/>
      <c r="E218" s="119"/>
      <c r="F218" s="119"/>
      <c r="G218" s="119"/>
      <c r="H218" s="120"/>
      <c r="I218" s="119"/>
      <c r="J218" s="119"/>
      <c r="K218" s="119"/>
      <c r="L218" s="119"/>
      <c r="M218" s="120"/>
      <c r="N218" s="119"/>
      <c r="O218" s="119"/>
      <c r="P218" s="119"/>
      <c r="Q218" s="119"/>
      <c r="R218" s="121"/>
      <c r="S218" s="119"/>
      <c r="T218" s="119"/>
      <c r="U218" s="119"/>
      <c r="V218" s="119"/>
      <c r="W218" s="121"/>
      <c r="X218" s="119"/>
      <c r="Y218" s="119"/>
      <c r="Z218" s="119"/>
      <c r="AA218" s="119"/>
      <c r="AB218" s="121"/>
      <c r="AC218" s="119"/>
      <c r="AD218" s="119"/>
      <c r="AE218" s="119"/>
      <c r="AF218" s="121"/>
      <c r="AG218" s="122" t="n">
        <f aca="false">'form A info'!$AK174/1000</f>
        <v>1024.041</v>
      </c>
    </row>
    <row r="219" customFormat="false" ht="12.75" hidden="false" customHeight="false" outlineLevel="0" collapsed="false">
      <c r="A219" s="111" t="n">
        <v>728</v>
      </c>
      <c r="B219" s="111" t="s">
        <v>455</v>
      </c>
      <c r="C219" s="124" t="str">
        <f aca="false">'form A info'!G177</f>
        <v>n</v>
      </c>
      <c r="D219" s="119" t="n">
        <v>0</v>
      </c>
      <c r="E219" s="119" t="n">
        <v>0</v>
      </c>
      <c r="F219" s="119" t="n">
        <v>30</v>
      </c>
      <c r="G219" s="119" t="n">
        <v>21</v>
      </c>
      <c r="H219" s="120"/>
      <c r="I219" s="119" t="n">
        <v>0</v>
      </c>
      <c r="J219" s="119" t="n">
        <v>0</v>
      </c>
      <c r="K219" s="119" t="n">
        <v>0</v>
      </c>
      <c r="L219" s="119" t="n">
        <v>5</v>
      </c>
      <c r="M219" s="120"/>
      <c r="N219" s="119" t="n">
        <v>0</v>
      </c>
      <c r="O219" s="119" t="n">
        <v>11</v>
      </c>
      <c r="P219" s="119" t="n">
        <v>0</v>
      </c>
      <c r="Q219" s="119" t="n">
        <v>1</v>
      </c>
      <c r="R219" s="121"/>
      <c r="S219" s="119" t="n">
        <v>0</v>
      </c>
      <c r="T219" s="119" t="n">
        <v>0</v>
      </c>
      <c r="U219" s="119" t="n">
        <v>0</v>
      </c>
      <c r="V219" s="119" t="n">
        <v>0</v>
      </c>
      <c r="W219" s="121"/>
      <c r="X219" s="119" t="n">
        <v>0</v>
      </c>
      <c r="Y219" s="119" t="n">
        <v>0</v>
      </c>
      <c r="Z219" s="119" t="n">
        <v>0</v>
      </c>
      <c r="AA219" s="119" t="n">
        <v>0</v>
      </c>
      <c r="AB219" s="121"/>
      <c r="AC219" s="119" t="n">
        <v>0</v>
      </c>
      <c r="AD219" s="119" t="n">
        <v>0</v>
      </c>
      <c r="AE219" s="119" t="n">
        <v>0</v>
      </c>
      <c r="AF219" s="121"/>
      <c r="AG219" s="122" t="n">
        <f aca="false">'form A info'!$AK177/1000</f>
        <v>0</v>
      </c>
    </row>
    <row r="220" customFormat="false" ht="12.75" hidden="false" customHeight="false" outlineLevel="0" collapsed="false">
      <c r="A220" s="111" t="n">
        <v>9903</v>
      </c>
      <c r="B220" s="111" t="s">
        <v>459</v>
      </c>
      <c r="C220" s="124" t="str">
        <f aca="false">'form A info'!G178</f>
        <v>n</v>
      </c>
      <c r="D220" s="119" t="n">
        <v>0</v>
      </c>
      <c r="E220" s="119" t="n">
        <v>0</v>
      </c>
      <c r="F220" s="119" t="n">
        <v>223</v>
      </c>
      <c r="G220" s="119" t="n">
        <v>2</v>
      </c>
      <c r="H220" s="120"/>
      <c r="I220" s="119" t="n">
        <v>0</v>
      </c>
      <c r="J220" s="119" t="n">
        <v>0</v>
      </c>
      <c r="K220" s="119" t="n">
        <v>4</v>
      </c>
      <c r="L220" s="119" t="n">
        <v>0</v>
      </c>
      <c r="M220" s="120"/>
      <c r="N220" s="119" t="n">
        <v>0</v>
      </c>
      <c r="O220" s="119" t="n">
        <v>0</v>
      </c>
      <c r="P220" s="119" t="n">
        <v>52</v>
      </c>
      <c r="Q220" s="119" t="n">
        <v>9</v>
      </c>
      <c r="R220" s="121"/>
      <c r="S220" s="119" t="n">
        <v>0</v>
      </c>
      <c r="T220" s="119" t="n">
        <v>0</v>
      </c>
      <c r="U220" s="119" t="n">
        <v>0</v>
      </c>
      <c r="V220" s="119" t="n">
        <v>0</v>
      </c>
      <c r="W220" s="121"/>
      <c r="X220" s="119" t="n">
        <v>1</v>
      </c>
      <c r="Y220" s="119" t="n">
        <v>0</v>
      </c>
      <c r="Z220" s="119" t="n">
        <v>0</v>
      </c>
      <c r="AA220" s="119" t="n">
        <v>0</v>
      </c>
      <c r="AB220" s="121"/>
      <c r="AC220" s="119" t="n">
        <v>0</v>
      </c>
      <c r="AD220" s="119" t="n">
        <v>0</v>
      </c>
      <c r="AE220" s="119" t="n">
        <v>39651</v>
      </c>
      <c r="AF220" s="121"/>
      <c r="AG220" s="122" t="n">
        <f aca="false">'form A info'!$AK178/1000</f>
        <v>617.746</v>
      </c>
    </row>
    <row r="221" customFormat="false" ht="12.75" hidden="false" customHeight="false" outlineLevel="0" collapsed="false">
      <c r="A221" s="111" t="n">
        <v>7314</v>
      </c>
      <c r="B221" s="111" t="s">
        <v>475</v>
      </c>
      <c r="C221" s="124" t="str">
        <f aca="false">'form A info'!G186</f>
        <v>n</v>
      </c>
      <c r="D221" s="119" t="n">
        <v>0</v>
      </c>
      <c r="E221" s="119" t="n">
        <v>0</v>
      </c>
      <c r="F221" s="119" t="n">
        <v>22</v>
      </c>
      <c r="G221" s="119" t="n">
        <v>4</v>
      </c>
      <c r="H221" s="120"/>
      <c r="I221" s="119" t="n">
        <v>0</v>
      </c>
      <c r="J221" s="119" t="n">
        <v>0</v>
      </c>
      <c r="K221" s="119" t="n">
        <v>0</v>
      </c>
      <c r="L221" s="119" t="n">
        <v>0</v>
      </c>
      <c r="M221" s="120"/>
      <c r="N221" s="119" t="n">
        <v>0</v>
      </c>
      <c r="O221" s="119" t="n">
        <v>16</v>
      </c>
      <c r="P221" s="119" t="n">
        <v>3</v>
      </c>
      <c r="Q221" s="119" t="n">
        <v>0</v>
      </c>
      <c r="R221" s="121"/>
      <c r="S221" s="119" t="n">
        <v>0</v>
      </c>
      <c r="T221" s="119" t="n">
        <v>0</v>
      </c>
      <c r="U221" s="119" t="n">
        <v>0</v>
      </c>
      <c r="V221" s="119" t="n">
        <v>0</v>
      </c>
      <c r="W221" s="121"/>
      <c r="X221" s="119" t="n">
        <v>0</v>
      </c>
      <c r="Y221" s="119" t="n">
        <v>0</v>
      </c>
      <c r="Z221" s="119" t="n">
        <v>0</v>
      </c>
      <c r="AA221" s="119" t="n">
        <v>0</v>
      </c>
      <c r="AB221" s="121"/>
      <c r="AC221" s="119" t="n">
        <v>0</v>
      </c>
      <c r="AD221" s="119" t="n">
        <v>0</v>
      </c>
      <c r="AE221" s="119" t="n">
        <v>0</v>
      </c>
      <c r="AF221" s="121"/>
      <c r="AG221" s="122" t="n">
        <f aca="false">'form A info'!$AK186/1000</f>
        <v>0</v>
      </c>
    </row>
    <row r="222" customFormat="false" ht="12.75" hidden="false" customHeight="false" outlineLevel="0" collapsed="false">
      <c r="A222" s="111" t="n">
        <v>1904</v>
      </c>
      <c r="B222" s="111" t="s">
        <v>477</v>
      </c>
      <c r="C222" s="124" t="str">
        <f aca="false">'form A info'!G187</f>
        <v>n</v>
      </c>
      <c r="D222" s="119" t="n">
        <v>0</v>
      </c>
      <c r="E222" s="119" t="n">
        <v>0</v>
      </c>
      <c r="F222" s="119" t="n">
        <v>14</v>
      </c>
      <c r="G222" s="119" t="n">
        <v>3</v>
      </c>
      <c r="H222" s="120"/>
      <c r="I222" s="119" t="n">
        <v>0</v>
      </c>
      <c r="J222" s="119" t="n">
        <v>0</v>
      </c>
      <c r="K222" s="119" t="n">
        <v>0</v>
      </c>
      <c r="L222" s="119" t="n">
        <v>0</v>
      </c>
      <c r="M222" s="120"/>
      <c r="N222" s="119" t="n">
        <v>0</v>
      </c>
      <c r="O222" s="119" t="n">
        <v>3</v>
      </c>
      <c r="P222" s="119" t="n">
        <v>4</v>
      </c>
      <c r="Q222" s="119" t="n">
        <v>-1</v>
      </c>
      <c r="R222" s="121"/>
      <c r="S222" s="119" t="n">
        <v>0</v>
      </c>
      <c r="T222" s="119" t="n">
        <v>0</v>
      </c>
      <c r="U222" s="119" t="n">
        <v>0</v>
      </c>
      <c r="V222" s="119" t="n">
        <v>0</v>
      </c>
      <c r="W222" s="121"/>
      <c r="X222" s="119" t="n">
        <v>0</v>
      </c>
      <c r="Y222" s="119" t="n">
        <v>0</v>
      </c>
      <c r="Z222" s="119" t="n">
        <v>0</v>
      </c>
      <c r="AA222" s="119" t="n">
        <v>0</v>
      </c>
      <c r="AB222" s="121"/>
      <c r="AC222" s="119" t="n">
        <v>0</v>
      </c>
      <c r="AD222" s="119" t="n">
        <v>0</v>
      </c>
      <c r="AE222" s="119" t="n">
        <v>0</v>
      </c>
      <c r="AF222" s="121"/>
      <c r="AG222" s="122" t="n">
        <f aca="false">'form A info'!$AK187/1000</f>
        <v>0</v>
      </c>
    </row>
    <row r="223" customFormat="false" ht="12.75" hidden="false" customHeight="false" outlineLevel="0" collapsed="false">
      <c r="A223" s="111" t="n">
        <v>1</v>
      </c>
      <c r="B223" s="111" t="s">
        <v>482</v>
      </c>
      <c r="C223" s="124" t="str">
        <f aca="false">'form A info'!G189</f>
        <v>n</v>
      </c>
      <c r="D223" s="119" t="n">
        <v>0</v>
      </c>
      <c r="E223" s="119" t="n">
        <v>0</v>
      </c>
      <c r="F223" s="119" t="n">
        <v>0</v>
      </c>
      <c r="G223" s="119" t="n">
        <v>0</v>
      </c>
      <c r="H223" s="120"/>
      <c r="I223" s="119" t="n">
        <v>0</v>
      </c>
      <c r="J223" s="119" t="n">
        <v>0</v>
      </c>
      <c r="K223" s="119" t="n">
        <v>0</v>
      </c>
      <c r="L223" s="119" t="n">
        <v>0</v>
      </c>
      <c r="M223" s="120"/>
      <c r="N223" s="119" t="n">
        <v>0</v>
      </c>
      <c r="O223" s="119" t="n">
        <v>0</v>
      </c>
      <c r="P223" s="119" t="n">
        <v>0</v>
      </c>
      <c r="Q223" s="119" t="n">
        <v>0</v>
      </c>
      <c r="R223" s="121"/>
      <c r="S223" s="119" t="n">
        <v>0</v>
      </c>
      <c r="T223" s="119" t="n">
        <v>0</v>
      </c>
      <c r="U223" s="119" t="n">
        <v>0</v>
      </c>
      <c r="V223" s="119" t="n">
        <v>0</v>
      </c>
      <c r="W223" s="121"/>
      <c r="X223" s="119" t="n">
        <v>0</v>
      </c>
      <c r="Y223" s="119" t="n">
        <v>0</v>
      </c>
      <c r="Z223" s="119" t="n">
        <v>0</v>
      </c>
      <c r="AA223" s="119" t="n">
        <v>0</v>
      </c>
      <c r="AB223" s="121"/>
      <c r="AC223" s="119" t="n">
        <v>0</v>
      </c>
      <c r="AD223" s="119" t="n">
        <v>0</v>
      </c>
      <c r="AE223" s="119" t="n">
        <v>0</v>
      </c>
      <c r="AF223" s="121"/>
      <c r="AG223" s="122" t="n">
        <f aca="false">'form A info'!$AK189/1000</f>
        <v>0</v>
      </c>
    </row>
    <row r="224" customFormat="false" ht="12.75" hidden="false" customHeight="false" outlineLevel="0" collapsed="false">
      <c r="A224" s="111" t="n">
        <v>3805</v>
      </c>
      <c r="B224" s="111" t="s">
        <v>485</v>
      </c>
      <c r="C224" s="124" t="str">
        <f aca="false">'form A info'!G191</f>
        <v>n</v>
      </c>
      <c r="D224" s="119" t="n">
        <v>262</v>
      </c>
      <c r="E224" s="119" t="n">
        <v>261</v>
      </c>
      <c r="F224" s="119" t="n">
        <v>85</v>
      </c>
      <c r="G224" s="119" t="n">
        <v>0</v>
      </c>
      <c r="H224" s="120"/>
      <c r="I224" s="119" t="n">
        <v>0</v>
      </c>
      <c r="J224" s="119" t="n">
        <v>0</v>
      </c>
      <c r="K224" s="119" t="n">
        <v>0</v>
      </c>
      <c r="L224" s="119" t="n">
        <v>0</v>
      </c>
      <c r="M224" s="120"/>
      <c r="N224" s="119" t="n">
        <v>13</v>
      </c>
      <c r="O224" s="119" t="n">
        <v>9</v>
      </c>
      <c r="P224" s="119" t="n">
        <v>27</v>
      </c>
      <c r="Q224" s="119" t="n">
        <v>0</v>
      </c>
      <c r="R224" s="121"/>
      <c r="S224" s="119" t="n">
        <v>33</v>
      </c>
      <c r="T224" s="119" t="n">
        <v>0</v>
      </c>
      <c r="U224" s="119" t="n">
        <v>0</v>
      </c>
      <c r="V224" s="119" t="n">
        <v>0</v>
      </c>
      <c r="W224" s="121"/>
      <c r="X224" s="119" t="n">
        <v>66</v>
      </c>
      <c r="Y224" s="119" t="n">
        <v>2</v>
      </c>
      <c r="Z224" s="119" t="n">
        <v>0</v>
      </c>
      <c r="AA224" s="119" t="n">
        <v>0</v>
      </c>
      <c r="AB224" s="121"/>
      <c r="AC224" s="119" t="n">
        <v>0</v>
      </c>
      <c r="AD224" s="119" t="n">
        <v>0</v>
      </c>
      <c r="AE224" s="119" t="n">
        <v>0</v>
      </c>
      <c r="AF224" s="121"/>
      <c r="AG224" s="122" t="n">
        <f aca="false">'form A info'!$AK191/1000</f>
        <v>814.51</v>
      </c>
    </row>
    <row r="225" customFormat="false" ht="12.75" hidden="false" customHeight="false" outlineLevel="0" collapsed="false">
      <c r="A225" s="111" t="n">
        <v>546</v>
      </c>
      <c r="B225" s="111" t="s">
        <v>493</v>
      </c>
      <c r="C225" s="124" t="str">
        <f aca="false">'form A info'!G194</f>
        <v>n</v>
      </c>
      <c r="D225" s="119" t="n">
        <v>0</v>
      </c>
      <c r="E225" s="119" t="n">
        <v>0</v>
      </c>
      <c r="F225" s="119" t="n">
        <v>12</v>
      </c>
      <c r="G225" s="119" t="n">
        <v>0</v>
      </c>
      <c r="H225" s="120"/>
      <c r="I225" s="119" t="n">
        <v>0</v>
      </c>
      <c r="J225" s="119" t="n">
        <v>0</v>
      </c>
      <c r="K225" s="119" t="n">
        <v>0</v>
      </c>
      <c r="L225" s="119" t="n">
        <v>0</v>
      </c>
      <c r="M225" s="120"/>
      <c r="N225" s="119" t="n">
        <v>0</v>
      </c>
      <c r="O225" s="119" t="n">
        <v>0</v>
      </c>
      <c r="P225" s="119" t="n">
        <v>0</v>
      </c>
      <c r="Q225" s="119" t="n">
        <v>6</v>
      </c>
      <c r="R225" s="121"/>
      <c r="S225" s="119" t="n">
        <v>0</v>
      </c>
      <c r="T225" s="119" t="n">
        <v>0</v>
      </c>
      <c r="U225" s="119" t="n">
        <v>0</v>
      </c>
      <c r="V225" s="119" t="n">
        <v>0</v>
      </c>
      <c r="W225" s="121"/>
      <c r="X225" s="119" t="n">
        <v>0</v>
      </c>
      <c r="Y225" s="119" t="n">
        <v>0</v>
      </c>
      <c r="Z225" s="119" t="n">
        <v>0</v>
      </c>
      <c r="AA225" s="119" t="n">
        <v>0</v>
      </c>
      <c r="AB225" s="121"/>
      <c r="AC225" s="119" t="n">
        <v>0</v>
      </c>
      <c r="AD225" s="119" t="n">
        <v>0</v>
      </c>
      <c r="AE225" s="119" t="n">
        <v>0</v>
      </c>
      <c r="AF225" s="121"/>
      <c r="AG225" s="122" t="n">
        <f aca="false">'form A info'!$AK194/1000</f>
        <v>0</v>
      </c>
    </row>
    <row r="226" customFormat="false" ht="12.75" hidden="false" customHeight="false" outlineLevel="0" collapsed="false">
      <c r="A226" s="111" t="n">
        <v>4780</v>
      </c>
      <c r="B226" s="111" t="s">
        <v>494</v>
      </c>
      <c r="C226" s="124" t="str">
        <f aca="false">'form A info'!G195</f>
        <v>n</v>
      </c>
      <c r="D226" s="119"/>
      <c r="E226" s="119" t="n">
        <v>577</v>
      </c>
      <c r="F226" s="119" t="n">
        <v>-25</v>
      </c>
      <c r="G226" s="119" t="n">
        <v>16</v>
      </c>
      <c r="H226" s="120"/>
      <c r="I226" s="119"/>
      <c r="J226" s="119"/>
      <c r="K226" s="119" t="n">
        <v>13</v>
      </c>
      <c r="L226" s="119"/>
      <c r="M226" s="120"/>
      <c r="N226" s="119"/>
      <c r="O226" s="119" t="n">
        <v>22</v>
      </c>
      <c r="P226" s="119" t="n">
        <v>9</v>
      </c>
      <c r="Q226" s="119"/>
      <c r="R226" s="121"/>
      <c r="S226" s="119"/>
      <c r="T226" s="119"/>
      <c r="U226" s="119"/>
      <c r="V226" s="119"/>
      <c r="W226" s="121"/>
      <c r="X226" s="119"/>
      <c r="Y226" s="119"/>
      <c r="Z226" s="119"/>
      <c r="AA226" s="119"/>
      <c r="AB226" s="121"/>
      <c r="AC226" s="119"/>
      <c r="AD226" s="119"/>
      <c r="AE226" s="119"/>
      <c r="AF226" s="121"/>
      <c r="AG226" s="122" t="n">
        <f aca="false">'form A info'!$AK195/1000</f>
        <v>0</v>
      </c>
    </row>
    <row r="227" customFormat="false" ht="12.75" hidden="false" customHeight="false" outlineLevel="0" collapsed="false">
      <c r="A227" s="111" t="n">
        <v>3625</v>
      </c>
      <c r="B227" s="111" t="s">
        <v>498</v>
      </c>
      <c r="C227" s="124" t="str">
        <f aca="false">'form A info'!G197</f>
        <v>n</v>
      </c>
      <c r="D227" s="119" t="n">
        <v>502</v>
      </c>
      <c r="E227" s="119" t="n">
        <v>646</v>
      </c>
      <c r="F227" s="119" t="n">
        <v>106</v>
      </c>
      <c r="G227" s="119" t="n">
        <v>0</v>
      </c>
      <c r="H227" s="120"/>
      <c r="I227" s="119" t="n">
        <v>0</v>
      </c>
      <c r="J227" s="119" t="n">
        <v>0</v>
      </c>
      <c r="K227" s="119" t="n">
        <v>0</v>
      </c>
      <c r="L227" s="119" t="n">
        <v>0</v>
      </c>
      <c r="M227" s="120"/>
      <c r="N227" s="119" t="n">
        <v>36</v>
      </c>
      <c r="O227" s="119" t="n">
        <v>44</v>
      </c>
      <c r="P227" s="119" t="n">
        <v>12</v>
      </c>
      <c r="Q227" s="119" t="n">
        <v>0</v>
      </c>
      <c r="R227" s="121"/>
      <c r="S227" s="119" t="n">
        <v>53</v>
      </c>
      <c r="T227" s="119" t="n">
        <v>0</v>
      </c>
      <c r="U227" s="119" t="n">
        <v>0</v>
      </c>
      <c r="V227" s="119" t="n">
        <v>0</v>
      </c>
      <c r="W227" s="121"/>
      <c r="X227" s="119" t="n">
        <v>89</v>
      </c>
      <c r="Y227" s="119" t="n">
        <v>1</v>
      </c>
      <c r="Z227" s="119" t="n">
        <v>0</v>
      </c>
      <c r="AA227" s="119" t="n">
        <v>0</v>
      </c>
      <c r="AB227" s="121"/>
      <c r="AC227" s="119" t="n">
        <v>0</v>
      </c>
      <c r="AD227" s="119" t="n">
        <v>0</v>
      </c>
      <c r="AE227" s="119" t="n">
        <v>0</v>
      </c>
      <c r="AF227" s="121"/>
      <c r="AG227" s="122" t="n">
        <f aca="false">'form A info'!$AK197/1000</f>
        <v>805.815</v>
      </c>
    </row>
    <row r="228" customFormat="false" ht="12.75" hidden="false" customHeight="false" outlineLevel="0" collapsed="false">
      <c r="A228" s="111" t="n">
        <v>2</v>
      </c>
      <c r="B228" s="111" t="s">
        <v>500</v>
      </c>
      <c r="C228" s="124" t="str">
        <f aca="false">'form A info'!G198</f>
        <v>n</v>
      </c>
      <c r="D228" s="119" t="n">
        <v>0</v>
      </c>
      <c r="E228" s="119" t="n">
        <v>0</v>
      </c>
      <c r="F228" s="119" t="n">
        <v>0</v>
      </c>
      <c r="G228" s="119" t="n">
        <v>0</v>
      </c>
      <c r="H228" s="120"/>
      <c r="I228" s="119" t="n">
        <v>0</v>
      </c>
      <c r="J228" s="119" t="n">
        <v>0</v>
      </c>
      <c r="K228" s="119" t="n">
        <v>0</v>
      </c>
      <c r="L228" s="119" t="n">
        <v>0</v>
      </c>
      <c r="M228" s="120"/>
      <c r="N228" s="119" t="n">
        <v>0</v>
      </c>
      <c r="O228" s="119" t="n">
        <v>0</v>
      </c>
      <c r="P228" s="119" t="n">
        <v>0</v>
      </c>
      <c r="Q228" s="119" t="n">
        <v>0</v>
      </c>
      <c r="R228" s="121"/>
      <c r="S228" s="119" t="n">
        <v>0</v>
      </c>
      <c r="T228" s="119" t="n">
        <v>0</v>
      </c>
      <c r="U228" s="119" t="n">
        <v>0</v>
      </c>
      <c r="V228" s="119" t="n">
        <v>0</v>
      </c>
      <c r="W228" s="121"/>
      <c r="X228" s="119" t="n">
        <v>0</v>
      </c>
      <c r="Y228" s="119" t="n">
        <v>0</v>
      </c>
      <c r="Z228" s="119" t="n">
        <v>0</v>
      </c>
      <c r="AA228" s="119" t="n">
        <v>0</v>
      </c>
      <c r="AB228" s="121"/>
      <c r="AC228" s="119" t="n">
        <v>0</v>
      </c>
      <c r="AD228" s="119" t="n">
        <v>0</v>
      </c>
      <c r="AE228" s="119" t="n">
        <v>0</v>
      </c>
      <c r="AF228" s="121"/>
      <c r="AG228" s="122" t="n">
        <f aca="false">'form A info'!$AK198/1000</f>
        <v>0</v>
      </c>
    </row>
    <row r="229" customFormat="false" ht="12.75" hidden="false" customHeight="false" outlineLevel="0" collapsed="false">
      <c r="A229" s="111" t="n">
        <v>3824</v>
      </c>
      <c r="B229" s="111" t="s">
        <v>681</v>
      </c>
      <c r="C229" s="124" t="str">
        <f aca="false">'form A info'!G199</f>
        <v>n</v>
      </c>
      <c r="D229" s="119" t="n">
        <v>0</v>
      </c>
      <c r="E229" s="119" t="n">
        <v>0</v>
      </c>
      <c r="F229" s="119" t="n">
        <v>362</v>
      </c>
      <c r="G229" s="119" t="n">
        <v>21</v>
      </c>
      <c r="H229" s="120"/>
      <c r="I229" s="119" t="n">
        <v>0</v>
      </c>
      <c r="J229" s="119" t="n">
        <v>0</v>
      </c>
      <c r="K229" s="119" t="n">
        <v>0</v>
      </c>
      <c r="L229" s="119" t="n">
        <v>0</v>
      </c>
      <c r="M229" s="120"/>
      <c r="N229" s="119" t="n">
        <v>0</v>
      </c>
      <c r="O229" s="119" t="n">
        <v>0</v>
      </c>
      <c r="P229" s="119" t="n">
        <v>7</v>
      </c>
      <c r="Q229" s="119" t="n">
        <v>23</v>
      </c>
      <c r="R229" s="121"/>
      <c r="S229" s="119" t="n">
        <v>0</v>
      </c>
      <c r="T229" s="119" t="n">
        <v>0</v>
      </c>
      <c r="U229" s="119" t="n">
        <v>0</v>
      </c>
      <c r="V229" s="119" t="n">
        <v>0</v>
      </c>
      <c r="W229" s="121"/>
      <c r="X229" s="119" t="n">
        <v>0</v>
      </c>
      <c r="Y229" s="119" t="n">
        <v>0</v>
      </c>
      <c r="Z229" s="119" t="n">
        <v>0</v>
      </c>
      <c r="AA229" s="119" t="n">
        <v>0</v>
      </c>
      <c r="AB229" s="121"/>
      <c r="AC229" s="119" t="n">
        <v>0</v>
      </c>
      <c r="AD229" s="119" t="n">
        <v>0</v>
      </c>
      <c r="AE229" s="119" t="n">
        <v>0</v>
      </c>
      <c r="AF229" s="121"/>
      <c r="AG229" s="122" t="n">
        <f aca="false">'form A info'!$AK199/1000</f>
        <v>0</v>
      </c>
    </row>
    <row r="230" customFormat="false" ht="12.75" hidden="false" customHeight="false" outlineLevel="0" collapsed="false">
      <c r="A230" s="111" t="n">
        <v>3894</v>
      </c>
      <c r="B230" s="111" t="s">
        <v>682</v>
      </c>
      <c r="C230" s="124" t="str">
        <f aca="false">'form A info'!G200</f>
        <v>n</v>
      </c>
      <c r="D230" s="119" t="n">
        <v>0</v>
      </c>
      <c r="E230" s="119" t="n">
        <v>0</v>
      </c>
      <c r="F230" s="119" t="n">
        <v>0</v>
      </c>
      <c r="G230" s="119" t="n">
        <v>356</v>
      </c>
      <c r="H230" s="120"/>
      <c r="I230" s="119" t="n">
        <v>0</v>
      </c>
      <c r="J230" s="119" t="n">
        <v>0</v>
      </c>
      <c r="K230" s="119" t="n">
        <v>0</v>
      </c>
      <c r="L230" s="119" t="n">
        <v>0</v>
      </c>
      <c r="M230" s="120"/>
      <c r="N230" s="119" t="n">
        <v>0</v>
      </c>
      <c r="O230" s="119" t="n">
        <v>0</v>
      </c>
      <c r="P230" s="119" t="n">
        <v>0</v>
      </c>
      <c r="Q230" s="119" t="n">
        <v>18</v>
      </c>
      <c r="R230" s="121"/>
      <c r="S230" s="119" t="n">
        <v>0</v>
      </c>
      <c r="T230" s="119" t="n">
        <v>0</v>
      </c>
      <c r="U230" s="119" t="n">
        <v>0</v>
      </c>
      <c r="V230" s="119" t="n">
        <v>0</v>
      </c>
      <c r="W230" s="121"/>
      <c r="X230" s="119" t="n">
        <v>0</v>
      </c>
      <c r="Y230" s="119" t="n">
        <v>0</v>
      </c>
      <c r="Z230" s="119" t="n">
        <v>0</v>
      </c>
      <c r="AA230" s="119" t="n">
        <v>0</v>
      </c>
      <c r="AB230" s="121"/>
      <c r="AC230" s="119" t="n">
        <v>0</v>
      </c>
      <c r="AD230" s="119" t="n">
        <v>0</v>
      </c>
      <c r="AE230" s="119" t="n">
        <v>0</v>
      </c>
      <c r="AF230" s="121"/>
      <c r="AG230" s="122" t="n">
        <f aca="false">'form A info'!$AK200/1000</f>
        <v>0</v>
      </c>
    </row>
    <row r="231" customFormat="false" ht="12.75" hidden="false" customHeight="false" outlineLevel="0" collapsed="false">
      <c r="A231" s="111" t="n">
        <v>3632</v>
      </c>
      <c r="B231" s="111" t="s">
        <v>504</v>
      </c>
      <c r="C231" s="124" t="str">
        <f aca="false">'form A info'!G201</f>
        <v>n</v>
      </c>
      <c r="D231" s="119" t="n">
        <v>381</v>
      </c>
      <c r="E231" s="119" t="n">
        <v>0</v>
      </c>
      <c r="F231" s="119" t="n">
        <v>398</v>
      </c>
      <c r="G231" s="119" t="n">
        <v>19</v>
      </c>
      <c r="H231" s="120"/>
      <c r="I231" s="119" t="n">
        <v>203</v>
      </c>
      <c r="J231" s="119" t="n">
        <v>0</v>
      </c>
      <c r="K231" s="119" t="n">
        <v>9</v>
      </c>
      <c r="L231" s="119" t="n">
        <v>4</v>
      </c>
      <c r="M231" s="120"/>
      <c r="N231" s="119" t="n">
        <v>28</v>
      </c>
      <c r="O231" s="119" t="n">
        <v>0</v>
      </c>
      <c r="P231" s="119" t="n">
        <v>20</v>
      </c>
      <c r="Q231" s="119" t="n">
        <v>0</v>
      </c>
      <c r="R231" s="121"/>
      <c r="S231" s="119" t="n">
        <v>130</v>
      </c>
      <c r="T231" s="119" t="n">
        <v>0</v>
      </c>
      <c r="U231" s="119" t="n">
        <v>0</v>
      </c>
      <c r="V231" s="119" t="n">
        <v>0</v>
      </c>
      <c r="W231" s="121"/>
      <c r="X231" s="119" t="n">
        <v>183</v>
      </c>
      <c r="Y231" s="119" t="n">
        <v>0</v>
      </c>
      <c r="Z231" s="119" t="n">
        <v>0</v>
      </c>
      <c r="AA231" s="119" t="n">
        <v>0</v>
      </c>
      <c r="AB231" s="121"/>
      <c r="AC231" s="119" t="n">
        <v>0</v>
      </c>
      <c r="AD231" s="119" t="n">
        <v>0</v>
      </c>
      <c r="AE231" s="119" t="n">
        <v>54700</v>
      </c>
      <c r="AF231" s="121"/>
      <c r="AG231" s="122" t="n">
        <f aca="false">'form A info'!$AK201/1000</f>
        <v>0</v>
      </c>
    </row>
    <row r="232" customFormat="false" ht="12.75" hidden="false" customHeight="false" outlineLevel="0" collapsed="false">
      <c r="A232" s="111" t="n">
        <v>3635</v>
      </c>
      <c r="B232" s="111" t="s">
        <v>506</v>
      </c>
      <c r="C232" s="124" t="str">
        <f aca="false">'form A info'!G202</f>
        <v>n</v>
      </c>
      <c r="D232" s="119" t="n">
        <v>-29</v>
      </c>
      <c r="E232" s="119" t="n">
        <v>1972</v>
      </c>
      <c r="F232" s="119" t="n">
        <v>709</v>
      </c>
      <c r="G232" s="119" t="n">
        <v>1</v>
      </c>
      <c r="H232" s="120"/>
      <c r="I232" s="119" t="n">
        <v>0</v>
      </c>
      <c r="J232" s="119" t="n">
        <v>0</v>
      </c>
      <c r="K232" s="119" t="n">
        <v>0</v>
      </c>
      <c r="L232" s="119" t="n">
        <v>1</v>
      </c>
      <c r="M232" s="120"/>
      <c r="N232" s="119" t="n">
        <v>0</v>
      </c>
      <c r="O232" s="119" t="n">
        <v>34</v>
      </c>
      <c r="P232" s="119" t="n">
        <v>20</v>
      </c>
      <c r="Q232" s="119" t="n">
        <v>0</v>
      </c>
      <c r="R232" s="121"/>
      <c r="S232" s="119" t="n">
        <v>0</v>
      </c>
      <c r="T232" s="119" t="n">
        <v>0</v>
      </c>
      <c r="U232" s="119" t="n">
        <v>0</v>
      </c>
      <c r="V232" s="119" t="n">
        <v>0</v>
      </c>
      <c r="W232" s="121"/>
      <c r="X232" s="119" t="n">
        <v>0</v>
      </c>
      <c r="Y232" s="119" t="n">
        <v>0</v>
      </c>
      <c r="Z232" s="119" t="n">
        <v>0</v>
      </c>
      <c r="AA232" s="119" t="n">
        <v>0</v>
      </c>
      <c r="AB232" s="121"/>
      <c r="AC232" s="119" t="n">
        <v>0</v>
      </c>
      <c r="AD232" s="119" t="n">
        <v>0</v>
      </c>
      <c r="AE232" s="119" t="n">
        <v>0</v>
      </c>
      <c r="AF232" s="121"/>
      <c r="AG232" s="122" t="n">
        <f aca="false">'form A info'!$AK202/1000</f>
        <v>429.721</v>
      </c>
    </row>
    <row r="233" customFormat="false" ht="12.75" hidden="false" customHeight="false" outlineLevel="0" collapsed="false">
      <c r="A233" s="111" t="n">
        <v>4772</v>
      </c>
      <c r="B233" s="111" t="s">
        <v>510</v>
      </c>
      <c r="C233" s="124" t="str">
        <f aca="false">'form A info'!G205</f>
        <v>n</v>
      </c>
      <c r="D233" s="119" t="n">
        <v>0</v>
      </c>
      <c r="E233" s="119" t="n">
        <v>458</v>
      </c>
      <c r="F233" s="119" t="n">
        <v>299</v>
      </c>
      <c r="G233" s="119" t="n">
        <v>1</v>
      </c>
      <c r="H233" s="120"/>
      <c r="I233" s="119" t="n">
        <v>0</v>
      </c>
      <c r="J233" s="119" t="n">
        <v>37</v>
      </c>
      <c r="K233" s="119" t="n">
        <v>7</v>
      </c>
      <c r="L233" s="119" t="n">
        <v>0</v>
      </c>
      <c r="M233" s="120"/>
      <c r="N233" s="119" t="n">
        <v>0</v>
      </c>
      <c r="O233" s="119" t="n">
        <v>75</v>
      </c>
      <c r="P233" s="119" t="n">
        <v>32</v>
      </c>
      <c r="Q233" s="119" t="n">
        <v>0</v>
      </c>
      <c r="R233" s="121"/>
      <c r="S233" s="119" t="n">
        <v>0</v>
      </c>
      <c r="T233" s="119" t="n">
        <v>0</v>
      </c>
      <c r="U233" s="119" t="n">
        <v>0</v>
      </c>
      <c r="V233" s="119" t="n">
        <v>0</v>
      </c>
      <c r="W233" s="121"/>
      <c r="X233" s="119" t="n">
        <v>0</v>
      </c>
      <c r="Y233" s="119" t="n">
        <v>1</v>
      </c>
      <c r="Z233" s="119" t="n">
        <v>0</v>
      </c>
      <c r="AA233" s="119" t="n">
        <v>0</v>
      </c>
      <c r="AB233" s="121"/>
      <c r="AC233" s="119" t="n">
        <v>0</v>
      </c>
      <c r="AD233" s="119" t="n">
        <v>0</v>
      </c>
      <c r="AE233" s="119" t="n">
        <v>0</v>
      </c>
      <c r="AF233" s="121"/>
      <c r="AG233" s="122" t="n">
        <f aca="false">'form A info'!$AK205/1000</f>
        <v>290.80695</v>
      </c>
    </row>
    <row r="234" customFormat="false" ht="12.75" hidden="false" customHeight="false" outlineLevel="0" collapsed="false">
      <c r="A234" s="111" t="n">
        <v>4778</v>
      </c>
      <c r="B234" s="111" t="s">
        <v>518</v>
      </c>
      <c r="C234" s="124" t="str">
        <f aca="false">'form A info'!G207</f>
        <v>n</v>
      </c>
      <c r="D234" s="119"/>
      <c r="E234" s="119" t="n">
        <v>548</v>
      </c>
      <c r="F234" s="119" t="n">
        <v>-79</v>
      </c>
      <c r="G234" s="119" t="n">
        <v>7</v>
      </c>
      <c r="H234" s="120"/>
      <c r="I234" s="119"/>
      <c r="J234" s="119"/>
      <c r="K234" s="119" t="n">
        <v>3</v>
      </c>
      <c r="L234" s="119"/>
      <c r="M234" s="120"/>
      <c r="N234" s="119"/>
      <c r="O234" s="119" t="n">
        <v>39</v>
      </c>
      <c r="P234" s="119" t="n">
        <v>5</v>
      </c>
      <c r="Q234" s="119"/>
      <c r="R234" s="121"/>
      <c r="S234" s="119"/>
      <c r="T234" s="119"/>
      <c r="U234" s="119"/>
      <c r="V234" s="119"/>
      <c r="W234" s="121"/>
      <c r="X234" s="119"/>
      <c r="Y234" s="119"/>
      <c r="Z234" s="119"/>
      <c r="AA234" s="119"/>
      <c r="AB234" s="121"/>
      <c r="AC234" s="119"/>
      <c r="AD234" s="119"/>
      <c r="AE234" s="119"/>
      <c r="AF234" s="121"/>
      <c r="AG234" s="122" t="n">
        <f aca="false">'form A info'!$AK207/1000</f>
        <v>0</v>
      </c>
    </row>
    <row r="235" customFormat="false" ht="12.75" hidden="false" customHeight="false" outlineLevel="0" collapsed="false">
      <c r="A235" s="111" t="n">
        <v>3892</v>
      </c>
      <c r="B235" s="111" t="s">
        <v>521</v>
      </c>
      <c r="C235" s="124" t="str">
        <f aca="false">'form A info'!G209</f>
        <v>n</v>
      </c>
      <c r="D235" s="119" t="n">
        <v>21</v>
      </c>
      <c r="E235" s="119" t="n">
        <v>0</v>
      </c>
      <c r="F235" s="119" t="n">
        <v>28</v>
      </c>
      <c r="G235" s="119" t="n">
        <v>2</v>
      </c>
      <c r="H235" s="120"/>
      <c r="I235" s="119" t="n">
        <v>0</v>
      </c>
      <c r="J235" s="119" t="n">
        <v>0</v>
      </c>
      <c r="K235" s="119" t="n">
        <v>0</v>
      </c>
      <c r="L235" s="119" t="n">
        <v>0</v>
      </c>
      <c r="M235" s="120"/>
      <c r="N235" s="119" t="n">
        <v>0</v>
      </c>
      <c r="O235" s="119" t="n">
        <v>0</v>
      </c>
      <c r="P235" s="119" t="n">
        <v>7</v>
      </c>
      <c r="Q235" s="119" t="n">
        <v>0</v>
      </c>
      <c r="R235" s="121"/>
      <c r="S235" s="119" t="n">
        <v>0</v>
      </c>
      <c r="T235" s="119" t="n">
        <v>0</v>
      </c>
      <c r="U235" s="119" t="n">
        <v>0</v>
      </c>
      <c r="V235" s="119" t="n">
        <v>0</v>
      </c>
      <c r="W235" s="121"/>
      <c r="X235" s="119" t="n">
        <v>0</v>
      </c>
      <c r="Y235" s="119" t="n">
        <v>0</v>
      </c>
      <c r="Z235" s="119" t="n">
        <v>0</v>
      </c>
      <c r="AA235" s="119" t="n">
        <v>0</v>
      </c>
      <c r="AB235" s="121"/>
      <c r="AC235" s="119" t="n">
        <v>3746</v>
      </c>
      <c r="AD235" s="119" t="n">
        <v>0</v>
      </c>
      <c r="AE235" s="119" t="n">
        <v>49046</v>
      </c>
      <c r="AF235" s="121"/>
      <c r="AG235" s="122" t="n">
        <f aca="false">'form A info'!$AK209/1000</f>
        <v>98.281</v>
      </c>
    </row>
    <row r="236" customFormat="false" ht="12.75" hidden="false" customHeight="false" outlineLevel="0" collapsed="false">
      <c r="A236" s="111" t="n">
        <v>4777</v>
      </c>
      <c r="B236" s="111" t="s">
        <v>525</v>
      </c>
      <c r="C236" s="124" t="str">
        <f aca="false">'form A info'!G210</f>
        <v>n</v>
      </c>
      <c r="D236" s="119"/>
      <c r="E236" s="119" t="n">
        <v>508</v>
      </c>
      <c r="F236" s="119" t="n">
        <v>-47</v>
      </c>
      <c r="G236" s="119" t="n">
        <v>8</v>
      </c>
      <c r="H236" s="120"/>
      <c r="I236" s="119"/>
      <c r="J236" s="119"/>
      <c r="K236" s="119" t="n">
        <v>3</v>
      </c>
      <c r="L236" s="119"/>
      <c r="M236" s="120"/>
      <c r="N236" s="119"/>
      <c r="O236" s="119" t="n">
        <v>53</v>
      </c>
      <c r="P236" s="119" t="n">
        <v>6</v>
      </c>
      <c r="Q236" s="119"/>
      <c r="R236" s="121"/>
      <c r="S236" s="119"/>
      <c r="T236" s="119"/>
      <c r="U236" s="119"/>
      <c r="V236" s="119"/>
      <c r="W236" s="121"/>
      <c r="X236" s="119"/>
      <c r="Y236" s="119"/>
      <c r="Z236" s="119"/>
      <c r="AA236" s="119"/>
      <c r="AB236" s="121"/>
      <c r="AC236" s="119"/>
      <c r="AD236" s="119"/>
      <c r="AE236" s="119"/>
      <c r="AF236" s="121"/>
      <c r="AG236" s="122" t="n">
        <f aca="false">'form A info'!$AK210/1000</f>
        <v>0</v>
      </c>
    </row>
    <row r="237" customFormat="false" ht="12.75" hidden="false" customHeight="false" outlineLevel="0" collapsed="false">
      <c r="A237" s="111" t="n">
        <v>3633</v>
      </c>
      <c r="B237" s="111" t="s">
        <v>545</v>
      </c>
      <c r="C237" s="124" t="str">
        <f aca="false">'form A info'!G221</f>
        <v>n</v>
      </c>
      <c r="D237" s="119" t="n">
        <v>147</v>
      </c>
      <c r="E237" s="119" t="n">
        <v>112</v>
      </c>
      <c r="F237" s="119" t="n">
        <v>6</v>
      </c>
      <c r="G237" s="119" t="n">
        <v>0</v>
      </c>
      <c r="H237" s="120"/>
      <c r="I237" s="119" t="n">
        <v>0</v>
      </c>
      <c r="J237" s="119" t="n">
        <v>0</v>
      </c>
      <c r="K237" s="119" t="n">
        <v>0</v>
      </c>
      <c r="L237" s="119" t="n">
        <v>0</v>
      </c>
      <c r="M237" s="120"/>
      <c r="N237" s="119" t="n">
        <v>0</v>
      </c>
      <c r="O237" s="119" t="n">
        <v>23</v>
      </c>
      <c r="P237" s="119" t="n">
        <v>0</v>
      </c>
      <c r="Q237" s="119" t="n">
        <v>0</v>
      </c>
      <c r="R237" s="121"/>
      <c r="S237" s="119" t="n">
        <v>1</v>
      </c>
      <c r="T237" s="119" t="n">
        <v>0</v>
      </c>
      <c r="U237" s="119" t="n">
        <v>0</v>
      </c>
      <c r="V237" s="119" t="n">
        <v>0</v>
      </c>
      <c r="W237" s="121"/>
      <c r="X237" s="119" t="n">
        <v>0</v>
      </c>
      <c r="Y237" s="119" t="n">
        <v>0</v>
      </c>
      <c r="Z237" s="119" t="n">
        <v>0</v>
      </c>
      <c r="AA237" s="119" t="n">
        <v>0</v>
      </c>
      <c r="AB237" s="121"/>
      <c r="AC237" s="119" t="n">
        <v>0</v>
      </c>
      <c r="AD237" s="119" t="n">
        <v>0</v>
      </c>
      <c r="AE237" s="119" t="n">
        <v>0</v>
      </c>
      <c r="AF237" s="121"/>
      <c r="AG237" s="122" t="n">
        <f aca="false">'form A info'!$AK221/1000</f>
        <v>0</v>
      </c>
    </row>
    <row r="238" customFormat="false" ht="12.75" hidden="false" customHeight="false" outlineLevel="0" collapsed="false">
      <c r="A238" s="111" t="n">
        <v>4840</v>
      </c>
      <c r="B238" s="111" t="s">
        <v>548</v>
      </c>
      <c r="C238" s="124" t="str">
        <f aca="false">'form A info'!G223</f>
        <v>n</v>
      </c>
      <c r="D238" s="119" t="n">
        <v>421</v>
      </c>
      <c r="E238" s="119" t="n">
        <v>1026</v>
      </c>
      <c r="F238" s="119" t="n">
        <v>238</v>
      </c>
      <c r="G238" s="119" t="n">
        <v>0</v>
      </c>
      <c r="H238" s="120"/>
      <c r="I238" s="119" t="n">
        <v>0</v>
      </c>
      <c r="J238" s="119" t="n">
        <v>0</v>
      </c>
      <c r="K238" s="119" t="n">
        <v>0</v>
      </c>
      <c r="L238" s="119" t="n">
        <v>0</v>
      </c>
      <c r="M238" s="120"/>
      <c r="N238" s="119" t="n">
        <v>0</v>
      </c>
      <c r="O238" s="119" t="n">
        <v>199</v>
      </c>
      <c r="P238" s="119" t="n">
        <v>25</v>
      </c>
      <c r="Q238" s="119" t="n">
        <v>0</v>
      </c>
      <c r="R238" s="121"/>
      <c r="S238" s="119" t="n">
        <v>0</v>
      </c>
      <c r="T238" s="119" t="n">
        <v>0</v>
      </c>
      <c r="U238" s="119" t="n">
        <v>0</v>
      </c>
      <c r="V238" s="119" t="n">
        <v>0</v>
      </c>
      <c r="W238" s="121"/>
      <c r="X238" s="119" t="n">
        <v>90</v>
      </c>
      <c r="Y238" s="119" t="n">
        <v>0</v>
      </c>
      <c r="Z238" s="119" t="n">
        <v>0</v>
      </c>
      <c r="AA238" s="119" t="n">
        <v>0</v>
      </c>
      <c r="AB238" s="121"/>
      <c r="AC238" s="119" t="n">
        <v>0</v>
      </c>
      <c r="AD238" s="119" t="n">
        <v>360068</v>
      </c>
      <c r="AE238" s="119" t="n">
        <v>0</v>
      </c>
      <c r="AF238" s="121"/>
      <c r="AG238" s="122" t="n">
        <f aca="false">'form A info'!$AK223/1000</f>
        <v>52.222</v>
      </c>
    </row>
    <row r="239" customFormat="false" ht="12.75" hidden="false" customHeight="false" outlineLevel="0" collapsed="false">
      <c r="A239" s="111" t="n">
        <v>3951</v>
      </c>
      <c r="B239" s="111" t="s">
        <v>557</v>
      </c>
      <c r="C239" s="124" t="str">
        <f aca="false">'form A info'!G227</f>
        <v>n</v>
      </c>
      <c r="D239" s="119" t="n">
        <v>115</v>
      </c>
      <c r="E239" s="119" t="n">
        <v>0</v>
      </c>
      <c r="F239" s="119" t="n">
        <v>67</v>
      </c>
      <c r="G239" s="119" t="n">
        <v>7</v>
      </c>
      <c r="H239" s="120"/>
      <c r="I239" s="119" t="n">
        <v>64</v>
      </c>
      <c r="J239" s="119" t="n">
        <v>24</v>
      </c>
      <c r="K239" s="119" t="n">
        <v>2</v>
      </c>
      <c r="L239" s="119" t="n">
        <v>0</v>
      </c>
      <c r="M239" s="120"/>
      <c r="N239" s="119" t="n">
        <v>32</v>
      </c>
      <c r="O239" s="119" t="n">
        <v>5</v>
      </c>
      <c r="P239" s="119" t="n">
        <v>12</v>
      </c>
      <c r="Q239" s="119" t="n">
        <v>1</v>
      </c>
      <c r="R239" s="121"/>
      <c r="S239" s="119" t="n">
        <v>108</v>
      </c>
      <c r="T239" s="119" t="n">
        <v>0</v>
      </c>
      <c r="U239" s="119" t="n">
        <v>0</v>
      </c>
      <c r="V239" s="119" t="n">
        <v>0</v>
      </c>
      <c r="W239" s="121"/>
      <c r="X239" s="119" t="n">
        <v>35</v>
      </c>
      <c r="Y239" s="119" t="n">
        <v>0</v>
      </c>
      <c r="Z239" s="119" t="n">
        <v>0</v>
      </c>
      <c r="AA239" s="119" t="n">
        <v>0</v>
      </c>
      <c r="AB239" s="121"/>
      <c r="AC239" s="119" t="n">
        <v>135688</v>
      </c>
      <c r="AD239" s="119" t="n">
        <v>0</v>
      </c>
      <c r="AE239" s="119" t="n">
        <v>0</v>
      </c>
      <c r="AF239" s="121"/>
      <c r="AG239" s="122" t="n">
        <f aca="false">'form A info'!$AK227/1000</f>
        <v>232.497</v>
      </c>
    </row>
    <row r="240" customFormat="false" ht="12.75" hidden="false" customHeight="false" outlineLevel="0" collapsed="false">
      <c r="A240" s="111" t="n">
        <v>9711</v>
      </c>
      <c r="B240" s="111" t="s">
        <v>563</v>
      </c>
      <c r="C240" s="124" t="str">
        <f aca="false">'form A info'!G229</f>
        <v>n</v>
      </c>
      <c r="D240" s="119" t="n">
        <v>0</v>
      </c>
      <c r="E240" s="119" t="n">
        <v>0</v>
      </c>
      <c r="F240" s="119" t="n">
        <v>7</v>
      </c>
      <c r="G240" s="119" t="n">
        <v>-1</v>
      </c>
      <c r="H240" s="120"/>
      <c r="I240" s="119" t="n">
        <v>0</v>
      </c>
      <c r="J240" s="119" t="n">
        <v>0</v>
      </c>
      <c r="K240" s="119" t="n">
        <v>0</v>
      </c>
      <c r="L240" s="119" t="n">
        <v>0</v>
      </c>
      <c r="M240" s="120"/>
      <c r="N240" s="119" t="n">
        <v>0</v>
      </c>
      <c r="O240" s="119" t="n">
        <v>0</v>
      </c>
      <c r="P240" s="119" t="n">
        <v>0</v>
      </c>
      <c r="Q240" s="119" t="n">
        <v>0</v>
      </c>
      <c r="R240" s="121"/>
      <c r="S240" s="119" t="n">
        <v>0</v>
      </c>
      <c r="T240" s="119" t="n">
        <v>0</v>
      </c>
      <c r="U240" s="119" t="n">
        <v>0</v>
      </c>
      <c r="V240" s="119" t="n">
        <v>0</v>
      </c>
      <c r="W240" s="121"/>
      <c r="X240" s="119" t="n">
        <v>0</v>
      </c>
      <c r="Y240" s="119" t="n">
        <v>0</v>
      </c>
      <c r="Z240" s="119" t="n">
        <v>0</v>
      </c>
      <c r="AA240" s="119" t="n">
        <v>0</v>
      </c>
      <c r="AB240" s="121"/>
      <c r="AC240" s="119" t="n">
        <v>0</v>
      </c>
      <c r="AD240" s="119" t="n">
        <v>0</v>
      </c>
      <c r="AE240" s="119" t="n">
        <v>0</v>
      </c>
      <c r="AF240" s="121"/>
      <c r="AG240" s="122" t="n">
        <f aca="false">'form A info'!$AK229/1000</f>
        <v>66.807</v>
      </c>
    </row>
    <row r="241" customFormat="false" ht="12.75" hidden="false" customHeight="false" outlineLevel="0" collapsed="false">
      <c r="A241" s="111" t="n">
        <v>9710</v>
      </c>
      <c r="B241" s="111" t="s">
        <v>569</v>
      </c>
      <c r="C241" s="124" t="str">
        <f aca="false">'form A info'!G232</f>
        <v>n</v>
      </c>
      <c r="D241" s="119" t="n">
        <v>0</v>
      </c>
      <c r="E241" s="119" t="n">
        <v>0</v>
      </c>
      <c r="F241" s="119" t="n">
        <v>225</v>
      </c>
      <c r="G241" s="119" t="n">
        <v>3</v>
      </c>
      <c r="H241" s="120"/>
      <c r="I241" s="119" t="n">
        <v>0</v>
      </c>
      <c r="J241" s="119" t="n">
        <v>0</v>
      </c>
      <c r="K241" s="119" t="n">
        <v>9</v>
      </c>
      <c r="L241" s="119" t="n">
        <v>0</v>
      </c>
      <c r="M241" s="120"/>
      <c r="N241" s="119" t="n">
        <v>0</v>
      </c>
      <c r="O241" s="119" t="n">
        <v>0</v>
      </c>
      <c r="P241" s="119" t="n">
        <v>18</v>
      </c>
      <c r="Q241" s="119" t="n">
        <v>0</v>
      </c>
      <c r="R241" s="121"/>
      <c r="S241" s="119" t="n">
        <v>0</v>
      </c>
      <c r="T241" s="119" t="n">
        <v>0</v>
      </c>
      <c r="U241" s="119" t="n">
        <v>0</v>
      </c>
      <c r="V241" s="119" t="n">
        <v>0</v>
      </c>
      <c r="W241" s="121"/>
      <c r="X241" s="119" t="n">
        <v>0</v>
      </c>
      <c r="Y241" s="119" t="n">
        <v>0</v>
      </c>
      <c r="Z241" s="119" t="n">
        <v>0</v>
      </c>
      <c r="AA241" s="119" t="n">
        <v>0</v>
      </c>
      <c r="AB241" s="121"/>
      <c r="AC241" s="119" t="n">
        <v>0</v>
      </c>
      <c r="AD241" s="119" t="n">
        <v>0</v>
      </c>
      <c r="AE241" s="119" t="n">
        <v>0</v>
      </c>
      <c r="AF241" s="121"/>
      <c r="AG241" s="122" t="n">
        <f aca="false">'form A info'!$AK232/1000</f>
        <v>590.524</v>
      </c>
    </row>
    <row r="242" customFormat="false" ht="12.75" hidden="false" customHeight="false" outlineLevel="0" collapsed="false">
      <c r="A242" s="111" t="n">
        <v>4775</v>
      </c>
      <c r="B242" s="111" t="s">
        <v>575</v>
      </c>
      <c r="C242" s="124" t="str">
        <f aca="false">'form A info'!G235</f>
        <v>n</v>
      </c>
      <c r="D242" s="119"/>
      <c r="E242" s="119"/>
      <c r="F242" s="119" t="n">
        <v>110</v>
      </c>
      <c r="G242" s="119" t="n">
        <v>4</v>
      </c>
      <c r="H242" s="120"/>
      <c r="I242" s="119"/>
      <c r="J242" s="119"/>
      <c r="K242" s="119" t="n">
        <v>3</v>
      </c>
      <c r="L242" s="119" t="n">
        <v>1</v>
      </c>
      <c r="M242" s="120"/>
      <c r="N242" s="119" t="n">
        <v>0</v>
      </c>
      <c r="O242" s="119" t="n">
        <v>61</v>
      </c>
      <c r="P242" s="119" t="n">
        <v>6</v>
      </c>
      <c r="Q242" s="119"/>
      <c r="R242" s="121"/>
      <c r="S242" s="119"/>
      <c r="T242" s="119"/>
      <c r="U242" s="119"/>
      <c r="V242" s="119"/>
      <c r="W242" s="121"/>
      <c r="X242" s="119"/>
      <c r="Y242" s="119"/>
      <c r="Z242" s="119"/>
      <c r="AA242" s="119"/>
      <c r="AB242" s="121"/>
      <c r="AC242" s="119"/>
      <c r="AD242" s="119"/>
      <c r="AE242" s="119" t="n">
        <v>8607</v>
      </c>
      <c r="AF242" s="121"/>
      <c r="AG242" s="122" t="n">
        <f aca="false">'form A info'!$AK235/1000</f>
        <v>13.887</v>
      </c>
    </row>
    <row r="243" customFormat="false" ht="12.75" hidden="false" customHeight="false" outlineLevel="0" collapsed="false">
      <c r="A243" s="111" t="n">
        <v>4316</v>
      </c>
      <c r="B243" s="111" t="s">
        <v>576</v>
      </c>
      <c r="C243" s="124" t="str">
        <f aca="false">'form A info'!G236</f>
        <v>n</v>
      </c>
      <c r="D243" s="119" t="n">
        <v>0</v>
      </c>
      <c r="E243" s="119" t="n">
        <v>0</v>
      </c>
      <c r="F243" s="119" t="n">
        <v>24</v>
      </c>
      <c r="G243" s="119" t="n">
        <v>0</v>
      </c>
      <c r="H243" s="120"/>
      <c r="I243" s="119" t="n">
        <v>0</v>
      </c>
      <c r="J243" s="119" t="n">
        <v>0</v>
      </c>
      <c r="K243" s="119" t="n">
        <v>0</v>
      </c>
      <c r="L243" s="119" t="n">
        <v>1</v>
      </c>
      <c r="M243" s="120"/>
      <c r="N243" s="119" t="n">
        <v>0</v>
      </c>
      <c r="O243" s="119" t="n">
        <v>8</v>
      </c>
      <c r="P243" s="119" t="n">
        <v>0</v>
      </c>
      <c r="Q243" s="119" t="n">
        <v>0</v>
      </c>
      <c r="R243" s="121"/>
      <c r="S243" s="119" t="n">
        <v>0</v>
      </c>
      <c r="T243" s="119" t="n">
        <v>0</v>
      </c>
      <c r="U243" s="119" t="n">
        <v>0</v>
      </c>
      <c r="V243" s="119" t="n">
        <v>0</v>
      </c>
      <c r="W243" s="121"/>
      <c r="X243" s="119" t="n">
        <v>0</v>
      </c>
      <c r="Y243" s="119" t="n">
        <v>0</v>
      </c>
      <c r="Z243" s="119" t="n">
        <v>0</v>
      </c>
      <c r="AA243" s="119" t="n">
        <v>0</v>
      </c>
      <c r="AB243" s="121"/>
      <c r="AC243" s="119" t="n">
        <v>0</v>
      </c>
      <c r="AD243" s="119" t="n">
        <v>0</v>
      </c>
      <c r="AE243" s="119" t="n">
        <v>0</v>
      </c>
      <c r="AF243" s="121"/>
      <c r="AG243" s="122" t="n">
        <f aca="false">'form A info'!$AK236/1000</f>
        <v>0</v>
      </c>
    </row>
    <row r="244" customFormat="false" ht="12.75" hidden="false" customHeight="false" outlineLevel="0" collapsed="false">
      <c r="A244" s="111" t="n">
        <v>9270</v>
      </c>
      <c r="B244" s="111" t="s">
        <v>578</v>
      </c>
      <c r="C244" s="124" t="str">
        <f aca="false">'form A info'!G237</f>
        <v>n</v>
      </c>
      <c r="D244" s="119" t="n">
        <v>4</v>
      </c>
      <c r="E244" s="119" t="n">
        <v>314</v>
      </c>
      <c r="F244" s="119" t="n">
        <v>240</v>
      </c>
      <c r="G244" s="119" t="n">
        <v>66</v>
      </c>
      <c r="H244" s="120"/>
      <c r="I244" s="119" t="n">
        <v>0</v>
      </c>
      <c r="J244" s="119" t="n">
        <v>0</v>
      </c>
      <c r="K244" s="119" t="n">
        <v>2</v>
      </c>
      <c r="L244" s="119" t="n">
        <v>0</v>
      </c>
      <c r="M244" s="120"/>
      <c r="N244" s="119" t="n">
        <v>0</v>
      </c>
      <c r="O244" s="119" t="n">
        <v>0</v>
      </c>
      <c r="P244" s="119" t="n">
        <v>23</v>
      </c>
      <c r="Q244" s="119" t="n">
        <v>0</v>
      </c>
      <c r="R244" s="121"/>
      <c r="S244" s="119" t="n">
        <v>21</v>
      </c>
      <c r="T244" s="119" t="n">
        <v>0</v>
      </c>
      <c r="U244" s="119" t="n">
        <v>0</v>
      </c>
      <c r="V244" s="119" t="n">
        <v>0</v>
      </c>
      <c r="W244" s="121"/>
      <c r="X244" s="119" t="n">
        <v>0</v>
      </c>
      <c r="Y244" s="119" t="n">
        <v>0</v>
      </c>
      <c r="Z244" s="119" t="n">
        <v>0</v>
      </c>
      <c r="AA244" s="119" t="n">
        <v>0</v>
      </c>
      <c r="AB244" s="121"/>
      <c r="AC244" s="119" t="n">
        <v>0</v>
      </c>
      <c r="AD244" s="119" t="n">
        <v>0</v>
      </c>
      <c r="AE244" s="119" t="n">
        <v>4735</v>
      </c>
      <c r="AF244" s="121"/>
      <c r="AG244" s="122" t="n">
        <f aca="false">'form A info'!$AK237/1000</f>
        <v>690.32</v>
      </c>
    </row>
    <row r="245" customFormat="false" ht="12.75" hidden="false" customHeight="false" outlineLevel="0" collapsed="false">
      <c r="A245" s="111" t="n">
        <v>9774</v>
      </c>
      <c r="B245" s="111" t="s">
        <v>584</v>
      </c>
      <c r="C245" s="124" t="str">
        <f aca="false">'form A info'!G240</f>
        <v>n</v>
      </c>
      <c r="D245" s="119" t="n">
        <v>0</v>
      </c>
      <c r="E245" s="119" t="n">
        <v>0</v>
      </c>
      <c r="F245" s="119" t="n">
        <v>0</v>
      </c>
      <c r="G245" s="119" t="n">
        <v>0</v>
      </c>
      <c r="H245" s="120"/>
      <c r="I245" s="119" t="n">
        <v>0</v>
      </c>
      <c r="J245" s="119" t="n">
        <v>0</v>
      </c>
      <c r="K245" s="119" t="n">
        <v>0</v>
      </c>
      <c r="L245" s="119" t="n">
        <v>0</v>
      </c>
      <c r="M245" s="120"/>
      <c r="N245" s="119" t="n">
        <v>0</v>
      </c>
      <c r="O245" s="119" t="n">
        <v>0</v>
      </c>
      <c r="P245" s="119" t="n">
        <v>0</v>
      </c>
      <c r="Q245" s="119" t="n">
        <v>0</v>
      </c>
      <c r="R245" s="121"/>
      <c r="S245" s="119" t="n">
        <v>0</v>
      </c>
      <c r="T245" s="119" t="n">
        <v>0</v>
      </c>
      <c r="U245" s="119" t="n">
        <v>0</v>
      </c>
      <c r="V245" s="119" t="n">
        <v>0</v>
      </c>
      <c r="W245" s="121"/>
      <c r="X245" s="119" t="n">
        <v>0</v>
      </c>
      <c r="Y245" s="119" t="n">
        <v>0</v>
      </c>
      <c r="Z245" s="119" t="n">
        <v>0</v>
      </c>
      <c r="AA245" s="119" t="n">
        <v>0</v>
      </c>
      <c r="AB245" s="121"/>
      <c r="AC245" s="119" t="n">
        <v>0</v>
      </c>
      <c r="AD245" s="119" t="n">
        <v>0</v>
      </c>
      <c r="AE245" s="119" t="n">
        <v>0</v>
      </c>
      <c r="AF245" s="121"/>
      <c r="AG245" s="122" t="n">
        <f aca="false">'form A info'!$AK240/1000</f>
        <v>0</v>
      </c>
    </row>
    <row r="246" customFormat="false" ht="12.75" hidden="false" customHeight="false" outlineLevel="0" collapsed="false">
      <c r="A246" s="111" t="n">
        <v>519</v>
      </c>
      <c r="B246" s="111" t="s">
        <v>591</v>
      </c>
      <c r="C246" s="124" t="str">
        <f aca="false">'form A info'!G244</f>
        <v>n</v>
      </c>
      <c r="D246" s="119" t="n">
        <v>0</v>
      </c>
      <c r="E246" s="119" t="n">
        <v>0</v>
      </c>
      <c r="F246" s="119" t="n">
        <v>46</v>
      </c>
      <c r="G246" s="119" t="n">
        <v>0</v>
      </c>
      <c r="H246" s="120"/>
      <c r="I246" s="119" t="n">
        <v>0</v>
      </c>
      <c r="J246" s="119" t="n">
        <v>0</v>
      </c>
      <c r="K246" s="119" t="n">
        <v>0</v>
      </c>
      <c r="L246" s="119" t="n">
        <v>0</v>
      </c>
      <c r="M246" s="120"/>
      <c r="N246" s="119" t="n">
        <v>0</v>
      </c>
      <c r="O246" s="119" t="n">
        <v>29</v>
      </c>
      <c r="P246" s="119" t="n">
        <v>16</v>
      </c>
      <c r="Q246" s="119" t="n">
        <v>0</v>
      </c>
      <c r="R246" s="121"/>
      <c r="S246" s="119" t="n">
        <v>0</v>
      </c>
      <c r="T246" s="119" t="n">
        <v>0</v>
      </c>
      <c r="U246" s="119" t="n">
        <v>0</v>
      </c>
      <c r="V246" s="119" t="n">
        <v>0</v>
      </c>
      <c r="W246" s="121"/>
      <c r="X246" s="119" t="n">
        <v>0</v>
      </c>
      <c r="Y246" s="119" t="n">
        <v>0</v>
      </c>
      <c r="Z246" s="119" t="n">
        <v>0</v>
      </c>
      <c r="AA246" s="119" t="n">
        <v>0</v>
      </c>
      <c r="AB246" s="121"/>
      <c r="AC246" s="119" t="n">
        <v>0</v>
      </c>
      <c r="AD246" s="119" t="n">
        <v>0</v>
      </c>
      <c r="AE246" s="119" t="n">
        <v>0</v>
      </c>
      <c r="AF246" s="121"/>
      <c r="AG246" s="122" t="n">
        <f aca="false">'form A info'!$AK244/1000</f>
        <v>0</v>
      </c>
    </row>
    <row r="247" customFormat="false" ht="12.75" hidden="false" customHeight="false" outlineLevel="0" collapsed="false">
      <c r="A247" s="111" t="n">
        <v>9805</v>
      </c>
      <c r="B247" s="111" t="s">
        <v>593</v>
      </c>
      <c r="C247" s="124" t="str">
        <f aca="false">'form A info'!G245</f>
        <v>n</v>
      </c>
      <c r="D247" s="119" t="n">
        <v>0</v>
      </c>
      <c r="E247" s="119" t="n">
        <v>0</v>
      </c>
      <c r="F247" s="119" t="n">
        <v>252</v>
      </c>
      <c r="G247" s="119" t="n">
        <v>0</v>
      </c>
      <c r="H247" s="120"/>
      <c r="I247" s="119" t="n">
        <v>0</v>
      </c>
      <c r="J247" s="119" t="n">
        <v>0</v>
      </c>
      <c r="K247" s="119" t="n">
        <v>11</v>
      </c>
      <c r="L247" s="119" t="n">
        <v>0</v>
      </c>
      <c r="M247" s="120"/>
      <c r="N247" s="119" t="n">
        <v>0</v>
      </c>
      <c r="O247" s="119" t="n">
        <v>0</v>
      </c>
      <c r="P247" s="119" t="n">
        <v>152</v>
      </c>
      <c r="Q247" s="119" t="n">
        <v>0</v>
      </c>
      <c r="R247" s="121"/>
      <c r="S247" s="119" t="n">
        <v>0</v>
      </c>
      <c r="T247" s="119" t="n">
        <v>0</v>
      </c>
      <c r="U247" s="119" t="n">
        <v>0</v>
      </c>
      <c r="V247" s="119" t="n">
        <v>0</v>
      </c>
      <c r="W247" s="121"/>
      <c r="X247" s="119" t="n">
        <v>0</v>
      </c>
      <c r="Y247" s="119" t="n">
        <v>0</v>
      </c>
      <c r="Z247" s="119" t="n">
        <v>0</v>
      </c>
      <c r="AA247" s="119" t="n">
        <v>0</v>
      </c>
      <c r="AB247" s="121"/>
      <c r="AC247" s="119" t="n">
        <v>5000</v>
      </c>
      <c r="AD247" s="119" t="n">
        <v>0</v>
      </c>
      <c r="AE247" s="119" t="n">
        <v>0</v>
      </c>
      <c r="AF247" s="121"/>
      <c r="AG247" s="122" t="n">
        <f aca="false">'form A info'!$AK245/1000</f>
        <v>995.494</v>
      </c>
    </row>
    <row r="248" customFormat="false" ht="12.75" hidden="false" customHeight="false" outlineLevel="0" collapsed="false">
      <c r="B248" s="123" t="s">
        <v>683</v>
      </c>
      <c r="C248" s="124" t="str">
        <f aca="false">'form A info'!G246</f>
        <v>n</v>
      </c>
      <c r="D248" s="119"/>
      <c r="E248" s="119"/>
      <c r="F248" s="119"/>
      <c r="G248" s="119"/>
      <c r="H248" s="120"/>
      <c r="I248" s="119"/>
      <c r="J248" s="119"/>
      <c r="K248" s="119"/>
      <c r="L248" s="119"/>
      <c r="M248" s="120"/>
      <c r="N248" s="119"/>
      <c r="O248" s="119"/>
      <c r="P248" s="119"/>
      <c r="Q248" s="119"/>
      <c r="R248" s="121"/>
      <c r="S248" s="119"/>
      <c r="T248" s="119"/>
      <c r="U248" s="119"/>
      <c r="V248" s="119"/>
      <c r="W248" s="121"/>
      <c r="X248" s="119"/>
      <c r="Y248" s="119"/>
      <c r="Z248" s="119"/>
      <c r="AA248" s="119"/>
      <c r="AB248" s="121"/>
      <c r="AC248" s="119"/>
      <c r="AD248" s="119"/>
      <c r="AE248" s="119"/>
      <c r="AF248" s="121"/>
      <c r="AG248" s="122" t="n">
        <f aca="false">'form A info'!$AK246/1000</f>
        <v>0</v>
      </c>
    </row>
    <row r="249" customFormat="false" ht="12.75" hidden="false" customHeight="false" outlineLevel="0" collapsed="false">
      <c r="A249" s="111" t="n">
        <v>4514</v>
      </c>
      <c r="B249" s="111" t="s">
        <v>597</v>
      </c>
      <c r="C249" s="124" t="str">
        <f aca="false">'form A info'!G247</f>
        <v>n</v>
      </c>
      <c r="D249" s="119" t="n">
        <v>0</v>
      </c>
      <c r="E249" s="119" t="n">
        <v>0</v>
      </c>
      <c r="F249" s="119" t="n">
        <v>8</v>
      </c>
      <c r="G249" s="119" t="n">
        <v>0</v>
      </c>
      <c r="H249" s="120"/>
      <c r="I249" s="119" t="n">
        <v>0</v>
      </c>
      <c r="J249" s="119" t="n">
        <v>0</v>
      </c>
      <c r="K249" s="119" t="n">
        <v>0</v>
      </c>
      <c r="L249" s="119" t="n">
        <v>0</v>
      </c>
      <c r="M249" s="120"/>
      <c r="N249" s="119" t="n">
        <v>0</v>
      </c>
      <c r="O249" s="119" t="n">
        <v>0</v>
      </c>
      <c r="P249" s="119" t="n">
        <v>0</v>
      </c>
      <c r="Q249" s="119" t="n">
        <v>0</v>
      </c>
      <c r="R249" s="121"/>
      <c r="S249" s="119" t="n">
        <v>0</v>
      </c>
      <c r="T249" s="119" t="n">
        <v>0</v>
      </c>
      <c r="U249" s="119" t="n">
        <v>0</v>
      </c>
      <c r="V249" s="119" t="n">
        <v>0</v>
      </c>
      <c r="W249" s="121"/>
      <c r="X249" s="119" t="n">
        <v>0</v>
      </c>
      <c r="Y249" s="119" t="n">
        <v>0</v>
      </c>
      <c r="Z249" s="119" t="n">
        <v>0</v>
      </c>
      <c r="AA249" s="119" t="n">
        <v>0</v>
      </c>
      <c r="AB249" s="121"/>
      <c r="AC249" s="119" t="n">
        <v>0</v>
      </c>
      <c r="AD249" s="119" t="n">
        <v>0</v>
      </c>
      <c r="AE249" s="119" t="n">
        <v>0</v>
      </c>
      <c r="AF249" s="121"/>
      <c r="AG249" s="122" t="n">
        <f aca="false">'form A info'!$AK247/1000</f>
        <v>7.792</v>
      </c>
    </row>
    <row r="250" customFormat="false" ht="12.75" hidden="false" customHeight="false" outlineLevel="0" collapsed="false">
      <c r="A250" s="111" t="n">
        <v>4534</v>
      </c>
      <c r="B250" s="111" t="s">
        <v>608</v>
      </c>
      <c r="C250" s="124" t="str">
        <f aca="false">'form A info'!G252</f>
        <v>n</v>
      </c>
      <c r="D250" s="119" t="n">
        <v>0</v>
      </c>
      <c r="E250" s="119" t="n">
        <v>0</v>
      </c>
      <c r="F250" s="119" t="n">
        <v>13</v>
      </c>
      <c r="G250" s="119" t="n">
        <v>7</v>
      </c>
      <c r="H250" s="120"/>
      <c r="I250" s="119" t="n">
        <v>0</v>
      </c>
      <c r="J250" s="119" t="n">
        <v>0</v>
      </c>
      <c r="K250" s="119" t="n">
        <v>0</v>
      </c>
      <c r="L250" s="119" t="n">
        <v>3</v>
      </c>
      <c r="M250" s="120"/>
      <c r="N250" s="119" t="n">
        <v>0</v>
      </c>
      <c r="O250" s="119" t="n">
        <v>0</v>
      </c>
      <c r="P250" s="119" t="n">
        <v>8</v>
      </c>
      <c r="Q250" s="119" t="n">
        <v>3</v>
      </c>
      <c r="R250" s="121"/>
      <c r="S250" s="119" t="n">
        <v>0</v>
      </c>
      <c r="T250" s="119" t="n">
        <v>0</v>
      </c>
      <c r="U250" s="119" t="n">
        <v>0</v>
      </c>
      <c r="V250" s="119" t="n">
        <v>0</v>
      </c>
      <c r="W250" s="121"/>
      <c r="X250" s="119" t="n">
        <v>0</v>
      </c>
      <c r="Y250" s="119" t="n">
        <v>0</v>
      </c>
      <c r="Z250" s="119" t="n">
        <v>0</v>
      </c>
      <c r="AA250" s="119" t="n">
        <v>0</v>
      </c>
      <c r="AB250" s="121"/>
      <c r="AC250" s="119" t="n">
        <v>0</v>
      </c>
      <c r="AD250" s="119" t="n">
        <v>0</v>
      </c>
      <c r="AE250" s="119" t="n">
        <v>0</v>
      </c>
      <c r="AF250" s="121"/>
      <c r="AG250" s="122" t="n">
        <f aca="false">'form A info'!$AK252/1000</f>
        <v>124.144</v>
      </c>
    </row>
    <row r="251" customFormat="false" ht="12.75" hidden="false" customHeight="false" outlineLevel="0" collapsed="false">
      <c r="A251" s="111" t="n">
        <v>4612</v>
      </c>
      <c r="B251" s="111" t="s">
        <v>616</v>
      </c>
      <c r="C251" s="124" t="str">
        <f aca="false">'form A info'!G256</f>
        <v>n</v>
      </c>
      <c r="D251" s="119" t="n">
        <v>0</v>
      </c>
      <c r="E251" s="119" t="n">
        <v>0</v>
      </c>
      <c r="F251" s="119" t="n">
        <v>7</v>
      </c>
      <c r="G251" s="119" t="n">
        <v>7</v>
      </c>
      <c r="H251" s="120"/>
      <c r="I251" s="119" t="n">
        <v>0</v>
      </c>
      <c r="J251" s="119" t="n">
        <v>0</v>
      </c>
      <c r="K251" s="119" t="n">
        <v>0</v>
      </c>
      <c r="L251" s="119" t="n">
        <v>0</v>
      </c>
      <c r="M251" s="120"/>
      <c r="N251" s="119" t="n">
        <v>0</v>
      </c>
      <c r="O251" s="119" t="n">
        <v>5</v>
      </c>
      <c r="P251" s="119" t="n">
        <v>8</v>
      </c>
      <c r="Q251" s="119" t="n">
        <v>0</v>
      </c>
      <c r="R251" s="121"/>
      <c r="S251" s="119" t="n">
        <v>0</v>
      </c>
      <c r="T251" s="119" t="n">
        <v>0</v>
      </c>
      <c r="U251" s="119" t="n">
        <v>0</v>
      </c>
      <c r="V251" s="119" t="n">
        <v>0</v>
      </c>
      <c r="W251" s="121"/>
      <c r="X251" s="119" t="n">
        <v>0</v>
      </c>
      <c r="Y251" s="119" t="n">
        <v>0</v>
      </c>
      <c r="Z251" s="119" t="n">
        <v>0</v>
      </c>
      <c r="AA251" s="119" t="n">
        <v>0</v>
      </c>
      <c r="AB251" s="121"/>
      <c r="AC251" s="119" t="n">
        <v>0</v>
      </c>
      <c r="AD251" s="119" t="n">
        <v>0</v>
      </c>
      <c r="AE251" s="119" t="n">
        <v>0</v>
      </c>
      <c r="AF251" s="121"/>
      <c r="AG251" s="122" t="n">
        <f aca="false">'form A info'!$AK256/1000</f>
        <v>0</v>
      </c>
    </row>
    <row r="252" customFormat="false" ht="12.75" hidden="false" customHeight="false" outlineLevel="0" collapsed="false">
      <c r="C252" s="123" t="s">
        <v>684</v>
      </c>
      <c r="D252" s="126" t="n">
        <f aca="false">SUM(D2:D251)</f>
        <v>23087</v>
      </c>
      <c r="E252" s="126" t="n">
        <f aca="false">SUM(E2:E251)</f>
        <v>52421</v>
      </c>
      <c r="F252" s="126" t="n">
        <f aca="false">SUM(F2:F251)</f>
        <v>31553</v>
      </c>
      <c r="G252" s="126" t="n">
        <f aca="false">SUM(G2:G251)</f>
        <v>2200</v>
      </c>
      <c r="H252" s="120"/>
      <c r="I252" s="126" t="n">
        <f aca="false">SUM(I2:I251)</f>
        <v>848</v>
      </c>
      <c r="J252" s="126" t="n">
        <f aca="false">SUM(J2:J251)</f>
        <v>990</v>
      </c>
      <c r="K252" s="126" t="n">
        <f aca="false">SUM(K2:K251)</f>
        <v>1083</v>
      </c>
      <c r="L252" s="126" t="n">
        <f aca="false">SUM(L2:L251)</f>
        <v>229</v>
      </c>
      <c r="M252" s="120"/>
      <c r="N252" s="126" t="n">
        <f aca="false">SUM(N2:N251)</f>
        <v>2069</v>
      </c>
      <c r="O252" s="126" t="n">
        <f aca="false">SUM(O2:O251)</f>
        <v>3948</v>
      </c>
      <c r="P252" s="126" t="n">
        <f aca="false">SUM(P2:P251)</f>
        <v>6198</v>
      </c>
      <c r="Q252" s="126" t="n">
        <f aca="false">SUM(Q2:Q251)</f>
        <v>445</v>
      </c>
      <c r="R252" s="121"/>
      <c r="S252" s="126" t="n">
        <f aca="false">SUM(S2:S251)</f>
        <v>2240</v>
      </c>
      <c r="T252" s="126" t="n">
        <f aca="false">SUM(T2:T251)</f>
        <v>46</v>
      </c>
      <c r="U252" s="126" t="n">
        <f aca="false">SUM(U2:U251)</f>
        <v>0</v>
      </c>
      <c r="V252" s="126" t="n">
        <f aca="false">SUM(V2:V251)</f>
        <v>0</v>
      </c>
      <c r="W252" s="121"/>
      <c r="X252" s="126" t="n">
        <f aca="false">SUM(X2:X251)</f>
        <v>5298</v>
      </c>
      <c r="Y252" s="126" t="n">
        <f aca="false">SUM(Y2:Y251)</f>
        <v>45</v>
      </c>
      <c r="Z252" s="126" t="n">
        <f aca="false">SUM(Z2:Z251)</f>
        <v>0</v>
      </c>
      <c r="AA252" s="126" t="n">
        <f aca="false">SUM(AA2:AA251)</f>
        <v>0</v>
      </c>
      <c r="AB252" s="121"/>
      <c r="AC252" s="126" t="n">
        <f aca="false">SUM(AC2:AC251)</f>
        <v>1899373</v>
      </c>
      <c r="AD252" s="126" t="n">
        <f aca="false">SUM(AD2:AD251)</f>
        <v>646022</v>
      </c>
      <c r="AE252" s="126" t="n">
        <f aca="false">SUM(AE2:AE251)</f>
        <v>2532513</v>
      </c>
      <c r="AF252" s="121"/>
      <c r="AG252" s="126" t="n">
        <f aca="false">SUM(AG2:AG251)</f>
        <v>67205.30233</v>
      </c>
    </row>
    <row r="253" customFormat="false" ht="12.75" hidden="false" customHeight="false" outlineLevel="0" collapsed="false">
      <c r="C253" s="123" t="s">
        <v>685</v>
      </c>
      <c r="D253" s="122" t="n">
        <f aca="false">SUMIF($C2:$C251,"y",D2:D251)</f>
        <v>15516</v>
      </c>
      <c r="E253" s="122" t="n">
        <f aca="false">SUMIF($C2:$C251,"y",E2:E251)</f>
        <v>31971</v>
      </c>
      <c r="F253" s="122" t="n">
        <f aca="false">SUMIF($C2:$C251,"y",F2:F251)</f>
        <v>19748</v>
      </c>
      <c r="G253" s="122" t="n">
        <f aca="false">SUMIF($C2:$C251,"y",G2:G251)</f>
        <v>1133</v>
      </c>
      <c r="H253" s="120"/>
      <c r="I253" s="122" t="n">
        <f aca="false">SUMIF($C2:$C251,"y",I2:I251)</f>
        <v>534</v>
      </c>
      <c r="J253" s="122" t="n">
        <f aca="false">SUMIF($C2:$C251,"y",J2:J251)</f>
        <v>512</v>
      </c>
      <c r="K253" s="122" t="n">
        <f aca="false">SUMIF($C2:$C251,"y",K2:K251)</f>
        <v>831</v>
      </c>
      <c r="L253" s="122" t="n">
        <f aca="false">SUMIF($C2:$C251,"y",L2:L251)</f>
        <v>175</v>
      </c>
      <c r="M253" s="120"/>
      <c r="N253" s="122" t="n">
        <f aca="false">SUMIF($C2:$C251,"y",N2:N251)</f>
        <v>675</v>
      </c>
      <c r="O253" s="122" t="n">
        <f aca="false">SUMIF($C2:$C251,"y",O2:O251)</f>
        <v>2232</v>
      </c>
      <c r="P253" s="122" t="n">
        <f aca="false">SUMIF($C2:$C251,"y",P2:P251)</f>
        <v>4021</v>
      </c>
      <c r="Q253" s="122" t="n">
        <f aca="false">SUMIF($C2:$C251,"y",Q2:Q251)</f>
        <v>326</v>
      </c>
      <c r="R253" s="121"/>
      <c r="S253" s="122" t="n">
        <f aca="false">SUMIF($C2:$C251,"y",S2:S251)</f>
        <v>1286</v>
      </c>
      <c r="T253" s="122" t="n">
        <f aca="false">SUMIF($C2:$C251,"y",T2:T251)</f>
        <v>24</v>
      </c>
      <c r="U253" s="122" t="n">
        <f aca="false">SUMIF($C2:$C251,"y",U2:U251)</f>
        <v>0</v>
      </c>
      <c r="V253" s="122" t="n">
        <f aca="false">SUMIF($C2:$C251,"y",V2:V251)</f>
        <v>0</v>
      </c>
      <c r="W253" s="121"/>
      <c r="X253" s="122" t="n">
        <f aca="false">SUMIF($C2:$C251,"y",X2:X251)</f>
        <v>3219</v>
      </c>
      <c r="Y253" s="122" t="n">
        <f aca="false">SUMIF($C2:$C251,"y",Y2:Y251)</f>
        <v>19</v>
      </c>
      <c r="Z253" s="122" t="n">
        <f aca="false">SUMIF($C2:$C251,"y",Z2:Z251)</f>
        <v>0</v>
      </c>
      <c r="AA253" s="122" t="n">
        <f aca="false">SUMIF($C2:$C251,"y",AA2:AA251)</f>
        <v>0</v>
      </c>
      <c r="AB253" s="121"/>
      <c r="AC253" s="122" t="n">
        <f aca="false">SUMIF($C2:$C251,"y",AC2:AC251)</f>
        <v>1514484</v>
      </c>
      <c r="AD253" s="122" t="n">
        <f aca="false">SUMIF($C2:$C251,"y",AD2:AD251)</f>
        <v>166376</v>
      </c>
      <c r="AE253" s="122" t="n">
        <f aca="false">SUMIF($C2:$C251,"y",AE2:AE251)</f>
        <v>2212994</v>
      </c>
      <c r="AF253" s="121"/>
      <c r="AG253" s="122" t="n">
        <f aca="false">SUMIF($C2:$C251,"y",AG2:AG251)</f>
        <v>45787.07656</v>
      </c>
    </row>
    <row r="254" customFormat="false" ht="13.5" hidden="false" customHeight="false" outlineLevel="0" collapsed="false">
      <c r="B254" s="1"/>
      <c r="C254" s="127"/>
      <c r="D254" s="119"/>
      <c r="E254" s="119"/>
      <c r="F254" s="128" t="s">
        <v>686</v>
      </c>
      <c r="G254" s="129" t="n">
        <f aca="false">SUM(D252:G252)</f>
        <v>109261</v>
      </c>
      <c r="H254" s="120"/>
      <c r="I254" s="119"/>
      <c r="J254" s="119"/>
      <c r="K254" s="128" t="s">
        <v>686</v>
      </c>
      <c r="L254" s="129" t="n">
        <f aca="false">SUM(I252:L252)</f>
        <v>3150</v>
      </c>
      <c r="M254" s="120"/>
      <c r="N254" s="119"/>
      <c r="O254" s="119"/>
      <c r="P254" s="128" t="s">
        <v>686</v>
      </c>
      <c r="Q254" s="129" t="n">
        <f aca="false">SUM(N252:Q252)</f>
        <v>12660</v>
      </c>
      <c r="R254" s="121"/>
      <c r="S254" s="119"/>
      <c r="T254" s="119"/>
      <c r="U254" s="128" t="s">
        <v>686</v>
      </c>
      <c r="V254" s="129" t="n">
        <f aca="false">SUM(S252:V252)-T252</f>
        <v>2240</v>
      </c>
      <c r="W254" s="121"/>
      <c r="X254" s="119"/>
      <c r="Y254" s="119"/>
      <c r="Z254" s="128" t="s">
        <v>686</v>
      </c>
      <c r="AA254" s="129" t="n">
        <f aca="false">SUM(X252:AA252)-Y252</f>
        <v>5298</v>
      </c>
      <c r="AB254" s="121"/>
      <c r="AC254" s="119"/>
      <c r="AD254" s="128" t="s">
        <v>686</v>
      </c>
      <c r="AE254" s="129" t="n">
        <f aca="false">SUM(AB252:AE252)/1000</f>
        <v>5077.908</v>
      </c>
      <c r="AF254" s="121"/>
      <c r="AG254" s="129" t="n">
        <f aca="false">AG252</f>
        <v>67205.30233</v>
      </c>
    </row>
    <row r="255" customFormat="false" ht="14.25" hidden="false" customHeight="false" outlineLevel="0" collapsed="false">
      <c r="D255" s="119"/>
      <c r="E255" s="119"/>
      <c r="F255" s="128" t="s">
        <v>641</v>
      </c>
      <c r="G255" s="119" t="n">
        <f aca="false">SUM(D253:G253)</f>
        <v>68368</v>
      </c>
      <c r="H255" s="120"/>
      <c r="I255" s="119"/>
      <c r="J255" s="119"/>
      <c r="K255" s="128" t="s">
        <v>641</v>
      </c>
      <c r="L255" s="119" t="n">
        <f aca="false">SUM(I253:L253)</f>
        <v>2052</v>
      </c>
      <c r="M255" s="120"/>
      <c r="N255" s="119"/>
      <c r="O255" s="119"/>
      <c r="P255" s="128" t="s">
        <v>641</v>
      </c>
      <c r="Q255" s="129" t="n">
        <f aca="false">SUM(N253:Q253)</f>
        <v>7254</v>
      </c>
      <c r="R255" s="121"/>
      <c r="S255" s="119"/>
      <c r="T255" s="119"/>
      <c r="U255" s="128" t="s">
        <v>641</v>
      </c>
      <c r="V255" s="129" t="n">
        <f aca="false">SUM(S253:V253)-T253</f>
        <v>1286</v>
      </c>
      <c r="W255" s="121"/>
      <c r="X255" s="119"/>
      <c r="Y255" s="119"/>
      <c r="Z255" s="128" t="s">
        <v>641</v>
      </c>
      <c r="AA255" s="129" t="n">
        <f aca="false">SUM(X253:AA253)-Y253</f>
        <v>3219</v>
      </c>
      <c r="AB255" s="121"/>
      <c r="AC255" s="119"/>
      <c r="AD255" s="128" t="s">
        <v>641</v>
      </c>
      <c r="AE255" s="129" t="n">
        <f aca="false">SUM(AB253:AE253)/1000</f>
        <v>3893.854</v>
      </c>
      <c r="AF255" s="121"/>
      <c r="AG255" s="129" t="n">
        <f aca="false">AG253</f>
        <v>45787.07656</v>
      </c>
    </row>
    <row r="256" customFormat="false" ht="13.5" hidden="false" customHeight="false" outlineLevel="0" collapsed="false">
      <c r="D256" s="119"/>
      <c r="E256" s="119"/>
      <c r="F256" s="119"/>
      <c r="G256" s="119"/>
      <c r="H256" s="120"/>
      <c r="I256" s="119"/>
      <c r="J256" s="119"/>
      <c r="K256" s="119"/>
      <c r="L256" s="119"/>
      <c r="M256" s="120"/>
      <c r="N256" s="119"/>
      <c r="O256" s="119"/>
      <c r="P256" s="119"/>
      <c r="Q256" s="119"/>
      <c r="R256" s="121"/>
      <c r="S256" s="119"/>
      <c r="T256" s="119"/>
      <c r="U256" s="119"/>
      <c r="V256" s="119"/>
      <c r="W256" s="121"/>
      <c r="X256" s="119"/>
      <c r="Y256" s="119"/>
      <c r="Z256" s="119"/>
      <c r="AA256" s="119"/>
      <c r="AB256" s="121"/>
      <c r="AC256" s="119"/>
      <c r="AD256" s="119"/>
      <c r="AE256" s="119"/>
      <c r="AF256" s="121"/>
      <c r="AG256" s="119"/>
    </row>
    <row r="257" customFormat="false" ht="12.75" hidden="false" customHeight="false" outlineLevel="0" collapsed="false">
      <c r="D257" s="119"/>
      <c r="E257" s="119"/>
      <c r="F257" s="119"/>
      <c r="G257" s="119"/>
      <c r="H257" s="120"/>
      <c r="I257" s="119"/>
      <c r="J257" s="119"/>
      <c r="K257" s="119"/>
      <c r="L257" s="119"/>
      <c r="M257" s="120"/>
      <c r="N257" s="119"/>
      <c r="O257" s="119"/>
      <c r="P257" s="119"/>
      <c r="Q257" s="119"/>
      <c r="R257" s="121"/>
      <c r="S257" s="119"/>
      <c r="T257" s="119"/>
      <c r="U257" s="119"/>
      <c r="V257" s="119"/>
      <c r="W257" s="121"/>
      <c r="X257" s="119"/>
      <c r="Y257" s="119"/>
      <c r="Z257" s="119"/>
      <c r="AA257" s="119"/>
      <c r="AB257" s="121"/>
      <c r="AC257" s="119"/>
      <c r="AD257" s="119"/>
      <c r="AE257" s="119"/>
      <c r="AF257" s="121"/>
      <c r="AG257" s="119"/>
    </row>
    <row r="258" customFormat="false" ht="12.75" hidden="false" customHeight="false" outlineLevel="0" collapsed="false">
      <c r="D258" s="119"/>
      <c r="E258" s="119"/>
      <c r="F258" s="119"/>
      <c r="G258" s="119"/>
      <c r="H258" s="120"/>
      <c r="I258" s="119"/>
      <c r="J258" s="119"/>
      <c r="K258" s="119"/>
      <c r="L258" s="119"/>
      <c r="M258" s="120"/>
      <c r="N258" s="119"/>
      <c r="O258" s="119"/>
      <c r="P258" s="119"/>
      <c r="Q258" s="119"/>
      <c r="R258" s="121"/>
      <c r="S258" s="119"/>
      <c r="T258" s="119"/>
      <c r="U258" s="119"/>
      <c r="V258" s="119"/>
      <c r="W258" s="121"/>
      <c r="X258" s="119"/>
      <c r="Y258" s="119"/>
      <c r="Z258" s="119"/>
      <c r="AA258" s="119"/>
      <c r="AB258" s="121"/>
      <c r="AC258" s="119"/>
      <c r="AD258" s="119"/>
      <c r="AE258" s="119"/>
      <c r="AF258" s="121"/>
      <c r="AG258" s="119"/>
    </row>
  </sheetData>
  <printOptions headings="false" gridLines="false" gridLinesSet="true" horizontalCentered="false" verticalCentered="false"/>
  <pageMargins left="0.25" right="0.259722222222222" top="0.984027777777778" bottom="0.984027777777778" header="0.5" footer="0.5"/>
  <pageSetup paperSize="1" scale="5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C39"/>
  <sheetViews>
    <sheetView showFormulas="false" showGridLines="true" showRowColHeaders="true" showZeros="true" rightToLeft="false" tabSelected="false" showOutlineSymbols="true" defaultGridColor="true" view="normal" topLeftCell="A22" colorId="64" zoomScale="100" zoomScaleNormal="100" zoomScalePageLayoutView="100" workbookViewId="0">
      <selection pane="topLeft" activeCell="C41" activeCellId="0" sqref="C41"/>
    </sheetView>
  </sheetViews>
  <sheetFormatPr defaultColWidth="7.9921875" defaultRowHeight="12.75" customHeight="true" zeroHeight="false" outlineLevelRow="0" outlineLevelCol="0"/>
  <cols>
    <col collapsed="false" customWidth="false" hidden="false" outlineLevel="0" max="1" min="1" style="1" width="7.99"/>
    <col collapsed="false" customWidth="true" hidden="false" outlineLevel="0" max="2" min="2" style="1" width="32.14"/>
    <col collapsed="false" customWidth="true" hidden="false" outlineLevel="0" max="3" min="3" style="1" width="17.42"/>
    <col collapsed="false" customWidth="false" hidden="false" outlineLevel="0" max="257" min="4" style="1" width="7.99"/>
  </cols>
  <sheetData>
    <row r="1" customFormat="false" ht="18.75" hidden="false" customHeight="false" outlineLevel="0" collapsed="false">
      <c r="B1" s="372" t="s">
        <v>1166</v>
      </c>
    </row>
    <row r="3" customFormat="false" ht="15.75" hidden="false" customHeight="false" outlineLevel="0" collapsed="false">
      <c r="B3" s="647" t="s">
        <v>895</v>
      </c>
    </row>
    <row r="5" customFormat="false" ht="12.75" hidden="false" customHeight="false" outlineLevel="0" collapsed="false">
      <c r="B5" s="277" t="s">
        <v>1167</v>
      </c>
      <c r="C5" s="1" t="str">
        <f aca="false">IF('general info'!B46="y","Wholly-Owned Only","All Facilities")</f>
        <v>Wholly-Owned Only</v>
      </c>
    </row>
    <row r="6" customFormat="false" ht="12.75" hidden="false" customHeight="false" outlineLevel="0" collapsed="false">
      <c r="B6" s="1" t="s">
        <v>1168</v>
      </c>
      <c r="C6" s="1" t="str">
        <f aca="false">IF('wholesale services'!C6="y"," All FM"," Energy-related FM only")</f>
        <v> Energy-related FM only</v>
      </c>
    </row>
    <row r="7" customFormat="false" ht="12.75" hidden="false" customHeight="false" outlineLevel="0" collapsed="false">
      <c r="B7" s="1" t="s">
        <v>1169</v>
      </c>
      <c r="C7" s="63" t="n">
        <f aca="false">'wholesale services'!F62</f>
        <v>58672380.356</v>
      </c>
    </row>
    <row r="8" customFormat="false" ht="12.75" hidden="false" customHeight="false" outlineLevel="0" collapsed="false">
      <c r="B8" s="1" t="s">
        <v>950</v>
      </c>
      <c r="C8" s="475" t="n">
        <f aca="false">'wholesale services'!C9</f>
        <v>0.04</v>
      </c>
    </row>
    <row r="9" customFormat="false" ht="12.75" hidden="false" customHeight="false" outlineLevel="0" collapsed="false">
      <c r="B9" s="1" t="s">
        <v>1170</v>
      </c>
      <c r="C9" s="475" t="n">
        <f aca="false">'wholesale services'!D104</f>
        <v>0.0115</v>
      </c>
    </row>
    <row r="10" customFormat="false" ht="12.75" hidden="false" customHeight="false" outlineLevel="0" collapsed="false">
      <c r="B10" s="401" t="s">
        <v>1171</v>
      </c>
      <c r="C10" s="475" t="n">
        <f aca="false">'wholesale services'!C8</f>
        <v>0.055</v>
      </c>
    </row>
    <row r="11" customFormat="false" ht="12.75" hidden="false" customHeight="false" outlineLevel="0" collapsed="false">
      <c r="B11" s="401"/>
      <c r="C11" s="63"/>
    </row>
    <row r="12" customFormat="false" ht="12.75" hidden="false" customHeight="false" outlineLevel="0" collapsed="false">
      <c r="B12" s="277" t="s">
        <v>1172</v>
      </c>
      <c r="C12" s="63" t="n">
        <f aca="false">'wholesale services'!C72</f>
        <v>33178880</v>
      </c>
    </row>
    <row r="13" customFormat="false" ht="12.75" hidden="false" customHeight="false" outlineLevel="0" collapsed="false">
      <c r="B13" s="1" t="s">
        <v>958</v>
      </c>
      <c r="C13" s="648" t="n">
        <f aca="false">'wholesale services'!C73</f>
        <v>3.86515849723436</v>
      </c>
    </row>
    <row r="15" customFormat="false" ht="12.75" hidden="false" customHeight="false" outlineLevel="0" collapsed="false">
      <c r="B15" s="1" t="s">
        <v>1173</v>
      </c>
      <c r="C15" s="649" t="n">
        <f aca="false">'wholesale services'!C28</f>
        <v>0.015</v>
      </c>
    </row>
    <row r="16" customFormat="false" ht="12.75" hidden="false" customHeight="false" outlineLevel="0" collapsed="false">
      <c r="C16" s="649"/>
    </row>
    <row r="17" customFormat="false" ht="12.75" hidden="false" customHeight="false" outlineLevel="0" collapsed="false">
      <c r="B17" s="1" t="s">
        <v>1174</v>
      </c>
      <c r="C17" s="1" t="str">
        <f aca="false">'wholesale services'!C10</f>
        <v>mid</v>
      </c>
    </row>
    <row r="18" customFormat="false" ht="12.75" hidden="false" customHeight="false" outlineLevel="0" collapsed="false">
      <c r="B18" s="277" t="s">
        <v>1175</v>
      </c>
      <c r="C18" s="1" t="str">
        <f aca="false">'wholesale services'!C12</f>
        <v>n</v>
      </c>
    </row>
    <row r="19" customFormat="false" ht="12.75" hidden="false" customHeight="false" outlineLevel="0" collapsed="false">
      <c r="B19" s="1" t="s">
        <v>1176</v>
      </c>
      <c r="C19" s="599" t="n">
        <f aca="false">'wholesale services'!C131</f>
        <v>913657.543293821</v>
      </c>
    </row>
    <row r="20" customFormat="false" ht="12.75" hidden="false" customHeight="false" outlineLevel="0" collapsed="false">
      <c r="C20" s="599"/>
    </row>
    <row r="22" customFormat="false" ht="15.75" hidden="false" customHeight="false" outlineLevel="0" collapsed="false">
      <c r="B22" s="647" t="s">
        <v>1177</v>
      </c>
    </row>
    <row r="23" customFormat="false" ht="12.75" hidden="false" customHeight="true" outlineLevel="0" collapsed="false">
      <c r="B23" s="647"/>
    </row>
    <row r="24" customFormat="false" ht="12.75" hidden="false" customHeight="false" outlineLevel="0" collapsed="false">
      <c r="B24" s="1" t="s">
        <v>1178</v>
      </c>
      <c r="C24" s="600" t="str">
        <f aca="false">IF([3]Sensitivities!$C$20="yes","all","wholly owned")</f>
        <v>all</v>
      </c>
    </row>
    <row r="25" customFormat="false" ht="12.75" hidden="false" customHeight="false" outlineLevel="0" collapsed="false">
      <c r="B25" s="1" t="s">
        <v>1179</v>
      </c>
      <c r="C25" s="1" t="str">
        <f aca="false">IF('power redistribution'!C3="y","Pure Participation","Adjusting Guarentee")</f>
        <v>Pure Participation</v>
      </c>
    </row>
    <row r="26" customFormat="false" ht="12.75" hidden="false" customHeight="false" outlineLevel="0" collapsed="false">
      <c r="B26" s="1" t="s">
        <v>1180</v>
      </c>
      <c r="C26" s="63" t="n">
        <f aca="false">'power redistribution'!C25</f>
        <v>0</v>
      </c>
    </row>
    <row r="27" customFormat="false" ht="12.75" hidden="false" customHeight="false" outlineLevel="0" collapsed="false">
      <c r="B27" s="1" t="s">
        <v>1181</v>
      </c>
      <c r="C27" s="514" t="n">
        <f aca="false">'power redistribution'!C37</f>
        <v>0</v>
      </c>
    </row>
    <row r="29" customFormat="false" ht="12.75" hidden="false" customHeight="false" outlineLevel="0" collapsed="false">
      <c r="B29" s="1" t="s">
        <v>1176</v>
      </c>
      <c r="C29" s="599" t="n">
        <f aca="false">'power redistribution'!C78</f>
        <v>10256443.0447698</v>
      </c>
    </row>
    <row r="32" customFormat="false" ht="15.75" hidden="false" customHeight="false" outlineLevel="0" collapsed="false">
      <c r="B32" s="647" t="s">
        <v>1182</v>
      </c>
    </row>
    <row r="34" customFormat="false" ht="12.75" hidden="false" customHeight="false" outlineLevel="0" collapsed="false">
      <c r="B34" s="1" t="s">
        <v>1183</v>
      </c>
      <c r="C34" s="63" t="n">
        <f aca="false">'FM Summary'!B12</f>
        <v>4000000</v>
      </c>
    </row>
    <row r="35" customFormat="false" ht="12.75" hidden="false" customHeight="false" outlineLevel="0" collapsed="false">
      <c r="B35" s="277" t="s">
        <v>1184</v>
      </c>
      <c r="C35" s="475" t="n">
        <f aca="false">'FM Summary'!B15</f>
        <v>0.05</v>
      </c>
    </row>
    <row r="36" customFormat="false" ht="12.75" hidden="false" customHeight="false" outlineLevel="0" collapsed="false">
      <c r="B36" s="277" t="s">
        <v>1185</v>
      </c>
      <c r="C36" s="63" t="n">
        <f aca="false">'FM Summary'!B13</f>
        <v>5000000</v>
      </c>
    </row>
    <row r="37" customFormat="false" ht="12.75" hidden="false" customHeight="false" outlineLevel="0" collapsed="false">
      <c r="B37" s="277" t="s">
        <v>1186</v>
      </c>
      <c r="C37" s="649" t="n">
        <f aca="false">'FM Summary'!B29</f>
        <v>0.01</v>
      </c>
    </row>
    <row r="38" customFormat="false" ht="12.75" hidden="false" customHeight="false" outlineLevel="0" collapsed="false">
      <c r="B38" s="1" t="s">
        <v>43</v>
      </c>
    </row>
    <row r="39" customFormat="false" ht="12.75" hidden="false" customHeight="false" outlineLevel="0" collapsed="false">
      <c r="B39" s="1" t="s">
        <v>1176</v>
      </c>
      <c r="C39" s="599" t="n">
        <f aca="false">'FM Summary'!B102</f>
        <v>318414.276889837</v>
      </c>
    </row>
  </sheetData>
  <printOptions headings="false" gridLines="false" gridLinesSet="true" horizontalCentered="false" verticalCentered="false"/>
  <pageMargins left="0.25" right="0.4" top="0.479861111111111" bottom="0.42986111111111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2"/>
  <sheetViews>
    <sheetView showFormulas="false" showGridLines="true" showRowColHeaders="true" showZeros="true" rightToLeft="false" tabSelected="false" showOutlineSymbols="true" defaultGridColor="true" view="normal" topLeftCell="A81" colorId="64" zoomScale="75" zoomScaleNormal="75" zoomScalePageLayoutView="100" workbookViewId="0">
      <selection pane="topLeft" activeCell="E102" activeCellId="0" sqref="E102"/>
    </sheetView>
  </sheetViews>
  <sheetFormatPr defaultColWidth="10.13671875" defaultRowHeight="12.75" customHeight="true" zeroHeight="false" outlineLevelRow="0" outlineLevelCol="0"/>
  <cols>
    <col collapsed="false" customWidth="true" hidden="false" outlineLevel="0" max="1" min="1" style="650" width="41.28"/>
    <col collapsed="false" customWidth="true" hidden="false" outlineLevel="0" max="2" min="2" style="476" width="18.28"/>
    <col collapsed="false" customWidth="true" hidden="false" outlineLevel="0" max="11" min="3" style="476" width="16.99"/>
    <col collapsed="false" customWidth="true" hidden="false" outlineLevel="0" max="12" min="12" style="650" width="12.7"/>
    <col collapsed="false" customWidth="false" hidden="false" outlineLevel="0" max="257" min="13" style="650" width="10.13"/>
  </cols>
  <sheetData>
    <row r="1" customFormat="false" ht="20.25" hidden="false" customHeight="false" outlineLevel="0" collapsed="false">
      <c r="A1" s="651" t="s">
        <v>1187</v>
      </c>
      <c r="B1" s="651"/>
    </row>
    <row r="2" customFormat="false" ht="20.25" hidden="false" customHeight="false" outlineLevel="0" collapsed="false">
      <c r="A2" s="651"/>
      <c r="B2" s="651"/>
    </row>
    <row r="3" customFormat="false" ht="18.75" hidden="false" customHeight="false" outlineLevel="0" collapsed="false">
      <c r="A3" s="652" t="s">
        <v>1188</v>
      </c>
      <c r="B3" s="648"/>
    </row>
    <row r="4" customFormat="false" ht="18.75" hidden="false" customHeight="false" outlineLevel="0" collapsed="false">
      <c r="A4" s="652"/>
      <c r="B4" s="648"/>
    </row>
    <row r="5" customFormat="false" ht="15.75" hidden="false" customHeight="false" outlineLevel="0" collapsed="false">
      <c r="A5" s="653" t="s">
        <v>1189</v>
      </c>
      <c r="B5" s="0"/>
    </row>
    <row r="6" customFormat="false" ht="12.75" hidden="false" customHeight="false" outlineLevel="0" collapsed="false">
      <c r="A6" s="654" t="s">
        <v>1190</v>
      </c>
      <c r="B6" s="655" t="n">
        <v>0.25</v>
      </c>
    </row>
    <row r="7" customFormat="false" ht="12.75" hidden="false" customHeight="false" outlineLevel="0" collapsed="false">
      <c r="A7" s="654" t="s">
        <v>1191</v>
      </c>
      <c r="B7" s="392" t="n">
        <v>0.075</v>
      </c>
    </row>
    <row r="8" customFormat="false" ht="12.75" hidden="false" customHeight="false" outlineLevel="0" collapsed="false">
      <c r="A8" s="654" t="s">
        <v>1192</v>
      </c>
      <c r="B8" s="461" t="n">
        <v>22500000</v>
      </c>
    </row>
    <row r="9" customFormat="false" ht="12.75" hidden="false" customHeight="false" outlineLevel="0" collapsed="false">
      <c r="A9" s="654" t="s">
        <v>1193</v>
      </c>
      <c r="B9" s="461" t="n">
        <v>700000</v>
      </c>
    </row>
    <row r="10" customFormat="false" ht="12.75" hidden="false" customHeight="false" outlineLevel="0" collapsed="false">
      <c r="A10" s="654"/>
      <c r="B10" s="655"/>
    </row>
    <row r="11" customFormat="false" ht="15.75" hidden="false" customHeight="false" outlineLevel="0" collapsed="false">
      <c r="A11" s="653" t="s">
        <v>1194</v>
      </c>
      <c r="B11" s="655"/>
    </row>
    <row r="12" customFormat="false" ht="12.75" hidden="false" customHeight="false" outlineLevel="0" collapsed="false">
      <c r="A12" s="654" t="s">
        <v>1195</v>
      </c>
      <c r="B12" s="461" t="n">
        <v>4000000</v>
      </c>
    </row>
    <row r="13" customFormat="false" ht="12.75" hidden="false" customHeight="false" outlineLevel="0" collapsed="false">
      <c r="A13" s="654" t="s">
        <v>1196</v>
      </c>
      <c r="B13" s="461" t="n">
        <v>5000000</v>
      </c>
    </row>
    <row r="14" customFormat="false" ht="12.75" hidden="false" customHeight="false" outlineLevel="0" collapsed="false">
      <c r="A14" s="654" t="s">
        <v>1197</v>
      </c>
      <c r="B14" s="656" t="n">
        <v>3</v>
      </c>
    </row>
    <row r="15" customFormat="false" ht="12.75" hidden="false" customHeight="false" outlineLevel="0" collapsed="false">
      <c r="A15" s="654" t="s">
        <v>1198</v>
      </c>
      <c r="B15" s="276" t="n">
        <v>0.05</v>
      </c>
    </row>
    <row r="16" customFormat="false" ht="12.75" hidden="false" customHeight="false" outlineLevel="0" collapsed="false">
      <c r="A16" s="654" t="s">
        <v>1199</v>
      </c>
      <c r="B16" s="276" t="n">
        <v>0.09</v>
      </c>
    </row>
    <row r="17" customFormat="false" ht="12.75" hidden="false" customHeight="false" outlineLevel="0" collapsed="false">
      <c r="A17" s="654"/>
      <c r="B17" s="276"/>
    </row>
    <row r="18" customFormat="false" ht="12.75" hidden="false" customHeight="false" outlineLevel="0" collapsed="false">
      <c r="A18" s="654"/>
      <c r="B18" s="276"/>
    </row>
    <row r="19" customFormat="false" ht="12.75" hidden="false" customHeight="false" outlineLevel="0" collapsed="false">
      <c r="A19" s="654" t="s">
        <v>1200</v>
      </c>
      <c r="B19" s="461" t="n">
        <v>120000000</v>
      </c>
      <c r="C19" s="476" t="s">
        <v>1201</v>
      </c>
    </row>
    <row r="20" customFormat="false" ht="12.75" hidden="false" customHeight="false" outlineLevel="0" collapsed="false">
      <c r="A20" s="654"/>
      <c r="B20" s="461"/>
      <c r="L20" s="476"/>
    </row>
    <row r="21" customFormat="false" ht="12.75" hidden="false" customHeight="false" outlineLevel="0" collapsed="false">
      <c r="A21" s="654"/>
      <c r="B21" s="657" t="n">
        <v>1</v>
      </c>
      <c r="C21" s="657" t="n">
        <v>2</v>
      </c>
      <c r="D21" s="658" t="n">
        <v>3</v>
      </c>
      <c r="E21" s="658" t="n">
        <v>4</v>
      </c>
      <c r="F21" s="658" t="n">
        <v>5</v>
      </c>
      <c r="G21" s="658" t="n">
        <v>6</v>
      </c>
      <c r="H21" s="658" t="n">
        <v>7</v>
      </c>
      <c r="I21" s="658" t="n">
        <v>8</v>
      </c>
      <c r="J21" s="658" t="n">
        <v>9</v>
      </c>
      <c r="K21" s="658" t="n">
        <v>10</v>
      </c>
    </row>
    <row r="22" customFormat="false" ht="12.75" hidden="false" customHeight="false" outlineLevel="0" collapsed="false">
      <c r="A22" s="654" t="s">
        <v>1202</v>
      </c>
      <c r="B22" s="659" t="n">
        <v>0.075</v>
      </c>
      <c r="C22" s="659" t="n">
        <f aca="false">B22-0.0025</f>
        <v>0.0725</v>
      </c>
      <c r="D22" s="659" t="n">
        <f aca="false">C22-0.0025</f>
        <v>0.07</v>
      </c>
      <c r="E22" s="659" t="n">
        <f aca="false">D22-0.0025</f>
        <v>0.0675</v>
      </c>
      <c r="F22" s="659" t="n">
        <f aca="false">E22-0.0025</f>
        <v>0.065</v>
      </c>
      <c r="G22" s="659" t="n">
        <f aca="false">F22-0.0025</f>
        <v>0.0625</v>
      </c>
      <c r="H22" s="659" t="n">
        <f aca="false">G22-0.0025</f>
        <v>0.06</v>
      </c>
      <c r="I22" s="659" t="n">
        <f aca="false">H22-0.0025</f>
        <v>0.0575</v>
      </c>
      <c r="J22" s="659" t="n">
        <f aca="false">I22-0.0025</f>
        <v>0.055</v>
      </c>
      <c r="K22" s="659" t="n">
        <f aca="false">J22-0.0025</f>
        <v>0.0525</v>
      </c>
    </row>
    <row r="23" customFormat="false" ht="12.75" hidden="false" customHeight="false" outlineLevel="0" collapsed="false">
      <c r="A23" s="654"/>
      <c r="B23" s="461"/>
    </row>
    <row r="24" customFormat="false" ht="12.75" hidden="false" customHeight="false" outlineLevel="0" collapsed="false">
      <c r="A24" s="654"/>
      <c r="B24" s="461"/>
    </row>
    <row r="25" customFormat="false" ht="18.75" hidden="false" customHeight="false" outlineLevel="0" collapsed="false">
      <c r="A25" s="660" t="s">
        <v>1203</v>
      </c>
      <c r="B25" s="650"/>
    </row>
    <row r="26" customFormat="false" ht="18.75" hidden="false" customHeight="false" outlineLevel="0" collapsed="false">
      <c r="A26" s="660"/>
      <c r="B26" s="650"/>
    </row>
    <row r="27" customFormat="false" ht="15.75" hidden="false" customHeight="false" outlineLevel="0" collapsed="false">
      <c r="A27" s="661" t="s">
        <v>1204</v>
      </c>
      <c r="B27" s="650"/>
    </row>
    <row r="28" customFormat="false" ht="15" hidden="false" customHeight="true" outlineLevel="0" collapsed="false">
      <c r="A28" s="650" t="s">
        <v>1205</v>
      </c>
      <c r="B28" s="662" t="n">
        <f aca="false">B16</f>
        <v>0.09</v>
      </c>
    </row>
    <row r="29" customFormat="false" ht="15" hidden="false" customHeight="true" outlineLevel="0" collapsed="false">
      <c r="A29" s="650" t="s">
        <v>1206</v>
      </c>
      <c r="B29" s="276" t="n">
        <v>0.01</v>
      </c>
      <c r="C29" s="476" t="s">
        <v>1207</v>
      </c>
    </row>
    <row r="30" customFormat="false" ht="15" hidden="false" customHeight="true" outlineLevel="0" collapsed="false">
      <c r="A30" s="660"/>
      <c r="B30" s="650"/>
    </row>
    <row r="31" customFormat="false" ht="15" hidden="false" customHeight="true" outlineLevel="0" collapsed="false">
      <c r="A31" s="660"/>
      <c r="B31" s="650"/>
    </row>
    <row r="32" customFormat="false" ht="12.75" hidden="false" customHeight="false" outlineLevel="0" collapsed="false">
      <c r="B32" s="608" t="n">
        <v>1</v>
      </c>
      <c r="C32" s="608" t="n">
        <v>2</v>
      </c>
      <c r="D32" s="608" t="n">
        <v>3</v>
      </c>
      <c r="E32" s="608" t="n">
        <v>4</v>
      </c>
      <c r="F32" s="608" t="n">
        <v>5</v>
      </c>
      <c r="G32" s="608" t="n">
        <v>6</v>
      </c>
      <c r="H32" s="608" t="n">
        <v>7</v>
      </c>
      <c r="I32" s="608" t="n">
        <v>8</v>
      </c>
      <c r="J32" s="608" t="n">
        <v>9</v>
      </c>
      <c r="K32" s="608" t="n">
        <v>10</v>
      </c>
    </row>
    <row r="33" customFormat="false" ht="12.75" hidden="false" customHeight="false" outlineLevel="0" collapsed="false">
      <c r="A33" s="650" t="s">
        <v>1208</v>
      </c>
      <c r="B33" s="461" t="n">
        <v>100000000</v>
      </c>
      <c r="C33" s="461" t="n">
        <f aca="false">B33+75000000</f>
        <v>175000000</v>
      </c>
      <c r="D33" s="461" t="n">
        <f aca="false">C33+75000000</f>
        <v>250000000</v>
      </c>
      <c r="E33" s="461" t="n">
        <f aca="false">D33+75000000</f>
        <v>325000000</v>
      </c>
      <c r="F33" s="461" t="n">
        <f aca="false">E33+75000000</f>
        <v>400000000</v>
      </c>
      <c r="G33" s="461" t="n">
        <f aca="false">F33+75000000</f>
        <v>475000000</v>
      </c>
      <c r="H33" s="461" t="n">
        <f aca="false">G33+75000000</f>
        <v>550000000</v>
      </c>
      <c r="I33" s="461" t="n">
        <f aca="false">H33+75000000</f>
        <v>625000000</v>
      </c>
      <c r="J33" s="461" t="n">
        <f aca="false">I33+75000000</f>
        <v>700000000</v>
      </c>
      <c r="K33" s="461" t="n">
        <f aca="false">J33+75000000</f>
        <v>775000000</v>
      </c>
    </row>
    <row r="34" customFormat="false" ht="12.75" hidden="false" customHeight="false" outlineLevel="0" collapsed="false">
      <c r="A34" s="650" t="s">
        <v>1209</v>
      </c>
      <c r="B34" s="391" t="n">
        <v>0.2</v>
      </c>
      <c r="C34" s="391" t="n">
        <v>0.2</v>
      </c>
      <c r="D34" s="391" t="n">
        <v>0.2</v>
      </c>
      <c r="E34" s="391" t="n">
        <v>0.2</v>
      </c>
      <c r="F34" s="391" t="n">
        <v>0.2</v>
      </c>
      <c r="G34" s="391" t="n">
        <v>0.2</v>
      </c>
      <c r="H34" s="391" t="n">
        <v>0.2</v>
      </c>
      <c r="I34" s="391" t="n">
        <v>0.2</v>
      </c>
      <c r="J34" s="391" t="n">
        <v>0.2</v>
      </c>
      <c r="K34" s="391" t="n">
        <v>0.2</v>
      </c>
    </row>
    <row r="35" customFormat="false" ht="12.75" hidden="false" customHeight="false" outlineLevel="0" collapsed="false">
      <c r="A35" s="650" t="s">
        <v>1210</v>
      </c>
      <c r="B35" s="476" t="n">
        <f aca="false">B33*B34</f>
        <v>20000000</v>
      </c>
      <c r="C35" s="476" t="n">
        <f aca="false">C33*C34</f>
        <v>35000000</v>
      </c>
      <c r="D35" s="476" t="n">
        <f aca="false">D33*D34</f>
        <v>50000000</v>
      </c>
      <c r="E35" s="476" t="n">
        <f aca="false">E33*E34</f>
        <v>65000000</v>
      </c>
      <c r="F35" s="476" t="n">
        <f aca="false">F33*F34</f>
        <v>80000000</v>
      </c>
      <c r="G35" s="476" t="n">
        <f aca="false">G33*G34</f>
        <v>95000000</v>
      </c>
      <c r="H35" s="476" t="n">
        <f aca="false">H33*H34</f>
        <v>110000000</v>
      </c>
      <c r="I35" s="476" t="n">
        <f aca="false">I33*I34</f>
        <v>125000000</v>
      </c>
      <c r="J35" s="476" t="n">
        <f aca="false">J33*J34</f>
        <v>140000000</v>
      </c>
      <c r="K35" s="476" t="n">
        <f aca="false">K33*K34</f>
        <v>155000000</v>
      </c>
    </row>
    <row r="36" customFormat="false" ht="12.75" hidden="false" customHeight="false" outlineLevel="0" collapsed="false">
      <c r="A36" s="663"/>
      <c r="B36" s="664"/>
      <c r="C36" s="664"/>
      <c r="D36" s="664"/>
      <c r="E36" s="664"/>
      <c r="F36" s="664"/>
      <c r="G36" s="664"/>
      <c r="H36" s="664"/>
      <c r="I36" s="664"/>
      <c r="J36" s="664"/>
      <c r="K36" s="664"/>
    </row>
    <row r="37" customFormat="false" ht="20.25" hidden="false" customHeight="false" outlineLevel="0" collapsed="false">
      <c r="A37" s="665" t="s">
        <v>1211</v>
      </c>
      <c r="B37" s="666"/>
      <c r="C37" s="666"/>
      <c r="D37" s="666"/>
      <c r="E37" s="666"/>
      <c r="F37" s="666"/>
      <c r="G37" s="666"/>
      <c r="H37" s="666"/>
      <c r="I37" s="666"/>
      <c r="J37" s="666"/>
      <c r="K37" s="666"/>
    </row>
    <row r="38" customFormat="false" ht="12.75" hidden="false" customHeight="false" outlineLevel="0" collapsed="false">
      <c r="A38" s="103"/>
      <c r="B38" s="608" t="n">
        <v>1</v>
      </c>
      <c r="C38" s="608" t="n">
        <v>2</v>
      </c>
      <c r="D38" s="608" t="n">
        <v>3</v>
      </c>
      <c r="E38" s="608" t="n">
        <v>4</v>
      </c>
      <c r="F38" s="608" t="n">
        <v>5</v>
      </c>
      <c r="G38" s="608" t="n">
        <v>6</v>
      </c>
      <c r="H38" s="608" t="n">
        <v>7</v>
      </c>
      <c r="I38" s="608" t="n">
        <v>8</v>
      </c>
      <c r="J38" s="608" t="n">
        <v>9</v>
      </c>
      <c r="K38" s="608" t="n">
        <v>10</v>
      </c>
      <c r="L38" s="103"/>
      <c r="M38" s="103"/>
      <c r="N38" s="103"/>
      <c r="O38" s="103"/>
      <c r="P38" s="103"/>
      <c r="Q38" s="103"/>
      <c r="R38" s="103"/>
      <c r="S38" s="103"/>
      <c r="T38" s="103"/>
      <c r="U38" s="103"/>
      <c r="V38" s="103"/>
      <c r="W38" s="103"/>
      <c r="X38" s="103"/>
      <c r="Y38" s="103"/>
      <c r="Z38" s="103"/>
      <c r="AA38" s="103"/>
      <c r="AB38" s="103"/>
      <c r="AC38" s="103"/>
      <c r="AD38" s="103"/>
      <c r="AE38" s="103"/>
      <c r="AF38" s="103"/>
      <c r="AG38" s="103"/>
      <c r="AH38" s="103"/>
      <c r="AI38" s="103"/>
      <c r="AJ38" s="103"/>
      <c r="AK38" s="103"/>
      <c r="AL38" s="103"/>
      <c r="AM38" s="103"/>
      <c r="AN38" s="103"/>
      <c r="AO38" s="103"/>
      <c r="AP38" s="103"/>
      <c r="AQ38" s="103"/>
      <c r="AR38" s="103"/>
      <c r="AS38" s="103"/>
      <c r="AT38" s="103"/>
      <c r="AU38" s="103"/>
      <c r="AV38" s="103"/>
      <c r="AW38" s="103"/>
      <c r="AX38" s="103"/>
      <c r="AY38" s="103"/>
      <c r="AZ38" s="103"/>
      <c r="BA38" s="103"/>
      <c r="BB38" s="103"/>
      <c r="BC38" s="103"/>
      <c r="BD38" s="103"/>
      <c r="BE38" s="103"/>
      <c r="BF38" s="103"/>
      <c r="BG38" s="103"/>
      <c r="BH38" s="103"/>
      <c r="BI38" s="103"/>
      <c r="BJ38" s="103"/>
      <c r="BK38" s="103"/>
      <c r="BL38" s="103"/>
      <c r="BM38" s="103"/>
      <c r="BN38" s="103"/>
      <c r="BO38" s="103"/>
      <c r="BP38" s="103"/>
      <c r="BQ38" s="103"/>
      <c r="BR38" s="103"/>
      <c r="BS38" s="103"/>
      <c r="BT38" s="103"/>
      <c r="BU38" s="103"/>
      <c r="BV38" s="103"/>
      <c r="BW38" s="103"/>
      <c r="BX38" s="103"/>
      <c r="BY38" s="103"/>
      <c r="BZ38" s="103"/>
      <c r="CA38" s="103"/>
      <c r="CB38" s="103"/>
      <c r="CC38" s="103"/>
      <c r="CD38" s="103"/>
      <c r="CE38" s="103"/>
      <c r="CF38" s="103"/>
      <c r="CG38" s="103"/>
      <c r="CH38" s="103"/>
      <c r="CI38" s="103"/>
      <c r="CJ38" s="103"/>
      <c r="CK38" s="103"/>
      <c r="CL38" s="103"/>
      <c r="CM38" s="103"/>
      <c r="CN38" s="103"/>
      <c r="CO38" s="103"/>
      <c r="CP38" s="103"/>
      <c r="CQ38" s="103"/>
      <c r="CR38" s="103"/>
      <c r="CS38" s="103"/>
      <c r="CT38" s="103"/>
      <c r="CU38" s="103"/>
      <c r="CV38" s="103"/>
      <c r="CW38" s="103"/>
      <c r="CX38" s="103"/>
      <c r="CY38" s="103"/>
      <c r="CZ38" s="103"/>
      <c r="DA38" s="103"/>
      <c r="DB38" s="103"/>
      <c r="DC38" s="103"/>
      <c r="DD38" s="103"/>
      <c r="DE38" s="103"/>
      <c r="DF38" s="103"/>
      <c r="DG38" s="103"/>
      <c r="DH38" s="103"/>
      <c r="DI38" s="103"/>
      <c r="DJ38" s="103"/>
      <c r="DK38" s="103"/>
      <c r="DL38" s="103"/>
      <c r="DM38" s="103"/>
      <c r="DN38" s="103"/>
      <c r="DO38" s="103"/>
      <c r="DP38" s="103"/>
      <c r="DQ38" s="103"/>
      <c r="DR38" s="103"/>
      <c r="DS38" s="103"/>
      <c r="DT38" s="103"/>
      <c r="DU38" s="103"/>
      <c r="DV38" s="103"/>
      <c r="DW38" s="103"/>
      <c r="DX38" s="103"/>
      <c r="DY38" s="103"/>
      <c r="DZ38" s="103"/>
      <c r="EA38" s="103"/>
      <c r="EB38" s="103"/>
      <c r="EC38" s="103"/>
      <c r="ED38" s="103"/>
      <c r="EE38" s="103"/>
      <c r="EF38" s="103"/>
      <c r="EG38" s="103"/>
      <c r="EH38" s="103"/>
      <c r="EI38" s="103"/>
      <c r="EJ38" s="103"/>
      <c r="EK38" s="103"/>
      <c r="EL38" s="103"/>
      <c r="EM38" s="103"/>
      <c r="EN38" s="103"/>
      <c r="EO38" s="103"/>
      <c r="EP38" s="103"/>
      <c r="EQ38" s="103"/>
      <c r="ER38" s="103"/>
      <c r="ES38" s="103"/>
      <c r="ET38" s="103"/>
      <c r="EU38" s="103"/>
      <c r="EV38" s="103"/>
      <c r="EW38" s="103"/>
      <c r="EX38" s="103"/>
      <c r="EY38" s="103"/>
      <c r="EZ38" s="103"/>
      <c r="FA38" s="103"/>
      <c r="FB38" s="103"/>
      <c r="FC38" s="103"/>
      <c r="FD38" s="103"/>
      <c r="FE38" s="103"/>
      <c r="FF38" s="103"/>
      <c r="FG38" s="103"/>
      <c r="FH38" s="103"/>
      <c r="FI38" s="103"/>
      <c r="FJ38" s="103"/>
      <c r="FK38" s="103"/>
      <c r="FL38" s="103"/>
      <c r="FM38" s="103"/>
      <c r="FN38" s="103"/>
      <c r="FO38" s="103"/>
      <c r="FP38" s="103"/>
      <c r="FQ38" s="103"/>
      <c r="FR38" s="103"/>
      <c r="FS38" s="103"/>
      <c r="FT38" s="103"/>
      <c r="FU38" s="103"/>
      <c r="FV38" s="103"/>
      <c r="FW38" s="103"/>
      <c r="FX38" s="103"/>
      <c r="FY38" s="103"/>
      <c r="FZ38" s="103"/>
      <c r="GA38" s="103"/>
      <c r="GB38" s="103"/>
      <c r="GC38" s="103"/>
      <c r="GD38" s="103"/>
      <c r="GE38" s="103"/>
      <c r="GF38" s="103"/>
      <c r="GG38" s="103"/>
      <c r="GH38" s="103"/>
      <c r="GI38" s="103"/>
      <c r="GJ38" s="103"/>
      <c r="GK38" s="103"/>
      <c r="GL38" s="103"/>
      <c r="GM38" s="103"/>
      <c r="GN38" s="103"/>
      <c r="GO38" s="103"/>
      <c r="GP38" s="103"/>
      <c r="GQ38" s="103"/>
      <c r="GR38" s="103"/>
      <c r="GS38" s="103"/>
      <c r="GT38" s="103"/>
      <c r="GU38" s="103"/>
      <c r="GV38" s="103"/>
      <c r="GW38" s="103"/>
      <c r="GX38" s="103"/>
      <c r="GY38" s="103"/>
      <c r="GZ38" s="103"/>
      <c r="HA38" s="103"/>
      <c r="HB38" s="103"/>
      <c r="HC38" s="103"/>
      <c r="HD38" s="103"/>
      <c r="HE38" s="103"/>
      <c r="HF38" s="103"/>
      <c r="HG38" s="103"/>
      <c r="HH38" s="103"/>
      <c r="HI38" s="103"/>
      <c r="HJ38" s="103"/>
      <c r="HK38" s="103"/>
      <c r="HL38" s="103"/>
      <c r="HM38" s="103"/>
      <c r="HN38" s="103"/>
      <c r="HO38" s="103"/>
      <c r="HP38" s="103"/>
      <c r="HQ38" s="103"/>
      <c r="HR38" s="103"/>
      <c r="HS38" s="103"/>
      <c r="HT38" s="103"/>
      <c r="HU38" s="103"/>
      <c r="HV38" s="103"/>
      <c r="HW38" s="103"/>
      <c r="HX38" s="103"/>
      <c r="HY38" s="103"/>
      <c r="HZ38" s="103"/>
      <c r="IA38" s="103"/>
      <c r="IB38" s="103"/>
      <c r="IC38" s="103"/>
      <c r="ID38" s="103"/>
      <c r="IE38" s="103"/>
      <c r="IF38" s="103"/>
      <c r="IG38" s="103"/>
      <c r="IH38" s="103"/>
      <c r="II38" s="103"/>
      <c r="IJ38" s="103"/>
      <c r="IK38" s="103"/>
      <c r="IL38" s="103"/>
      <c r="IM38" s="103"/>
      <c r="IN38" s="103"/>
      <c r="IO38" s="103"/>
      <c r="IP38" s="103"/>
      <c r="IQ38" s="103"/>
      <c r="IR38" s="103"/>
      <c r="IS38" s="103"/>
      <c r="IT38" s="103"/>
      <c r="IU38" s="103"/>
      <c r="IV38" s="103"/>
      <c r="IW38" s="103"/>
    </row>
    <row r="40" customFormat="false" ht="18.75" hidden="false" customHeight="false" outlineLevel="0" collapsed="false">
      <c r="A40" s="660" t="s">
        <v>1212</v>
      </c>
    </row>
    <row r="41" customFormat="false" ht="12.75" hidden="false" customHeight="false" outlineLevel="0" collapsed="false">
      <c r="A41" s="667" t="s">
        <v>1213</v>
      </c>
      <c r="B41" s="476" t="n">
        <f aca="false">B8*(1+B42)</f>
        <v>29250000</v>
      </c>
      <c r="C41" s="476" t="n">
        <f aca="false">B41*(1+C42)</f>
        <v>38025000</v>
      </c>
      <c r="D41" s="476" t="n">
        <f aca="false">C41*(1+D42)</f>
        <v>45630000</v>
      </c>
      <c r="E41" s="476" t="n">
        <f aca="false">D41*(1+E42)</f>
        <v>50193000</v>
      </c>
      <c r="F41" s="476" t="n">
        <f aca="false">E41*(1+F42)</f>
        <v>55212300</v>
      </c>
      <c r="G41" s="476" t="n">
        <f aca="false">F41*(1+G42)</f>
        <v>60733530</v>
      </c>
      <c r="H41" s="476" t="n">
        <f aca="false">G41*(1+H42)</f>
        <v>66806883</v>
      </c>
      <c r="I41" s="476" t="n">
        <f aca="false">H41*(1+I42)</f>
        <v>73487571.3</v>
      </c>
      <c r="J41" s="476" t="n">
        <f aca="false">I41*(1+J42)</f>
        <v>80836328.4300001</v>
      </c>
      <c r="K41" s="476" t="n">
        <f aca="false">J41*(1+K42)</f>
        <v>88919961.2730001</v>
      </c>
      <c r="L41" s="476"/>
      <c r="M41" s="476"/>
      <c r="N41" s="476"/>
      <c r="O41" s="476"/>
      <c r="P41" s="476"/>
      <c r="Q41" s="476"/>
      <c r="R41" s="476"/>
      <c r="S41" s="476"/>
      <c r="T41" s="476"/>
      <c r="U41" s="476"/>
      <c r="V41" s="476"/>
      <c r="W41" s="476"/>
      <c r="X41" s="476"/>
      <c r="Y41" s="476"/>
      <c r="Z41" s="476"/>
      <c r="AA41" s="476"/>
      <c r="AB41" s="476"/>
      <c r="AC41" s="476"/>
      <c r="AD41" s="476"/>
      <c r="AE41" s="476"/>
      <c r="AF41" s="476"/>
      <c r="AG41" s="476"/>
      <c r="AH41" s="476"/>
      <c r="AI41" s="476"/>
      <c r="AJ41" s="476"/>
      <c r="AK41" s="476"/>
      <c r="AL41" s="476"/>
      <c r="AM41" s="476"/>
      <c r="AN41" s="476"/>
      <c r="AO41" s="476"/>
      <c r="AP41" s="476"/>
      <c r="AQ41" s="476"/>
      <c r="AR41" s="476"/>
      <c r="AS41" s="476"/>
      <c r="AT41" s="476"/>
      <c r="AU41" s="476"/>
      <c r="AV41" s="476"/>
      <c r="AW41" s="476"/>
      <c r="AX41" s="476"/>
      <c r="AY41" s="476"/>
      <c r="AZ41" s="476"/>
      <c r="BA41" s="476"/>
      <c r="BB41" s="476"/>
      <c r="BC41" s="476"/>
      <c r="BD41" s="476"/>
      <c r="BE41" s="476"/>
      <c r="BF41" s="476"/>
      <c r="BG41" s="476"/>
      <c r="BH41" s="476"/>
      <c r="BI41" s="476"/>
      <c r="BJ41" s="476"/>
      <c r="BK41" s="476"/>
      <c r="BL41" s="476"/>
      <c r="BM41" s="476"/>
      <c r="BN41" s="476"/>
      <c r="BO41" s="476"/>
      <c r="BP41" s="476"/>
      <c r="BQ41" s="476"/>
      <c r="BR41" s="476"/>
      <c r="BS41" s="476"/>
      <c r="BT41" s="476"/>
      <c r="BU41" s="476"/>
      <c r="BV41" s="476"/>
      <c r="BW41" s="476"/>
      <c r="BX41" s="476"/>
      <c r="BY41" s="476"/>
      <c r="BZ41" s="476"/>
      <c r="CA41" s="476"/>
      <c r="CB41" s="476"/>
      <c r="CC41" s="476"/>
      <c r="CD41" s="476"/>
      <c r="CE41" s="476"/>
      <c r="CF41" s="476"/>
      <c r="CG41" s="476"/>
      <c r="CH41" s="476"/>
      <c r="CI41" s="476"/>
      <c r="CJ41" s="476"/>
      <c r="CK41" s="476"/>
      <c r="CL41" s="476"/>
      <c r="CM41" s="476"/>
      <c r="CN41" s="476"/>
      <c r="CO41" s="476"/>
      <c r="CP41" s="476"/>
      <c r="CQ41" s="476"/>
      <c r="CR41" s="476"/>
      <c r="CS41" s="476"/>
      <c r="CT41" s="476"/>
      <c r="CU41" s="476"/>
      <c r="CV41" s="476"/>
      <c r="CW41" s="476"/>
      <c r="CX41" s="476"/>
      <c r="CY41" s="476"/>
      <c r="CZ41" s="476"/>
      <c r="DA41" s="476"/>
      <c r="DB41" s="476"/>
      <c r="DC41" s="476"/>
      <c r="DD41" s="476"/>
      <c r="DE41" s="476"/>
      <c r="DF41" s="476"/>
      <c r="DG41" s="476"/>
      <c r="DH41" s="476"/>
      <c r="DI41" s="476"/>
      <c r="DJ41" s="476"/>
      <c r="DK41" s="476"/>
      <c r="DL41" s="476"/>
      <c r="DM41" s="476"/>
      <c r="DN41" s="476"/>
      <c r="DO41" s="476"/>
      <c r="DP41" s="476"/>
      <c r="DQ41" s="476"/>
      <c r="DR41" s="476"/>
      <c r="DS41" s="476"/>
      <c r="DT41" s="476"/>
      <c r="DU41" s="476"/>
      <c r="DV41" s="476"/>
      <c r="DW41" s="476"/>
      <c r="DX41" s="476"/>
      <c r="DY41" s="476"/>
      <c r="DZ41" s="476"/>
      <c r="EA41" s="476"/>
      <c r="EB41" s="476"/>
      <c r="EC41" s="476"/>
      <c r="ED41" s="476"/>
      <c r="EE41" s="476"/>
      <c r="EF41" s="476"/>
      <c r="EG41" s="476"/>
      <c r="EH41" s="476"/>
      <c r="EI41" s="476"/>
      <c r="EJ41" s="476"/>
      <c r="EK41" s="476"/>
      <c r="EL41" s="476"/>
      <c r="EM41" s="476"/>
      <c r="EN41" s="476"/>
      <c r="EO41" s="476"/>
      <c r="EP41" s="476"/>
      <c r="EQ41" s="476"/>
      <c r="ER41" s="476"/>
      <c r="ES41" s="476"/>
      <c r="ET41" s="476"/>
      <c r="EU41" s="476"/>
      <c r="EV41" s="476"/>
      <c r="EW41" s="476"/>
      <c r="EX41" s="476"/>
      <c r="EY41" s="476"/>
      <c r="EZ41" s="476"/>
      <c r="FA41" s="476"/>
      <c r="FB41" s="476"/>
      <c r="FC41" s="476"/>
      <c r="FD41" s="476"/>
      <c r="FE41" s="476"/>
      <c r="FF41" s="476"/>
      <c r="FG41" s="476"/>
      <c r="FH41" s="476"/>
      <c r="FI41" s="476"/>
      <c r="FJ41" s="476"/>
      <c r="FK41" s="476"/>
      <c r="FL41" s="476"/>
      <c r="FM41" s="476"/>
      <c r="FN41" s="476"/>
      <c r="FO41" s="476"/>
      <c r="FP41" s="476"/>
      <c r="FQ41" s="476"/>
      <c r="FR41" s="476"/>
      <c r="FS41" s="476"/>
      <c r="FT41" s="476"/>
      <c r="FU41" s="476"/>
      <c r="FV41" s="476"/>
      <c r="FW41" s="476"/>
      <c r="FX41" s="476"/>
      <c r="FY41" s="476"/>
      <c r="FZ41" s="476"/>
      <c r="GA41" s="476"/>
      <c r="GB41" s="476"/>
      <c r="GC41" s="476"/>
      <c r="GD41" s="476"/>
      <c r="GE41" s="476"/>
      <c r="GF41" s="476"/>
      <c r="GG41" s="476"/>
      <c r="GH41" s="476"/>
      <c r="GI41" s="476"/>
      <c r="GJ41" s="476"/>
      <c r="GK41" s="476"/>
      <c r="GL41" s="476"/>
      <c r="GM41" s="476"/>
      <c r="GN41" s="476"/>
      <c r="GO41" s="476"/>
      <c r="GP41" s="476"/>
      <c r="GQ41" s="476"/>
      <c r="GR41" s="476"/>
      <c r="GS41" s="476"/>
      <c r="GT41" s="476"/>
      <c r="GU41" s="476"/>
      <c r="GV41" s="476"/>
      <c r="GW41" s="476"/>
      <c r="GX41" s="476"/>
      <c r="GY41" s="476"/>
      <c r="GZ41" s="476"/>
      <c r="HA41" s="476"/>
      <c r="HB41" s="476"/>
      <c r="HC41" s="476"/>
      <c r="HD41" s="476"/>
      <c r="HE41" s="476"/>
      <c r="HF41" s="476"/>
      <c r="HG41" s="476"/>
      <c r="HH41" s="476"/>
      <c r="HI41" s="476"/>
      <c r="HJ41" s="476"/>
      <c r="HK41" s="476"/>
      <c r="HL41" s="476"/>
      <c r="HM41" s="476"/>
      <c r="HN41" s="476"/>
      <c r="HO41" s="476"/>
      <c r="HP41" s="476"/>
      <c r="HQ41" s="476"/>
      <c r="HR41" s="476"/>
      <c r="HS41" s="476"/>
      <c r="HT41" s="476"/>
      <c r="HU41" s="476"/>
      <c r="HV41" s="476"/>
      <c r="HW41" s="476"/>
      <c r="HX41" s="476"/>
      <c r="HY41" s="476"/>
      <c r="HZ41" s="476"/>
      <c r="IA41" s="476"/>
      <c r="IB41" s="476"/>
      <c r="IC41" s="476"/>
      <c r="ID41" s="476"/>
      <c r="IE41" s="476"/>
      <c r="IF41" s="476"/>
      <c r="IG41" s="476"/>
      <c r="IH41" s="476"/>
      <c r="II41" s="476"/>
      <c r="IJ41" s="476"/>
      <c r="IK41" s="476"/>
      <c r="IL41" s="476"/>
      <c r="IM41" s="476"/>
      <c r="IN41" s="476"/>
      <c r="IO41" s="476"/>
      <c r="IP41" s="476"/>
      <c r="IQ41" s="476"/>
      <c r="IR41" s="476"/>
      <c r="IS41" s="476"/>
      <c r="IT41" s="476"/>
      <c r="IU41" s="476"/>
      <c r="IV41" s="476"/>
      <c r="IW41" s="476"/>
    </row>
    <row r="42" customFormat="false" ht="13.5" hidden="false" customHeight="true" outlineLevel="0" collapsed="false">
      <c r="A42" s="668" t="s">
        <v>1214</v>
      </c>
      <c r="B42" s="391" t="n">
        <v>0.3</v>
      </c>
      <c r="C42" s="391" t="n">
        <v>0.3</v>
      </c>
      <c r="D42" s="391" t="n">
        <v>0.2</v>
      </c>
      <c r="E42" s="391" t="n">
        <v>0.1</v>
      </c>
      <c r="F42" s="391" t="n">
        <v>0.1</v>
      </c>
      <c r="G42" s="391" t="n">
        <v>0.1</v>
      </c>
      <c r="H42" s="391" t="n">
        <v>0.1</v>
      </c>
      <c r="I42" s="391" t="n">
        <v>0.1</v>
      </c>
      <c r="J42" s="391" t="n">
        <v>0.1</v>
      </c>
      <c r="K42" s="391" t="n">
        <v>0.1</v>
      </c>
      <c r="L42" s="102"/>
      <c r="M42" s="102"/>
      <c r="N42" s="102"/>
      <c r="O42" s="102"/>
      <c r="P42" s="102"/>
      <c r="Q42" s="102"/>
      <c r="R42" s="102"/>
      <c r="S42" s="102"/>
      <c r="T42" s="102"/>
      <c r="U42" s="102"/>
      <c r="V42" s="102"/>
      <c r="W42" s="102"/>
      <c r="X42" s="102"/>
      <c r="Y42" s="102"/>
      <c r="Z42" s="102"/>
      <c r="AA42" s="102"/>
      <c r="AB42" s="102"/>
      <c r="AC42" s="102"/>
      <c r="AD42" s="102"/>
      <c r="AE42" s="102"/>
      <c r="AF42" s="102"/>
      <c r="AG42" s="102"/>
      <c r="AH42" s="102"/>
      <c r="AI42" s="102"/>
      <c r="AJ42" s="102"/>
      <c r="AK42" s="102"/>
      <c r="AL42" s="102"/>
      <c r="AM42" s="102"/>
      <c r="AN42" s="102"/>
      <c r="AO42" s="102"/>
      <c r="AP42" s="102"/>
      <c r="AQ42" s="102"/>
      <c r="AR42" s="102"/>
      <c r="AS42" s="102"/>
      <c r="AT42" s="102"/>
      <c r="AU42" s="102"/>
      <c r="AV42" s="102"/>
      <c r="AW42" s="102"/>
      <c r="AX42" s="102"/>
      <c r="AY42" s="102"/>
      <c r="AZ42" s="102"/>
      <c r="BA42" s="102"/>
      <c r="BB42" s="102"/>
      <c r="BC42" s="102"/>
      <c r="BD42" s="102"/>
      <c r="BE42" s="102"/>
      <c r="BF42" s="102"/>
      <c r="BG42" s="102"/>
      <c r="BH42" s="102"/>
      <c r="BI42" s="102"/>
      <c r="BJ42" s="102"/>
      <c r="BK42" s="102"/>
      <c r="BL42" s="102"/>
      <c r="BM42" s="102"/>
      <c r="BN42" s="102"/>
      <c r="BO42" s="102"/>
      <c r="BP42" s="102"/>
      <c r="BQ42" s="102"/>
      <c r="BR42" s="102"/>
      <c r="BS42" s="102"/>
      <c r="BT42" s="102"/>
      <c r="BU42" s="102"/>
      <c r="BV42" s="102"/>
      <c r="BW42" s="102"/>
      <c r="BX42" s="102"/>
      <c r="BY42" s="102"/>
      <c r="BZ42" s="102"/>
      <c r="CA42" s="102"/>
      <c r="CB42" s="102"/>
      <c r="CC42" s="102"/>
      <c r="CD42" s="102"/>
      <c r="CE42" s="102"/>
      <c r="CF42" s="102"/>
      <c r="CG42" s="102"/>
      <c r="CH42" s="102"/>
      <c r="CI42" s="102"/>
      <c r="CJ42" s="102"/>
      <c r="CK42" s="102"/>
      <c r="CL42" s="102"/>
      <c r="CM42" s="102"/>
      <c r="CN42" s="102"/>
      <c r="CO42" s="102"/>
      <c r="CP42" s="102"/>
      <c r="CQ42" s="102"/>
      <c r="CR42" s="102"/>
      <c r="CS42" s="102"/>
      <c r="CT42" s="102"/>
      <c r="CU42" s="102"/>
      <c r="CV42" s="102"/>
      <c r="CW42" s="102"/>
      <c r="CX42" s="102"/>
      <c r="CY42" s="102"/>
      <c r="CZ42" s="102"/>
      <c r="DA42" s="102"/>
      <c r="DB42" s="102"/>
      <c r="DC42" s="102"/>
      <c r="DD42" s="102"/>
      <c r="DE42" s="102"/>
      <c r="DF42" s="102"/>
      <c r="DG42" s="102"/>
      <c r="DH42" s="102"/>
      <c r="DI42" s="102"/>
      <c r="DJ42" s="102"/>
      <c r="DK42" s="102"/>
      <c r="DL42" s="102"/>
      <c r="DM42" s="102"/>
      <c r="DN42" s="102"/>
      <c r="DO42" s="102"/>
      <c r="DP42" s="102"/>
      <c r="DQ42" s="102"/>
      <c r="DR42" s="102"/>
      <c r="DS42" s="102"/>
      <c r="DT42" s="102"/>
      <c r="DU42" s="102"/>
      <c r="DV42" s="102"/>
      <c r="DW42" s="102"/>
      <c r="DX42" s="102"/>
      <c r="DY42" s="102"/>
      <c r="DZ42" s="102"/>
      <c r="EA42" s="102"/>
      <c r="EB42" s="102"/>
      <c r="EC42" s="102"/>
      <c r="ED42" s="102"/>
      <c r="EE42" s="102"/>
      <c r="EF42" s="102"/>
      <c r="EG42" s="102"/>
      <c r="EH42" s="102"/>
      <c r="EI42" s="102"/>
      <c r="EJ42" s="102"/>
      <c r="EK42" s="102"/>
      <c r="EL42" s="102"/>
      <c r="EM42" s="102"/>
      <c r="EN42" s="102"/>
      <c r="EO42" s="102"/>
      <c r="EP42" s="102"/>
      <c r="EQ42" s="102"/>
      <c r="ER42" s="102"/>
      <c r="ES42" s="102"/>
      <c r="ET42" s="102"/>
      <c r="EU42" s="102"/>
      <c r="EV42" s="102"/>
      <c r="EW42" s="102"/>
      <c r="EX42" s="102"/>
      <c r="EY42" s="102"/>
      <c r="EZ42" s="102"/>
      <c r="FA42" s="102"/>
      <c r="FB42" s="102"/>
      <c r="FC42" s="102"/>
      <c r="FD42" s="102"/>
      <c r="FE42" s="102"/>
      <c r="FF42" s="102"/>
      <c r="FG42" s="102"/>
      <c r="FH42" s="102"/>
      <c r="FI42" s="102"/>
      <c r="FJ42" s="102"/>
      <c r="FK42" s="102"/>
      <c r="FL42" s="102"/>
      <c r="FM42" s="102"/>
      <c r="FN42" s="102"/>
      <c r="FO42" s="102"/>
      <c r="FP42" s="102"/>
      <c r="FQ42" s="102"/>
      <c r="FR42" s="102"/>
      <c r="FS42" s="102"/>
      <c r="FT42" s="102"/>
      <c r="FU42" s="102"/>
      <c r="FV42" s="102"/>
      <c r="FW42" s="102"/>
      <c r="FX42" s="102"/>
      <c r="FY42" s="102"/>
      <c r="FZ42" s="102"/>
      <c r="GA42" s="102"/>
      <c r="GB42" s="102"/>
      <c r="GC42" s="102"/>
      <c r="GD42" s="102"/>
      <c r="GE42" s="102"/>
      <c r="GF42" s="102"/>
      <c r="GG42" s="102"/>
      <c r="GH42" s="102"/>
      <c r="GI42" s="102"/>
      <c r="GJ42" s="102"/>
      <c r="GK42" s="102"/>
      <c r="GL42" s="102"/>
      <c r="GM42" s="102"/>
      <c r="GN42" s="102"/>
      <c r="GO42" s="102"/>
      <c r="GP42" s="102"/>
      <c r="GQ42" s="102"/>
      <c r="GR42" s="102"/>
      <c r="GS42" s="102"/>
      <c r="GT42" s="102"/>
      <c r="GU42" s="102"/>
      <c r="GV42" s="102"/>
      <c r="GW42" s="102"/>
      <c r="GX42" s="102"/>
      <c r="GY42" s="102"/>
      <c r="GZ42" s="102"/>
      <c r="HA42" s="102"/>
      <c r="HB42" s="102"/>
      <c r="HC42" s="102"/>
      <c r="HD42" s="102"/>
      <c r="HE42" s="102"/>
      <c r="HF42" s="102"/>
      <c r="HG42" s="102"/>
      <c r="HH42" s="102"/>
      <c r="HI42" s="102"/>
      <c r="HJ42" s="102"/>
      <c r="HK42" s="102"/>
      <c r="HL42" s="102"/>
      <c r="HM42" s="102"/>
      <c r="HN42" s="102"/>
      <c r="HO42" s="102"/>
      <c r="HP42" s="102"/>
      <c r="HQ42" s="102"/>
      <c r="HR42" s="102"/>
      <c r="HS42" s="102"/>
      <c r="HT42" s="102"/>
      <c r="HU42" s="102"/>
      <c r="HV42" s="102"/>
      <c r="HW42" s="102"/>
      <c r="HX42" s="102"/>
      <c r="HY42" s="102"/>
      <c r="HZ42" s="102"/>
      <c r="IA42" s="102"/>
      <c r="IB42" s="102"/>
      <c r="IC42" s="102"/>
      <c r="ID42" s="102"/>
      <c r="IE42" s="102"/>
      <c r="IF42" s="102"/>
      <c r="IG42" s="102"/>
      <c r="IH42" s="102"/>
      <c r="II42" s="102"/>
      <c r="IJ42" s="102"/>
      <c r="IK42" s="102"/>
      <c r="IL42" s="102"/>
      <c r="IM42" s="102"/>
      <c r="IN42" s="102"/>
      <c r="IO42" s="102"/>
      <c r="IP42" s="102"/>
      <c r="IQ42" s="102"/>
      <c r="IR42" s="102"/>
      <c r="IS42" s="102"/>
      <c r="IT42" s="102"/>
      <c r="IU42" s="102"/>
      <c r="IV42" s="102"/>
      <c r="IW42" s="102"/>
    </row>
    <row r="43" customFormat="false" ht="12.75" hidden="false" customHeight="false" outlineLevel="0" collapsed="false">
      <c r="A43" s="667" t="s">
        <v>1215</v>
      </c>
      <c r="B43" s="476" t="n">
        <f aca="false">-B41*(1-B44)</f>
        <v>-21937500</v>
      </c>
      <c r="C43" s="476" t="n">
        <f aca="false">-C41*(1-C44)</f>
        <v>-28518750</v>
      </c>
      <c r="D43" s="476" t="n">
        <f aca="false">-D41*(1-D44)</f>
        <v>-34222500</v>
      </c>
      <c r="E43" s="476" t="n">
        <f aca="false">-E41*(1-E44)</f>
        <v>-37644750</v>
      </c>
      <c r="F43" s="476" t="n">
        <f aca="false">-F41*(1-F44)</f>
        <v>-41409225</v>
      </c>
      <c r="G43" s="476" t="n">
        <f aca="false">-G41*(1-G44)</f>
        <v>-45550147.5</v>
      </c>
      <c r="H43" s="476" t="n">
        <f aca="false">-H41*(1-H44)</f>
        <v>-50105162.25</v>
      </c>
      <c r="I43" s="476" t="n">
        <f aca="false">-I41*(1-I44)</f>
        <v>-55115678.475</v>
      </c>
      <c r="J43" s="476" t="n">
        <f aca="false">-J41*(1-J44)</f>
        <v>-60627246.3225</v>
      </c>
      <c r="K43" s="476" t="n">
        <f aca="false">-K41*(1-K44)</f>
        <v>-66689970.95475</v>
      </c>
      <c r="L43" s="476"/>
      <c r="M43" s="476"/>
      <c r="N43" s="476"/>
      <c r="O43" s="476"/>
      <c r="P43" s="476"/>
      <c r="Q43" s="476"/>
      <c r="R43" s="476"/>
      <c r="S43" s="476"/>
      <c r="T43" s="476"/>
      <c r="U43" s="476"/>
      <c r="V43" s="476"/>
      <c r="W43" s="476"/>
      <c r="X43" s="476"/>
      <c r="Y43" s="476"/>
      <c r="Z43" s="476"/>
      <c r="AA43" s="476"/>
      <c r="AB43" s="476"/>
      <c r="AC43" s="476"/>
      <c r="AD43" s="476"/>
      <c r="AE43" s="476"/>
      <c r="AF43" s="476"/>
      <c r="AG43" s="476"/>
      <c r="AH43" s="476"/>
      <c r="AI43" s="476"/>
      <c r="AJ43" s="476"/>
      <c r="AK43" s="476"/>
      <c r="AL43" s="476"/>
      <c r="AM43" s="476"/>
      <c r="AN43" s="476"/>
      <c r="AO43" s="476"/>
      <c r="AP43" s="476"/>
      <c r="AQ43" s="476"/>
      <c r="AR43" s="476"/>
      <c r="AS43" s="476"/>
      <c r="AT43" s="476"/>
      <c r="AU43" s="476"/>
      <c r="AV43" s="476"/>
      <c r="AW43" s="476"/>
      <c r="AX43" s="476"/>
      <c r="AY43" s="476"/>
      <c r="AZ43" s="476"/>
      <c r="BA43" s="476"/>
      <c r="BB43" s="476"/>
      <c r="BC43" s="476"/>
      <c r="BD43" s="476"/>
      <c r="BE43" s="476"/>
      <c r="BF43" s="476"/>
      <c r="BG43" s="476"/>
      <c r="BH43" s="476"/>
      <c r="BI43" s="476"/>
      <c r="BJ43" s="476"/>
      <c r="BK43" s="476"/>
      <c r="BL43" s="476"/>
      <c r="BM43" s="476"/>
      <c r="BN43" s="476"/>
      <c r="BO43" s="476"/>
      <c r="BP43" s="476"/>
      <c r="BQ43" s="476"/>
      <c r="BR43" s="476"/>
      <c r="BS43" s="476"/>
      <c r="BT43" s="476"/>
      <c r="BU43" s="476"/>
      <c r="BV43" s="476"/>
      <c r="BW43" s="476"/>
      <c r="BX43" s="476"/>
      <c r="BY43" s="476"/>
      <c r="BZ43" s="476"/>
      <c r="CA43" s="476"/>
      <c r="CB43" s="476"/>
      <c r="CC43" s="476"/>
      <c r="CD43" s="476"/>
      <c r="CE43" s="476"/>
      <c r="CF43" s="476"/>
      <c r="CG43" s="476"/>
      <c r="CH43" s="476"/>
      <c r="CI43" s="476"/>
      <c r="CJ43" s="476"/>
      <c r="CK43" s="476"/>
      <c r="CL43" s="476"/>
      <c r="CM43" s="476"/>
      <c r="CN43" s="476"/>
      <c r="CO43" s="476"/>
      <c r="CP43" s="476"/>
      <c r="CQ43" s="476"/>
      <c r="CR43" s="476"/>
      <c r="CS43" s="476"/>
      <c r="CT43" s="476"/>
      <c r="CU43" s="476"/>
      <c r="CV43" s="476"/>
      <c r="CW43" s="476"/>
      <c r="CX43" s="476"/>
      <c r="CY43" s="476"/>
      <c r="CZ43" s="476"/>
      <c r="DA43" s="476"/>
      <c r="DB43" s="476"/>
      <c r="DC43" s="476"/>
      <c r="DD43" s="476"/>
      <c r="DE43" s="476"/>
      <c r="DF43" s="476"/>
      <c r="DG43" s="476"/>
      <c r="DH43" s="476"/>
      <c r="DI43" s="476"/>
      <c r="DJ43" s="476"/>
      <c r="DK43" s="476"/>
      <c r="DL43" s="476"/>
      <c r="DM43" s="476"/>
      <c r="DN43" s="476"/>
      <c r="DO43" s="476"/>
      <c r="DP43" s="476"/>
      <c r="DQ43" s="476"/>
      <c r="DR43" s="476"/>
      <c r="DS43" s="476"/>
      <c r="DT43" s="476"/>
      <c r="DU43" s="476"/>
      <c r="DV43" s="476"/>
      <c r="DW43" s="476"/>
      <c r="DX43" s="476"/>
      <c r="DY43" s="476"/>
      <c r="DZ43" s="476"/>
      <c r="EA43" s="476"/>
      <c r="EB43" s="476"/>
      <c r="EC43" s="476"/>
      <c r="ED43" s="476"/>
      <c r="EE43" s="476"/>
      <c r="EF43" s="476"/>
      <c r="EG43" s="476"/>
      <c r="EH43" s="476"/>
      <c r="EI43" s="476"/>
      <c r="EJ43" s="476"/>
      <c r="EK43" s="476"/>
      <c r="EL43" s="476"/>
      <c r="EM43" s="476"/>
      <c r="EN43" s="476"/>
      <c r="EO43" s="476"/>
      <c r="EP43" s="476"/>
      <c r="EQ43" s="476"/>
      <c r="ER43" s="476"/>
      <c r="ES43" s="476"/>
      <c r="ET43" s="476"/>
      <c r="EU43" s="476"/>
      <c r="EV43" s="476"/>
      <c r="EW43" s="476"/>
      <c r="EX43" s="476"/>
      <c r="EY43" s="476"/>
      <c r="EZ43" s="476"/>
      <c r="FA43" s="476"/>
      <c r="FB43" s="476"/>
      <c r="FC43" s="476"/>
      <c r="FD43" s="476"/>
      <c r="FE43" s="476"/>
      <c r="FF43" s="476"/>
      <c r="FG43" s="476"/>
      <c r="FH43" s="476"/>
      <c r="FI43" s="476"/>
      <c r="FJ43" s="476"/>
      <c r="FK43" s="476"/>
      <c r="FL43" s="476"/>
      <c r="FM43" s="476"/>
      <c r="FN43" s="476"/>
      <c r="FO43" s="476"/>
      <c r="FP43" s="476"/>
      <c r="FQ43" s="476"/>
      <c r="FR43" s="476"/>
      <c r="FS43" s="476"/>
      <c r="FT43" s="476"/>
      <c r="FU43" s="476"/>
      <c r="FV43" s="476"/>
      <c r="FW43" s="476"/>
      <c r="FX43" s="476"/>
      <c r="FY43" s="476"/>
      <c r="FZ43" s="476"/>
      <c r="GA43" s="476"/>
      <c r="GB43" s="476"/>
      <c r="GC43" s="476"/>
      <c r="GD43" s="476"/>
      <c r="GE43" s="476"/>
      <c r="GF43" s="476"/>
      <c r="GG43" s="476"/>
      <c r="GH43" s="476"/>
      <c r="GI43" s="476"/>
      <c r="GJ43" s="476"/>
      <c r="GK43" s="476"/>
      <c r="GL43" s="476"/>
      <c r="GM43" s="476"/>
      <c r="GN43" s="476"/>
      <c r="GO43" s="476"/>
      <c r="GP43" s="476"/>
      <c r="GQ43" s="476"/>
      <c r="GR43" s="476"/>
      <c r="GS43" s="476"/>
      <c r="GT43" s="476"/>
      <c r="GU43" s="476"/>
      <c r="GV43" s="476"/>
      <c r="GW43" s="476"/>
      <c r="GX43" s="476"/>
      <c r="GY43" s="476"/>
      <c r="GZ43" s="476"/>
      <c r="HA43" s="476"/>
      <c r="HB43" s="476"/>
      <c r="HC43" s="476"/>
      <c r="HD43" s="476"/>
      <c r="HE43" s="476"/>
      <c r="HF43" s="476"/>
      <c r="HG43" s="476"/>
      <c r="HH43" s="476"/>
      <c r="HI43" s="476"/>
      <c r="HJ43" s="476"/>
      <c r="HK43" s="476"/>
      <c r="HL43" s="476"/>
      <c r="HM43" s="476"/>
      <c r="HN43" s="476"/>
      <c r="HO43" s="476"/>
      <c r="HP43" s="476"/>
      <c r="HQ43" s="476"/>
      <c r="HR43" s="476"/>
      <c r="HS43" s="476"/>
      <c r="HT43" s="476"/>
      <c r="HU43" s="476"/>
      <c r="HV43" s="476"/>
      <c r="HW43" s="476"/>
      <c r="HX43" s="476"/>
      <c r="HY43" s="476"/>
      <c r="HZ43" s="476"/>
      <c r="IA43" s="476"/>
      <c r="IB43" s="476"/>
      <c r="IC43" s="476"/>
      <c r="ID43" s="476"/>
      <c r="IE43" s="476"/>
      <c r="IF43" s="476"/>
      <c r="IG43" s="476"/>
      <c r="IH43" s="476"/>
      <c r="II43" s="476"/>
      <c r="IJ43" s="476"/>
      <c r="IK43" s="476"/>
      <c r="IL43" s="476"/>
      <c r="IM43" s="476"/>
      <c r="IN43" s="476"/>
      <c r="IO43" s="476"/>
      <c r="IP43" s="476"/>
      <c r="IQ43" s="476"/>
      <c r="IR43" s="476"/>
      <c r="IS43" s="476"/>
      <c r="IT43" s="476"/>
      <c r="IU43" s="476"/>
      <c r="IV43" s="476"/>
      <c r="IW43" s="476"/>
    </row>
    <row r="44" customFormat="false" ht="12.75" hidden="false" customHeight="false" outlineLevel="0" collapsed="false">
      <c r="A44" s="669" t="s">
        <v>1216</v>
      </c>
      <c r="B44" s="391" t="n">
        <f aca="false">B6</f>
        <v>0.25</v>
      </c>
      <c r="C44" s="391" t="n">
        <f aca="false">$B$44</f>
        <v>0.25</v>
      </c>
      <c r="D44" s="391" t="n">
        <f aca="false">$B$44</f>
        <v>0.25</v>
      </c>
      <c r="E44" s="391" t="n">
        <f aca="false">$B$44</f>
        <v>0.25</v>
      </c>
      <c r="F44" s="391" t="n">
        <f aca="false">$B$44</f>
        <v>0.25</v>
      </c>
      <c r="G44" s="391" t="n">
        <f aca="false">$B$44</f>
        <v>0.25</v>
      </c>
      <c r="H44" s="391" t="n">
        <f aca="false">$B$44</f>
        <v>0.25</v>
      </c>
      <c r="I44" s="391" t="n">
        <f aca="false">$B$44</f>
        <v>0.25</v>
      </c>
      <c r="J44" s="391" t="n">
        <f aca="false">$B$44</f>
        <v>0.25</v>
      </c>
      <c r="K44" s="391" t="n">
        <f aca="false">$B$44</f>
        <v>0.25</v>
      </c>
    </row>
    <row r="45" customFormat="false" ht="12.75" hidden="false" customHeight="false" outlineLevel="0" collapsed="false">
      <c r="A45" s="667" t="s">
        <v>1217</v>
      </c>
      <c r="B45" s="476" t="n">
        <f aca="false">-B41*B22</f>
        <v>-2193750</v>
      </c>
      <c r="C45" s="476" t="n">
        <f aca="false">-C41*C22</f>
        <v>-2756812.5</v>
      </c>
      <c r="D45" s="476" t="n">
        <f aca="false">-D41*D22</f>
        <v>-3194100</v>
      </c>
      <c r="E45" s="476" t="n">
        <f aca="false">-E41*E22</f>
        <v>-3388027.5</v>
      </c>
      <c r="F45" s="476" t="n">
        <f aca="false">-F41*F22</f>
        <v>-3588799.5</v>
      </c>
      <c r="G45" s="476" t="n">
        <f aca="false">-G41*G22</f>
        <v>-3795845.625</v>
      </c>
      <c r="H45" s="476" t="n">
        <f aca="false">-H41*H22</f>
        <v>-4008412.98</v>
      </c>
      <c r="I45" s="476" t="n">
        <f aca="false">-I41*I22</f>
        <v>-4225535.34975</v>
      </c>
      <c r="J45" s="476" t="n">
        <f aca="false">-J41*J22</f>
        <v>-4445998.06365</v>
      </c>
      <c r="K45" s="476" t="n">
        <f aca="false">-K41*K22</f>
        <v>-4668297.9668325</v>
      </c>
      <c r="L45" s="476"/>
      <c r="M45" s="476"/>
      <c r="N45" s="476"/>
      <c r="O45" s="476"/>
      <c r="P45" s="476"/>
      <c r="Q45" s="476"/>
      <c r="R45" s="476"/>
      <c r="S45" s="476"/>
      <c r="T45" s="476"/>
      <c r="U45" s="476"/>
      <c r="V45" s="476"/>
      <c r="W45" s="476"/>
      <c r="X45" s="476"/>
      <c r="Y45" s="476"/>
      <c r="Z45" s="476"/>
      <c r="AA45" s="476"/>
      <c r="AB45" s="476"/>
      <c r="AC45" s="476"/>
      <c r="AD45" s="476"/>
      <c r="AE45" s="476"/>
      <c r="AF45" s="476"/>
      <c r="AG45" s="476"/>
      <c r="AH45" s="476"/>
      <c r="AI45" s="476"/>
      <c r="AJ45" s="476"/>
      <c r="AK45" s="476"/>
      <c r="AL45" s="476"/>
      <c r="AM45" s="476"/>
      <c r="AN45" s="476"/>
      <c r="AO45" s="476"/>
      <c r="AP45" s="476"/>
      <c r="AQ45" s="476"/>
      <c r="AR45" s="476"/>
      <c r="AS45" s="476"/>
      <c r="AT45" s="476"/>
      <c r="AU45" s="476"/>
      <c r="AV45" s="476"/>
      <c r="AW45" s="476"/>
      <c r="AX45" s="476"/>
      <c r="AY45" s="476"/>
      <c r="AZ45" s="476"/>
      <c r="BA45" s="476"/>
      <c r="BB45" s="476"/>
      <c r="BC45" s="476"/>
      <c r="BD45" s="476"/>
      <c r="BE45" s="476"/>
      <c r="BF45" s="476"/>
      <c r="BG45" s="476"/>
      <c r="BH45" s="476"/>
      <c r="BI45" s="476"/>
      <c r="BJ45" s="476"/>
      <c r="BK45" s="476"/>
      <c r="BL45" s="476"/>
      <c r="BM45" s="476"/>
      <c r="BN45" s="476"/>
      <c r="BO45" s="476"/>
      <c r="BP45" s="476"/>
      <c r="BQ45" s="476"/>
      <c r="BR45" s="476"/>
      <c r="BS45" s="476"/>
      <c r="BT45" s="476"/>
      <c r="BU45" s="476"/>
      <c r="BV45" s="476"/>
      <c r="BW45" s="476"/>
      <c r="BX45" s="476"/>
      <c r="BY45" s="476"/>
      <c r="BZ45" s="476"/>
      <c r="CA45" s="476"/>
      <c r="CB45" s="476"/>
      <c r="CC45" s="476"/>
      <c r="CD45" s="476"/>
      <c r="CE45" s="476"/>
      <c r="CF45" s="476"/>
      <c r="CG45" s="476"/>
      <c r="CH45" s="476"/>
      <c r="CI45" s="476"/>
      <c r="CJ45" s="476"/>
      <c r="CK45" s="476"/>
      <c r="CL45" s="476"/>
      <c r="CM45" s="476"/>
      <c r="CN45" s="476"/>
      <c r="CO45" s="476"/>
      <c r="CP45" s="476"/>
      <c r="CQ45" s="476"/>
      <c r="CR45" s="476"/>
      <c r="CS45" s="476"/>
      <c r="CT45" s="476"/>
      <c r="CU45" s="476"/>
      <c r="CV45" s="476"/>
      <c r="CW45" s="476"/>
      <c r="CX45" s="476"/>
      <c r="CY45" s="476"/>
      <c r="CZ45" s="476"/>
      <c r="DA45" s="476"/>
      <c r="DB45" s="476"/>
      <c r="DC45" s="476"/>
      <c r="DD45" s="476"/>
      <c r="DE45" s="476"/>
      <c r="DF45" s="476"/>
      <c r="DG45" s="476"/>
      <c r="DH45" s="476"/>
      <c r="DI45" s="476"/>
      <c r="DJ45" s="476"/>
      <c r="DK45" s="476"/>
      <c r="DL45" s="476"/>
      <c r="DM45" s="476"/>
      <c r="DN45" s="476"/>
      <c r="DO45" s="476"/>
      <c r="DP45" s="476"/>
      <c r="DQ45" s="476"/>
      <c r="DR45" s="476"/>
      <c r="DS45" s="476"/>
      <c r="DT45" s="476"/>
      <c r="DU45" s="476"/>
      <c r="DV45" s="476"/>
      <c r="DW45" s="476"/>
      <c r="DX45" s="476"/>
      <c r="DY45" s="476"/>
      <c r="DZ45" s="476"/>
      <c r="EA45" s="476"/>
      <c r="EB45" s="476"/>
      <c r="EC45" s="476"/>
      <c r="ED45" s="476"/>
      <c r="EE45" s="476"/>
      <c r="EF45" s="476"/>
      <c r="EG45" s="476"/>
      <c r="EH45" s="476"/>
      <c r="EI45" s="476"/>
      <c r="EJ45" s="476"/>
      <c r="EK45" s="476"/>
      <c r="EL45" s="476"/>
      <c r="EM45" s="476"/>
      <c r="EN45" s="476"/>
      <c r="EO45" s="476"/>
      <c r="EP45" s="476"/>
      <c r="EQ45" s="476"/>
      <c r="ER45" s="476"/>
      <c r="ES45" s="476"/>
      <c r="ET45" s="476"/>
      <c r="EU45" s="476"/>
      <c r="EV45" s="476"/>
      <c r="EW45" s="476"/>
      <c r="EX45" s="476"/>
      <c r="EY45" s="476"/>
      <c r="EZ45" s="476"/>
      <c r="FA45" s="476"/>
      <c r="FB45" s="476"/>
      <c r="FC45" s="476"/>
      <c r="FD45" s="476"/>
      <c r="FE45" s="476"/>
      <c r="FF45" s="476"/>
      <c r="FG45" s="476"/>
      <c r="FH45" s="476"/>
      <c r="FI45" s="476"/>
      <c r="FJ45" s="476"/>
      <c r="FK45" s="476"/>
      <c r="FL45" s="476"/>
      <c r="FM45" s="476"/>
      <c r="FN45" s="476"/>
      <c r="FO45" s="476"/>
      <c r="FP45" s="476"/>
      <c r="FQ45" s="476"/>
      <c r="FR45" s="476"/>
      <c r="FS45" s="476"/>
      <c r="FT45" s="476"/>
      <c r="FU45" s="476"/>
      <c r="FV45" s="476"/>
      <c r="FW45" s="476"/>
      <c r="FX45" s="476"/>
      <c r="FY45" s="476"/>
      <c r="FZ45" s="476"/>
      <c r="GA45" s="476"/>
      <c r="GB45" s="476"/>
      <c r="GC45" s="476"/>
      <c r="GD45" s="476"/>
      <c r="GE45" s="476"/>
      <c r="GF45" s="476"/>
      <c r="GG45" s="476"/>
      <c r="GH45" s="476"/>
      <c r="GI45" s="476"/>
      <c r="GJ45" s="476"/>
      <c r="GK45" s="476"/>
      <c r="GL45" s="476"/>
      <c r="GM45" s="476"/>
      <c r="GN45" s="476"/>
      <c r="GO45" s="476"/>
      <c r="GP45" s="476"/>
      <c r="GQ45" s="476"/>
      <c r="GR45" s="476"/>
      <c r="GS45" s="476"/>
      <c r="GT45" s="476"/>
      <c r="GU45" s="476"/>
      <c r="GV45" s="476"/>
      <c r="GW45" s="476"/>
      <c r="GX45" s="476"/>
      <c r="GY45" s="476"/>
      <c r="GZ45" s="476"/>
      <c r="HA45" s="476"/>
      <c r="HB45" s="476"/>
      <c r="HC45" s="476"/>
      <c r="HD45" s="476"/>
      <c r="HE45" s="476"/>
      <c r="HF45" s="476"/>
      <c r="HG45" s="476"/>
      <c r="HH45" s="476"/>
      <c r="HI45" s="476"/>
      <c r="HJ45" s="476"/>
      <c r="HK45" s="476"/>
      <c r="HL45" s="476"/>
      <c r="HM45" s="476"/>
      <c r="HN45" s="476"/>
      <c r="HO45" s="476"/>
      <c r="HP45" s="476"/>
      <c r="HQ45" s="476"/>
      <c r="HR45" s="476"/>
      <c r="HS45" s="476"/>
      <c r="HT45" s="476"/>
      <c r="HU45" s="476"/>
      <c r="HV45" s="476"/>
      <c r="HW45" s="476"/>
      <c r="HX45" s="476"/>
      <c r="HY45" s="476"/>
      <c r="HZ45" s="476"/>
      <c r="IA45" s="476"/>
      <c r="IB45" s="476"/>
      <c r="IC45" s="476"/>
      <c r="ID45" s="476"/>
      <c r="IE45" s="476"/>
      <c r="IF45" s="476"/>
      <c r="IG45" s="476"/>
      <c r="IH45" s="476"/>
      <c r="II45" s="476"/>
      <c r="IJ45" s="476"/>
      <c r="IK45" s="476"/>
      <c r="IL45" s="476"/>
      <c r="IM45" s="476"/>
      <c r="IN45" s="476"/>
      <c r="IO45" s="476"/>
      <c r="IP45" s="476"/>
      <c r="IQ45" s="476"/>
      <c r="IR45" s="476"/>
      <c r="IS45" s="476"/>
      <c r="IT45" s="476"/>
      <c r="IU45" s="476"/>
      <c r="IV45" s="476"/>
      <c r="IW45" s="476"/>
    </row>
    <row r="46" customFormat="false" ht="12.75" hidden="false" customHeight="false" outlineLevel="0" collapsed="false">
      <c r="A46" s="667" t="s">
        <v>1193</v>
      </c>
      <c r="B46" s="476" t="n">
        <f aca="false">-B9</f>
        <v>-700000</v>
      </c>
      <c r="C46" s="476" t="n">
        <f aca="false">B46*(1+C42)</f>
        <v>-910000</v>
      </c>
      <c r="D46" s="476" t="n">
        <f aca="false">C46*(1+D42)</f>
        <v>-1092000</v>
      </c>
      <c r="E46" s="476" t="n">
        <f aca="false">D46*(1+E42)</f>
        <v>-1201200</v>
      </c>
      <c r="F46" s="476" t="n">
        <f aca="false">E46*(1+F42)</f>
        <v>-1321320</v>
      </c>
      <c r="G46" s="476" t="n">
        <f aca="false">F46*(1+G42)</f>
        <v>-1453452</v>
      </c>
      <c r="H46" s="476" t="n">
        <f aca="false">G46*(1+H42)</f>
        <v>-1598797.2</v>
      </c>
      <c r="I46" s="476" t="n">
        <f aca="false">H46*(1+I42)</f>
        <v>-1758676.92</v>
      </c>
      <c r="J46" s="476" t="n">
        <f aca="false">I46*(1+J42)</f>
        <v>-1934544.612</v>
      </c>
      <c r="K46" s="476" t="n">
        <f aca="false">J46*(1+K42)</f>
        <v>-2127999.0732</v>
      </c>
      <c r="L46" s="476"/>
      <c r="M46" s="476"/>
      <c r="N46" s="476"/>
      <c r="O46" s="476"/>
      <c r="P46" s="476"/>
      <c r="Q46" s="476"/>
      <c r="R46" s="476"/>
      <c r="S46" s="476"/>
      <c r="T46" s="476"/>
      <c r="U46" s="476"/>
      <c r="V46" s="476"/>
      <c r="W46" s="476"/>
      <c r="X46" s="476"/>
      <c r="Y46" s="476"/>
      <c r="Z46" s="476"/>
      <c r="AA46" s="476"/>
      <c r="AB46" s="476"/>
      <c r="AC46" s="476"/>
      <c r="AD46" s="476"/>
      <c r="AE46" s="476"/>
      <c r="AF46" s="476"/>
      <c r="AG46" s="476"/>
      <c r="AH46" s="476"/>
      <c r="AI46" s="476"/>
      <c r="AJ46" s="476"/>
      <c r="AK46" s="476"/>
      <c r="AL46" s="476"/>
      <c r="AM46" s="476"/>
      <c r="AN46" s="476"/>
      <c r="AO46" s="476"/>
      <c r="AP46" s="476"/>
      <c r="AQ46" s="476"/>
      <c r="AR46" s="476"/>
      <c r="AS46" s="476"/>
      <c r="AT46" s="476"/>
      <c r="AU46" s="476"/>
      <c r="AV46" s="476"/>
      <c r="AW46" s="476"/>
      <c r="AX46" s="476"/>
      <c r="AY46" s="476"/>
      <c r="AZ46" s="476"/>
      <c r="BA46" s="476"/>
      <c r="BB46" s="476"/>
      <c r="BC46" s="476"/>
      <c r="BD46" s="476"/>
      <c r="BE46" s="476"/>
      <c r="BF46" s="476"/>
      <c r="BG46" s="476"/>
      <c r="BH46" s="476"/>
      <c r="BI46" s="476"/>
      <c r="BJ46" s="476"/>
      <c r="BK46" s="476"/>
      <c r="BL46" s="476"/>
      <c r="BM46" s="476"/>
      <c r="BN46" s="476"/>
      <c r="BO46" s="476"/>
      <c r="BP46" s="476"/>
      <c r="BQ46" s="476"/>
      <c r="BR46" s="476"/>
      <c r="BS46" s="476"/>
      <c r="BT46" s="476"/>
      <c r="BU46" s="476"/>
      <c r="BV46" s="476"/>
      <c r="BW46" s="476"/>
      <c r="BX46" s="476"/>
      <c r="BY46" s="476"/>
      <c r="BZ46" s="476"/>
      <c r="CA46" s="476"/>
      <c r="CB46" s="476"/>
      <c r="CC46" s="476"/>
      <c r="CD46" s="476"/>
      <c r="CE46" s="476"/>
      <c r="CF46" s="476"/>
      <c r="CG46" s="476"/>
      <c r="CH46" s="476"/>
      <c r="CI46" s="476"/>
      <c r="CJ46" s="476"/>
      <c r="CK46" s="476"/>
      <c r="CL46" s="476"/>
      <c r="CM46" s="476"/>
      <c r="CN46" s="476"/>
      <c r="CO46" s="476"/>
      <c r="CP46" s="476"/>
      <c r="CQ46" s="476"/>
      <c r="CR46" s="476"/>
      <c r="CS46" s="476"/>
      <c r="CT46" s="476"/>
      <c r="CU46" s="476"/>
      <c r="CV46" s="476"/>
      <c r="CW46" s="476"/>
      <c r="CX46" s="476"/>
      <c r="CY46" s="476"/>
      <c r="CZ46" s="476"/>
      <c r="DA46" s="476"/>
      <c r="DB46" s="476"/>
      <c r="DC46" s="476"/>
      <c r="DD46" s="476"/>
      <c r="DE46" s="476"/>
      <c r="DF46" s="476"/>
      <c r="DG46" s="476"/>
      <c r="DH46" s="476"/>
      <c r="DI46" s="476"/>
      <c r="DJ46" s="476"/>
      <c r="DK46" s="476"/>
      <c r="DL46" s="476"/>
      <c r="DM46" s="476"/>
      <c r="DN46" s="476"/>
      <c r="DO46" s="476"/>
      <c r="DP46" s="476"/>
      <c r="DQ46" s="476"/>
      <c r="DR46" s="476"/>
      <c r="DS46" s="476"/>
      <c r="DT46" s="476"/>
      <c r="DU46" s="476"/>
      <c r="DV46" s="476"/>
      <c r="DW46" s="476"/>
      <c r="DX46" s="476"/>
      <c r="DY46" s="476"/>
      <c r="DZ46" s="476"/>
      <c r="EA46" s="476"/>
      <c r="EB46" s="476"/>
      <c r="EC46" s="476"/>
      <c r="ED46" s="476"/>
      <c r="EE46" s="476"/>
      <c r="EF46" s="476"/>
      <c r="EG46" s="476"/>
      <c r="EH46" s="476"/>
      <c r="EI46" s="476"/>
      <c r="EJ46" s="476"/>
      <c r="EK46" s="476"/>
      <c r="EL46" s="476"/>
      <c r="EM46" s="476"/>
      <c r="EN46" s="476"/>
      <c r="EO46" s="476"/>
      <c r="EP46" s="476"/>
      <c r="EQ46" s="476"/>
      <c r="ER46" s="476"/>
      <c r="ES46" s="476"/>
      <c r="ET46" s="476"/>
      <c r="EU46" s="476"/>
      <c r="EV46" s="476"/>
      <c r="EW46" s="476"/>
      <c r="EX46" s="476"/>
      <c r="EY46" s="476"/>
      <c r="EZ46" s="476"/>
      <c r="FA46" s="476"/>
      <c r="FB46" s="476"/>
      <c r="FC46" s="476"/>
      <c r="FD46" s="476"/>
      <c r="FE46" s="476"/>
      <c r="FF46" s="476"/>
      <c r="FG46" s="476"/>
      <c r="FH46" s="476"/>
      <c r="FI46" s="476"/>
      <c r="FJ46" s="476"/>
      <c r="FK46" s="476"/>
      <c r="FL46" s="476"/>
      <c r="FM46" s="476"/>
      <c r="FN46" s="476"/>
      <c r="FO46" s="476"/>
      <c r="FP46" s="476"/>
      <c r="FQ46" s="476"/>
      <c r="FR46" s="476"/>
      <c r="FS46" s="476"/>
      <c r="FT46" s="476"/>
      <c r="FU46" s="476"/>
      <c r="FV46" s="476"/>
      <c r="FW46" s="476"/>
      <c r="FX46" s="476"/>
      <c r="FY46" s="476"/>
      <c r="FZ46" s="476"/>
      <c r="GA46" s="476"/>
      <c r="GB46" s="476"/>
      <c r="GC46" s="476"/>
      <c r="GD46" s="476"/>
      <c r="GE46" s="476"/>
      <c r="GF46" s="476"/>
      <c r="GG46" s="476"/>
      <c r="GH46" s="476"/>
      <c r="GI46" s="476"/>
      <c r="GJ46" s="476"/>
      <c r="GK46" s="476"/>
      <c r="GL46" s="476"/>
      <c r="GM46" s="476"/>
      <c r="GN46" s="476"/>
      <c r="GO46" s="476"/>
      <c r="GP46" s="476"/>
      <c r="GQ46" s="476"/>
      <c r="GR46" s="476"/>
      <c r="GS46" s="476"/>
      <c r="GT46" s="476"/>
      <c r="GU46" s="476"/>
      <c r="GV46" s="476"/>
      <c r="GW46" s="476"/>
      <c r="GX46" s="476"/>
      <c r="GY46" s="476"/>
      <c r="GZ46" s="476"/>
      <c r="HA46" s="476"/>
      <c r="HB46" s="476"/>
      <c r="HC46" s="476"/>
      <c r="HD46" s="476"/>
      <c r="HE46" s="476"/>
      <c r="HF46" s="476"/>
      <c r="HG46" s="476"/>
      <c r="HH46" s="476"/>
      <c r="HI46" s="476"/>
      <c r="HJ46" s="476"/>
      <c r="HK46" s="476"/>
      <c r="HL46" s="476"/>
      <c r="HM46" s="476"/>
      <c r="HN46" s="476"/>
      <c r="HO46" s="476"/>
      <c r="HP46" s="476"/>
      <c r="HQ46" s="476"/>
      <c r="HR46" s="476"/>
      <c r="HS46" s="476"/>
      <c r="HT46" s="476"/>
      <c r="HU46" s="476"/>
      <c r="HV46" s="476"/>
      <c r="HW46" s="476"/>
      <c r="HX46" s="476"/>
      <c r="HY46" s="476"/>
      <c r="HZ46" s="476"/>
      <c r="IA46" s="476"/>
      <c r="IB46" s="476"/>
      <c r="IC46" s="476"/>
      <c r="ID46" s="476"/>
      <c r="IE46" s="476"/>
      <c r="IF46" s="476"/>
      <c r="IG46" s="476"/>
      <c r="IH46" s="476"/>
      <c r="II46" s="476"/>
      <c r="IJ46" s="476"/>
      <c r="IK46" s="476"/>
      <c r="IL46" s="476"/>
      <c r="IM46" s="476"/>
      <c r="IN46" s="476"/>
      <c r="IO46" s="476"/>
      <c r="IP46" s="476"/>
      <c r="IQ46" s="476"/>
      <c r="IR46" s="476"/>
      <c r="IS46" s="476"/>
      <c r="IT46" s="476"/>
      <c r="IU46" s="476"/>
      <c r="IV46" s="476"/>
      <c r="IW46" s="476"/>
    </row>
    <row r="47" customFormat="false" ht="12.75" hidden="false" customHeight="false" outlineLevel="0" collapsed="false">
      <c r="A47" s="667"/>
      <c r="L47" s="476"/>
      <c r="M47" s="476"/>
      <c r="N47" s="476"/>
      <c r="O47" s="476"/>
      <c r="P47" s="476"/>
      <c r="Q47" s="476"/>
      <c r="R47" s="476"/>
      <c r="S47" s="476"/>
      <c r="T47" s="476"/>
      <c r="U47" s="476"/>
      <c r="V47" s="476"/>
      <c r="W47" s="476"/>
      <c r="X47" s="476"/>
      <c r="Y47" s="476"/>
      <c r="Z47" s="476"/>
      <c r="AA47" s="476"/>
      <c r="AB47" s="476"/>
      <c r="AC47" s="476"/>
      <c r="AD47" s="476"/>
      <c r="AE47" s="476"/>
      <c r="AF47" s="476"/>
      <c r="AG47" s="476"/>
      <c r="AH47" s="476"/>
      <c r="AI47" s="476"/>
      <c r="AJ47" s="476"/>
      <c r="AK47" s="476"/>
      <c r="AL47" s="476"/>
      <c r="AM47" s="476"/>
      <c r="AN47" s="476"/>
      <c r="AO47" s="476"/>
      <c r="AP47" s="476"/>
      <c r="AQ47" s="476"/>
      <c r="AR47" s="476"/>
      <c r="AS47" s="476"/>
      <c r="AT47" s="476"/>
      <c r="AU47" s="476"/>
      <c r="AV47" s="476"/>
      <c r="AW47" s="476"/>
      <c r="AX47" s="476"/>
      <c r="AY47" s="476"/>
      <c r="AZ47" s="476"/>
      <c r="BA47" s="476"/>
      <c r="BB47" s="476"/>
      <c r="BC47" s="476"/>
      <c r="BD47" s="476"/>
      <c r="BE47" s="476"/>
      <c r="BF47" s="476"/>
      <c r="BG47" s="476"/>
      <c r="BH47" s="476"/>
      <c r="BI47" s="476"/>
      <c r="BJ47" s="476"/>
      <c r="BK47" s="476"/>
      <c r="BL47" s="476"/>
      <c r="BM47" s="476"/>
      <c r="BN47" s="476"/>
      <c r="BO47" s="476"/>
      <c r="BP47" s="476"/>
      <c r="BQ47" s="476"/>
      <c r="BR47" s="476"/>
      <c r="BS47" s="476"/>
      <c r="BT47" s="476"/>
      <c r="BU47" s="476"/>
      <c r="BV47" s="476"/>
      <c r="BW47" s="476"/>
      <c r="BX47" s="476"/>
      <c r="BY47" s="476"/>
      <c r="BZ47" s="476"/>
      <c r="CA47" s="476"/>
      <c r="CB47" s="476"/>
      <c r="CC47" s="476"/>
      <c r="CD47" s="476"/>
      <c r="CE47" s="476"/>
      <c r="CF47" s="476"/>
      <c r="CG47" s="476"/>
      <c r="CH47" s="476"/>
      <c r="CI47" s="476"/>
      <c r="CJ47" s="476"/>
      <c r="CK47" s="476"/>
      <c r="CL47" s="476"/>
      <c r="CM47" s="476"/>
      <c r="CN47" s="476"/>
      <c r="CO47" s="476"/>
      <c r="CP47" s="476"/>
      <c r="CQ47" s="476"/>
      <c r="CR47" s="476"/>
      <c r="CS47" s="476"/>
      <c r="CT47" s="476"/>
      <c r="CU47" s="476"/>
      <c r="CV47" s="476"/>
      <c r="CW47" s="476"/>
      <c r="CX47" s="476"/>
      <c r="CY47" s="476"/>
      <c r="CZ47" s="476"/>
      <c r="DA47" s="476"/>
      <c r="DB47" s="476"/>
      <c r="DC47" s="476"/>
      <c r="DD47" s="476"/>
      <c r="DE47" s="476"/>
      <c r="DF47" s="476"/>
      <c r="DG47" s="476"/>
      <c r="DH47" s="476"/>
      <c r="DI47" s="476"/>
      <c r="DJ47" s="476"/>
      <c r="DK47" s="476"/>
      <c r="DL47" s="476"/>
      <c r="DM47" s="476"/>
      <c r="DN47" s="476"/>
      <c r="DO47" s="476"/>
      <c r="DP47" s="476"/>
      <c r="DQ47" s="476"/>
      <c r="DR47" s="476"/>
      <c r="DS47" s="476"/>
      <c r="DT47" s="476"/>
      <c r="DU47" s="476"/>
      <c r="DV47" s="476"/>
      <c r="DW47" s="476"/>
      <c r="DX47" s="476"/>
      <c r="DY47" s="476"/>
      <c r="DZ47" s="476"/>
      <c r="EA47" s="476"/>
      <c r="EB47" s="476"/>
      <c r="EC47" s="476"/>
      <c r="ED47" s="476"/>
      <c r="EE47" s="476"/>
      <c r="EF47" s="476"/>
      <c r="EG47" s="476"/>
      <c r="EH47" s="476"/>
      <c r="EI47" s="476"/>
      <c r="EJ47" s="476"/>
      <c r="EK47" s="476"/>
      <c r="EL47" s="476"/>
      <c r="EM47" s="476"/>
      <c r="EN47" s="476"/>
      <c r="EO47" s="476"/>
      <c r="EP47" s="476"/>
      <c r="EQ47" s="476"/>
      <c r="ER47" s="476"/>
      <c r="ES47" s="476"/>
      <c r="ET47" s="476"/>
      <c r="EU47" s="476"/>
      <c r="EV47" s="476"/>
      <c r="EW47" s="476"/>
      <c r="EX47" s="476"/>
      <c r="EY47" s="476"/>
      <c r="EZ47" s="476"/>
      <c r="FA47" s="476"/>
      <c r="FB47" s="476"/>
      <c r="FC47" s="476"/>
      <c r="FD47" s="476"/>
      <c r="FE47" s="476"/>
      <c r="FF47" s="476"/>
      <c r="FG47" s="476"/>
      <c r="FH47" s="476"/>
      <c r="FI47" s="476"/>
      <c r="FJ47" s="476"/>
      <c r="FK47" s="476"/>
      <c r="FL47" s="476"/>
      <c r="FM47" s="476"/>
      <c r="FN47" s="476"/>
      <c r="FO47" s="476"/>
      <c r="FP47" s="476"/>
      <c r="FQ47" s="476"/>
      <c r="FR47" s="476"/>
      <c r="FS47" s="476"/>
      <c r="FT47" s="476"/>
      <c r="FU47" s="476"/>
      <c r="FV47" s="476"/>
      <c r="FW47" s="476"/>
      <c r="FX47" s="476"/>
      <c r="FY47" s="476"/>
      <c r="FZ47" s="476"/>
      <c r="GA47" s="476"/>
      <c r="GB47" s="476"/>
      <c r="GC47" s="476"/>
      <c r="GD47" s="476"/>
      <c r="GE47" s="476"/>
      <c r="GF47" s="476"/>
      <c r="GG47" s="476"/>
      <c r="GH47" s="476"/>
      <c r="GI47" s="476"/>
      <c r="GJ47" s="476"/>
      <c r="GK47" s="476"/>
      <c r="GL47" s="476"/>
      <c r="GM47" s="476"/>
      <c r="GN47" s="476"/>
      <c r="GO47" s="476"/>
      <c r="GP47" s="476"/>
      <c r="GQ47" s="476"/>
      <c r="GR47" s="476"/>
      <c r="GS47" s="476"/>
      <c r="GT47" s="476"/>
      <c r="GU47" s="476"/>
      <c r="GV47" s="476"/>
      <c r="GW47" s="476"/>
      <c r="GX47" s="476"/>
      <c r="GY47" s="476"/>
      <c r="GZ47" s="476"/>
      <c r="HA47" s="476"/>
      <c r="HB47" s="476"/>
      <c r="HC47" s="476"/>
      <c r="HD47" s="476"/>
      <c r="HE47" s="476"/>
      <c r="HF47" s="476"/>
      <c r="HG47" s="476"/>
      <c r="HH47" s="476"/>
      <c r="HI47" s="476"/>
      <c r="HJ47" s="476"/>
      <c r="HK47" s="476"/>
      <c r="HL47" s="476"/>
      <c r="HM47" s="476"/>
      <c r="HN47" s="476"/>
      <c r="HO47" s="476"/>
      <c r="HP47" s="476"/>
      <c r="HQ47" s="476"/>
      <c r="HR47" s="476"/>
      <c r="HS47" s="476"/>
      <c r="HT47" s="476"/>
      <c r="HU47" s="476"/>
      <c r="HV47" s="476"/>
      <c r="HW47" s="476"/>
      <c r="HX47" s="476"/>
      <c r="HY47" s="476"/>
      <c r="HZ47" s="476"/>
      <c r="IA47" s="476"/>
      <c r="IB47" s="476"/>
      <c r="IC47" s="476"/>
      <c r="ID47" s="476"/>
      <c r="IE47" s="476"/>
      <c r="IF47" s="476"/>
      <c r="IG47" s="476"/>
      <c r="IH47" s="476"/>
      <c r="II47" s="476"/>
      <c r="IJ47" s="476"/>
      <c r="IK47" s="476"/>
      <c r="IL47" s="476"/>
      <c r="IM47" s="476"/>
      <c r="IN47" s="476"/>
      <c r="IO47" s="476"/>
      <c r="IP47" s="476"/>
      <c r="IQ47" s="476"/>
      <c r="IR47" s="476"/>
      <c r="IS47" s="476"/>
      <c r="IT47" s="476"/>
      <c r="IU47" s="476"/>
      <c r="IV47" s="476"/>
      <c r="IW47" s="476"/>
    </row>
    <row r="48" customFormat="false" ht="12.75" hidden="false" customHeight="false" outlineLevel="0" collapsed="false">
      <c r="A48" s="667" t="s">
        <v>1218</v>
      </c>
      <c r="B48" s="476" t="n">
        <f aca="false">B41+B43+B45+B46</f>
        <v>4418750</v>
      </c>
      <c r="C48" s="476" t="n">
        <f aca="false">C41+C43+C45+C46</f>
        <v>5839437.5</v>
      </c>
      <c r="D48" s="476" t="n">
        <f aca="false">D41+D43+D45+D46</f>
        <v>7121400</v>
      </c>
      <c r="E48" s="476" t="n">
        <f aca="false">E41+E43+E45+E46</f>
        <v>7959022.5</v>
      </c>
      <c r="F48" s="476" t="n">
        <f aca="false">F41+F43+F45+F46</f>
        <v>8892955.5</v>
      </c>
      <c r="G48" s="476" t="n">
        <f aca="false">G41+G43+G45+G46</f>
        <v>9934084.87500001</v>
      </c>
      <c r="H48" s="476" t="n">
        <f aca="false">H41+H43+H45+H46</f>
        <v>11094510.57</v>
      </c>
      <c r="I48" s="476" t="n">
        <f aca="false">I41+I43+I45+I46</f>
        <v>12387680.55525</v>
      </c>
      <c r="J48" s="476" t="n">
        <f aca="false">J41+J43+J45+J46</f>
        <v>13828539.43185</v>
      </c>
      <c r="K48" s="476" t="n">
        <f aca="false">K41+K43+K45+K46</f>
        <v>15433693.2782175</v>
      </c>
      <c r="L48" s="476"/>
      <c r="M48" s="476"/>
      <c r="N48" s="476"/>
      <c r="O48" s="476"/>
      <c r="P48" s="476"/>
      <c r="Q48" s="476"/>
      <c r="R48" s="476"/>
      <c r="S48" s="476"/>
      <c r="T48" s="476"/>
      <c r="U48" s="476"/>
      <c r="V48" s="476"/>
      <c r="W48" s="476"/>
      <c r="X48" s="476"/>
      <c r="Y48" s="476"/>
      <c r="Z48" s="476"/>
      <c r="AA48" s="476"/>
      <c r="AB48" s="476"/>
      <c r="AC48" s="476"/>
      <c r="AD48" s="476"/>
      <c r="AE48" s="476"/>
      <c r="AF48" s="476"/>
      <c r="AG48" s="476"/>
      <c r="AH48" s="476"/>
      <c r="AI48" s="476"/>
      <c r="AJ48" s="476"/>
      <c r="AK48" s="476"/>
      <c r="AL48" s="476"/>
      <c r="AM48" s="476"/>
      <c r="AN48" s="476"/>
      <c r="AO48" s="476"/>
      <c r="AP48" s="476"/>
      <c r="AQ48" s="476"/>
      <c r="AR48" s="476"/>
      <c r="AS48" s="476"/>
      <c r="AT48" s="476"/>
      <c r="AU48" s="476"/>
      <c r="AV48" s="476"/>
      <c r="AW48" s="476"/>
      <c r="AX48" s="476"/>
      <c r="AY48" s="476"/>
      <c r="AZ48" s="476"/>
      <c r="BA48" s="476"/>
      <c r="BB48" s="476"/>
      <c r="BC48" s="476"/>
      <c r="BD48" s="476"/>
      <c r="BE48" s="476"/>
      <c r="BF48" s="476"/>
      <c r="BG48" s="476"/>
      <c r="BH48" s="476"/>
      <c r="BI48" s="476"/>
      <c r="BJ48" s="476"/>
      <c r="BK48" s="476"/>
      <c r="BL48" s="476"/>
      <c r="BM48" s="476"/>
      <c r="BN48" s="476"/>
      <c r="BO48" s="476"/>
      <c r="BP48" s="476"/>
      <c r="BQ48" s="476"/>
      <c r="BR48" s="476"/>
      <c r="BS48" s="476"/>
      <c r="BT48" s="476"/>
      <c r="BU48" s="476"/>
      <c r="BV48" s="476"/>
      <c r="BW48" s="476"/>
      <c r="BX48" s="476"/>
      <c r="BY48" s="476"/>
      <c r="BZ48" s="476"/>
      <c r="CA48" s="476"/>
      <c r="CB48" s="476"/>
      <c r="CC48" s="476"/>
      <c r="CD48" s="476"/>
      <c r="CE48" s="476"/>
      <c r="CF48" s="476"/>
      <c r="CG48" s="476"/>
      <c r="CH48" s="476"/>
      <c r="CI48" s="476"/>
      <c r="CJ48" s="476"/>
      <c r="CK48" s="476"/>
      <c r="CL48" s="476"/>
      <c r="CM48" s="476"/>
      <c r="CN48" s="476"/>
      <c r="CO48" s="476"/>
      <c r="CP48" s="476"/>
      <c r="CQ48" s="476"/>
      <c r="CR48" s="476"/>
      <c r="CS48" s="476"/>
      <c r="CT48" s="476"/>
      <c r="CU48" s="476"/>
      <c r="CV48" s="476"/>
      <c r="CW48" s="476"/>
      <c r="CX48" s="476"/>
      <c r="CY48" s="476"/>
      <c r="CZ48" s="476"/>
      <c r="DA48" s="476"/>
      <c r="DB48" s="476"/>
      <c r="DC48" s="476"/>
      <c r="DD48" s="476"/>
      <c r="DE48" s="476"/>
      <c r="DF48" s="476"/>
      <c r="DG48" s="476"/>
      <c r="DH48" s="476"/>
      <c r="DI48" s="476"/>
      <c r="DJ48" s="476"/>
      <c r="DK48" s="476"/>
      <c r="DL48" s="476"/>
      <c r="DM48" s="476"/>
      <c r="DN48" s="476"/>
      <c r="DO48" s="476"/>
      <c r="DP48" s="476"/>
      <c r="DQ48" s="476"/>
      <c r="DR48" s="476"/>
      <c r="DS48" s="476"/>
      <c r="DT48" s="476"/>
      <c r="DU48" s="476"/>
      <c r="DV48" s="476"/>
      <c r="DW48" s="476"/>
      <c r="DX48" s="476"/>
      <c r="DY48" s="476"/>
      <c r="DZ48" s="476"/>
      <c r="EA48" s="476"/>
      <c r="EB48" s="476"/>
      <c r="EC48" s="476"/>
      <c r="ED48" s="476"/>
      <c r="EE48" s="476"/>
      <c r="EF48" s="476"/>
      <c r="EG48" s="476"/>
      <c r="EH48" s="476"/>
      <c r="EI48" s="476"/>
      <c r="EJ48" s="476"/>
      <c r="EK48" s="476"/>
      <c r="EL48" s="476"/>
      <c r="EM48" s="476"/>
      <c r="EN48" s="476"/>
      <c r="EO48" s="476"/>
      <c r="EP48" s="476"/>
      <c r="EQ48" s="476"/>
      <c r="ER48" s="476"/>
      <c r="ES48" s="476"/>
      <c r="ET48" s="476"/>
      <c r="EU48" s="476"/>
      <c r="EV48" s="476"/>
      <c r="EW48" s="476"/>
      <c r="EX48" s="476"/>
      <c r="EY48" s="476"/>
      <c r="EZ48" s="476"/>
      <c r="FA48" s="476"/>
      <c r="FB48" s="476"/>
      <c r="FC48" s="476"/>
      <c r="FD48" s="476"/>
      <c r="FE48" s="476"/>
      <c r="FF48" s="476"/>
      <c r="FG48" s="476"/>
      <c r="FH48" s="476"/>
      <c r="FI48" s="476"/>
      <c r="FJ48" s="476"/>
      <c r="FK48" s="476"/>
      <c r="FL48" s="476"/>
      <c r="FM48" s="476"/>
      <c r="FN48" s="476"/>
      <c r="FO48" s="476"/>
      <c r="FP48" s="476"/>
      <c r="FQ48" s="476"/>
      <c r="FR48" s="476"/>
      <c r="FS48" s="476"/>
      <c r="FT48" s="476"/>
      <c r="FU48" s="476"/>
      <c r="FV48" s="476"/>
      <c r="FW48" s="476"/>
      <c r="FX48" s="476"/>
      <c r="FY48" s="476"/>
      <c r="FZ48" s="476"/>
      <c r="GA48" s="476"/>
      <c r="GB48" s="476"/>
      <c r="GC48" s="476"/>
      <c r="GD48" s="476"/>
      <c r="GE48" s="476"/>
      <c r="GF48" s="476"/>
      <c r="GG48" s="476"/>
      <c r="GH48" s="476"/>
      <c r="GI48" s="476"/>
      <c r="GJ48" s="476"/>
      <c r="GK48" s="476"/>
      <c r="GL48" s="476"/>
      <c r="GM48" s="476"/>
      <c r="GN48" s="476"/>
      <c r="GO48" s="476"/>
      <c r="GP48" s="476"/>
      <c r="GQ48" s="476"/>
      <c r="GR48" s="476"/>
      <c r="GS48" s="476"/>
      <c r="GT48" s="476"/>
      <c r="GU48" s="476"/>
      <c r="GV48" s="476"/>
      <c r="GW48" s="476"/>
      <c r="GX48" s="476"/>
      <c r="GY48" s="476"/>
      <c r="GZ48" s="476"/>
      <c r="HA48" s="476"/>
      <c r="HB48" s="476"/>
      <c r="HC48" s="476"/>
      <c r="HD48" s="476"/>
      <c r="HE48" s="476"/>
      <c r="HF48" s="476"/>
      <c r="HG48" s="476"/>
      <c r="HH48" s="476"/>
      <c r="HI48" s="476"/>
      <c r="HJ48" s="476"/>
      <c r="HK48" s="476"/>
      <c r="HL48" s="476"/>
      <c r="HM48" s="476"/>
      <c r="HN48" s="476"/>
      <c r="HO48" s="476"/>
      <c r="HP48" s="476"/>
      <c r="HQ48" s="476"/>
      <c r="HR48" s="476"/>
      <c r="HS48" s="476"/>
      <c r="HT48" s="476"/>
      <c r="HU48" s="476"/>
      <c r="HV48" s="476"/>
      <c r="HW48" s="476"/>
      <c r="HX48" s="476"/>
      <c r="HY48" s="476"/>
      <c r="HZ48" s="476"/>
      <c r="IA48" s="476"/>
      <c r="IB48" s="476"/>
      <c r="IC48" s="476"/>
      <c r="ID48" s="476"/>
      <c r="IE48" s="476"/>
      <c r="IF48" s="476"/>
      <c r="IG48" s="476"/>
      <c r="IH48" s="476"/>
      <c r="II48" s="476"/>
      <c r="IJ48" s="476"/>
      <c r="IK48" s="476"/>
      <c r="IL48" s="476"/>
      <c r="IM48" s="476"/>
      <c r="IN48" s="476"/>
      <c r="IO48" s="476"/>
      <c r="IP48" s="476"/>
      <c r="IQ48" s="476"/>
      <c r="IR48" s="476"/>
      <c r="IS48" s="476"/>
      <c r="IT48" s="476"/>
      <c r="IU48" s="476"/>
      <c r="IV48" s="476"/>
      <c r="IW48" s="476"/>
    </row>
    <row r="49" customFormat="false" ht="12.75" hidden="false" customHeight="false" outlineLevel="0" collapsed="false">
      <c r="A49" s="476" t="s">
        <v>1076</v>
      </c>
      <c r="B49" s="476" t="n">
        <f aca="false">NPV('general info'!B45,B48:K48)</f>
        <v>45305330.9307404</v>
      </c>
      <c r="L49" s="476"/>
      <c r="M49" s="476"/>
      <c r="N49" s="476"/>
      <c r="O49" s="476"/>
      <c r="P49" s="476"/>
      <c r="Q49" s="476"/>
      <c r="R49" s="476"/>
      <c r="S49" s="476"/>
      <c r="T49" s="476"/>
      <c r="U49" s="476"/>
      <c r="V49" s="476"/>
      <c r="W49" s="476"/>
      <c r="X49" s="476"/>
      <c r="Y49" s="476"/>
      <c r="Z49" s="476"/>
      <c r="AA49" s="476"/>
      <c r="AB49" s="476"/>
      <c r="AC49" s="476"/>
      <c r="AD49" s="476"/>
      <c r="AE49" s="476"/>
      <c r="AF49" s="476"/>
      <c r="AG49" s="476"/>
      <c r="AH49" s="476"/>
      <c r="AI49" s="476"/>
      <c r="AJ49" s="476"/>
      <c r="AK49" s="476"/>
      <c r="AL49" s="476"/>
      <c r="AM49" s="476"/>
      <c r="AN49" s="476"/>
      <c r="AO49" s="476"/>
      <c r="AP49" s="476"/>
      <c r="AQ49" s="476"/>
      <c r="AR49" s="476"/>
      <c r="AS49" s="476"/>
      <c r="AT49" s="476"/>
      <c r="AU49" s="476"/>
      <c r="AV49" s="476"/>
      <c r="AW49" s="476"/>
      <c r="AX49" s="476"/>
      <c r="AY49" s="476"/>
      <c r="AZ49" s="476"/>
      <c r="BA49" s="476"/>
      <c r="BB49" s="476"/>
      <c r="BC49" s="476"/>
      <c r="BD49" s="476"/>
      <c r="BE49" s="476"/>
      <c r="BF49" s="476"/>
      <c r="BG49" s="476"/>
      <c r="BH49" s="476"/>
      <c r="BI49" s="476"/>
      <c r="BJ49" s="476"/>
      <c r="BK49" s="476"/>
      <c r="BL49" s="476"/>
      <c r="BM49" s="476"/>
      <c r="BN49" s="476"/>
      <c r="BO49" s="476"/>
      <c r="BP49" s="476"/>
      <c r="BQ49" s="476"/>
      <c r="BR49" s="476"/>
      <c r="BS49" s="476"/>
      <c r="BT49" s="476"/>
      <c r="BU49" s="476"/>
      <c r="BV49" s="476"/>
      <c r="BW49" s="476"/>
      <c r="BX49" s="476"/>
      <c r="BY49" s="476"/>
      <c r="BZ49" s="476"/>
      <c r="CA49" s="476"/>
      <c r="CB49" s="476"/>
      <c r="CC49" s="476"/>
      <c r="CD49" s="476"/>
      <c r="CE49" s="476"/>
      <c r="CF49" s="476"/>
      <c r="CG49" s="476"/>
      <c r="CH49" s="476"/>
      <c r="CI49" s="476"/>
      <c r="CJ49" s="476"/>
      <c r="CK49" s="476"/>
      <c r="CL49" s="476"/>
      <c r="CM49" s="476"/>
      <c r="CN49" s="476"/>
      <c r="CO49" s="476"/>
      <c r="CP49" s="476"/>
      <c r="CQ49" s="476"/>
      <c r="CR49" s="476"/>
      <c r="CS49" s="476"/>
      <c r="CT49" s="476"/>
      <c r="CU49" s="476"/>
      <c r="CV49" s="476"/>
      <c r="CW49" s="476"/>
      <c r="CX49" s="476"/>
      <c r="CY49" s="476"/>
      <c r="CZ49" s="476"/>
      <c r="DA49" s="476"/>
      <c r="DB49" s="476"/>
      <c r="DC49" s="476"/>
      <c r="DD49" s="476"/>
      <c r="DE49" s="476"/>
      <c r="DF49" s="476"/>
      <c r="DG49" s="476"/>
      <c r="DH49" s="476"/>
      <c r="DI49" s="476"/>
      <c r="DJ49" s="476"/>
      <c r="DK49" s="476"/>
      <c r="DL49" s="476"/>
      <c r="DM49" s="476"/>
      <c r="DN49" s="476"/>
      <c r="DO49" s="476"/>
      <c r="DP49" s="476"/>
      <c r="DQ49" s="476"/>
      <c r="DR49" s="476"/>
      <c r="DS49" s="476"/>
      <c r="DT49" s="476"/>
      <c r="DU49" s="476"/>
      <c r="DV49" s="476"/>
      <c r="DW49" s="476"/>
      <c r="DX49" s="476"/>
      <c r="DY49" s="476"/>
      <c r="DZ49" s="476"/>
      <c r="EA49" s="476"/>
      <c r="EB49" s="476"/>
      <c r="EC49" s="476"/>
      <c r="ED49" s="476"/>
      <c r="EE49" s="476"/>
      <c r="EF49" s="476"/>
      <c r="EG49" s="476"/>
      <c r="EH49" s="476"/>
      <c r="EI49" s="476"/>
      <c r="EJ49" s="476"/>
      <c r="EK49" s="476"/>
      <c r="EL49" s="476"/>
      <c r="EM49" s="476"/>
      <c r="EN49" s="476"/>
      <c r="EO49" s="476"/>
      <c r="EP49" s="476"/>
      <c r="EQ49" s="476"/>
      <c r="ER49" s="476"/>
      <c r="ES49" s="476"/>
      <c r="ET49" s="476"/>
      <c r="EU49" s="476"/>
      <c r="EV49" s="476"/>
      <c r="EW49" s="476"/>
      <c r="EX49" s="476"/>
      <c r="EY49" s="476"/>
      <c r="EZ49" s="476"/>
      <c r="FA49" s="476"/>
      <c r="FB49" s="476"/>
      <c r="FC49" s="476"/>
      <c r="FD49" s="476"/>
      <c r="FE49" s="476"/>
      <c r="FF49" s="476"/>
      <c r="FG49" s="476"/>
      <c r="FH49" s="476"/>
      <c r="FI49" s="476"/>
      <c r="FJ49" s="476"/>
      <c r="FK49" s="476"/>
      <c r="FL49" s="476"/>
      <c r="FM49" s="476"/>
      <c r="FN49" s="476"/>
      <c r="FO49" s="476"/>
      <c r="FP49" s="476"/>
      <c r="FQ49" s="476"/>
      <c r="FR49" s="476"/>
      <c r="FS49" s="476"/>
      <c r="FT49" s="476"/>
      <c r="FU49" s="476"/>
      <c r="FV49" s="476"/>
      <c r="FW49" s="476"/>
      <c r="FX49" s="476"/>
      <c r="FY49" s="476"/>
      <c r="FZ49" s="476"/>
      <c r="GA49" s="476"/>
      <c r="GB49" s="476"/>
      <c r="GC49" s="476"/>
      <c r="GD49" s="476"/>
      <c r="GE49" s="476"/>
      <c r="GF49" s="476"/>
      <c r="GG49" s="476"/>
      <c r="GH49" s="476"/>
      <c r="GI49" s="476"/>
      <c r="GJ49" s="476"/>
      <c r="GK49" s="476"/>
      <c r="GL49" s="476"/>
      <c r="GM49" s="476"/>
      <c r="GN49" s="476"/>
      <c r="GO49" s="476"/>
      <c r="GP49" s="476"/>
      <c r="GQ49" s="476"/>
      <c r="GR49" s="476"/>
      <c r="GS49" s="476"/>
      <c r="GT49" s="476"/>
      <c r="GU49" s="476"/>
      <c r="GV49" s="476"/>
      <c r="GW49" s="476"/>
      <c r="GX49" s="476"/>
      <c r="GY49" s="476"/>
      <c r="GZ49" s="476"/>
      <c r="HA49" s="476"/>
      <c r="HB49" s="476"/>
      <c r="HC49" s="476"/>
      <c r="HD49" s="476"/>
      <c r="HE49" s="476"/>
      <c r="HF49" s="476"/>
      <c r="HG49" s="476"/>
      <c r="HH49" s="476"/>
      <c r="HI49" s="476"/>
      <c r="HJ49" s="476"/>
      <c r="HK49" s="476"/>
      <c r="HL49" s="476"/>
      <c r="HM49" s="476"/>
      <c r="HN49" s="476"/>
      <c r="HO49" s="476"/>
      <c r="HP49" s="476"/>
      <c r="HQ49" s="476"/>
      <c r="HR49" s="476"/>
      <c r="HS49" s="476"/>
      <c r="HT49" s="476"/>
      <c r="HU49" s="476"/>
      <c r="HV49" s="476"/>
      <c r="HW49" s="476"/>
      <c r="HX49" s="476"/>
      <c r="HY49" s="476"/>
      <c r="HZ49" s="476"/>
      <c r="IA49" s="476"/>
      <c r="IB49" s="476"/>
      <c r="IC49" s="476"/>
      <c r="ID49" s="476"/>
      <c r="IE49" s="476"/>
      <c r="IF49" s="476"/>
      <c r="IG49" s="476"/>
      <c r="IH49" s="476"/>
      <c r="II49" s="476"/>
      <c r="IJ49" s="476"/>
      <c r="IK49" s="476"/>
      <c r="IL49" s="476"/>
      <c r="IM49" s="476"/>
      <c r="IN49" s="476"/>
      <c r="IO49" s="476"/>
      <c r="IP49" s="476"/>
      <c r="IQ49" s="476"/>
      <c r="IR49" s="476"/>
      <c r="IS49" s="476"/>
      <c r="IT49" s="476"/>
      <c r="IU49" s="476"/>
      <c r="IV49" s="476"/>
      <c r="IW49" s="476"/>
    </row>
    <row r="50" customFormat="false" ht="12.75" hidden="false" customHeight="false" outlineLevel="0" collapsed="false">
      <c r="L50" s="670"/>
    </row>
    <row r="51" customFormat="false" ht="18.75" hidden="false" customHeight="false" outlineLevel="0" collapsed="false">
      <c r="A51" s="660" t="s">
        <v>1219</v>
      </c>
      <c r="B51" s="608" t="n">
        <v>1</v>
      </c>
      <c r="C51" s="608" t="n">
        <v>2</v>
      </c>
      <c r="D51" s="608" t="n">
        <v>3</v>
      </c>
      <c r="E51" s="608" t="n">
        <v>4</v>
      </c>
      <c r="F51" s="608" t="n">
        <v>5</v>
      </c>
      <c r="G51" s="608" t="n">
        <v>6</v>
      </c>
      <c r="H51" s="608" t="n">
        <v>7</v>
      </c>
      <c r="I51" s="608" t="n">
        <v>8</v>
      </c>
      <c r="J51" s="608" t="n">
        <v>9</v>
      </c>
      <c r="K51" s="608" t="n">
        <v>10</v>
      </c>
    </row>
    <row r="52" customFormat="false" ht="12.75" hidden="false" customHeight="false" outlineLevel="0" collapsed="false">
      <c r="A52" s="476" t="s">
        <v>1220</v>
      </c>
      <c r="B52" s="476" t="n">
        <f aca="false">B41</f>
        <v>29250000</v>
      </c>
      <c r="C52" s="476" t="n">
        <f aca="false">C41</f>
        <v>38025000</v>
      </c>
      <c r="D52" s="476" t="n">
        <f aca="false">D41</f>
        <v>45630000</v>
      </c>
      <c r="E52" s="476" t="n">
        <f aca="false">E41</f>
        <v>50193000</v>
      </c>
      <c r="F52" s="476" t="n">
        <f aca="false">F41</f>
        <v>55212300</v>
      </c>
      <c r="G52" s="476" t="n">
        <f aca="false">G41</f>
        <v>60733530</v>
      </c>
      <c r="H52" s="476" t="n">
        <f aca="false">H41</f>
        <v>66806883</v>
      </c>
      <c r="I52" s="476" t="n">
        <f aca="false">I41</f>
        <v>73487571.3</v>
      </c>
      <c r="J52" s="476" t="n">
        <f aca="false">J41</f>
        <v>80836328.4300001</v>
      </c>
      <c r="K52" s="476" t="n">
        <f aca="false">K41</f>
        <v>88919961.2730001</v>
      </c>
      <c r="L52" s="476"/>
      <c r="M52" s="476"/>
      <c r="N52" s="476"/>
      <c r="O52" s="476"/>
      <c r="P52" s="476"/>
      <c r="Q52" s="476"/>
      <c r="R52" s="476"/>
      <c r="S52" s="476"/>
      <c r="T52" s="476"/>
      <c r="U52" s="476"/>
      <c r="V52" s="476"/>
      <c r="W52" s="476"/>
      <c r="X52" s="476"/>
      <c r="Y52" s="476"/>
      <c r="Z52" s="476"/>
      <c r="AA52" s="476"/>
      <c r="AB52" s="476"/>
      <c r="AC52" s="476"/>
      <c r="AD52" s="476"/>
      <c r="AE52" s="476"/>
      <c r="AF52" s="476"/>
      <c r="AG52" s="476"/>
      <c r="AH52" s="476"/>
      <c r="AI52" s="476"/>
      <c r="AJ52" s="476"/>
      <c r="AK52" s="476"/>
      <c r="AL52" s="476"/>
      <c r="AM52" s="476"/>
      <c r="AN52" s="476"/>
      <c r="AO52" s="476"/>
      <c r="AP52" s="476"/>
      <c r="AQ52" s="476"/>
      <c r="AR52" s="476"/>
      <c r="AS52" s="476"/>
      <c r="AT52" s="476"/>
      <c r="AU52" s="476"/>
      <c r="AV52" s="476"/>
      <c r="AW52" s="476"/>
      <c r="AX52" s="476"/>
      <c r="AY52" s="476"/>
      <c r="AZ52" s="476"/>
      <c r="BA52" s="476"/>
      <c r="BB52" s="476"/>
      <c r="BC52" s="476"/>
      <c r="BD52" s="476"/>
      <c r="BE52" s="476"/>
      <c r="BF52" s="476"/>
      <c r="BG52" s="476"/>
      <c r="BH52" s="476"/>
      <c r="BI52" s="476"/>
      <c r="BJ52" s="476"/>
      <c r="BK52" s="476"/>
      <c r="BL52" s="476"/>
      <c r="BM52" s="476"/>
      <c r="BN52" s="476"/>
      <c r="BO52" s="476"/>
      <c r="BP52" s="476"/>
      <c r="BQ52" s="476"/>
      <c r="BR52" s="476"/>
      <c r="BS52" s="476"/>
      <c r="BT52" s="476"/>
      <c r="BU52" s="476"/>
      <c r="BV52" s="476"/>
      <c r="BW52" s="476"/>
      <c r="BX52" s="476"/>
      <c r="BY52" s="476"/>
      <c r="BZ52" s="476"/>
      <c r="CA52" s="476"/>
      <c r="CB52" s="476"/>
      <c r="CC52" s="476"/>
      <c r="CD52" s="476"/>
      <c r="CE52" s="476"/>
      <c r="CF52" s="476"/>
      <c r="CG52" s="476"/>
      <c r="CH52" s="476"/>
      <c r="CI52" s="476"/>
      <c r="CJ52" s="476"/>
      <c r="CK52" s="476"/>
      <c r="CL52" s="476"/>
      <c r="CM52" s="476"/>
      <c r="CN52" s="476"/>
      <c r="CO52" s="476"/>
      <c r="CP52" s="476"/>
      <c r="CQ52" s="476"/>
      <c r="CR52" s="476"/>
      <c r="CS52" s="476"/>
      <c r="CT52" s="476"/>
      <c r="CU52" s="476"/>
      <c r="CV52" s="476"/>
      <c r="CW52" s="476"/>
      <c r="CX52" s="476"/>
      <c r="CY52" s="476"/>
      <c r="CZ52" s="476"/>
      <c r="DA52" s="476"/>
      <c r="DB52" s="476"/>
      <c r="DC52" s="476"/>
      <c r="DD52" s="476"/>
      <c r="DE52" s="476"/>
      <c r="DF52" s="476"/>
      <c r="DG52" s="476"/>
      <c r="DH52" s="476"/>
      <c r="DI52" s="476"/>
      <c r="DJ52" s="476"/>
      <c r="DK52" s="476"/>
      <c r="DL52" s="476"/>
      <c r="DM52" s="476"/>
      <c r="DN52" s="476"/>
      <c r="DO52" s="476"/>
      <c r="DP52" s="476"/>
      <c r="DQ52" s="476"/>
      <c r="DR52" s="476"/>
      <c r="DS52" s="476"/>
      <c r="DT52" s="476"/>
      <c r="DU52" s="476"/>
      <c r="DV52" s="476"/>
      <c r="DW52" s="476"/>
      <c r="DX52" s="476"/>
      <c r="DY52" s="476"/>
      <c r="DZ52" s="476"/>
      <c r="EA52" s="476"/>
      <c r="EB52" s="476"/>
      <c r="EC52" s="476"/>
      <c r="ED52" s="476"/>
      <c r="EE52" s="476"/>
      <c r="EF52" s="476"/>
      <c r="EG52" s="476"/>
      <c r="EH52" s="476"/>
      <c r="EI52" s="476"/>
      <c r="EJ52" s="476"/>
      <c r="EK52" s="476"/>
      <c r="EL52" s="476"/>
      <c r="EM52" s="476"/>
      <c r="EN52" s="476"/>
      <c r="EO52" s="476"/>
      <c r="EP52" s="476"/>
      <c r="EQ52" s="476"/>
      <c r="ER52" s="476"/>
      <c r="ES52" s="476"/>
      <c r="ET52" s="476"/>
      <c r="EU52" s="476"/>
      <c r="EV52" s="476"/>
      <c r="EW52" s="476"/>
      <c r="EX52" s="476"/>
      <c r="EY52" s="476"/>
      <c r="EZ52" s="476"/>
      <c r="FA52" s="476"/>
      <c r="FB52" s="476"/>
      <c r="FC52" s="476"/>
      <c r="FD52" s="476"/>
      <c r="FE52" s="476"/>
      <c r="FF52" s="476"/>
      <c r="FG52" s="476"/>
      <c r="FH52" s="476"/>
      <c r="FI52" s="476"/>
      <c r="FJ52" s="476"/>
      <c r="FK52" s="476"/>
      <c r="FL52" s="476"/>
      <c r="FM52" s="476"/>
      <c r="FN52" s="476"/>
      <c r="FO52" s="476"/>
      <c r="FP52" s="476"/>
      <c r="FQ52" s="476"/>
      <c r="FR52" s="476"/>
      <c r="FS52" s="476"/>
      <c r="FT52" s="476"/>
      <c r="FU52" s="476"/>
      <c r="FV52" s="476"/>
      <c r="FW52" s="476"/>
      <c r="FX52" s="476"/>
      <c r="FY52" s="476"/>
      <c r="FZ52" s="476"/>
      <c r="GA52" s="476"/>
      <c r="GB52" s="476"/>
      <c r="GC52" s="476"/>
      <c r="GD52" s="476"/>
      <c r="GE52" s="476"/>
      <c r="GF52" s="476"/>
      <c r="GG52" s="476"/>
      <c r="GH52" s="476"/>
      <c r="GI52" s="476"/>
      <c r="GJ52" s="476"/>
      <c r="GK52" s="476"/>
      <c r="GL52" s="476"/>
      <c r="GM52" s="476"/>
      <c r="GN52" s="476"/>
      <c r="GO52" s="476"/>
      <c r="GP52" s="476"/>
      <c r="GQ52" s="476"/>
      <c r="GR52" s="476"/>
      <c r="GS52" s="476"/>
      <c r="GT52" s="476"/>
      <c r="GU52" s="476"/>
      <c r="GV52" s="476"/>
      <c r="GW52" s="476"/>
      <c r="GX52" s="476"/>
      <c r="GY52" s="476"/>
      <c r="GZ52" s="476"/>
      <c r="HA52" s="476"/>
      <c r="HB52" s="476"/>
      <c r="HC52" s="476"/>
      <c r="HD52" s="476"/>
      <c r="HE52" s="476"/>
      <c r="HF52" s="476"/>
      <c r="HG52" s="476"/>
      <c r="HH52" s="476"/>
      <c r="HI52" s="476"/>
      <c r="HJ52" s="476"/>
      <c r="HK52" s="476"/>
      <c r="HL52" s="476"/>
      <c r="HM52" s="476"/>
      <c r="HN52" s="476"/>
      <c r="HO52" s="476"/>
      <c r="HP52" s="476"/>
      <c r="HQ52" s="476"/>
      <c r="HR52" s="476"/>
      <c r="HS52" s="476"/>
      <c r="HT52" s="476"/>
      <c r="HU52" s="476"/>
      <c r="HV52" s="476"/>
      <c r="HW52" s="476"/>
      <c r="HX52" s="476"/>
      <c r="HY52" s="476"/>
      <c r="HZ52" s="476"/>
      <c r="IA52" s="476"/>
      <c r="IB52" s="476"/>
      <c r="IC52" s="476"/>
      <c r="ID52" s="476"/>
      <c r="IE52" s="476"/>
      <c r="IF52" s="476"/>
      <c r="IG52" s="476"/>
      <c r="IH52" s="476"/>
      <c r="II52" s="476"/>
      <c r="IJ52" s="476"/>
      <c r="IK52" s="476"/>
      <c r="IL52" s="476"/>
      <c r="IM52" s="476"/>
      <c r="IN52" s="476"/>
      <c r="IO52" s="476"/>
      <c r="IP52" s="476"/>
      <c r="IQ52" s="476"/>
      <c r="IR52" s="476"/>
      <c r="IS52" s="476"/>
      <c r="IT52" s="476"/>
      <c r="IU52" s="476"/>
      <c r="IV52" s="476"/>
      <c r="IW52" s="476"/>
    </row>
    <row r="53" customFormat="false" ht="12.75" hidden="false" customHeight="false" outlineLevel="0" collapsed="false">
      <c r="A53" s="476" t="s">
        <v>1215</v>
      </c>
      <c r="B53" s="476" t="n">
        <f aca="false">B43</f>
        <v>-21937500</v>
      </c>
      <c r="C53" s="476" t="n">
        <f aca="false">C43</f>
        <v>-28518750</v>
      </c>
      <c r="D53" s="476" t="n">
        <f aca="false">D43</f>
        <v>-34222500</v>
      </c>
      <c r="E53" s="476" t="n">
        <f aca="false">E43</f>
        <v>-37644750</v>
      </c>
      <c r="F53" s="476" t="n">
        <f aca="false">F43</f>
        <v>-41409225</v>
      </c>
      <c r="G53" s="476" t="n">
        <f aca="false">G43</f>
        <v>-45550147.5</v>
      </c>
      <c r="H53" s="476" t="n">
        <f aca="false">H43</f>
        <v>-50105162.25</v>
      </c>
      <c r="I53" s="476" t="n">
        <f aca="false">I43</f>
        <v>-55115678.475</v>
      </c>
      <c r="J53" s="476" t="n">
        <f aca="false">J43</f>
        <v>-60627246.3225</v>
      </c>
      <c r="K53" s="476" t="n">
        <f aca="false">K43</f>
        <v>-66689970.95475</v>
      </c>
      <c r="L53" s="476"/>
      <c r="M53" s="476"/>
      <c r="N53" s="476"/>
      <c r="O53" s="476"/>
      <c r="P53" s="476"/>
      <c r="Q53" s="476"/>
      <c r="R53" s="476"/>
      <c r="S53" s="476"/>
      <c r="T53" s="476"/>
      <c r="U53" s="476"/>
      <c r="V53" s="476"/>
      <c r="W53" s="476"/>
      <c r="X53" s="476"/>
      <c r="Y53" s="476"/>
      <c r="Z53" s="476"/>
      <c r="AA53" s="476"/>
      <c r="AB53" s="476"/>
      <c r="AC53" s="476"/>
      <c r="AD53" s="476"/>
      <c r="AE53" s="476"/>
      <c r="AF53" s="476"/>
      <c r="AG53" s="476"/>
      <c r="AH53" s="476"/>
      <c r="AI53" s="476"/>
      <c r="AJ53" s="476"/>
      <c r="AK53" s="476"/>
      <c r="AL53" s="476"/>
      <c r="AM53" s="476"/>
      <c r="AN53" s="476"/>
      <c r="AO53" s="476"/>
      <c r="AP53" s="476"/>
      <c r="AQ53" s="476"/>
      <c r="AR53" s="476"/>
      <c r="AS53" s="476"/>
      <c r="AT53" s="476"/>
      <c r="AU53" s="476"/>
      <c r="AV53" s="476"/>
      <c r="AW53" s="476"/>
      <c r="AX53" s="476"/>
      <c r="AY53" s="476"/>
      <c r="AZ53" s="476"/>
      <c r="BA53" s="476"/>
      <c r="BB53" s="476"/>
      <c r="BC53" s="476"/>
      <c r="BD53" s="476"/>
      <c r="BE53" s="476"/>
      <c r="BF53" s="476"/>
      <c r="BG53" s="476"/>
      <c r="BH53" s="476"/>
      <c r="BI53" s="476"/>
      <c r="BJ53" s="476"/>
      <c r="BK53" s="476"/>
      <c r="BL53" s="476"/>
      <c r="BM53" s="476"/>
      <c r="BN53" s="476"/>
      <c r="BO53" s="476"/>
      <c r="BP53" s="476"/>
      <c r="BQ53" s="476"/>
      <c r="BR53" s="476"/>
      <c r="BS53" s="476"/>
      <c r="BT53" s="476"/>
      <c r="BU53" s="476"/>
      <c r="BV53" s="476"/>
      <c r="BW53" s="476"/>
      <c r="BX53" s="476"/>
      <c r="BY53" s="476"/>
      <c r="BZ53" s="476"/>
      <c r="CA53" s="476"/>
      <c r="CB53" s="476"/>
      <c r="CC53" s="476"/>
      <c r="CD53" s="476"/>
      <c r="CE53" s="476"/>
      <c r="CF53" s="476"/>
      <c r="CG53" s="476"/>
      <c r="CH53" s="476"/>
      <c r="CI53" s="476"/>
      <c r="CJ53" s="476"/>
      <c r="CK53" s="476"/>
      <c r="CL53" s="476"/>
      <c r="CM53" s="476"/>
      <c r="CN53" s="476"/>
      <c r="CO53" s="476"/>
      <c r="CP53" s="476"/>
      <c r="CQ53" s="476"/>
      <c r="CR53" s="476"/>
      <c r="CS53" s="476"/>
      <c r="CT53" s="476"/>
      <c r="CU53" s="476"/>
      <c r="CV53" s="476"/>
      <c r="CW53" s="476"/>
      <c r="CX53" s="476"/>
      <c r="CY53" s="476"/>
      <c r="CZ53" s="476"/>
      <c r="DA53" s="476"/>
      <c r="DB53" s="476"/>
      <c r="DC53" s="476"/>
      <c r="DD53" s="476"/>
      <c r="DE53" s="476"/>
      <c r="DF53" s="476"/>
      <c r="DG53" s="476"/>
      <c r="DH53" s="476"/>
      <c r="DI53" s="476"/>
      <c r="DJ53" s="476"/>
      <c r="DK53" s="476"/>
      <c r="DL53" s="476"/>
      <c r="DM53" s="476"/>
      <c r="DN53" s="476"/>
      <c r="DO53" s="476"/>
      <c r="DP53" s="476"/>
      <c r="DQ53" s="476"/>
      <c r="DR53" s="476"/>
      <c r="DS53" s="476"/>
      <c r="DT53" s="476"/>
      <c r="DU53" s="476"/>
      <c r="DV53" s="476"/>
      <c r="DW53" s="476"/>
      <c r="DX53" s="476"/>
      <c r="DY53" s="476"/>
      <c r="DZ53" s="476"/>
      <c r="EA53" s="476"/>
      <c r="EB53" s="476"/>
      <c r="EC53" s="476"/>
      <c r="ED53" s="476"/>
      <c r="EE53" s="476"/>
      <c r="EF53" s="476"/>
      <c r="EG53" s="476"/>
      <c r="EH53" s="476"/>
      <c r="EI53" s="476"/>
      <c r="EJ53" s="476"/>
      <c r="EK53" s="476"/>
      <c r="EL53" s="476"/>
      <c r="EM53" s="476"/>
      <c r="EN53" s="476"/>
      <c r="EO53" s="476"/>
      <c r="EP53" s="476"/>
      <c r="EQ53" s="476"/>
      <c r="ER53" s="476"/>
      <c r="ES53" s="476"/>
      <c r="ET53" s="476"/>
      <c r="EU53" s="476"/>
      <c r="EV53" s="476"/>
      <c r="EW53" s="476"/>
      <c r="EX53" s="476"/>
      <c r="EY53" s="476"/>
      <c r="EZ53" s="476"/>
      <c r="FA53" s="476"/>
      <c r="FB53" s="476"/>
      <c r="FC53" s="476"/>
      <c r="FD53" s="476"/>
      <c r="FE53" s="476"/>
      <c r="FF53" s="476"/>
      <c r="FG53" s="476"/>
      <c r="FH53" s="476"/>
      <c r="FI53" s="476"/>
      <c r="FJ53" s="476"/>
      <c r="FK53" s="476"/>
      <c r="FL53" s="476"/>
      <c r="FM53" s="476"/>
      <c r="FN53" s="476"/>
      <c r="FO53" s="476"/>
      <c r="FP53" s="476"/>
      <c r="FQ53" s="476"/>
      <c r="FR53" s="476"/>
      <c r="FS53" s="476"/>
      <c r="FT53" s="476"/>
      <c r="FU53" s="476"/>
      <c r="FV53" s="476"/>
      <c r="FW53" s="476"/>
      <c r="FX53" s="476"/>
      <c r="FY53" s="476"/>
      <c r="FZ53" s="476"/>
      <c r="GA53" s="476"/>
      <c r="GB53" s="476"/>
      <c r="GC53" s="476"/>
      <c r="GD53" s="476"/>
      <c r="GE53" s="476"/>
      <c r="GF53" s="476"/>
      <c r="GG53" s="476"/>
      <c r="GH53" s="476"/>
      <c r="GI53" s="476"/>
      <c r="GJ53" s="476"/>
      <c r="GK53" s="476"/>
      <c r="GL53" s="476"/>
      <c r="GM53" s="476"/>
      <c r="GN53" s="476"/>
      <c r="GO53" s="476"/>
      <c r="GP53" s="476"/>
      <c r="GQ53" s="476"/>
      <c r="GR53" s="476"/>
      <c r="GS53" s="476"/>
      <c r="GT53" s="476"/>
      <c r="GU53" s="476"/>
      <c r="GV53" s="476"/>
      <c r="GW53" s="476"/>
      <c r="GX53" s="476"/>
      <c r="GY53" s="476"/>
      <c r="GZ53" s="476"/>
      <c r="HA53" s="476"/>
      <c r="HB53" s="476"/>
      <c r="HC53" s="476"/>
      <c r="HD53" s="476"/>
      <c r="HE53" s="476"/>
      <c r="HF53" s="476"/>
      <c r="HG53" s="476"/>
      <c r="HH53" s="476"/>
      <c r="HI53" s="476"/>
      <c r="HJ53" s="476"/>
      <c r="HK53" s="476"/>
      <c r="HL53" s="476"/>
      <c r="HM53" s="476"/>
      <c r="HN53" s="476"/>
      <c r="HO53" s="476"/>
      <c r="HP53" s="476"/>
      <c r="HQ53" s="476"/>
      <c r="HR53" s="476"/>
      <c r="HS53" s="476"/>
      <c r="HT53" s="476"/>
      <c r="HU53" s="476"/>
      <c r="HV53" s="476"/>
      <c r="HW53" s="476"/>
      <c r="HX53" s="476"/>
      <c r="HY53" s="476"/>
      <c r="HZ53" s="476"/>
      <c r="IA53" s="476"/>
      <c r="IB53" s="476"/>
      <c r="IC53" s="476"/>
      <c r="ID53" s="476"/>
      <c r="IE53" s="476"/>
      <c r="IF53" s="476"/>
      <c r="IG53" s="476"/>
      <c r="IH53" s="476"/>
      <c r="II53" s="476"/>
      <c r="IJ53" s="476"/>
      <c r="IK53" s="476"/>
      <c r="IL53" s="476"/>
      <c r="IM53" s="476"/>
      <c r="IN53" s="476"/>
      <c r="IO53" s="476"/>
      <c r="IP53" s="476"/>
      <c r="IQ53" s="476"/>
      <c r="IR53" s="476"/>
      <c r="IS53" s="476"/>
      <c r="IT53" s="476"/>
      <c r="IU53" s="476"/>
      <c r="IV53" s="476"/>
      <c r="IW53" s="476"/>
    </row>
    <row r="54" customFormat="false" ht="12.75" hidden="false" customHeight="false" outlineLevel="0" collapsed="false">
      <c r="A54" s="102" t="s">
        <v>1221</v>
      </c>
      <c r="B54" s="666" t="n">
        <f aca="false">B45</f>
        <v>-2193750</v>
      </c>
      <c r="C54" s="666" t="n">
        <f aca="false">C45</f>
        <v>-2756812.5</v>
      </c>
      <c r="D54" s="666" t="n">
        <f aca="false">D45</f>
        <v>-3194100</v>
      </c>
      <c r="E54" s="666" t="n">
        <f aca="false">E45</f>
        <v>-3388027.5</v>
      </c>
      <c r="F54" s="666" t="n">
        <f aca="false">F45</f>
        <v>-3588799.5</v>
      </c>
      <c r="G54" s="666" t="n">
        <f aca="false">G45</f>
        <v>-3795845.625</v>
      </c>
      <c r="H54" s="666" t="n">
        <f aca="false">H45</f>
        <v>-4008412.98</v>
      </c>
      <c r="I54" s="666" t="n">
        <f aca="false">I45</f>
        <v>-4225535.34975</v>
      </c>
      <c r="J54" s="666" t="n">
        <f aca="false">J45</f>
        <v>-4445998.06365</v>
      </c>
      <c r="K54" s="666" t="n">
        <f aca="false">K45</f>
        <v>-4668297.9668325</v>
      </c>
      <c r="L54" s="102"/>
      <c r="M54" s="102"/>
      <c r="N54" s="102"/>
      <c r="O54" s="102"/>
      <c r="P54" s="102"/>
      <c r="Q54" s="102"/>
      <c r="R54" s="102"/>
      <c r="S54" s="102"/>
      <c r="T54" s="102"/>
      <c r="U54" s="102"/>
      <c r="V54" s="102"/>
      <c r="W54" s="102"/>
      <c r="X54" s="102"/>
      <c r="Y54" s="102"/>
      <c r="Z54" s="102"/>
      <c r="AA54" s="102"/>
      <c r="AB54" s="102"/>
      <c r="AC54" s="102"/>
      <c r="AD54" s="102"/>
      <c r="AE54" s="102"/>
      <c r="AF54" s="102"/>
      <c r="AG54" s="102"/>
      <c r="AH54" s="102"/>
      <c r="AI54" s="102"/>
      <c r="AJ54" s="102"/>
      <c r="AK54" s="102"/>
      <c r="AL54" s="102"/>
      <c r="AM54" s="102"/>
      <c r="AN54" s="102"/>
      <c r="AO54" s="102"/>
      <c r="AP54" s="102"/>
      <c r="AQ54" s="102"/>
      <c r="AR54" s="102"/>
      <c r="AS54" s="102"/>
      <c r="AT54" s="102"/>
      <c r="AU54" s="102"/>
      <c r="AV54" s="102"/>
      <c r="AW54" s="102"/>
      <c r="AX54" s="102"/>
      <c r="AY54" s="102"/>
      <c r="AZ54" s="102"/>
      <c r="BA54" s="102"/>
      <c r="BB54" s="102"/>
      <c r="BC54" s="102"/>
      <c r="BD54" s="102"/>
      <c r="BE54" s="102"/>
      <c r="BF54" s="102"/>
      <c r="BG54" s="102"/>
      <c r="BH54" s="102"/>
      <c r="BI54" s="102"/>
      <c r="BJ54" s="102"/>
      <c r="BK54" s="102"/>
      <c r="BL54" s="102"/>
      <c r="BM54" s="102"/>
      <c r="BN54" s="102"/>
      <c r="BO54" s="102"/>
      <c r="BP54" s="102"/>
      <c r="BQ54" s="102"/>
      <c r="BR54" s="102"/>
      <c r="BS54" s="102"/>
      <c r="BT54" s="102"/>
      <c r="BU54" s="102"/>
      <c r="BV54" s="102"/>
      <c r="BW54" s="102"/>
      <c r="BX54" s="102"/>
      <c r="BY54" s="102"/>
      <c r="BZ54" s="102"/>
      <c r="CA54" s="102"/>
      <c r="CB54" s="102"/>
      <c r="CC54" s="102"/>
      <c r="CD54" s="102"/>
      <c r="CE54" s="102"/>
      <c r="CF54" s="102"/>
      <c r="CG54" s="102"/>
      <c r="CH54" s="102"/>
      <c r="CI54" s="102"/>
      <c r="CJ54" s="102"/>
      <c r="CK54" s="102"/>
      <c r="CL54" s="102"/>
      <c r="CM54" s="102"/>
      <c r="CN54" s="102"/>
      <c r="CO54" s="102"/>
      <c r="CP54" s="102"/>
      <c r="CQ54" s="102"/>
      <c r="CR54" s="102"/>
      <c r="CS54" s="102"/>
      <c r="CT54" s="102"/>
      <c r="CU54" s="102"/>
      <c r="CV54" s="102"/>
      <c r="CW54" s="102"/>
      <c r="CX54" s="102"/>
      <c r="CY54" s="102"/>
      <c r="CZ54" s="102"/>
      <c r="DA54" s="102"/>
      <c r="DB54" s="102"/>
      <c r="DC54" s="102"/>
      <c r="DD54" s="102"/>
      <c r="DE54" s="102"/>
      <c r="DF54" s="102"/>
      <c r="DG54" s="102"/>
      <c r="DH54" s="102"/>
      <c r="DI54" s="102"/>
      <c r="DJ54" s="102"/>
      <c r="DK54" s="102"/>
      <c r="DL54" s="102"/>
      <c r="DM54" s="102"/>
      <c r="DN54" s="102"/>
      <c r="DO54" s="102"/>
      <c r="DP54" s="102"/>
      <c r="DQ54" s="102"/>
      <c r="DR54" s="102"/>
      <c r="DS54" s="102"/>
      <c r="DT54" s="102"/>
      <c r="DU54" s="102"/>
      <c r="DV54" s="102"/>
      <c r="DW54" s="102"/>
      <c r="DX54" s="102"/>
      <c r="DY54" s="102"/>
      <c r="DZ54" s="102"/>
      <c r="EA54" s="102"/>
      <c r="EB54" s="102"/>
      <c r="EC54" s="102"/>
      <c r="ED54" s="102"/>
      <c r="EE54" s="102"/>
      <c r="EF54" s="102"/>
      <c r="EG54" s="102"/>
      <c r="EH54" s="102"/>
      <c r="EI54" s="102"/>
      <c r="EJ54" s="102"/>
      <c r="EK54" s="102"/>
      <c r="EL54" s="102"/>
      <c r="EM54" s="102"/>
      <c r="EN54" s="102"/>
      <c r="EO54" s="102"/>
      <c r="EP54" s="102"/>
      <c r="EQ54" s="102"/>
      <c r="ER54" s="102"/>
      <c r="ES54" s="102"/>
      <c r="ET54" s="102"/>
      <c r="EU54" s="102"/>
      <c r="EV54" s="102"/>
      <c r="EW54" s="102"/>
      <c r="EX54" s="102"/>
      <c r="EY54" s="102"/>
      <c r="EZ54" s="102"/>
      <c r="FA54" s="102"/>
      <c r="FB54" s="102"/>
      <c r="FC54" s="102"/>
      <c r="FD54" s="102"/>
      <c r="FE54" s="102"/>
      <c r="FF54" s="102"/>
      <c r="FG54" s="102"/>
      <c r="FH54" s="102"/>
      <c r="FI54" s="102"/>
      <c r="FJ54" s="102"/>
      <c r="FK54" s="102"/>
      <c r="FL54" s="102"/>
      <c r="FM54" s="102"/>
      <c r="FN54" s="102"/>
      <c r="FO54" s="102"/>
      <c r="FP54" s="102"/>
      <c r="FQ54" s="102"/>
      <c r="FR54" s="102"/>
      <c r="FS54" s="102"/>
      <c r="FT54" s="102"/>
      <c r="FU54" s="102"/>
      <c r="FV54" s="102"/>
      <c r="FW54" s="102"/>
      <c r="FX54" s="102"/>
      <c r="FY54" s="102"/>
      <c r="FZ54" s="102"/>
      <c r="GA54" s="102"/>
      <c r="GB54" s="102"/>
      <c r="GC54" s="102"/>
      <c r="GD54" s="102"/>
      <c r="GE54" s="102"/>
      <c r="GF54" s="102"/>
      <c r="GG54" s="102"/>
      <c r="GH54" s="102"/>
      <c r="GI54" s="102"/>
      <c r="GJ54" s="102"/>
      <c r="GK54" s="102"/>
      <c r="GL54" s="102"/>
      <c r="GM54" s="102"/>
      <c r="GN54" s="102"/>
      <c r="GO54" s="102"/>
      <c r="GP54" s="102"/>
      <c r="GQ54" s="102"/>
      <c r="GR54" s="102"/>
      <c r="GS54" s="102"/>
      <c r="GT54" s="102"/>
      <c r="GU54" s="102"/>
      <c r="GV54" s="102"/>
      <c r="GW54" s="102"/>
      <c r="GX54" s="102"/>
      <c r="GY54" s="102"/>
      <c r="GZ54" s="102"/>
      <c r="HA54" s="102"/>
      <c r="HB54" s="102"/>
      <c r="HC54" s="102"/>
      <c r="HD54" s="102"/>
      <c r="HE54" s="102"/>
      <c r="HF54" s="102"/>
      <c r="HG54" s="102"/>
      <c r="HH54" s="102"/>
      <c r="HI54" s="102"/>
      <c r="HJ54" s="102"/>
      <c r="HK54" s="102"/>
      <c r="HL54" s="102"/>
      <c r="HM54" s="102"/>
      <c r="HN54" s="102"/>
      <c r="HO54" s="102"/>
      <c r="HP54" s="102"/>
      <c r="HQ54" s="102"/>
      <c r="HR54" s="102"/>
      <c r="HS54" s="102"/>
      <c r="HT54" s="102"/>
      <c r="HU54" s="102"/>
      <c r="HV54" s="102"/>
      <c r="HW54" s="102"/>
      <c r="HX54" s="102"/>
      <c r="HY54" s="102"/>
      <c r="HZ54" s="102"/>
      <c r="IA54" s="102"/>
      <c r="IB54" s="102"/>
      <c r="IC54" s="102"/>
      <c r="ID54" s="102"/>
      <c r="IE54" s="102"/>
      <c r="IF54" s="102"/>
      <c r="IG54" s="102"/>
      <c r="IH54" s="102"/>
      <c r="II54" s="102"/>
      <c r="IJ54" s="102"/>
      <c r="IK54" s="102"/>
      <c r="IL54" s="102"/>
      <c r="IM54" s="102"/>
      <c r="IN54" s="102"/>
      <c r="IO54" s="102"/>
      <c r="IP54" s="102"/>
      <c r="IQ54" s="102"/>
      <c r="IR54" s="102"/>
      <c r="IS54" s="102"/>
      <c r="IT54" s="102"/>
      <c r="IU54" s="102"/>
      <c r="IV54" s="102"/>
      <c r="IW54" s="102"/>
    </row>
    <row r="55" customFormat="false" ht="12.75" hidden="false" customHeight="false" outlineLevel="0" collapsed="false">
      <c r="A55" s="102" t="s">
        <v>1222</v>
      </c>
      <c r="B55" s="666" t="n">
        <f aca="false">B46</f>
        <v>-700000</v>
      </c>
      <c r="C55" s="666" t="n">
        <f aca="false">C46</f>
        <v>-910000</v>
      </c>
      <c r="D55" s="666" t="n">
        <f aca="false">D46</f>
        <v>-1092000</v>
      </c>
      <c r="E55" s="666" t="n">
        <f aca="false">E46</f>
        <v>-1201200</v>
      </c>
      <c r="F55" s="666" t="n">
        <f aca="false">F46</f>
        <v>-1321320</v>
      </c>
      <c r="G55" s="666" t="n">
        <f aca="false">G46</f>
        <v>-1453452</v>
      </c>
      <c r="H55" s="666" t="n">
        <f aca="false">H46</f>
        <v>-1598797.2</v>
      </c>
      <c r="I55" s="666" t="n">
        <f aca="false">I46</f>
        <v>-1758676.92</v>
      </c>
      <c r="J55" s="666" t="n">
        <f aca="false">J46</f>
        <v>-1934544.612</v>
      </c>
      <c r="K55" s="666" t="n">
        <f aca="false">K46</f>
        <v>-2127999.0732</v>
      </c>
      <c r="L55" s="102"/>
      <c r="M55" s="102"/>
      <c r="N55" s="102"/>
      <c r="O55" s="102"/>
      <c r="P55" s="102"/>
      <c r="Q55" s="102"/>
      <c r="R55" s="102"/>
      <c r="S55" s="102"/>
      <c r="T55" s="102"/>
      <c r="U55" s="102"/>
      <c r="V55" s="102"/>
      <c r="W55" s="102"/>
      <c r="X55" s="102"/>
      <c r="Y55" s="102"/>
      <c r="Z55" s="102"/>
      <c r="AA55" s="102"/>
      <c r="AB55" s="102"/>
      <c r="AC55" s="102"/>
      <c r="AD55" s="102"/>
      <c r="AE55" s="102"/>
      <c r="AF55" s="102"/>
      <c r="AG55" s="102"/>
      <c r="AH55" s="102"/>
      <c r="AI55" s="102"/>
      <c r="AJ55" s="102"/>
      <c r="AK55" s="102"/>
      <c r="AL55" s="102"/>
      <c r="AM55" s="102"/>
      <c r="AN55" s="102"/>
      <c r="AO55" s="102"/>
      <c r="AP55" s="102"/>
      <c r="AQ55" s="102"/>
      <c r="AR55" s="102"/>
      <c r="AS55" s="102"/>
      <c r="AT55" s="102"/>
      <c r="AU55" s="102"/>
      <c r="AV55" s="102"/>
      <c r="AW55" s="102"/>
      <c r="AX55" s="102"/>
      <c r="AY55" s="102"/>
      <c r="AZ55" s="102"/>
      <c r="BA55" s="102"/>
      <c r="BB55" s="102"/>
      <c r="BC55" s="102"/>
      <c r="BD55" s="102"/>
      <c r="BE55" s="102"/>
      <c r="BF55" s="102"/>
      <c r="BG55" s="102"/>
      <c r="BH55" s="102"/>
      <c r="BI55" s="102"/>
      <c r="BJ55" s="102"/>
      <c r="BK55" s="102"/>
      <c r="BL55" s="102"/>
      <c r="BM55" s="102"/>
      <c r="BN55" s="102"/>
      <c r="BO55" s="102"/>
      <c r="BP55" s="102"/>
      <c r="BQ55" s="102"/>
      <c r="BR55" s="102"/>
      <c r="BS55" s="102"/>
      <c r="BT55" s="102"/>
      <c r="BU55" s="102"/>
      <c r="BV55" s="102"/>
      <c r="BW55" s="102"/>
      <c r="BX55" s="102"/>
      <c r="BY55" s="102"/>
      <c r="BZ55" s="102"/>
      <c r="CA55" s="102"/>
      <c r="CB55" s="102"/>
      <c r="CC55" s="102"/>
      <c r="CD55" s="102"/>
      <c r="CE55" s="102"/>
      <c r="CF55" s="102"/>
      <c r="CG55" s="102"/>
      <c r="CH55" s="102"/>
      <c r="CI55" s="102"/>
      <c r="CJ55" s="102"/>
      <c r="CK55" s="102"/>
      <c r="CL55" s="102"/>
      <c r="CM55" s="102"/>
      <c r="CN55" s="102"/>
      <c r="CO55" s="102"/>
      <c r="CP55" s="102"/>
      <c r="CQ55" s="102"/>
      <c r="CR55" s="102"/>
      <c r="CS55" s="102"/>
      <c r="CT55" s="102"/>
      <c r="CU55" s="102"/>
      <c r="CV55" s="102"/>
      <c r="CW55" s="102"/>
      <c r="CX55" s="102"/>
      <c r="CY55" s="102"/>
      <c r="CZ55" s="102"/>
      <c r="DA55" s="102"/>
      <c r="DB55" s="102"/>
      <c r="DC55" s="102"/>
      <c r="DD55" s="102"/>
      <c r="DE55" s="102"/>
      <c r="DF55" s="102"/>
      <c r="DG55" s="102"/>
      <c r="DH55" s="102"/>
      <c r="DI55" s="102"/>
      <c r="DJ55" s="102"/>
      <c r="DK55" s="102"/>
      <c r="DL55" s="102"/>
      <c r="DM55" s="102"/>
      <c r="DN55" s="102"/>
      <c r="DO55" s="102"/>
      <c r="DP55" s="102"/>
      <c r="DQ55" s="102"/>
      <c r="DR55" s="102"/>
      <c r="DS55" s="102"/>
      <c r="DT55" s="102"/>
      <c r="DU55" s="102"/>
      <c r="DV55" s="102"/>
      <c r="DW55" s="102"/>
      <c r="DX55" s="102"/>
      <c r="DY55" s="102"/>
      <c r="DZ55" s="102"/>
      <c r="EA55" s="102"/>
      <c r="EB55" s="102"/>
      <c r="EC55" s="102"/>
      <c r="ED55" s="102"/>
      <c r="EE55" s="102"/>
      <c r="EF55" s="102"/>
      <c r="EG55" s="102"/>
      <c r="EH55" s="102"/>
      <c r="EI55" s="102"/>
      <c r="EJ55" s="102"/>
      <c r="EK55" s="102"/>
      <c r="EL55" s="102"/>
      <c r="EM55" s="102"/>
      <c r="EN55" s="102"/>
      <c r="EO55" s="102"/>
      <c r="EP55" s="102"/>
      <c r="EQ55" s="102"/>
      <c r="ER55" s="102"/>
      <c r="ES55" s="102"/>
      <c r="ET55" s="102"/>
      <c r="EU55" s="102"/>
      <c r="EV55" s="102"/>
      <c r="EW55" s="102"/>
      <c r="EX55" s="102"/>
      <c r="EY55" s="102"/>
      <c r="EZ55" s="102"/>
      <c r="FA55" s="102"/>
      <c r="FB55" s="102"/>
      <c r="FC55" s="102"/>
      <c r="FD55" s="102"/>
      <c r="FE55" s="102"/>
      <c r="FF55" s="102"/>
      <c r="FG55" s="102"/>
      <c r="FH55" s="102"/>
      <c r="FI55" s="102"/>
      <c r="FJ55" s="102"/>
      <c r="FK55" s="102"/>
      <c r="FL55" s="102"/>
      <c r="FM55" s="102"/>
      <c r="FN55" s="102"/>
      <c r="FO55" s="102"/>
      <c r="FP55" s="102"/>
      <c r="FQ55" s="102"/>
      <c r="FR55" s="102"/>
      <c r="FS55" s="102"/>
      <c r="FT55" s="102"/>
      <c r="FU55" s="102"/>
      <c r="FV55" s="102"/>
      <c r="FW55" s="102"/>
      <c r="FX55" s="102"/>
      <c r="FY55" s="102"/>
      <c r="FZ55" s="102"/>
      <c r="GA55" s="102"/>
      <c r="GB55" s="102"/>
      <c r="GC55" s="102"/>
      <c r="GD55" s="102"/>
      <c r="GE55" s="102"/>
      <c r="GF55" s="102"/>
      <c r="GG55" s="102"/>
      <c r="GH55" s="102"/>
      <c r="GI55" s="102"/>
      <c r="GJ55" s="102"/>
      <c r="GK55" s="102"/>
      <c r="GL55" s="102"/>
      <c r="GM55" s="102"/>
      <c r="GN55" s="102"/>
      <c r="GO55" s="102"/>
      <c r="GP55" s="102"/>
      <c r="GQ55" s="102"/>
      <c r="GR55" s="102"/>
      <c r="GS55" s="102"/>
      <c r="GT55" s="102"/>
      <c r="GU55" s="102"/>
      <c r="GV55" s="102"/>
      <c r="GW55" s="102"/>
      <c r="GX55" s="102"/>
      <c r="GY55" s="102"/>
      <c r="GZ55" s="102"/>
      <c r="HA55" s="102"/>
      <c r="HB55" s="102"/>
      <c r="HC55" s="102"/>
      <c r="HD55" s="102"/>
      <c r="HE55" s="102"/>
      <c r="HF55" s="102"/>
      <c r="HG55" s="102"/>
      <c r="HH55" s="102"/>
      <c r="HI55" s="102"/>
      <c r="HJ55" s="102"/>
      <c r="HK55" s="102"/>
      <c r="HL55" s="102"/>
      <c r="HM55" s="102"/>
      <c r="HN55" s="102"/>
      <c r="HO55" s="102"/>
      <c r="HP55" s="102"/>
      <c r="HQ55" s="102"/>
      <c r="HR55" s="102"/>
      <c r="HS55" s="102"/>
      <c r="HT55" s="102"/>
      <c r="HU55" s="102"/>
      <c r="HV55" s="102"/>
      <c r="HW55" s="102"/>
      <c r="HX55" s="102"/>
      <c r="HY55" s="102"/>
      <c r="HZ55" s="102"/>
      <c r="IA55" s="102"/>
      <c r="IB55" s="102"/>
      <c r="IC55" s="102"/>
      <c r="ID55" s="102"/>
      <c r="IE55" s="102"/>
      <c r="IF55" s="102"/>
      <c r="IG55" s="102"/>
      <c r="IH55" s="102"/>
      <c r="II55" s="102"/>
      <c r="IJ55" s="102"/>
      <c r="IK55" s="102"/>
      <c r="IL55" s="102"/>
      <c r="IM55" s="102"/>
      <c r="IN55" s="102"/>
      <c r="IO55" s="102"/>
      <c r="IP55" s="102"/>
      <c r="IQ55" s="102"/>
      <c r="IR55" s="102"/>
      <c r="IS55" s="102"/>
      <c r="IT55" s="102"/>
      <c r="IU55" s="102"/>
      <c r="IV55" s="102"/>
      <c r="IW55" s="102"/>
    </row>
    <row r="56" customFormat="false" ht="12.75" hidden="false" customHeight="false" outlineLevel="0" collapsed="false">
      <c r="A56" s="102"/>
      <c r="B56" s="666"/>
      <c r="C56" s="666"/>
      <c r="D56" s="666"/>
      <c r="E56" s="666"/>
      <c r="F56" s="666"/>
      <c r="G56" s="666"/>
      <c r="H56" s="666"/>
      <c r="I56" s="666"/>
      <c r="J56" s="666"/>
      <c r="K56" s="666"/>
      <c r="L56" s="102"/>
      <c r="M56" s="102"/>
      <c r="N56" s="102"/>
      <c r="O56" s="102"/>
      <c r="P56" s="102"/>
      <c r="Q56" s="102"/>
      <c r="R56" s="102"/>
      <c r="S56" s="102"/>
      <c r="T56" s="102"/>
      <c r="U56" s="102"/>
      <c r="V56" s="102"/>
      <c r="W56" s="102"/>
      <c r="X56" s="102"/>
      <c r="Y56" s="102"/>
      <c r="Z56" s="102"/>
      <c r="AA56" s="102"/>
      <c r="AB56" s="102"/>
      <c r="AC56" s="102"/>
      <c r="AD56" s="102"/>
      <c r="AE56" s="102"/>
      <c r="AF56" s="102"/>
      <c r="AG56" s="102"/>
      <c r="AH56" s="102"/>
      <c r="AI56" s="102"/>
      <c r="AJ56" s="102"/>
      <c r="AK56" s="102"/>
      <c r="AL56" s="102"/>
      <c r="AM56" s="102"/>
      <c r="AN56" s="102"/>
      <c r="AO56" s="102"/>
      <c r="AP56" s="102"/>
      <c r="AQ56" s="102"/>
      <c r="AR56" s="102"/>
      <c r="AS56" s="102"/>
      <c r="AT56" s="102"/>
      <c r="AU56" s="102"/>
      <c r="AV56" s="102"/>
      <c r="AW56" s="102"/>
      <c r="AX56" s="102"/>
      <c r="AY56" s="102"/>
      <c r="AZ56" s="102"/>
      <c r="BA56" s="102"/>
      <c r="BB56" s="102"/>
      <c r="BC56" s="102"/>
      <c r="BD56" s="102"/>
      <c r="BE56" s="102"/>
      <c r="BF56" s="102"/>
      <c r="BG56" s="102"/>
      <c r="BH56" s="102"/>
      <c r="BI56" s="102"/>
      <c r="BJ56" s="102"/>
      <c r="BK56" s="102"/>
      <c r="BL56" s="102"/>
      <c r="BM56" s="102"/>
      <c r="BN56" s="102"/>
      <c r="BO56" s="102"/>
      <c r="BP56" s="102"/>
      <c r="BQ56" s="102"/>
      <c r="BR56" s="102"/>
      <c r="BS56" s="102"/>
      <c r="BT56" s="102"/>
      <c r="BU56" s="102"/>
      <c r="BV56" s="102"/>
      <c r="BW56" s="102"/>
      <c r="BX56" s="102"/>
      <c r="BY56" s="102"/>
      <c r="BZ56" s="102"/>
      <c r="CA56" s="102"/>
      <c r="CB56" s="102"/>
      <c r="CC56" s="102"/>
      <c r="CD56" s="102"/>
      <c r="CE56" s="102"/>
      <c r="CF56" s="102"/>
      <c r="CG56" s="102"/>
      <c r="CH56" s="102"/>
      <c r="CI56" s="102"/>
      <c r="CJ56" s="102"/>
      <c r="CK56" s="102"/>
      <c r="CL56" s="102"/>
      <c r="CM56" s="102"/>
      <c r="CN56" s="102"/>
      <c r="CO56" s="102"/>
      <c r="CP56" s="102"/>
      <c r="CQ56" s="102"/>
      <c r="CR56" s="102"/>
      <c r="CS56" s="102"/>
      <c r="CT56" s="102"/>
      <c r="CU56" s="102"/>
      <c r="CV56" s="102"/>
      <c r="CW56" s="102"/>
      <c r="CX56" s="102"/>
      <c r="CY56" s="102"/>
      <c r="CZ56" s="102"/>
      <c r="DA56" s="102"/>
      <c r="DB56" s="102"/>
      <c r="DC56" s="102"/>
      <c r="DD56" s="102"/>
      <c r="DE56" s="102"/>
      <c r="DF56" s="102"/>
      <c r="DG56" s="102"/>
      <c r="DH56" s="102"/>
      <c r="DI56" s="102"/>
      <c r="DJ56" s="102"/>
      <c r="DK56" s="102"/>
      <c r="DL56" s="102"/>
      <c r="DM56" s="102"/>
      <c r="DN56" s="102"/>
      <c r="DO56" s="102"/>
      <c r="DP56" s="102"/>
      <c r="DQ56" s="102"/>
      <c r="DR56" s="102"/>
      <c r="DS56" s="102"/>
      <c r="DT56" s="102"/>
      <c r="DU56" s="102"/>
      <c r="DV56" s="102"/>
      <c r="DW56" s="102"/>
      <c r="DX56" s="102"/>
      <c r="DY56" s="102"/>
      <c r="DZ56" s="102"/>
      <c r="EA56" s="102"/>
      <c r="EB56" s="102"/>
      <c r="EC56" s="102"/>
      <c r="ED56" s="102"/>
      <c r="EE56" s="102"/>
      <c r="EF56" s="102"/>
      <c r="EG56" s="102"/>
      <c r="EH56" s="102"/>
      <c r="EI56" s="102"/>
      <c r="EJ56" s="102"/>
      <c r="EK56" s="102"/>
      <c r="EL56" s="102"/>
      <c r="EM56" s="102"/>
      <c r="EN56" s="102"/>
      <c r="EO56" s="102"/>
      <c r="EP56" s="102"/>
      <c r="EQ56" s="102"/>
      <c r="ER56" s="102"/>
      <c r="ES56" s="102"/>
      <c r="ET56" s="102"/>
      <c r="EU56" s="102"/>
      <c r="EV56" s="102"/>
      <c r="EW56" s="102"/>
      <c r="EX56" s="102"/>
      <c r="EY56" s="102"/>
      <c r="EZ56" s="102"/>
      <c r="FA56" s="102"/>
      <c r="FB56" s="102"/>
      <c r="FC56" s="102"/>
      <c r="FD56" s="102"/>
      <c r="FE56" s="102"/>
      <c r="FF56" s="102"/>
      <c r="FG56" s="102"/>
      <c r="FH56" s="102"/>
      <c r="FI56" s="102"/>
      <c r="FJ56" s="102"/>
      <c r="FK56" s="102"/>
      <c r="FL56" s="102"/>
      <c r="FM56" s="102"/>
      <c r="FN56" s="102"/>
      <c r="FO56" s="102"/>
      <c r="FP56" s="102"/>
      <c r="FQ56" s="102"/>
      <c r="FR56" s="102"/>
      <c r="FS56" s="102"/>
      <c r="FT56" s="102"/>
      <c r="FU56" s="102"/>
      <c r="FV56" s="102"/>
      <c r="FW56" s="102"/>
      <c r="FX56" s="102"/>
      <c r="FY56" s="102"/>
      <c r="FZ56" s="102"/>
      <c r="GA56" s="102"/>
      <c r="GB56" s="102"/>
      <c r="GC56" s="102"/>
      <c r="GD56" s="102"/>
      <c r="GE56" s="102"/>
      <c r="GF56" s="102"/>
      <c r="GG56" s="102"/>
      <c r="GH56" s="102"/>
      <c r="GI56" s="102"/>
      <c r="GJ56" s="102"/>
      <c r="GK56" s="102"/>
      <c r="GL56" s="102"/>
      <c r="GM56" s="102"/>
      <c r="GN56" s="102"/>
      <c r="GO56" s="102"/>
      <c r="GP56" s="102"/>
      <c r="GQ56" s="102"/>
      <c r="GR56" s="102"/>
      <c r="GS56" s="102"/>
      <c r="GT56" s="102"/>
      <c r="GU56" s="102"/>
      <c r="GV56" s="102"/>
      <c r="GW56" s="102"/>
      <c r="GX56" s="102"/>
      <c r="GY56" s="102"/>
      <c r="GZ56" s="102"/>
      <c r="HA56" s="102"/>
      <c r="HB56" s="102"/>
      <c r="HC56" s="102"/>
      <c r="HD56" s="102"/>
      <c r="HE56" s="102"/>
      <c r="HF56" s="102"/>
      <c r="HG56" s="102"/>
      <c r="HH56" s="102"/>
      <c r="HI56" s="102"/>
      <c r="HJ56" s="102"/>
      <c r="HK56" s="102"/>
      <c r="HL56" s="102"/>
      <c r="HM56" s="102"/>
      <c r="HN56" s="102"/>
      <c r="HO56" s="102"/>
      <c r="HP56" s="102"/>
      <c r="HQ56" s="102"/>
      <c r="HR56" s="102"/>
      <c r="HS56" s="102"/>
      <c r="HT56" s="102"/>
      <c r="HU56" s="102"/>
      <c r="HV56" s="102"/>
      <c r="HW56" s="102"/>
      <c r="HX56" s="102"/>
      <c r="HY56" s="102"/>
      <c r="HZ56" s="102"/>
      <c r="IA56" s="102"/>
      <c r="IB56" s="102"/>
      <c r="IC56" s="102"/>
      <c r="ID56" s="102"/>
      <c r="IE56" s="102"/>
      <c r="IF56" s="102"/>
      <c r="IG56" s="102"/>
      <c r="IH56" s="102"/>
      <c r="II56" s="102"/>
      <c r="IJ56" s="102"/>
      <c r="IK56" s="102"/>
      <c r="IL56" s="102"/>
      <c r="IM56" s="102"/>
      <c r="IN56" s="102"/>
      <c r="IO56" s="102"/>
      <c r="IP56" s="102"/>
      <c r="IQ56" s="102"/>
      <c r="IR56" s="102"/>
      <c r="IS56" s="102"/>
      <c r="IT56" s="102"/>
      <c r="IU56" s="102"/>
      <c r="IV56" s="102"/>
      <c r="IW56" s="102"/>
    </row>
    <row r="57" customFormat="false" ht="12.75" hidden="false" customHeight="false" outlineLevel="0" collapsed="false">
      <c r="A57" s="102" t="s">
        <v>1223</v>
      </c>
      <c r="B57" s="666" t="n">
        <f aca="false">B35</f>
        <v>20000000</v>
      </c>
      <c r="C57" s="666" t="n">
        <f aca="false">C35</f>
        <v>35000000</v>
      </c>
      <c r="D57" s="666" t="n">
        <f aca="false">D35</f>
        <v>50000000</v>
      </c>
      <c r="E57" s="666" t="n">
        <f aca="false">E35</f>
        <v>65000000</v>
      </c>
      <c r="F57" s="666" t="n">
        <f aca="false">F35</f>
        <v>80000000</v>
      </c>
      <c r="G57" s="666" t="n">
        <f aca="false">G35</f>
        <v>95000000</v>
      </c>
      <c r="H57" s="666" t="n">
        <f aca="false">H35</f>
        <v>110000000</v>
      </c>
      <c r="I57" s="666" t="n">
        <f aca="false">I35</f>
        <v>125000000</v>
      </c>
      <c r="J57" s="666" t="n">
        <f aca="false">J35</f>
        <v>140000000</v>
      </c>
      <c r="K57" s="666" t="n">
        <f aca="false">K35</f>
        <v>155000000</v>
      </c>
      <c r="L57" s="102"/>
      <c r="M57" s="102"/>
      <c r="N57" s="102"/>
      <c r="O57" s="102"/>
      <c r="P57" s="102"/>
      <c r="Q57" s="102"/>
      <c r="R57" s="102"/>
      <c r="S57" s="102"/>
      <c r="T57" s="102"/>
      <c r="U57" s="102"/>
      <c r="V57" s="102"/>
      <c r="W57" s="102"/>
      <c r="X57" s="102"/>
      <c r="Y57" s="102"/>
      <c r="Z57" s="102"/>
      <c r="AA57" s="102"/>
      <c r="AB57" s="102"/>
      <c r="AC57" s="102"/>
      <c r="AD57" s="102"/>
      <c r="AE57" s="102"/>
      <c r="AF57" s="102"/>
      <c r="AG57" s="102"/>
      <c r="AH57" s="102"/>
      <c r="AI57" s="102"/>
      <c r="AJ57" s="102"/>
      <c r="AK57" s="102"/>
      <c r="AL57" s="102"/>
      <c r="AM57" s="102"/>
      <c r="AN57" s="102"/>
      <c r="AO57" s="102"/>
      <c r="AP57" s="102"/>
      <c r="AQ57" s="102"/>
      <c r="AR57" s="102"/>
      <c r="AS57" s="102"/>
      <c r="AT57" s="102"/>
      <c r="AU57" s="102"/>
      <c r="AV57" s="102"/>
      <c r="AW57" s="102"/>
      <c r="AX57" s="102"/>
      <c r="AY57" s="102"/>
      <c r="AZ57" s="102"/>
      <c r="BA57" s="102"/>
      <c r="BB57" s="102"/>
      <c r="BC57" s="102"/>
      <c r="BD57" s="102"/>
      <c r="BE57" s="102"/>
      <c r="BF57" s="102"/>
      <c r="BG57" s="102"/>
      <c r="BH57" s="102"/>
      <c r="BI57" s="102"/>
      <c r="BJ57" s="102"/>
      <c r="BK57" s="102"/>
      <c r="BL57" s="102"/>
      <c r="BM57" s="102"/>
      <c r="BN57" s="102"/>
      <c r="BO57" s="102"/>
      <c r="BP57" s="102"/>
      <c r="BQ57" s="102"/>
      <c r="BR57" s="102"/>
      <c r="BS57" s="102"/>
      <c r="BT57" s="102"/>
      <c r="BU57" s="102"/>
      <c r="BV57" s="102"/>
      <c r="BW57" s="102"/>
      <c r="BX57" s="102"/>
      <c r="BY57" s="102"/>
      <c r="BZ57" s="102"/>
      <c r="CA57" s="102"/>
      <c r="CB57" s="102"/>
      <c r="CC57" s="102"/>
      <c r="CD57" s="102"/>
      <c r="CE57" s="102"/>
      <c r="CF57" s="102"/>
      <c r="CG57" s="102"/>
      <c r="CH57" s="102"/>
      <c r="CI57" s="102"/>
      <c r="CJ57" s="102"/>
      <c r="CK57" s="102"/>
      <c r="CL57" s="102"/>
      <c r="CM57" s="102"/>
      <c r="CN57" s="102"/>
      <c r="CO57" s="102"/>
      <c r="CP57" s="102"/>
      <c r="CQ57" s="102"/>
      <c r="CR57" s="102"/>
      <c r="CS57" s="102"/>
      <c r="CT57" s="102"/>
      <c r="CU57" s="102"/>
      <c r="CV57" s="102"/>
      <c r="CW57" s="102"/>
      <c r="CX57" s="102"/>
      <c r="CY57" s="102"/>
      <c r="CZ57" s="102"/>
      <c r="DA57" s="102"/>
      <c r="DB57" s="102"/>
      <c r="DC57" s="102"/>
      <c r="DD57" s="102"/>
      <c r="DE57" s="102"/>
      <c r="DF57" s="102"/>
      <c r="DG57" s="102"/>
      <c r="DH57" s="102"/>
      <c r="DI57" s="102"/>
      <c r="DJ57" s="102"/>
      <c r="DK57" s="102"/>
      <c r="DL57" s="102"/>
      <c r="DM57" s="102"/>
      <c r="DN57" s="102"/>
      <c r="DO57" s="102"/>
      <c r="DP57" s="102"/>
      <c r="DQ57" s="102"/>
      <c r="DR57" s="102"/>
      <c r="DS57" s="102"/>
      <c r="DT57" s="102"/>
      <c r="DU57" s="102"/>
      <c r="DV57" s="102"/>
      <c r="DW57" s="102"/>
      <c r="DX57" s="102"/>
      <c r="DY57" s="102"/>
      <c r="DZ57" s="102"/>
      <c r="EA57" s="102"/>
      <c r="EB57" s="102"/>
      <c r="EC57" s="102"/>
      <c r="ED57" s="102"/>
      <c r="EE57" s="102"/>
      <c r="EF57" s="102"/>
      <c r="EG57" s="102"/>
      <c r="EH57" s="102"/>
      <c r="EI57" s="102"/>
      <c r="EJ57" s="102"/>
      <c r="EK57" s="102"/>
      <c r="EL57" s="102"/>
      <c r="EM57" s="102"/>
      <c r="EN57" s="102"/>
      <c r="EO57" s="102"/>
      <c r="EP57" s="102"/>
      <c r="EQ57" s="102"/>
      <c r="ER57" s="102"/>
      <c r="ES57" s="102"/>
      <c r="ET57" s="102"/>
      <c r="EU57" s="102"/>
      <c r="EV57" s="102"/>
      <c r="EW57" s="102"/>
      <c r="EX57" s="102"/>
      <c r="EY57" s="102"/>
      <c r="EZ57" s="102"/>
      <c r="FA57" s="102"/>
      <c r="FB57" s="102"/>
      <c r="FC57" s="102"/>
      <c r="FD57" s="102"/>
      <c r="FE57" s="102"/>
      <c r="FF57" s="102"/>
      <c r="FG57" s="102"/>
      <c r="FH57" s="102"/>
      <c r="FI57" s="102"/>
      <c r="FJ57" s="102"/>
      <c r="FK57" s="102"/>
      <c r="FL57" s="102"/>
      <c r="FM57" s="102"/>
      <c r="FN57" s="102"/>
      <c r="FO57" s="102"/>
      <c r="FP57" s="102"/>
      <c r="FQ57" s="102"/>
      <c r="FR57" s="102"/>
      <c r="FS57" s="102"/>
      <c r="FT57" s="102"/>
      <c r="FU57" s="102"/>
      <c r="FV57" s="102"/>
      <c r="FW57" s="102"/>
      <c r="FX57" s="102"/>
      <c r="FY57" s="102"/>
      <c r="FZ57" s="102"/>
      <c r="GA57" s="102"/>
      <c r="GB57" s="102"/>
      <c r="GC57" s="102"/>
      <c r="GD57" s="102"/>
      <c r="GE57" s="102"/>
      <c r="GF57" s="102"/>
      <c r="GG57" s="102"/>
      <c r="GH57" s="102"/>
      <c r="GI57" s="102"/>
      <c r="GJ57" s="102"/>
      <c r="GK57" s="102"/>
      <c r="GL57" s="102"/>
      <c r="GM57" s="102"/>
      <c r="GN57" s="102"/>
      <c r="GO57" s="102"/>
      <c r="GP57" s="102"/>
      <c r="GQ57" s="102"/>
      <c r="GR57" s="102"/>
      <c r="GS57" s="102"/>
      <c r="GT57" s="102"/>
      <c r="GU57" s="102"/>
      <c r="GV57" s="102"/>
      <c r="GW57" s="102"/>
      <c r="GX57" s="102"/>
      <c r="GY57" s="102"/>
      <c r="GZ57" s="102"/>
      <c r="HA57" s="102"/>
      <c r="HB57" s="102"/>
      <c r="HC57" s="102"/>
      <c r="HD57" s="102"/>
      <c r="HE57" s="102"/>
      <c r="HF57" s="102"/>
      <c r="HG57" s="102"/>
      <c r="HH57" s="102"/>
      <c r="HI57" s="102"/>
      <c r="HJ57" s="102"/>
      <c r="HK57" s="102"/>
      <c r="HL57" s="102"/>
      <c r="HM57" s="102"/>
      <c r="HN57" s="102"/>
      <c r="HO57" s="102"/>
      <c r="HP57" s="102"/>
      <c r="HQ57" s="102"/>
      <c r="HR57" s="102"/>
      <c r="HS57" s="102"/>
      <c r="HT57" s="102"/>
      <c r="HU57" s="102"/>
      <c r="HV57" s="102"/>
      <c r="HW57" s="102"/>
      <c r="HX57" s="102"/>
      <c r="HY57" s="102"/>
      <c r="HZ57" s="102"/>
      <c r="IA57" s="102"/>
      <c r="IB57" s="102"/>
      <c r="IC57" s="102"/>
      <c r="ID57" s="102"/>
      <c r="IE57" s="102"/>
      <c r="IF57" s="102"/>
      <c r="IG57" s="102"/>
      <c r="IH57" s="102"/>
      <c r="II57" s="102"/>
      <c r="IJ57" s="102"/>
      <c r="IK57" s="102"/>
      <c r="IL57" s="102"/>
      <c r="IM57" s="102"/>
      <c r="IN57" s="102"/>
      <c r="IO57" s="102"/>
      <c r="IP57" s="102"/>
      <c r="IQ57" s="102"/>
      <c r="IR57" s="102"/>
      <c r="IS57" s="102"/>
      <c r="IT57" s="102"/>
      <c r="IU57" s="102"/>
      <c r="IV57" s="102"/>
      <c r="IW57" s="102"/>
    </row>
    <row r="58" customFormat="false" ht="12.75" hidden="false" customHeight="false" outlineLevel="0" collapsed="false">
      <c r="A58" s="102" t="s">
        <v>1224</v>
      </c>
      <c r="B58" s="666" t="n">
        <f aca="false">-B57*(1-$B$16)</f>
        <v>-18200000</v>
      </c>
      <c r="C58" s="666" t="n">
        <f aca="false">-C57*(1-$B$16)</f>
        <v>-31850000</v>
      </c>
      <c r="D58" s="666" t="n">
        <f aca="false">-D57*(1-$B$16)</f>
        <v>-45500000</v>
      </c>
      <c r="E58" s="666" t="n">
        <f aca="false">-E57*(1-$B$16)</f>
        <v>-59150000</v>
      </c>
      <c r="F58" s="666" t="n">
        <f aca="false">-F57*(1-$B$16)</f>
        <v>-72800000</v>
      </c>
      <c r="G58" s="666" t="n">
        <f aca="false">-G57*(1-$B$16)</f>
        <v>-86450000</v>
      </c>
      <c r="H58" s="666" t="n">
        <f aca="false">-H57*(1-$B$16)</f>
        <v>-100100000</v>
      </c>
      <c r="I58" s="666" t="n">
        <f aca="false">-I57*(1-$B$16)</f>
        <v>-113750000</v>
      </c>
      <c r="J58" s="666" t="n">
        <f aca="false">-J57*(1-$B$16)</f>
        <v>-127400000</v>
      </c>
      <c r="K58" s="666" t="n">
        <f aca="false">-K57*(1-$B$16)</f>
        <v>-141050000</v>
      </c>
      <c r="L58" s="102"/>
      <c r="M58" s="102"/>
      <c r="N58" s="102"/>
      <c r="O58" s="102"/>
      <c r="P58" s="102"/>
      <c r="Q58" s="102"/>
      <c r="R58" s="102"/>
      <c r="S58" s="102"/>
      <c r="T58" s="102"/>
      <c r="U58" s="102"/>
      <c r="V58" s="102"/>
      <c r="W58" s="102"/>
      <c r="X58" s="102"/>
      <c r="Y58" s="102"/>
      <c r="Z58" s="102"/>
      <c r="AA58" s="102"/>
      <c r="AB58" s="102"/>
      <c r="AC58" s="102"/>
      <c r="AD58" s="102"/>
      <c r="AE58" s="102"/>
      <c r="AF58" s="102"/>
      <c r="AG58" s="102"/>
      <c r="AH58" s="102"/>
      <c r="AI58" s="102"/>
      <c r="AJ58" s="102"/>
      <c r="AK58" s="102"/>
      <c r="AL58" s="102"/>
      <c r="AM58" s="102"/>
      <c r="AN58" s="102"/>
      <c r="AO58" s="102"/>
      <c r="AP58" s="102"/>
      <c r="AQ58" s="102"/>
      <c r="AR58" s="102"/>
      <c r="AS58" s="102"/>
      <c r="AT58" s="102"/>
      <c r="AU58" s="102"/>
      <c r="AV58" s="102"/>
      <c r="AW58" s="102"/>
      <c r="AX58" s="102"/>
      <c r="AY58" s="102"/>
      <c r="AZ58" s="102"/>
      <c r="BA58" s="102"/>
      <c r="BB58" s="102"/>
      <c r="BC58" s="102"/>
      <c r="BD58" s="102"/>
      <c r="BE58" s="102"/>
      <c r="BF58" s="102"/>
      <c r="BG58" s="102"/>
      <c r="BH58" s="102"/>
      <c r="BI58" s="102"/>
      <c r="BJ58" s="102"/>
      <c r="BK58" s="102"/>
      <c r="BL58" s="102"/>
      <c r="BM58" s="102"/>
      <c r="BN58" s="102"/>
      <c r="BO58" s="102"/>
      <c r="BP58" s="102"/>
      <c r="BQ58" s="102"/>
      <c r="BR58" s="102"/>
      <c r="BS58" s="102"/>
      <c r="BT58" s="102"/>
      <c r="BU58" s="102"/>
      <c r="BV58" s="102"/>
      <c r="BW58" s="102"/>
      <c r="BX58" s="102"/>
      <c r="BY58" s="102"/>
      <c r="BZ58" s="102"/>
      <c r="CA58" s="102"/>
      <c r="CB58" s="102"/>
      <c r="CC58" s="102"/>
      <c r="CD58" s="102"/>
      <c r="CE58" s="102"/>
      <c r="CF58" s="102"/>
      <c r="CG58" s="102"/>
      <c r="CH58" s="102"/>
      <c r="CI58" s="102"/>
      <c r="CJ58" s="102"/>
      <c r="CK58" s="102"/>
      <c r="CL58" s="102"/>
      <c r="CM58" s="102"/>
      <c r="CN58" s="102"/>
      <c r="CO58" s="102"/>
      <c r="CP58" s="102"/>
      <c r="CQ58" s="102"/>
      <c r="CR58" s="102"/>
      <c r="CS58" s="102"/>
      <c r="CT58" s="102"/>
      <c r="CU58" s="102"/>
      <c r="CV58" s="102"/>
      <c r="CW58" s="102"/>
      <c r="CX58" s="102"/>
      <c r="CY58" s="102"/>
      <c r="CZ58" s="102"/>
      <c r="DA58" s="102"/>
      <c r="DB58" s="102"/>
      <c r="DC58" s="102"/>
      <c r="DD58" s="102"/>
      <c r="DE58" s="102"/>
      <c r="DF58" s="102"/>
      <c r="DG58" s="102"/>
      <c r="DH58" s="102"/>
      <c r="DI58" s="102"/>
      <c r="DJ58" s="102"/>
      <c r="DK58" s="102"/>
      <c r="DL58" s="102"/>
      <c r="DM58" s="102"/>
      <c r="DN58" s="102"/>
      <c r="DO58" s="102"/>
      <c r="DP58" s="102"/>
      <c r="DQ58" s="102"/>
      <c r="DR58" s="102"/>
      <c r="DS58" s="102"/>
      <c r="DT58" s="102"/>
      <c r="DU58" s="102"/>
      <c r="DV58" s="102"/>
      <c r="DW58" s="102"/>
      <c r="DX58" s="102"/>
      <c r="DY58" s="102"/>
      <c r="DZ58" s="102"/>
      <c r="EA58" s="102"/>
      <c r="EB58" s="102"/>
      <c r="EC58" s="102"/>
      <c r="ED58" s="102"/>
      <c r="EE58" s="102"/>
      <c r="EF58" s="102"/>
      <c r="EG58" s="102"/>
      <c r="EH58" s="102"/>
      <c r="EI58" s="102"/>
      <c r="EJ58" s="102"/>
      <c r="EK58" s="102"/>
      <c r="EL58" s="102"/>
      <c r="EM58" s="102"/>
      <c r="EN58" s="102"/>
      <c r="EO58" s="102"/>
      <c r="EP58" s="102"/>
      <c r="EQ58" s="102"/>
      <c r="ER58" s="102"/>
      <c r="ES58" s="102"/>
      <c r="ET58" s="102"/>
      <c r="EU58" s="102"/>
      <c r="EV58" s="102"/>
      <c r="EW58" s="102"/>
      <c r="EX58" s="102"/>
      <c r="EY58" s="102"/>
      <c r="EZ58" s="102"/>
      <c r="FA58" s="102"/>
      <c r="FB58" s="102"/>
      <c r="FC58" s="102"/>
      <c r="FD58" s="102"/>
      <c r="FE58" s="102"/>
      <c r="FF58" s="102"/>
      <c r="FG58" s="102"/>
      <c r="FH58" s="102"/>
      <c r="FI58" s="102"/>
      <c r="FJ58" s="102"/>
      <c r="FK58" s="102"/>
      <c r="FL58" s="102"/>
      <c r="FM58" s="102"/>
      <c r="FN58" s="102"/>
      <c r="FO58" s="102"/>
      <c r="FP58" s="102"/>
      <c r="FQ58" s="102"/>
      <c r="FR58" s="102"/>
      <c r="FS58" s="102"/>
      <c r="FT58" s="102"/>
      <c r="FU58" s="102"/>
      <c r="FV58" s="102"/>
      <c r="FW58" s="102"/>
      <c r="FX58" s="102"/>
      <c r="FY58" s="102"/>
      <c r="FZ58" s="102"/>
      <c r="GA58" s="102"/>
      <c r="GB58" s="102"/>
      <c r="GC58" s="102"/>
      <c r="GD58" s="102"/>
      <c r="GE58" s="102"/>
      <c r="GF58" s="102"/>
      <c r="GG58" s="102"/>
      <c r="GH58" s="102"/>
      <c r="GI58" s="102"/>
      <c r="GJ58" s="102"/>
      <c r="GK58" s="102"/>
      <c r="GL58" s="102"/>
      <c r="GM58" s="102"/>
      <c r="GN58" s="102"/>
      <c r="GO58" s="102"/>
      <c r="GP58" s="102"/>
      <c r="GQ58" s="102"/>
      <c r="GR58" s="102"/>
      <c r="GS58" s="102"/>
      <c r="GT58" s="102"/>
      <c r="GU58" s="102"/>
      <c r="GV58" s="102"/>
      <c r="GW58" s="102"/>
      <c r="GX58" s="102"/>
      <c r="GY58" s="102"/>
      <c r="GZ58" s="102"/>
      <c r="HA58" s="102"/>
      <c r="HB58" s="102"/>
      <c r="HC58" s="102"/>
      <c r="HD58" s="102"/>
      <c r="HE58" s="102"/>
      <c r="HF58" s="102"/>
      <c r="HG58" s="102"/>
      <c r="HH58" s="102"/>
      <c r="HI58" s="102"/>
      <c r="HJ58" s="102"/>
      <c r="HK58" s="102"/>
      <c r="HL58" s="102"/>
      <c r="HM58" s="102"/>
      <c r="HN58" s="102"/>
      <c r="HO58" s="102"/>
      <c r="HP58" s="102"/>
      <c r="HQ58" s="102"/>
      <c r="HR58" s="102"/>
      <c r="HS58" s="102"/>
      <c r="HT58" s="102"/>
      <c r="HU58" s="102"/>
      <c r="HV58" s="102"/>
      <c r="HW58" s="102"/>
      <c r="HX58" s="102"/>
      <c r="HY58" s="102"/>
      <c r="HZ58" s="102"/>
      <c r="IA58" s="102"/>
      <c r="IB58" s="102"/>
      <c r="IC58" s="102"/>
      <c r="ID58" s="102"/>
      <c r="IE58" s="102"/>
      <c r="IF58" s="102"/>
      <c r="IG58" s="102"/>
      <c r="IH58" s="102"/>
      <c r="II58" s="102"/>
      <c r="IJ58" s="102"/>
      <c r="IK58" s="102"/>
      <c r="IL58" s="102"/>
      <c r="IM58" s="102"/>
      <c r="IN58" s="102"/>
      <c r="IO58" s="102"/>
      <c r="IP58" s="102"/>
      <c r="IQ58" s="102"/>
      <c r="IR58" s="102"/>
      <c r="IS58" s="102"/>
      <c r="IT58" s="102"/>
      <c r="IU58" s="102"/>
      <c r="IV58" s="102"/>
      <c r="IW58" s="102"/>
    </row>
    <row r="59" customFormat="false" ht="12.75" hidden="false" customHeight="false" outlineLevel="0" collapsed="false">
      <c r="A59" s="102" t="s">
        <v>1225</v>
      </c>
      <c r="B59" s="666" t="n">
        <f aca="false">-B57*$B$15</f>
        <v>-1000000</v>
      </c>
      <c r="C59" s="666" t="n">
        <f aca="false">-C57*$B$15</f>
        <v>-1750000</v>
      </c>
      <c r="D59" s="666" t="n">
        <f aca="false">-D57*$B$15</f>
        <v>-2500000</v>
      </c>
      <c r="E59" s="666" t="n">
        <f aca="false">-E57*$B$15</f>
        <v>-3250000</v>
      </c>
      <c r="F59" s="666" t="n">
        <f aca="false">-F57*$B$15</f>
        <v>-4000000</v>
      </c>
      <c r="G59" s="666" t="n">
        <f aca="false">-G57*$B$15</f>
        <v>-4750000</v>
      </c>
      <c r="H59" s="666" t="n">
        <f aca="false">-H57*$B$15</f>
        <v>-5500000</v>
      </c>
      <c r="I59" s="666" t="n">
        <f aca="false">-I57*$B$15</f>
        <v>-6250000</v>
      </c>
      <c r="J59" s="666" t="n">
        <f aca="false">-J57*$B$15</f>
        <v>-7000000</v>
      </c>
      <c r="K59" s="666" t="n">
        <f aca="false">-K57*$B$15</f>
        <v>-7750000</v>
      </c>
      <c r="L59" s="102"/>
      <c r="M59" s="102"/>
      <c r="N59" s="102"/>
      <c r="O59" s="102"/>
      <c r="P59" s="102"/>
      <c r="Q59" s="102"/>
      <c r="R59" s="102"/>
      <c r="S59" s="102"/>
      <c r="T59" s="102"/>
      <c r="U59" s="102"/>
      <c r="V59" s="102"/>
      <c r="W59" s="102"/>
      <c r="X59" s="102"/>
      <c r="Y59" s="102"/>
      <c r="Z59" s="102"/>
      <c r="AA59" s="102"/>
      <c r="AB59" s="102"/>
      <c r="AC59" s="102"/>
      <c r="AD59" s="102"/>
      <c r="AE59" s="102"/>
      <c r="AF59" s="102"/>
      <c r="AG59" s="102"/>
      <c r="AH59" s="102"/>
      <c r="AI59" s="102"/>
      <c r="AJ59" s="102"/>
      <c r="AK59" s="102"/>
      <c r="AL59" s="102"/>
      <c r="AM59" s="102"/>
      <c r="AN59" s="102"/>
      <c r="AO59" s="102"/>
      <c r="AP59" s="102"/>
      <c r="AQ59" s="102"/>
      <c r="AR59" s="102"/>
      <c r="AS59" s="102"/>
      <c r="AT59" s="102"/>
      <c r="AU59" s="102"/>
      <c r="AV59" s="102"/>
      <c r="AW59" s="102"/>
      <c r="AX59" s="102"/>
      <c r="AY59" s="102"/>
      <c r="AZ59" s="102"/>
      <c r="BA59" s="102"/>
      <c r="BB59" s="102"/>
      <c r="BC59" s="102"/>
      <c r="BD59" s="102"/>
      <c r="BE59" s="102"/>
      <c r="BF59" s="102"/>
      <c r="BG59" s="102"/>
      <c r="BH59" s="102"/>
      <c r="BI59" s="102"/>
      <c r="BJ59" s="102"/>
      <c r="BK59" s="102"/>
      <c r="BL59" s="102"/>
      <c r="BM59" s="102"/>
      <c r="BN59" s="102"/>
      <c r="BO59" s="102"/>
      <c r="BP59" s="102"/>
      <c r="BQ59" s="102"/>
      <c r="BR59" s="102"/>
      <c r="BS59" s="102"/>
      <c r="BT59" s="102"/>
      <c r="BU59" s="102"/>
      <c r="BV59" s="102"/>
      <c r="BW59" s="102"/>
      <c r="BX59" s="102"/>
      <c r="BY59" s="102"/>
      <c r="BZ59" s="102"/>
      <c r="CA59" s="102"/>
      <c r="CB59" s="102"/>
      <c r="CC59" s="102"/>
      <c r="CD59" s="102"/>
      <c r="CE59" s="102"/>
      <c r="CF59" s="102"/>
      <c r="CG59" s="102"/>
      <c r="CH59" s="102"/>
      <c r="CI59" s="102"/>
      <c r="CJ59" s="102"/>
      <c r="CK59" s="102"/>
      <c r="CL59" s="102"/>
      <c r="CM59" s="102"/>
      <c r="CN59" s="102"/>
      <c r="CO59" s="102"/>
      <c r="CP59" s="102"/>
      <c r="CQ59" s="102"/>
      <c r="CR59" s="102"/>
      <c r="CS59" s="102"/>
      <c r="CT59" s="102"/>
      <c r="CU59" s="102"/>
      <c r="CV59" s="102"/>
      <c r="CW59" s="102"/>
      <c r="CX59" s="102"/>
      <c r="CY59" s="102"/>
      <c r="CZ59" s="102"/>
      <c r="DA59" s="102"/>
      <c r="DB59" s="102"/>
      <c r="DC59" s="102"/>
      <c r="DD59" s="102"/>
      <c r="DE59" s="102"/>
      <c r="DF59" s="102"/>
      <c r="DG59" s="102"/>
      <c r="DH59" s="102"/>
      <c r="DI59" s="102"/>
      <c r="DJ59" s="102"/>
      <c r="DK59" s="102"/>
      <c r="DL59" s="102"/>
      <c r="DM59" s="102"/>
      <c r="DN59" s="102"/>
      <c r="DO59" s="102"/>
      <c r="DP59" s="102"/>
      <c r="DQ59" s="102"/>
      <c r="DR59" s="102"/>
      <c r="DS59" s="102"/>
      <c r="DT59" s="102"/>
      <c r="DU59" s="102"/>
      <c r="DV59" s="102"/>
      <c r="DW59" s="102"/>
      <c r="DX59" s="102"/>
      <c r="DY59" s="102"/>
      <c r="DZ59" s="102"/>
      <c r="EA59" s="102"/>
      <c r="EB59" s="102"/>
      <c r="EC59" s="102"/>
      <c r="ED59" s="102"/>
      <c r="EE59" s="102"/>
      <c r="EF59" s="102"/>
      <c r="EG59" s="102"/>
      <c r="EH59" s="102"/>
      <c r="EI59" s="102"/>
      <c r="EJ59" s="102"/>
      <c r="EK59" s="102"/>
      <c r="EL59" s="102"/>
      <c r="EM59" s="102"/>
      <c r="EN59" s="102"/>
      <c r="EO59" s="102"/>
      <c r="EP59" s="102"/>
      <c r="EQ59" s="102"/>
      <c r="ER59" s="102"/>
      <c r="ES59" s="102"/>
      <c r="ET59" s="102"/>
      <c r="EU59" s="102"/>
      <c r="EV59" s="102"/>
      <c r="EW59" s="102"/>
      <c r="EX59" s="102"/>
      <c r="EY59" s="102"/>
      <c r="EZ59" s="102"/>
      <c r="FA59" s="102"/>
      <c r="FB59" s="102"/>
      <c r="FC59" s="102"/>
      <c r="FD59" s="102"/>
      <c r="FE59" s="102"/>
      <c r="FF59" s="102"/>
      <c r="FG59" s="102"/>
      <c r="FH59" s="102"/>
      <c r="FI59" s="102"/>
      <c r="FJ59" s="102"/>
      <c r="FK59" s="102"/>
      <c r="FL59" s="102"/>
      <c r="FM59" s="102"/>
      <c r="FN59" s="102"/>
      <c r="FO59" s="102"/>
      <c r="FP59" s="102"/>
      <c r="FQ59" s="102"/>
      <c r="FR59" s="102"/>
      <c r="FS59" s="102"/>
      <c r="FT59" s="102"/>
      <c r="FU59" s="102"/>
      <c r="FV59" s="102"/>
      <c r="FW59" s="102"/>
      <c r="FX59" s="102"/>
      <c r="FY59" s="102"/>
      <c r="FZ59" s="102"/>
      <c r="GA59" s="102"/>
      <c r="GB59" s="102"/>
      <c r="GC59" s="102"/>
      <c r="GD59" s="102"/>
      <c r="GE59" s="102"/>
      <c r="GF59" s="102"/>
      <c r="GG59" s="102"/>
      <c r="GH59" s="102"/>
      <c r="GI59" s="102"/>
      <c r="GJ59" s="102"/>
      <c r="GK59" s="102"/>
      <c r="GL59" s="102"/>
      <c r="GM59" s="102"/>
      <c r="GN59" s="102"/>
      <c r="GO59" s="102"/>
      <c r="GP59" s="102"/>
      <c r="GQ59" s="102"/>
      <c r="GR59" s="102"/>
      <c r="GS59" s="102"/>
      <c r="GT59" s="102"/>
      <c r="GU59" s="102"/>
      <c r="GV59" s="102"/>
      <c r="GW59" s="102"/>
      <c r="GX59" s="102"/>
      <c r="GY59" s="102"/>
      <c r="GZ59" s="102"/>
      <c r="HA59" s="102"/>
      <c r="HB59" s="102"/>
      <c r="HC59" s="102"/>
      <c r="HD59" s="102"/>
      <c r="HE59" s="102"/>
      <c r="HF59" s="102"/>
      <c r="HG59" s="102"/>
      <c r="HH59" s="102"/>
      <c r="HI59" s="102"/>
      <c r="HJ59" s="102"/>
      <c r="HK59" s="102"/>
      <c r="HL59" s="102"/>
      <c r="HM59" s="102"/>
      <c r="HN59" s="102"/>
      <c r="HO59" s="102"/>
      <c r="HP59" s="102"/>
      <c r="HQ59" s="102"/>
      <c r="HR59" s="102"/>
      <c r="HS59" s="102"/>
      <c r="HT59" s="102"/>
      <c r="HU59" s="102"/>
      <c r="HV59" s="102"/>
      <c r="HW59" s="102"/>
      <c r="HX59" s="102"/>
      <c r="HY59" s="102"/>
      <c r="HZ59" s="102"/>
      <c r="IA59" s="102"/>
      <c r="IB59" s="102"/>
      <c r="IC59" s="102"/>
      <c r="ID59" s="102"/>
      <c r="IE59" s="102"/>
      <c r="IF59" s="102"/>
      <c r="IG59" s="102"/>
      <c r="IH59" s="102"/>
      <c r="II59" s="102"/>
      <c r="IJ59" s="102"/>
      <c r="IK59" s="102"/>
      <c r="IL59" s="102"/>
      <c r="IM59" s="102"/>
      <c r="IN59" s="102"/>
      <c r="IO59" s="102"/>
      <c r="IP59" s="102"/>
      <c r="IQ59" s="102"/>
      <c r="IR59" s="102"/>
      <c r="IS59" s="102"/>
      <c r="IT59" s="102"/>
      <c r="IU59" s="102"/>
      <c r="IV59" s="102"/>
      <c r="IW59" s="102"/>
    </row>
    <row r="60" customFormat="false" ht="12.75" hidden="false" customHeight="false" outlineLevel="0" collapsed="false">
      <c r="A60" s="102"/>
      <c r="B60" s="666"/>
      <c r="C60" s="666"/>
      <c r="D60" s="666"/>
      <c r="E60" s="666"/>
      <c r="F60" s="666"/>
      <c r="G60" s="666"/>
      <c r="H60" s="666"/>
      <c r="I60" s="666"/>
      <c r="J60" s="666"/>
      <c r="K60" s="666"/>
      <c r="L60" s="102"/>
      <c r="M60" s="102"/>
      <c r="N60" s="102"/>
      <c r="O60" s="102"/>
      <c r="P60" s="102"/>
      <c r="Q60" s="102"/>
      <c r="R60" s="102"/>
      <c r="S60" s="102"/>
      <c r="T60" s="102"/>
      <c r="U60" s="102"/>
      <c r="V60" s="102"/>
      <c r="W60" s="102"/>
      <c r="X60" s="102"/>
      <c r="Y60" s="102"/>
      <c r="Z60" s="102"/>
      <c r="AA60" s="102"/>
      <c r="AB60" s="102"/>
      <c r="AC60" s="102"/>
      <c r="AD60" s="102"/>
      <c r="AE60" s="102"/>
      <c r="AF60" s="102"/>
      <c r="AG60" s="102"/>
      <c r="AH60" s="102"/>
      <c r="AI60" s="102"/>
      <c r="AJ60" s="102"/>
      <c r="AK60" s="102"/>
      <c r="AL60" s="102"/>
      <c r="AM60" s="102"/>
      <c r="AN60" s="102"/>
      <c r="AO60" s="102"/>
      <c r="AP60" s="102"/>
      <c r="AQ60" s="102"/>
      <c r="AR60" s="102"/>
      <c r="AS60" s="102"/>
      <c r="AT60" s="102"/>
      <c r="AU60" s="102"/>
      <c r="AV60" s="102"/>
      <c r="AW60" s="102"/>
      <c r="AX60" s="102"/>
      <c r="AY60" s="102"/>
      <c r="AZ60" s="102"/>
      <c r="BA60" s="102"/>
      <c r="BB60" s="102"/>
      <c r="BC60" s="102"/>
      <c r="BD60" s="102"/>
      <c r="BE60" s="102"/>
      <c r="BF60" s="102"/>
      <c r="BG60" s="102"/>
      <c r="BH60" s="102"/>
      <c r="BI60" s="102"/>
      <c r="BJ60" s="102"/>
      <c r="BK60" s="102"/>
      <c r="BL60" s="102"/>
      <c r="BM60" s="102"/>
      <c r="BN60" s="102"/>
      <c r="BO60" s="102"/>
      <c r="BP60" s="102"/>
      <c r="BQ60" s="102"/>
      <c r="BR60" s="102"/>
      <c r="BS60" s="102"/>
      <c r="BT60" s="102"/>
      <c r="BU60" s="102"/>
      <c r="BV60" s="102"/>
      <c r="BW60" s="102"/>
      <c r="BX60" s="102"/>
      <c r="BY60" s="102"/>
      <c r="BZ60" s="102"/>
      <c r="CA60" s="102"/>
      <c r="CB60" s="102"/>
      <c r="CC60" s="102"/>
      <c r="CD60" s="102"/>
      <c r="CE60" s="102"/>
      <c r="CF60" s="102"/>
      <c r="CG60" s="102"/>
      <c r="CH60" s="102"/>
      <c r="CI60" s="102"/>
      <c r="CJ60" s="102"/>
      <c r="CK60" s="102"/>
      <c r="CL60" s="102"/>
      <c r="CM60" s="102"/>
      <c r="CN60" s="102"/>
      <c r="CO60" s="102"/>
      <c r="CP60" s="102"/>
      <c r="CQ60" s="102"/>
      <c r="CR60" s="102"/>
      <c r="CS60" s="102"/>
      <c r="CT60" s="102"/>
      <c r="CU60" s="102"/>
      <c r="CV60" s="102"/>
      <c r="CW60" s="102"/>
      <c r="CX60" s="102"/>
      <c r="CY60" s="102"/>
      <c r="CZ60" s="102"/>
      <c r="DA60" s="102"/>
      <c r="DB60" s="102"/>
      <c r="DC60" s="102"/>
      <c r="DD60" s="102"/>
      <c r="DE60" s="102"/>
      <c r="DF60" s="102"/>
      <c r="DG60" s="102"/>
      <c r="DH60" s="102"/>
      <c r="DI60" s="102"/>
      <c r="DJ60" s="102"/>
      <c r="DK60" s="102"/>
      <c r="DL60" s="102"/>
      <c r="DM60" s="102"/>
      <c r="DN60" s="102"/>
      <c r="DO60" s="102"/>
      <c r="DP60" s="102"/>
      <c r="DQ60" s="102"/>
      <c r="DR60" s="102"/>
      <c r="DS60" s="102"/>
      <c r="DT60" s="102"/>
      <c r="DU60" s="102"/>
      <c r="DV60" s="102"/>
      <c r="DW60" s="102"/>
      <c r="DX60" s="102"/>
      <c r="DY60" s="102"/>
      <c r="DZ60" s="102"/>
      <c r="EA60" s="102"/>
      <c r="EB60" s="102"/>
      <c r="EC60" s="102"/>
      <c r="ED60" s="102"/>
      <c r="EE60" s="102"/>
      <c r="EF60" s="102"/>
      <c r="EG60" s="102"/>
      <c r="EH60" s="102"/>
      <c r="EI60" s="102"/>
      <c r="EJ60" s="102"/>
      <c r="EK60" s="102"/>
      <c r="EL60" s="102"/>
      <c r="EM60" s="102"/>
      <c r="EN60" s="102"/>
      <c r="EO60" s="102"/>
      <c r="EP60" s="102"/>
      <c r="EQ60" s="102"/>
      <c r="ER60" s="102"/>
      <c r="ES60" s="102"/>
      <c r="ET60" s="102"/>
      <c r="EU60" s="102"/>
      <c r="EV60" s="102"/>
      <c r="EW60" s="102"/>
      <c r="EX60" s="102"/>
      <c r="EY60" s="102"/>
      <c r="EZ60" s="102"/>
      <c r="FA60" s="102"/>
      <c r="FB60" s="102"/>
      <c r="FC60" s="102"/>
      <c r="FD60" s="102"/>
      <c r="FE60" s="102"/>
      <c r="FF60" s="102"/>
      <c r="FG60" s="102"/>
      <c r="FH60" s="102"/>
      <c r="FI60" s="102"/>
      <c r="FJ60" s="102"/>
      <c r="FK60" s="102"/>
      <c r="FL60" s="102"/>
      <c r="FM60" s="102"/>
      <c r="FN60" s="102"/>
      <c r="FO60" s="102"/>
      <c r="FP60" s="102"/>
      <c r="FQ60" s="102"/>
      <c r="FR60" s="102"/>
      <c r="FS60" s="102"/>
      <c r="FT60" s="102"/>
      <c r="FU60" s="102"/>
      <c r="FV60" s="102"/>
      <c r="FW60" s="102"/>
      <c r="FX60" s="102"/>
      <c r="FY60" s="102"/>
      <c r="FZ60" s="102"/>
      <c r="GA60" s="102"/>
      <c r="GB60" s="102"/>
      <c r="GC60" s="102"/>
      <c r="GD60" s="102"/>
      <c r="GE60" s="102"/>
      <c r="GF60" s="102"/>
      <c r="GG60" s="102"/>
      <c r="GH60" s="102"/>
      <c r="GI60" s="102"/>
      <c r="GJ60" s="102"/>
      <c r="GK60" s="102"/>
      <c r="GL60" s="102"/>
      <c r="GM60" s="102"/>
      <c r="GN60" s="102"/>
      <c r="GO60" s="102"/>
      <c r="GP60" s="102"/>
      <c r="GQ60" s="102"/>
      <c r="GR60" s="102"/>
      <c r="GS60" s="102"/>
      <c r="GT60" s="102"/>
      <c r="GU60" s="102"/>
      <c r="GV60" s="102"/>
      <c r="GW60" s="102"/>
      <c r="GX60" s="102"/>
      <c r="GY60" s="102"/>
      <c r="GZ60" s="102"/>
      <c r="HA60" s="102"/>
      <c r="HB60" s="102"/>
      <c r="HC60" s="102"/>
      <c r="HD60" s="102"/>
      <c r="HE60" s="102"/>
      <c r="HF60" s="102"/>
      <c r="HG60" s="102"/>
      <c r="HH60" s="102"/>
      <c r="HI60" s="102"/>
      <c r="HJ60" s="102"/>
      <c r="HK60" s="102"/>
      <c r="HL60" s="102"/>
      <c r="HM60" s="102"/>
      <c r="HN60" s="102"/>
      <c r="HO60" s="102"/>
      <c r="HP60" s="102"/>
      <c r="HQ60" s="102"/>
      <c r="HR60" s="102"/>
      <c r="HS60" s="102"/>
      <c r="HT60" s="102"/>
      <c r="HU60" s="102"/>
      <c r="HV60" s="102"/>
      <c r="HW60" s="102"/>
      <c r="HX60" s="102"/>
      <c r="HY60" s="102"/>
      <c r="HZ60" s="102"/>
      <c r="IA60" s="102"/>
      <c r="IB60" s="102"/>
      <c r="IC60" s="102"/>
      <c r="ID60" s="102"/>
      <c r="IE60" s="102"/>
      <c r="IF60" s="102"/>
      <c r="IG60" s="102"/>
      <c r="IH60" s="102"/>
      <c r="II60" s="102"/>
      <c r="IJ60" s="102"/>
      <c r="IK60" s="102"/>
      <c r="IL60" s="102"/>
      <c r="IM60" s="102"/>
      <c r="IN60" s="102"/>
      <c r="IO60" s="102"/>
      <c r="IP60" s="102"/>
      <c r="IQ60" s="102"/>
      <c r="IR60" s="102"/>
      <c r="IS60" s="102"/>
      <c r="IT60" s="102"/>
      <c r="IU60" s="102"/>
      <c r="IV60" s="102"/>
      <c r="IW60" s="102"/>
    </row>
    <row r="61" customFormat="false" ht="12.75" hidden="false" customHeight="false" outlineLevel="0" collapsed="false">
      <c r="A61" s="102" t="s">
        <v>1226</v>
      </c>
      <c r="B61" s="666" t="n">
        <f aca="false">SUM(B52:B59)</f>
        <v>5218750</v>
      </c>
      <c r="C61" s="666" t="n">
        <f aca="false">SUM(C52:C59)</f>
        <v>7239437.5</v>
      </c>
      <c r="D61" s="666" t="n">
        <f aca="false">SUM(D52:D59)</f>
        <v>9121400</v>
      </c>
      <c r="E61" s="666" t="n">
        <f aca="false">SUM(E52:E59)</f>
        <v>10559022.5</v>
      </c>
      <c r="F61" s="666" t="n">
        <f aca="false">SUM(F52:F59)</f>
        <v>12092955.5</v>
      </c>
      <c r="G61" s="666" t="n">
        <f aca="false">SUM(G52:G59)</f>
        <v>13734084.875</v>
      </c>
      <c r="H61" s="666" t="n">
        <f aca="false">SUM(H52:H59)</f>
        <v>15494510.57</v>
      </c>
      <c r="I61" s="666" t="n">
        <f aca="false">SUM(I52:I59)</f>
        <v>17387680.55525</v>
      </c>
      <c r="J61" s="666" t="n">
        <f aca="false">SUM(J52:J59)</f>
        <v>19428539.43185</v>
      </c>
      <c r="K61" s="666" t="n">
        <f aca="false">SUM(K52:K59)</f>
        <v>21633693.2782175</v>
      </c>
      <c r="L61" s="102"/>
      <c r="M61" s="102"/>
      <c r="N61" s="102"/>
      <c r="O61" s="102"/>
      <c r="P61" s="102"/>
      <c r="Q61" s="102"/>
      <c r="R61" s="102"/>
      <c r="S61" s="102"/>
      <c r="T61" s="102"/>
      <c r="U61" s="102"/>
      <c r="V61" s="102"/>
      <c r="W61" s="102"/>
      <c r="X61" s="102"/>
      <c r="Y61" s="102"/>
      <c r="Z61" s="102"/>
      <c r="AA61" s="102"/>
      <c r="AB61" s="102"/>
      <c r="AC61" s="102"/>
      <c r="AD61" s="102"/>
      <c r="AE61" s="102"/>
      <c r="AF61" s="102"/>
      <c r="AG61" s="102"/>
      <c r="AH61" s="102"/>
      <c r="AI61" s="102"/>
      <c r="AJ61" s="102"/>
      <c r="AK61" s="102"/>
      <c r="AL61" s="102"/>
      <c r="AM61" s="102"/>
      <c r="AN61" s="102"/>
      <c r="AO61" s="102"/>
      <c r="AP61" s="102"/>
      <c r="AQ61" s="102"/>
      <c r="AR61" s="102"/>
      <c r="AS61" s="102"/>
      <c r="AT61" s="102"/>
      <c r="AU61" s="102"/>
      <c r="AV61" s="102"/>
      <c r="AW61" s="102"/>
      <c r="AX61" s="102"/>
      <c r="AY61" s="102"/>
      <c r="AZ61" s="102"/>
      <c r="BA61" s="102"/>
      <c r="BB61" s="102"/>
      <c r="BC61" s="102"/>
      <c r="BD61" s="102"/>
      <c r="BE61" s="102"/>
      <c r="BF61" s="102"/>
      <c r="BG61" s="102"/>
      <c r="BH61" s="102"/>
      <c r="BI61" s="102"/>
      <c r="BJ61" s="102"/>
      <c r="BK61" s="102"/>
      <c r="BL61" s="102"/>
      <c r="BM61" s="102"/>
      <c r="BN61" s="102"/>
      <c r="BO61" s="102"/>
      <c r="BP61" s="102"/>
      <c r="BQ61" s="102"/>
      <c r="BR61" s="102"/>
      <c r="BS61" s="102"/>
      <c r="BT61" s="102"/>
      <c r="BU61" s="102"/>
      <c r="BV61" s="102"/>
      <c r="BW61" s="102"/>
      <c r="BX61" s="102"/>
      <c r="BY61" s="102"/>
      <c r="BZ61" s="102"/>
      <c r="CA61" s="102"/>
      <c r="CB61" s="102"/>
      <c r="CC61" s="102"/>
      <c r="CD61" s="102"/>
      <c r="CE61" s="102"/>
      <c r="CF61" s="102"/>
      <c r="CG61" s="102"/>
      <c r="CH61" s="102"/>
      <c r="CI61" s="102"/>
      <c r="CJ61" s="102"/>
      <c r="CK61" s="102"/>
      <c r="CL61" s="102"/>
      <c r="CM61" s="102"/>
      <c r="CN61" s="102"/>
      <c r="CO61" s="102"/>
      <c r="CP61" s="102"/>
      <c r="CQ61" s="102"/>
      <c r="CR61" s="102"/>
      <c r="CS61" s="102"/>
      <c r="CT61" s="102"/>
      <c r="CU61" s="102"/>
      <c r="CV61" s="102"/>
      <c r="CW61" s="102"/>
      <c r="CX61" s="102"/>
      <c r="CY61" s="102"/>
      <c r="CZ61" s="102"/>
      <c r="DA61" s="102"/>
      <c r="DB61" s="102"/>
      <c r="DC61" s="102"/>
      <c r="DD61" s="102"/>
      <c r="DE61" s="102"/>
      <c r="DF61" s="102"/>
      <c r="DG61" s="102"/>
      <c r="DH61" s="102"/>
      <c r="DI61" s="102"/>
      <c r="DJ61" s="102"/>
      <c r="DK61" s="102"/>
      <c r="DL61" s="102"/>
      <c r="DM61" s="102"/>
      <c r="DN61" s="102"/>
      <c r="DO61" s="102"/>
      <c r="DP61" s="102"/>
      <c r="DQ61" s="102"/>
      <c r="DR61" s="102"/>
      <c r="DS61" s="102"/>
      <c r="DT61" s="102"/>
      <c r="DU61" s="102"/>
      <c r="DV61" s="102"/>
      <c r="DW61" s="102"/>
      <c r="DX61" s="102"/>
      <c r="DY61" s="102"/>
      <c r="DZ61" s="102"/>
      <c r="EA61" s="102"/>
      <c r="EB61" s="102"/>
      <c r="EC61" s="102"/>
      <c r="ED61" s="102"/>
      <c r="EE61" s="102"/>
      <c r="EF61" s="102"/>
      <c r="EG61" s="102"/>
      <c r="EH61" s="102"/>
      <c r="EI61" s="102"/>
      <c r="EJ61" s="102"/>
      <c r="EK61" s="102"/>
      <c r="EL61" s="102"/>
      <c r="EM61" s="102"/>
      <c r="EN61" s="102"/>
      <c r="EO61" s="102"/>
      <c r="EP61" s="102"/>
      <c r="EQ61" s="102"/>
      <c r="ER61" s="102"/>
      <c r="ES61" s="102"/>
      <c r="ET61" s="102"/>
      <c r="EU61" s="102"/>
      <c r="EV61" s="102"/>
      <c r="EW61" s="102"/>
      <c r="EX61" s="102"/>
      <c r="EY61" s="102"/>
      <c r="EZ61" s="102"/>
      <c r="FA61" s="102"/>
      <c r="FB61" s="102"/>
      <c r="FC61" s="102"/>
      <c r="FD61" s="102"/>
      <c r="FE61" s="102"/>
      <c r="FF61" s="102"/>
      <c r="FG61" s="102"/>
      <c r="FH61" s="102"/>
      <c r="FI61" s="102"/>
      <c r="FJ61" s="102"/>
      <c r="FK61" s="102"/>
      <c r="FL61" s="102"/>
      <c r="FM61" s="102"/>
      <c r="FN61" s="102"/>
      <c r="FO61" s="102"/>
      <c r="FP61" s="102"/>
      <c r="FQ61" s="102"/>
      <c r="FR61" s="102"/>
      <c r="FS61" s="102"/>
      <c r="FT61" s="102"/>
      <c r="FU61" s="102"/>
      <c r="FV61" s="102"/>
      <c r="FW61" s="102"/>
      <c r="FX61" s="102"/>
      <c r="FY61" s="102"/>
      <c r="FZ61" s="102"/>
      <c r="GA61" s="102"/>
      <c r="GB61" s="102"/>
      <c r="GC61" s="102"/>
      <c r="GD61" s="102"/>
      <c r="GE61" s="102"/>
      <c r="GF61" s="102"/>
      <c r="GG61" s="102"/>
      <c r="GH61" s="102"/>
      <c r="GI61" s="102"/>
      <c r="GJ61" s="102"/>
      <c r="GK61" s="102"/>
      <c r="GL61" s="102"/>
      <c r="GM61" s="102"/>
      <c r="GN61" s="102"/>
      <c r="GO61" s="102"/>
      <c r="GP61" s="102"/>
      <c r="GQ61" s="102"/>
      <c r="GR61" s="102"/>
      <c r="GS61" s="102"/>
      <c r="GT61" s="102"/>
      <c r="GU61" s="102"/>
      <c r="GV61" s="102"/>
      <c r="GW61" s="102"/>
      <c r="GX61" s="102"/>
      <c r="GY61" s="102"/>
      <c r="GZ61" s="102"/>
      <c r="HA61" s="102"/>
      <c r="HB61" s="102"/>
      <c r="HC61" s="102"/>
      <c r="HD61" s="102"/>
      <c r="HE61" s="102"/>
      <c r="HF61" s="102"/>
      <c r="HG61" s="102"/>
      <c r="HH61" s="102"/>
      <c r="HI61" s="102"/>
      <c r="HJ61" s="102"/>
      <c r="HK61" s="102"/>
      <c r="HL61" s="102"/>
      <c r="HM61" s="102"/>
      <c r="HN61" s="102"/>
      <c r="HO61" s="102"/>
      <c r="HP61" s="102"/>
      <c r="HQ61" s="102"/>
      <c r="HR61" s="102"/>
      <c r="HS61" s="102"/>
      <c r="HT61" s="102"/>
      <c r="HU61" s="102"/>
      <c r="HV61" s="102"/>
      <c r="HW61" s="102"/>
      <c r="HX61" s="102"/>
      <c r="HY61" s="102"/>
      <c r="HZ61" s="102"/>
      <c r="IA61" s="102"/>
      <c r="IB61" s="102"/>
      <c r="IC61" s="102"/>
      <c r="ID61" s="102"/>
      <c r="IE61" s="102"/>
      <c r="IF61" s="102"/>
      <c r="IG61" s="102"/>
      <c r="IH61" s="102"/>
      <c r="II61" s="102"/>
      <c r="IJ61" s="102"/>
      <c r="IK61" s="102"/>
      <c r="IL61" s="102"/>
      <c r="IM61" s="102"/>
      <c r="IN61" s="102"/>
      <c r="IO61" s="102"/>
      <c r="IP61" s="102"/>
      <c r="IQ61" s="102"/>
      <c r="IR61" s="102"/>
      <c r="IS61" s="102"/>
      <c r="IT61" s="102"/>
      <c r="IU61" s="102"/>
      <c r="IV61" s="102"/>
      <c r="IW61" s="102"/>
    </row>
    <row r="62" customFormat="false" ht="12.75" hidden="false" customHeight="false" outlineLevel="0" collapsed="false">
      <c r="A62" s="102" t="s">
        <v>1076</v>
      </c>
      <c r="B62" s="666" t="n">
        <f aca="false">NPV('general info'!B45,B61:K61)</f>
        <v>60675904.3378593</v>
      </c>
      <c r="C62" s="666"/>
      <c r="D62" s="666"/>
      <c r="E62" s="666"/>
      <c r="F62" s="666"/>
      <c r="G62" s="666"/>
      <c r="H62" s="666"/>
      <c r="I62" s="666"/>
      <c r="J62" s="666"/>
      <c r="K62" s="666"/>
      <c r="L62" s="102"/>
      <c r="M62" s="102"/>
      <c r="N62" s="102"/>
      <c r="O62" s="102"/>
      <c r="P62" s="102"/>
      <c r="Q62" s="102"/>
      <c r="R62" s="102"/>
      <c r="S62" s="102"/>
      <c r="T62" s="102"/>
      <c r="U62" s="102"/>
      <c r="V62" s="102"/>
      <c r="W62" s="102"/>
      <c r="X62" s="102"/>
      <c r="Y62" s="102"/>
      <c r="Z62" s="102"/>
      <c r="AA62" s="102"/>
      <c r="AB62" s="102"/>
      <c r="AC62" s="102"/>
      <c r="AD62" s="102"/>
      <c r="AE62" s="102"/>
      <c r="AF62" s="102"/>
      <c r="AG62" s="102"/>
      <c r="AH62" s="102"/>
      <c r="AI62" s="102"/>
      <c r="AJ62" s="102"/>
      <c r="AK62" s="102"/>
      <c r="AL62" s="102"/>
      <c r="AM62" s="102"/>
      <c r="AN62" s="102"/>
      <c r="AO62" s="102"/>
      <c r="AP62" s="102"/>
      <c r="AQ62" s="102"/>
      <c r="AR62" s="102"/>
      <c r="AS62" s="102"/>
      <c r="AT62" s="102"/>
      <c r="AU62" s="102"/>
      <c r="AV62" s="102"/>
      <c r="AW62" s="102"/>
      <c r="AX62" s="102"/>
      <c r="AY62" s="102"/>
      <c r="AZ62" s="102"/>
      <c r="BA62" s="102"/>
      <c r="BB62" s="102"/>
      <c r="BC62" s="102"/>
      <c r="BD62" s="102"/>
      <c r="BE62" s="102"/>
      <c r="BF62" s="102"/>
      <c r="BG62" s="102"/>
      <c r="BH62" s="102"/>
      <c r="BI62" s="102"/>
      <c r="BJ62" s="102"/>
      <c r="BK62" s="102"/>
      <c r="BL62" s="102"/>
      <c r="BM62" s="102"/>
      <c r="BN62" s="102"/>
      <c r="BO62" s="102"/>
      <c r="BP62" s="102"/>
      <c r="BQ62" s="102"/>
      <c r="BR62" s="102"/>
      <c r="BS62" s="102"/>
      <c r="BT62" s="102"/>
      <c r="BU62" s="102"/>
      <c r="BV62" s="102"/>
      <c r="BW62" s="102"/>
      <c r="BX62" s="102"/>
      <c r="BY62" s="102"/>
      <c r="BZ62" s="102"/>
      <c r="CA62" s="102"/>
      <c r="CB62" s="102"/>
      <c r="CC62" s="102"/>
      <c r="CD62" s="102"/>
      <c r="CE62" s="102"/>
      <c r="CF62" s="102"/>
      <c r="CG62" s="102"/>
      <c r="CH62" s="102"/>
      <c r="CI62" s="102"/>
      <c r="CJ62" s="102"/>
      <c r="CK62" s="102"/>
      <c r="CL62" s="102"/>
      <c r="CM62" s="102"/>
      <c r="CN62" s="102"/>
      <c r="CO62" s="102"/>
      <c r="CP62" s="102"/>
      <c r="CQ62" s="102"/>
      <c r="CR62" s="102"/>
      <c r="CS62" s="102"/>
      <c r="CT62" s="102"/>
      <c r="CU62" s="102"/>
      <c r="CV62" s="102"/>
      <c r="CW62" s="102"/>
      <c r="CX62" s="102"/>
      <c r="CY62" s="102"/>
      <c r="CZ62" s="102"/>
      <c r="DA62" s="102"/>
      <c r="DB62" s="102"/>
      <c r="DC62" s="102"/>
      <c r="DD62" s="102"/>
      <c r="DE62" s="102"/>
      <c r="DF62" s="102"/>
      <c r="DG62" s="102"/>
      <c r="DH62" s="102"/>
      <c r="DI62" s="102"/>
      <c r="DJ62" s="102"/>
      <c r="DK62" s="102"/>
      <c r="DL62" s="102"/>
      <c r="DM62" s="102"/>
      <c r="DN62" s="102"/>
      <c r="DO62" s="102"/>
      <c r="DP62" s="102"/>
      <c r="DQ62" s="102"/>
      <c r="DR62" s="102"/>
      <c r="DS62" s="102"/>
      <c r="DT62" s="102"/>
      <c r="DU62" s="102"/>
      <c r="DV62" s="102"/>
      <c r="DW62" s="102"/>
      <c r="DX62" s="102"/>
      <c r="DY62" s="102"/>
      <c r="DZ62" s="102"/>
      <c r="EA62" s="102"/>
      <c r="EB62" s="102"/>
      <c r="EC62" s="102"/>
      <c r="ED62" s="102"/>
      <c r="EE62" s="102"/>
      <c r="EF62" s="102"/>
      <c r="EG62" s="102"/>
      <c r="EH62" s="102"/>
      <c r="EI62" s="102"/>
      <c r="EJ62" s="102"/>
      <c r="EK62" s="102"/>
      <c r="EL62" s="102"/>
      <c r="EM62" s="102"/>
      <c r="EN62" s="102"/>
      <c r="EO62" s="102"/>
      <c r="EP62" s="102"/>
      <c r="EQ62" s="102"/>
      <c r="ER62" s="102"/>
      <c r="ES62" s="102"/>
      <c r="ET62" s="102"/>
      <c r="EU62" s="102"/>
      <c r="EV62" s="102"/>
      <c r="EW62" s="102"/>
      <c r="EX62" s="102"/>
      <c r="EY62" s="102"/>
      <c r="EZ62" s="102"/>
      <c r="FA62" s="102"/>
      <c r="FB62" s="102"/>
      <c r="FC62" s="102"/>
      <c r="FD62" s="102"/>
      <c r="FE62" s="102"/>
      <c r="FF62" s="102"/>
      <c r="FG62" s="102"/>
      <c r="FH62" s="102"/>
      <c r="FI62" s="102"/>
      <c r="FJ62" s="102"/>
      <c r="FK62" s="102"/>
      <c r="FL62" s="102"/>
      <c r="FM62" s="102"/>
      <c r="FN62" s="102"/>
      <c r="FO62" s="102"/>
      <c r="FP62" s="102"/>
      <c r="FQ62" s="102"/>
      <c r="FR62" s="102"/>
      <c r="FS62" s="102"/>
      <c r="FT62" s="102"/>
      <c r="FU62" s="102"/>
      <c r="FV62" s="102"/>
      <c r="FW62" s="102"/>
      <c r="FX62" s="102"/>
      <c r="FY62" s="102"/>
      <c r="FZ62" s="102"/>
      <c r="GA62" s="102"/>
      <c r="GB62" s="102"/>
      <c r="GC62" s="102"/>
      <c r="GD62" s="102"/>
      <c r="GE62" s="102"/>
      <c r="GF62" s="102"/>
      <c r="GG62" s="102"/>
      <c r="GH62" s="102"/>
      <c r="GI62" s="102"/>
      <c r="GJ62" s="102"/>
      <c r="GK62" s="102"/>
      <c r="GL62" s="102"/>
      <c r="GM62" s="102"/>
      <c r="GN62" s="102"/>
      <c r="GO62" s="102"/>
      <c r="GP62" s="102"/>
      <c r="GQ62" s="102"/>
      <c r="GR62" s="102"/>
      <c r="GS62" s="102"/>
      <c r="GT62" s="102"/>
      <c r="GU62" s="102"/>
      <c r="GV62" s="102"/>
      <c r="GW62" s="102"/>
      <c r="GX62" s="102"/>
      <c r="GY62" s="102"/>
      <c r="GZ62" s="102"/>
      <c r="HA62" s="102"/>
      <c r="HB62" s="102"/>
      <c r="HC62" s="102"/>
      <c r="HD62" s="102"/>
      <c r="HE62" s="102"/>
      <c r="HF62" s="102"/>
      <c r="HG62" s="102"/>
      <c r="HH62" s="102"/>
      <c r="HI62" s="102"/>
      <c r="HJ62" s="102"/>
      <c r="HK62" s="102"/>
      <c r="HL62" s="102"/>
      <c r="HM62" s="102"/>
      <c r="HN62" s="102"/>
      <c r="HO62" s="102"/>
      <c r="HP62" s="102"/>
      <c r="HQ62" s="102"/>
      <c r="HR62" s="102"/>
      <c r="HS62" s="102"/>
      <c r="HT62" s="102"/>
      <c r="HU62" s="102"/>
      <c r="HV62" s="102"/>
      <c r="HW62" s="102"/>
      <c r="HX62" s="102"/>
      <c r="HY62" s="102"/>
      <c r="HZ62" s="102"/>
      <c r="IA62" s="102"/>
      <c r="IB62" s="102"/>
      <c r="IC62" s="102"/>
      <c r="ID62" s="102"/>
      <c r="IE62" s="102"/>
      <c r="IF62" s="102"/>
      <c r="IG62" s="102"/>
      <c r="IH62" s="102"/>
      <c r="II62" s="102"/>
      <c r="IJ62" s="102"/>
      <c r="IK62" s="102"/>
      <c r="IL62" s="102"/>
      <c r="IM62" s="102"/>
      <c r="IN62" s="102"/>
      <c r="IO62" s="102"/>
      <c r="IP62" s="102"/>
      <c r="IQ62" s="102"/>
      <c r="IR62" s="102"/>
      <c r="IS62" s="102"/>
      <c r="IT62" s="102"/>
      <c r="IU62" s="102"/>
      <c r="IV62" s="102"/>
      <c r="IW62" s="102"/>
    </row>
    <row r="63" customFormat="false" ht="12.75" hidden="false" customHeight="false" outlineLevel="0" collapsed="false">
      <c r="A63" s="671" t="s">
        <v>1227</v>
      </c>
      <c r="B63" s="672" t="n">
        <f aca="false">B62-B49</f>
        <v>15370573.4071188</v>
      </c>
      <c r="C63" s="666"/>
      <c r="D63" s="666"/>
      <c r="E63" s="666"/>
      <c r="F63" s="666"/>
      <c r="G63" s="666"/>
      <c r="H63" s="666"/>
      <c r="I63" s="666"/>
      <c r="J63" s="666"/>
      <c r="K63" s="666"/>
      <c r="L63" s="102"/>
      <c r="M63" s="102"/>
      <c r="N63" s="102"/>
      <c r="O63" s="102"/>
      <c r="P63" s="102"/>
      <c r="Q63" s="102"/>
      <c r="R63" s="102"/>
      <c r="S63" s="102"/>
      <c r="T63" s="102"/>
      <c r="U63" s="102"/>
      <c r="V63" s="102"/>
      <c r="W63" s="102"/>
      <c r="X63" s="102"/>
      <c r="Y63" s="102"/>
      <c r="Z63" s="102"/>
      <c r="AA63" s="102"/>
      <c r="AB63" s="102"/>
      <c r="AC63" s="102"/>
      <c r="AD63" s="102"/>
      <c r="AE63" s="102"/>
      <c r="AF63" s="102"/>
      <c r="AG63" s="102"/>
      <c r="AH63" s="102"/>
      <c r="AI63" s="102"/>
      <c r="AJ63" s="102"/>
      <c r="AK63" s="102"/>
      <c r="AL63" s="102"/>
      <c r="AM63" s="102"/>
      <c r="AN63" s="102"/>
      <c r="AO63" s="102"/>
      <c r="AP63" s="102"/>
      <c r="AQ63" s="102"/>
      <c r="AR63" s="102"/>
      <c r="AS63" s="102"/>
      <c r="AT63" s="102"/>
      <c r="AU63" s="102"/>
      <c r="AV63" s="102"/>
      <c r="AW63" s="102"/>
      <c r="AX63" s="102"/>
      <c r="AY63" s="102"/>
      <c r="AZ63" s="102"/>
      <c r="BA63" s="102"/>
      <c r="BB63" s="102"/>
      <c r="BC63" s="102"/>
      <c r="BD63" s="102"/>
      <c r="BE63" s="102"/>
      <c r="BF63" s="102"/>
      <c r="BG63" s="102"/>
      <c r="BH63" s="102"/>
      <c r="BI63" s="102"/>
      <c r="BJ63" s="102"/>
      <c r="BK63" s="102"/>
      <c r="BL63" s="102"/>
      <c r="BM63" s="102"/>
      <c r="BN63" s="102"/>
      <c r="BO63" s="102"/>
      <c r="BP63" s="102"/>
      <c r="BQ63" s="102"/>
      <c r="BR63" s="102"/>
      <c r="BS63" s="102"/>
      <c r="BT63" s="102"/>
      <c r="BU63" s="102"/>
      <c r="BV63" s="102"/>
      <c r="BW63" s="102"/>
      <c r="BX63" s="102"/>
      <c r="BY63" s="102"/>
      <c r="BZ63" s="102"/>
      <c r="CA63" s="102"/>
      <c r="CB63" s="102"/>
      <c r="CC63" s="102"/>
      <c r="CD63" s="102"/>
      <c r="CE63" s="102"/>
      <c r="CF63" s="102"/>
      <c r="CG63" s="102"/>
      <c r="CH63" s="102"/>
      <c r="CI63" s="102"/>
      <c r="CJ63" s="102"/>
      <c r="CK63" s="102"/>
      <c r="CL63" s="102"/>
      <c r="CM63" s="102"/>
      <c r="CN63" s="102"/>
      <c r="CO63" s="102"/>
      <c r="CP63" s="102"/>
      <c r="CQ63" s="102"/>
      <c r="CR63" s="102"/>
      <c r="CS63" s="102"/>
      <c r="CT63" s="102"/>
      <c r="CU63" s="102"/>
      <c r="CV63" s="102"/>
      <c r="CW63" s="102"/>
      <c r="CX63" s="102"/>
      <c r="CY63" s="102"/>
      <c r="CZ63" s="102"/>
      <c r="DA63" s="102"/>
      <c r="DB63" s="102"/>
      <c r="DC63" s="102"/>
      <c r="DD63" s="102"/>
      <c r="DE63" s="102"/>
      <c r="DF63" s="102"/>
      <c r="DG63" s="102"/>
      <c r="DH63" s="102"/>
      <c r="DI63" s="102"/>
      <c r="DJ63" s="102"/>
      <c r="DK63" s="102"/>
      <c r="DL63" s="102"/>
      <c r="DM63" s="102"/>
      <c r="DN63" s="102"/>
      <c r="DO63" s="102"/>
      <c r="DP63" s="102"/>
      <c r="DQ63" s="102"/>
      <c r="DR63" s="102"/>
      <c r="DS63" s="102"/>
      <c r="DT63" s="102"/>
      <c r="DU63" s="102"/>
      <c r="DV63" s="102"/>
      <c r="DW63" s="102"/>
      <c r="DX63" s="102"/>
      <c r="DY63" s="102"/>
      <c r="DZ63" s="102"/>
      <c r="EA63" s="102"/>
      <c r="EB63" s="102"/>
      <c r="EC63" s="102"/>
      <c r="ED63" s="102"/>
      <c r="EE63" s="102"/>
      <c r="EF63" s="102"/>
      <c r="EG63" s="102"/>
      <c r="EH63" s="102"/>
      <c r="EI63" s="102"/>
      <c r="EJ63" s="102"/>
      <c r="EK63" s="102"/>
      <c r="EL63" s="102"/>
      <c r="EM63" s="102"/>
      <c r="EN63" s="102"/>
      <c r="EO63" s="102"/>
      <c r="EP63" s="102"/>
      <c r="EQ63" s="102"/>
      <c r="ER63" s="102"/>
      <c r="ES63" s="102"/>
      <c r="ET63" s="102"/>
      <c r="EU63" s="102"/>
      <c r="EV63" s="102"/>
      <c r="EW63" s="102"/>
      <c r="EX63" s="102"/>
      <c r="EY63" s="102"/>
      <c r="EZ63" s="102"/>
      <c r="FA63" s="102"/>
      <c r="FB63" s="102"/>
      <c r="FC63" s="102"/>
      <c r="FD63" s="102"/>
      <c r="FE63" s="102"/>
      <c r="FF63" s="102"/>
      <c r="FG63" s="102"/>
      <c r="FH63" s="102"/>
      <c r="FI63" s="102"/>
      <c r="FJ63" s="102"/>
      <c r="FK63" s="102"/>
      <c r="FL63" s="102"/>
      <c r="FM63" s="102"/>
      <c r="FN63" s="102"/>
      <c r="FO63" s="102"/>
      <c r="FP63" s="102"/>
      <c r="FQ63" s="102"/>
      <c r="FR63" s="102"/>
      <c r="FS63" s="102"/>
      <c r="FT63" s="102"/>
      <c r="FU63" s="102"/>
      <c r="FV63" s="102"/>
      <c r="FW63" s="102"/>
      <c r="FX63" s="102"/>
      <c r="FY63" s="102"/>
      <c r="FZ63" s="102"/>
      <c r="GA63" s="102"/>
      <c r="GB63" s="102"/>
      <c r="GC63" s="102"/>
      <c r="GD63" s="102"/>
      <c r="GE63" s="102"/>
      <c r="GF63" s="102"/>
      <c r="GG63" s="102"/>
      <c r="GH63" s="102"/>
      <c r="GI63" s="102"/>
      <c r="GJ63" s="102"/>
      <c r="GK63" s="102"/>
      <c r="GL63" s="102"/>
      <c r="GM63" s="102"/>
      <c r="GN63" s="102"/>
      <c r="GO63" s="102"/>
      <c r="GP63" s="102"/>
      <c r="GQ63" s="102"/>
      <c r="GR63" s="102"/>
      <c r="GS63" s="102"/>
      <c r="GT63" s="102"/>
      <c r="GU63" s="102"/>
      <c r="GV63" s="102"/>
      <c r="GW63" s="102"/>
      <c r="GX63" s="102"/>
      <c r="GY63" s="102"/>
      <c r="GZ63" s="102"/>
      <c r="HA63" s="102"/>
      <c r="HB63" s="102"/>
      <c r="HC63" s="102"/>
      <c r="HD63" s="102"/>
      <c r="HE63" s="102"/>
      <c r="HF63" s="102"/>
      <c r="HG63" s="102"/>
      <c r="HH63" s="102"/>
      <c r="HI63" s="102"/>
      <c r="HJ63" s="102"/>
      <c r="HK63" s="102"/>
      <c r="HL63" s="102"/>
      <c r="HM63" s="102"/>
      <c r="HN63" s="102"/>
      <c r="HO63" s="102"/>
      <c r="HP63" s="102"/>
      <c r="HQ63" s="102"/>
      <c r="HR63" s="102"/>
      <c r="HS63" s="102"/>
      <c r="HT63" s="102"/>
      <c r="HU63" s="102"/>
      <c r="HV63" s="102"/>
      <c r="HW63" s="102"/>
      <c r="HX63" s="102"/>
      <c r="HY63" s="102"/>
      <c r="HZ63" s="102"/>
      <c r="IA63" s="102"/>
      <c r="IB63" s="102"/>
      <c r="IC63" s="102"/>
      <c r="ID63" s="102"/>
      <c r="IE63" s="102"/>
      <c r="IF63" s="102"/>
      <c r="IG63" s="102"/>
      <c r="IH63" s="102"/>
      <c r="II63" s="102"/>
      <c r="IJ63" s="102"/>
      <c r="IK63" s="102"/>
      <c r="IL63" s="102"/>
      <c r="IM63" s="102"/>
      <c r="IN63" s="102"/>
      <c r="IO63" s="102"/>
      <c r="IP63" s="102"/>
      <c r="IQ63" s="102"/>
      <c r="IR63" s="102"/>
      <c r="IS63" s="102"/>
      <c r="IT63" s="102"/>
      <c r="IU63" s="102"/>
      <c r="IV63" s="102"/>
      <c r="IW63" s="102"/>
    </row>
    <row r="64" customFormat="false" ht="12.75" hidden="false" customHeight="false" outlineLevel="0" collapsed="false">
      <c r="A64" s="0"/>
      <c r="B64" s="0"/>
      <c r="C64" s="0"/>
      <c r="D64" s="0"/>
      <c r="E64" s="0"/>
      <c r="F64" s="0"/>
      <c r="G64" s="0"/>
      <c r="H64" s="0"/>
      <c r="I64" s="0"/>
      <c r="J64" s="0"/>
      <c r="K64" s="0"/>
      <c r="L64" s="0"/>
      <c r="M64" s="0"/>
      <c r="N64" s="0"/>
      <c r="O64" s="0"/>
      <c r="P64" s="0"/>
      <c r="Q64" s="0"/>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c r="IW64" s="0"/>
    </row>
    <row r="66" customFormat="false" ht="12.75" hidden="false" customHeight="false" outlineLevel="0" collapsed="false">
      <c r="A66" s="663"/>
      <c r="B66" s="664"/>
      <c r="C66" s="664"/>
      <c r="D66" s="664"/>
      <c r="E66" s="664"/>
      <c r="F66" s="664"/>
      <c r="G66" s="664"/>
      <c r="H66" s="664"/>
      <c r="I66" s="664"/>
      <c r="J66" s="664"/>
      <c r="K66" s="664"/>
      <c r="L66" s="663"/>
      <c r="M66" s="663"/>
      <c r="N66" s="663"/>
      <c r="O66" s="663"/>
      <c r="P66" s="663"/>
      <c r="Q66" s="663"/>
      <c r="R66" s="663"/>
      <c r="S66" s="663"/>
      <c r="T66" s="663"/>
      <c r="U66" s="663"/>
      <c r="V66" s="663"/>
      <c r="W66" s="663"/>
      <c r="X66" s="663"/>
      <c r="Y66" s="663"/>
      <c r="Z66" s="663"/>
      <c r="AA66" s="663"/>
      <c r="AB66" s="663"/>
      <c r="AC66" s="663"/>
      <c r="AD66" s="663"/>
      <c r="AE66" s="663"/>
      <c r="AF66" s="663"/>
      <c r="AG66" s="663"/>
      <c r="AH66" s="663"/>
      <c r="AI66" s="663"/>
      <c r="AJ66" s="663"/>
      <c r="AK66" s="663"/>
      <c r="AL66" s="663"/>
      <c r="AM66" s="663"/>
      <c r="AN66" s="663"/>
      <c r="AO66" s="663"/>
      <c r="AP66" s="663"/>
      <c r="AQ66" s="663"/>
      <c r="AR66" s="663"/>
      <c r="AS66" s="663"/>
      <c r="AT66" s="663"/>
      <c r="AU66" s="663"/>
      <c r="AV66" s="663"/>
      <c r="AW66" s="663"/>
      <c r="AX66" s="663"/>
      <c r="AY66" s="663"/>
      <c r="AZ66" s="663"/>
      <c r="BA66" s="663"/>
      <c r="BB66" s="663"/>
      <c r="BC66" s="663"/>
      <c r="BD66" s="663"/>
      <c r="BE66" s="663"/>
      <c r="BF66" s="663"/>
      <c r="BG66" s="663"/>
      <c r="BH66" s="663"/>
      <c r="BI66" s="663"/>
      <c r="BJ66" s="663"/>
      <c r="BK66" s="663"/>
      <c r="BL66" s="663"/>
      <c r="BM66" s="663"/>
      <c r="BN66" s="663"/>
      <c r="BO66" s="663"/>
      <c r="BP66" s="663"/>
      <c r="BQ66" s="663"/>
      <c r="BR66" s="663"/>
      <c r="BS66" s="663"/>
      <c r="BT66" s="663"/>
      <c r="BU66" s="663"/>
      <c r="BV66" s="663"/>
      <c r="BW66" s="663"/>
      <c r="BX66" s="663"/>
      <c r="BY66" s="663"/>
      <c r="BZ66" s="663"/>
      <c r="CA66" s="663"/>
      <c r="CB66" s="663"/>
      <c r="CC66" s="663"/>
      <c r="CD66" s="663"/>
      <c r="CE66" s="663"/>
      <c r="CF66" s="663"/>
      <c r="CG66" s="663"/>
      <c r="CH66" s="663"/>
      <c r="CI66" s="663"/>
      <c r="CJ66" s="663"/>
      <c r="CK66" s="663"/>
      <c r="CL66" s="663"/>
      <c r="CM66" s="663"/>
      <c r="CN66" s="663"/>
      <c r="CO66" s="663"/>
      <c r="CP66" s="663"/>
      <c r="CQ66" s="663"/>
      <c r="CR66" s="663"/>
      <c r="CS66" s="663"/>
      <c r="CT66" s="663"/>
      <c r="CU66" s="663"/>
      <c r="CV66" s="663"/>
      <c r="CW66" s="663"/>
      <c r="CX66" s="663"/>
      <c r="CY66" s="663"/>
      <c r="CZ66" s="663"/>
      <c r="DA66" s="663"/>
      <c r="DB66" s="663"/>
      <c r="DC66" s="663"/>
      <c r="DD66" s="663"/>
      <c r="DE66" s="663"/>
      <c r="DF66" s="663"/>
      <c r="DG66" s="663"/>
      <c r="DH66" s="663"/>
      <c r="DI66" s="663"/>
      <c r="DJ66" s="663"/>
      <c r="DK66" s="663"/>
      <c r="DL66" s="663"/>
      <c r="DM66" s="663"/>
      <c r="DN66" s="663"/>
      <c r="DO66" s="663"/>
      <c r="DP66" s="663"/>
      <c r="DQ66" s="663"/>
      <c r="DR66" s="663"/>
      <c r="DS66" s="663"/>
      <c r="DT66" s="663"/>
      <c r="DU66" s="663"/>
      <c r="DV66" s="663"/>
      <c r="DW66" s="663"/>
      <c r="DX66" s="663"/>
      <c r="DY66" s="663"/>
      <c r="DZ66" s="663"/>
      <c r="EA66" s="663"/>
      <c r="EB66" s="663"/>
      <c r="EC66" s="663"/>
      <c r="ED66" s="663"/>
      <c r="EE66" s="663"/>
      <c r="EF66" s="663"/>
      <c r="EG66" s="663"/>
      <c r="EH66" s="663"/>
      <c r="EI66" s="663"/>
      <c r="EJ66" s="663"/>
      <c r="EK66" s="663"/>
      <c r="EL66" s="663"/>
      <c r="EM66" s="663"/>
      <c r="EN66" s="663"/>
      <c r="EO66" s="663"/>
      <c r="EP66" s="663"/>
      <c r="EQ66" s="663"/>
      <c r="ER66" s="663"/>
      <c r="ES66" s="663"/>
      <c r="ET66" s="663"/>
      <c r="EU66" s="663"/>
      <c r="EV66" s="663"/>
      <c r="EW66" s="663"/>
      <c r="EX66" s="663"/>
      <c r="EY66" s="663"/>
      <c r="EZ66" s="663"/>
      <c r="FA66" s="663"/>
      <c r="FB66" s="663"/>
      <c r="FC66" s="663"/>
      <c r="FD66" s="663"/>
      <c r="FE66" s="663"/>
      <c r="FF66" s="663"/>
      <c r="FG66" s="663"/>
      <c r="FH66" s="663"/>
      <c r="FI66" s="663"/>
      <c r="FJ66" s="663"/>
      <c r="FK66" s="663"/>
      <c r="FL66" s="663"/>
      <c r="FM66" s="663"/>
      <c r="FN66" s="663"/>
      <c r="FO66" s="663"/>
      <c r="FP66" s="663"/>
      <c r="FQ66" s="663"/>
      <c r="FR66" s="663"/>
      <c r="FS66" s="663"/>
      <c r="FT66" s="663"/>
      <c r="FU66" s="663"/>
      <c r="FV66" s="663"/>
      <c r="FW66" s="663"/>
      <c r="FX66" s="663"/>
      <c r="FY66" s="663"/>
      <c r="FZ66" s="663"/>
      <c r="GA66" s="663"/>
      <c r="GB66" s="663"/>
      <c r="GC66" s="663"/>
      <c r="GD66" s="663"/>
      <c r="GE66" s="663"/>
      <c r="GF66" s="663"/>
      <c r="GG66" s="663"/>
      <c r="GH66" s="663"/>
      <c r="GI66" s="663"/>
      <c r="GJ66" s="663"/>
      <c r="GK66" s="663"/>
      <c r="GL66" s="663"/>
      <c r="GM66" s="663"/>
      <c r="GN66" s="663"/>
      <c r="GO66" s="663"/>
      <c r="GP66" s="663"/>
      <c r="GQ66" s="663"/>
      <c r="GR66" s="663"/>
      <c r="GS66" s="663"/>
      <c r="GT66" s="663"/>
      <c r="GU66" s="663"/>
      <c r="GV66" s="663"/>
      <c r="GW66" s="663"/>
      <c r="GX66" s="663"/>
      <c r="GY66" s="663"/>
      <c r="GZ66" s="663"/>
      <c r="HA66" s="663"/>
      <c r="HB66" s="663"/>
      <c r="HC66" s="663"/>
      <c r="HD66" s="663"/>
      <c r="HE66" s="663"/>
      <c r="HF66" s="663"/>
      <c r="HG66" s="663"/>
      <c r="HH66" s="663"/>
      <c r="HI66" s="663"/>
      <c r="HJ66" s="663"/>
      <c r="HK66" s="663"/>
      <c r="HL66" s="663"/>
      <c r="HM66" s="663"/>
      <c r="HN66" s="663"/>
      <c r="HO66" s="663"/>
      <c r="HP66" s="663"/>
      <c r="HQ66" s="663"/>
      <c r="HR66" s="663"/>
      <c r="HS66" s="663"/>
      <c r="HT66" s="663"/>
      <c r="HU66" s="663"/>
      <c r="HV66" s="663"/>
      <c r="HW66" s="663"/>
      <c r="HX66" s="663"/>
      <c r="HY66" s="663"/>
      <c r="HZ66" s="663"/>
      <c r="IA66" s="663"/>
      <c r="IB66" s="663"/>
      <c r="IC66" s="663"/>
      <c r="ID66" s="663"/>
      <c r="IE66" s="663"/>
      <c r="IF66" s="663"/>
      <c r="IG66" s="663"/>
      <c r="IH66" s="663"/>
      <c r="II66" s="663"/>
      <c r="IJ66" s="663"/>
      <c r="IK66" s="663"/>
      <c r="IL66" s="663"/>
      <c r="IM66" s="663"/>
      <c r="IN66" s="663"/>
      <c r="IO66" s="663"/>
      <c r="IP66" s="663"/>
      <c r="IQ66" s="663"/>
      <c r="IR66" s="663"/>
      <c r="IS66" s="663"/>
      <c r="IT66" s="663"/>
      <c r="IU66" s="663"/>
      <c r="IV66" s="663"/>
      <c r="IW66" s="663"/>
    </row>
    <row r="67" customFormat="false" ht="20.25" hidden="false" customHeight="false" outlineLevel="0" collapsed="false">
      <c r="A67" s="665" t="s">
        <v>1228</v>
      </c>
    </row>
    <row r="68" customFormat="false" ht="20.25" hidden="false" customHeight="false" outlineLevel="0" collapsed="false">
      <c r="A68" s="665"/>
    </row>
    <row r="70" customFormat="false" ht="18.75" hidden="false" customHeight="false" outlineLevel="0" collapsed="false">
      <c r="A70" s="660" t="s">
        <v>1212</v>
      </c>
      <c r="B70" s="608" t="n">
        <v>1</v>
      </c>
      <c r="C70" s="608" t="n">
        <v>2</v>
      </c>
      <c r="D70" s="608" t="n">
        <v>3</v>
      </c>
      <c r="E70" s="608" t="n">
        <v>4</v>
      </c>
      <c r="F70" s="608" t="n">
        <v>5</v>
      </c>
      <c r="G70" s="608" t="n">
        <v>6</v>
      </c>
      <c r="H70" s="608" t="n">
        <v>7</v>
      </c>
      <c r="I70" s="608" t="n">
        <v>8</v>
      </c>
      <c r="J70" s="608" t="n">
        <v>9</v>
      </c>
      <c r="K70" s="608" t="n">
        <v>10</v>
      </c>
    </row>
    <row r="71" customFormat="false" ht="12.75" hidden="false" customHeight="false" outlineLevel="0" collapsed="false">
      <c r="A71" s="480" t="str">
        <f aca="false">A41</f>
        <v>Revenues from FM</v>
      </c>
      <c r="B71" s="476" t="n">
        <f aca="false">B41</f>
        <v>29250000</v>
      </c>
      <c r="C71" s="476" t="n">
        <f aca="false">C41</f>
        <v>38025000</v>
      </c>
      <c r="D71" s="476" t="n">
        <f aca="false">D41</f>
        <v>45630000</v>
      </c>
      <c r="E71" s="476" t="n">
        <f aca="false">E41</f>
        <v>50193000</v>
      </c>
      <c r="F71" s="476" t="n">
        <f aca="false">F41</f>
        <v>55212300</v>
      </c>
      <c r="G71" s="476" t="n">
        <f aca="false">G41</f>
        <v>60733530</v>
      </c>
      <c r="H71" s="476" t="n">
        <f aca="false">H41</f>
        <v>66806883</v>
      </c>
      <c r="I71" s="476" t="n">
        <f aca="false">I41</f>
        <v>73487571.3</v>
      </c>
      <c r="J71" s="476" t="n">
        <f aca="false">J41</f>
        <v>80836328.4300001</v>
      </c>
      <c r="K71" s="476" t="n">
        <f aca="false">K41</f>
        <v>88919961.2730001</v>
      </c>
    </row>
    <row r="72" customFormat="false" ht="12.75" hidden="false" customHeight="false" outlineLevel="0" collapsed="false">
      <c r="A72" s="480" t="str">
        <f aca="false">A45</f>
        <v>TFSP Rent payment to Simon</v>
      </c>
      <c r="B72" s="476" t="n">
        <f aca="false">-B45</f>
        <v>2193750</v>
      </c>
      <c r="C72" s="476" t="n">
        <f aca="false">-C45</f>
        <v>2756812.5</v>
      </c>
      <c r="D72" s="476" t="n">
        <f aca="false">-D45</f>
        <v>3194100</v>
      </c>
      <c r="E72" s="476" t="n">
        <f aca="false">-E45</f>
        <v>3388027.5</v>
      </c>
      <c r="F72" s="476" t="n">
        <f aca="false">-F45</f>
        <v>3588799.5</v>
      </c>
      <c r="G72" s="476" t="n">
        <f aca="false">-G45</f>
        <v>3795845.625</v>
      </c>
      <c r="H72" s="476" t="n">
        <f aca="false">-H45</f>
        <v>4008412.98</v>
      </c>
      <c r="I72" s="476" t="n">
        <f aca="false">-I45</f>
        <v>4225535.34975</v>
      </c>
      <c r="J72" s="476" t="n">
        <f aca="false">-J45</f>
        <v>4445998.06365</v>
      </c>
      <c r="K72" s="476" t="n">
        <f aca="false">-K45</f>
        <v>4668297.9668325</v>
      </c>
    </row>
    <row r="73" customFormat="false" ht="12.75" hidden="false" customHeight="false" outlineLevel="0" collapsed="false">
      <c r="A73" s="650" t="s">
        <v>1076</v>
      </c>
      <c r="B73" s="476" t="n">
        <f aca="false">NPV('general info'!B45,B72:K72)</f>
        <v>17904283.3294088</v>
      </c>
    </row>
    <row r="76" customFormat="false" ht="18.75" hidden="false" customHeight="false" outlineLevel="0" collapsed="false">
      <c r="A76" s="660" t="s">
        <v>1219</v>
      </c>
      <c r="B76" s="608" t="n">
        <v>1</v>
      </c>
      <c r="C76" s="608" t="n">
        <v>2</v>
      </c>
      <c r="D76" s="608" t="n">
        <v>3</v>
      </c>
      <c r="E76" s="608" t="n">
        <v>4</v>
      </c>
      <c r="F76" s="608" t="n">
        <v>5</v>
      </c>
      <c r="G76" s="608" t="n">
        <v>6</v>
      </c>
      <c r="H76" s="608" t="n">
        <v>7</v>
      </c>
      <c r="I76" s="608" t="n">
        <v>8</v>
      </c>
      <c r="J76" s="608" t="n">
        <v>9</v>
      </c>
      <c r="K76" s="608" t="n">
        <v>10</v>
      </c>
    </row>
    <row r="77" customFormat="false" ht="12.75" hidden="false" customHeight="false" outlineLevel="0" collapsed="false">
      <c r="A77" s="480" t="str">
        <f aca="false">A52</f>
        <v>Base Revenues from Tenant FM Business</v>
      </c>
      <c r="B77" s="476" t="n">
        <f aca="false">B52</f>
        <v>29250000</v>
      </c>
      <c r="C77" s="476" t="n">
        <f aca="false">C52</f>
        <v>38025000</v>
      </c>
      <c r="D77" s="476" t="n">
        <f aca="false">D52</f>
        <v>45630000</v>
      </c>
      <c r="E77" s="476" t="n">
        <f aca="false">E52</f>
        <v>50193000</v>
      </c>
      <c r="F77" s="476" t="n">
        <f aca="false">F52</f>
        <v>55212300</v>
      </c>
      <c r="G77" s="476" t="n">
        <f aca="false">G52</f>
        <v>60733530</v>
      </c>
      <c r="H77" s="476" t="n">
        <f aca="false">H52</f>
        <v>66806883</v>
      </c>
      <c r="I77" s="476" t="n">
        <f aca="false">I52</f>
        <v>73487571.3</v>
      </c>
      <c r="J77" s="476" t="n">
        <f aca="false">J52</f>
        <v>80836328.4300001</v>
      </c>
      <c r="K77" s="476" t="n">
        <f aca="false">K52</f>
        <v>88919961.2730001</v>
      </c>
    </row>
    <row r="78" customFormat="false" ht="12.75" hidden="false" customHeight="false" outlineLevel="0" collapsed="false">
      <c r="A78" s="480"/>
    </row>
    <row r="79" customFormat="false" ht="12.75" hidden="false" customHeight="false" outlineLevel="0" collapsed="false">
      <c r="A79" s="480" t="s">
        <v>1229</v>
      </c>
      <c r="B79" s="476" t="n">
        <f aca="false">B72</f>
        <v>2193750</v>
      </c>
      <c r="C79" s="476" t="n">
        <f aca="false">C72</f>
        <v>2756812.5</v>
      </c>
      <c r="D79" s="476" t="n">
        <f aca="false">D72</f>
        <v>3194100</v>
      </c>
      <c r="E79" s="476" t="n">
        <f aca="false">E72</f>
        <v>3388027.5</v>
      </c>
      <c r="F79" s="476" t="n">
        <f aca="false">F72</f>
        <v>3588799.5</v>
      </c>
      <c r="G79" s="476" t="n">
        <f aca="false">G72</f>
        <v>3795845.625</v>
      </c>
      <c r="H79" s="476" t="n">
        <f aca="false">H72</f>
        <v>4008412.98</v>
      </c>
      <c r="I79" s="476" t="n">
        <f aca="false">I72</f>
        <v>4225535.34975</v>
      </c>
      <c r="J79" s="476" t="n">
        <f aca="false">J72</f>
        <v>4445998.06365</v>
      </c>
      <c r="K79" s="476" t="n">
        <f aca="false">K72</f>
        <v>4668297.9668325</v>
      </c>
    </row>
    <row r="80" customFormat="false" ht="12.75" hidden="false" customHeight="false" outlineLevel="0" collapsed="false">
      <c r="A80" s="480" t="s">
        <v>1230</v>
      </c>
      <c r="B80" s="476" t="n">
        <f aca="false">B12</f>
        <v>4000000</v>
      </c>
    </row>
    <row r="81" customFormat="false" ht="12.75" hidden="false" customHeight="false" outlineLevel="0" collapsed="false">
      <c r="A81" s="480" t="s">
        <v>1231</v>
      </c>
      <c r="B81" s="476" t="n">
        <f aca="false">-B59</f>
        <v>1000000</v>
      </c>
      <c r="C81" s="476" t="n">
        <f aca="false">-C59</f>
        <v>1750000</v>
      </c>
      <c r="D81" s="476" t="n">
        <f aca="false">-D59</f>
        <v>2500000</v>
      </c>
      <c r="E81" s="476" t="n">
        <f aca="false">-E59</f>
        <v>3250000</v>
      </c>
      <c r="F81" s="476" t="n">
        <f aca="false">-F59</f>
        <v>4000000</v>
      </c>
      <c r="G81" s="476" t="n">
        <f aca="false">-G59</f>
        <v>4750000</v>
      </c>
      <c r="H81" s="476" t="n">
        <f aca="false">-H59</f>
        <v>5500000</v>
      </c>
      <c r="I81" s="476" t="n">
        <f aca="false">-I59</f>
        <v>6250000</v>
      </c>
      <c r="J81" s="476" t="n">
        <f aca="false">-J59</f>
        <v>7000000</v>
      </c>
      <c r="K81" s="476" t="n">
        <f aca="false">-K59</f>
        <v>7750000</v>
      </c>
    </row>
    <row r="82" customFormat="false" ht="12.75" hidden="false" customHeight="false" outlineLevel="0" collapsed="false">
      <c r="A82" s="480" t="s">
        <v>1232</v>
      </c>
      <c r="B82" s="476" t="n">
        <f aca="false">-200000</f>
        <v>-200000</v>
      </c>
      <c r="C82" s="476" t="n">
        <f aca="false">-200000</f>
        <v>-200000</v>
      </c>
      <c r="D82" s="476" t="n">
        <f aca="false">-200000</f>
        <v>-200000</v>
      </c>
      <c r="E82" s="476" t="n">
        <f aca="false">-200000</f>
        <v>-200000</v>
      </c>
      <c r="F82" s="476" t="n">
        <f aca="false">-200000</f>
        <v>-200000</v>
      </c>
      <c r="G82" s="476" t="n">
        <f aca="false">-200000</f>
        <v>-200000</v>
      </c>
      <c r="H82" s="476" t="n">
        <f aca="false">-200000</f>
        <v>-200000</v>
      </c>
      <c r="I82" s="476" t="n">
        <f aca="false">-200000</f>
        <v>-200000</v>
      </c>
      <c r="J82" s="476" t="n">
        <f aca="false">-200000</f>
        <v>-200000</v>
      </c>
      <c r="K82" s="476" t="n">
        <f aca="false">-200000</f>
        <v>-200000</v>
      </c>
    </row>
    <row r="83" customFormat="false" ht="12.75" hidden="false" customHeight="false" outlineLevel="0" collapsed="false">
      <c r="A83" s="650" t="s">
        <v>1233</v>
      </c>
      <c r="B83" s="476" t="n">
        <f aca="false">SUM(B79:B82)</f>
        <v>6993750</v>
      </c>
      <c r="C83" s="476" t="n">
        <f aca="false">SUM(C79:C82)</f>
        <v>4306812.5</v>
      </c>
      <c r="D83" s="476" t="n">
        <f aca="false">SUM(D79:D82)</f>
        <v>5494100</v>
      </c>
      <c r="E83" s="476" t="n">
        <f aca="false">SUM(E79:E82)</f>
        <v>6438027.5</v>
      </c>
      <c r="F83" s="476" t="n">
        <f aca="false">SUM(F79:F82)</f>
        <v>7388799.5</v>
      </c>
      <c r="G83" s="476" t="n">
        <f aca="false">SUM(G79:G82)</f>
        <v>8345845.625</v>
      </c>
      <c r="H83" s="476" t="n">
        <f aca="false">SUM(H79:H82)</f>
        <v>9308412.98</v>
      </c>
      <c r="I83" s="476" t="n">
        <f aca="false">SUM(I79:I82)</f>
        <v>10275535.34975</v>
      </c>
      <c r="J83" s="476" t="n">
        <f aca="false">SUM(J79:J82)</f>
        <v>11245998.06365</v>
      </c>
      <c r="K83" s="476" t="n">
        <f aca="false">SUM(K79:K82)</f>
        <v>12218297.9668325</v>
      </c>
    </row>
    <row r="84" customFormat="false" ht="12.75" hidden="false" customHeight="false" outlineLevel="0" collapsed="false">
      <c r="A84" s="650" t="s">
        <v>1076</v>
      </c>
      <c r="B84" s="476" t="n">
        <f aca="false">NPV('general info'!B45,'FM Summary'!B83:K83)</f>
        <v>39577825.683624</v>
      </c>
    </row>
    <row r="86" customFormat="false" ht="12.75" hidden="false" customHeight="false" outlineLevel="0" collapsed="false">
      <c r="A86" s="650" t="s">
        <v>1234</v>
      </c>
      <c r="B86" s="476" t="n">
        <f aca="false">B83-B72</f>
        <v>4800000</v>
      </c>
      <c r="C86" s="476" t="n">
        <f aca="false">C83-C72</f>
        <v>1550000</v>
      </c>
      <c r="D86" s="476" t="n">
        <f aca="false">D83-D72</f>
        <v>2300000</v>
      </c>
      <c r="E86" s="476" t="n">
        <f aca="false">E83-E72</f>
        <v>3050000</v>
      </c>
      <c r="F86" s="476" t="n">
        <f aca="false">F83-F72</f>
        <v>3800000</v>
      </c>
      <c r="G86" s="476" t="n">
        <f aca="false">G83-G72</f>
        <v>4550000</v>
      </c>
      <c r="H86" s="476" t="n">
        <f aca="false">H83-H72</f>
        <v>5300000</v>
      </c>
      <c r="I86" s="476" t="n">
        <f aca="false">I83-I72</f>
        <v>6050000</v>
      </c>
      <c r="J86" s="476" t="n">
        <f aca="false">J83-J72</f>
        <v>6800000</v>
      </c>
      <c r="K86" s="476" t="n">
        <f aca="false">K83-K72</f>
        <v>7550000</v>
      </c>
    </row>
    <row r="87" customFormat="false" ht="12.75" hidden="false" customHeight="false" outlineLevel="0" collapsed="false">
      <c r="A87" s="671" t="s">
        <v>1235</v>
      </c>
      <c r="B87" s="672" t="n">
        <f aca="false">NPV(0.08,B86:K86)</f>
        <v>28554392.4299937</v>
      </c>
    </row>
    <row r="88" customFormat="false" ht="12.75" hidden="false" customHeight="false" outlineLevel="0" collapsed="false">
      <c r="A88" s="673"/>
      <c r="B88" s="674"/>
    </row>
    <row r="89" customFormat="false" ht="12.75" hidden="false" customHeight="false" outlineLevel="0" collapsed="false">
      <c r="A89" s="673"/>
    </row>
    <row r="90" customFormat="false" ht="12.75" hidden="false" customHeight="false" outlineLevel="0" collapsed="false">
      <c r="A90" s="673"/>
      <c r="B90" s="674"/>
    </row>
    <row r="91" customFormat="false" ht="12.75" hidden="false" customHeight="false" outlineLevel="0" collapsed="false">
      <c r="A91" s="663"/>
      <c r="B91" s="664"/>
      <c r="C91" s="664"/>
      <c r="D91" s="664"/>
      <c r="E91" s="664"/>
      <c r="F91" s="664"/>
      <c r="G91" s="664"/>
      <c r="H91" s="664"/>
      <c r="I91" s="664"/>
      <c r="J91" s="664"/>
      <c r="K91" s="664"/>
      <c r="L91" s="663"/>
      <c r="M91" s="663"/>
      <c r="N91" s="663"/>
      <c r="O91" s="663"/>
      <c r="P91" s="663"/>
      <c r="Q91" s="663"/>
      <c r="R91" s="663"/>
      <c r="S91" s="663"/>
      <c r="T91" s="663"/>
      <c r="U91" s="663"/>
      <c r="V91" s="663"/>
      <c r="W91" s="663"/>
      <c r="X91" s="663"/>
      <c r="Y91" s="663"/>
      <c r="Z91" s="663"/>
      <c r="AA91" s="663"/>
      <c r="AB91" s="663"/>
      <c r="AC91" s="663"/>
      <c r="AD91" s="663"/>
      <c r="AE91" s="663"/>
      <c r="AF91" s="663"/>
      <c r="AG91" s="663"/>
      <c r="AH91" s="663"/>
      <c r="AI91" s="663"/>
      <c r="AJ91" s="663"/>
      <c r="AK91" s="663"/>
      <c r="AL91" s="663"/>
      <c r="AM91" s="663"/>
      <c r="AN91" s="663"/>
      <c r="AO91" s="663"/>
      <c r="AP91" s="663"/>
      <c r="AQ91" s="663"/>
      <c r="AR91" s="663"/>
      <c r="AS91" s="663"/>
      <c r="AT91" s="663"/>
      <c r="AU91" s="663"/>
      <c r="AV91" s="663"/>
      <c r="AW91" s="663"/>
      <c r="AX91" s="663"/>
      <c r="AY91" s="663"/>
      <c r="AZ91" s="663"/>
      <c r="BA91" s="663"/>
      <c r="BB91" s="663"/>
      <c r="BC91" s="663"/>
      <c r="BD91" s="663"/>
      <c r="BE91" s="663"/>
      <c r="BF91" s="663"/>
      <c r="BG91" s="663"/>
      <c r="BH91" s="663"/>
      <c r="BI91" s="663"/>
      <c r="BJ91" s="663"/>
      <c r="BK91" s="663"/>
      <c r="BL91" s="663"/>
      <c r="BM91" s="663"/>
      <c r="BN91" s="663"/>
      <c r="BO91" s="663"/>
      <c r="BP91" s="663"/>
      <c r="BQ91" s="663"/>
      <c r="BR91" s="663"/>
      <c r="BS91" s="663"/>
      <c r="BT91" s="663"/>
      <c r="BU91" s="663"/>
      <c r="BV91" s="663"/>
      <c r="BW91" s="663"/>
      <c r="BX91" s="663"/>
      <c r="BY91" s="663"/>
      <c r="BZ91" s="663"/>
      <c r="CA91" s="663"/>
      <c r="CB91" s="663"/>
      <c r="CC91" s="663"/>
      <c r="CD91" s="663"/>
      <c r="CE91" s="663"/>
      <c r="CF91" s="663"/>
      <c r="CG91" s="663"/>
      <c r="CH91" s="663"/>
      <c r="CI91" s="663"/>
      <c r="CJ91" s="663"/>
      <c r="CK91" s="663"/>
      <c r="CL91" s="663"/>
      <c r="CM91" s="663"/>
      <c r="CN91" s="663"/>
      <c r="CO91" s="663"/>
      <c r="CP91" s="663"/>
      <c r="CQ91" s="663"/>
      <c r="CR91" s="663"/>
      <c r="CS91" s="663"/>
      <c r="CT91" s="663"/>
      <c r="CU91" s="663"/>
      <c r="CV91" s="663"/>
      <c r="CW91" s="663"/>
      <c r="CX91" s="663"/>
      <c r="CY91" s="663"/>
      <c r="CZ91" s="663"/>
      <c r="DA91" s="663"/>
      <c r="DB91" s="663"/>
      <c r="DC91" s="663"/>
      <c r="DD91" s="663"/>
      <c r="DE91" s="663"/>
      <c r="DF91" s="663"/>
      <c r="DG91" s="663"/>
      <c r="DH91" s="663"/>
      <c r="DI91" s="663"/>
      <c r="DJ91" s="663"/>
      <c r="DK91" s="663"/>
      <c r="DL91" s="663"/>
      <c r="DM91" s="663"/>
      <c r="DN91" s="663"/>
      <c r="DO91" s="663"/>
      <c r="DP91" s="663"/>
      <c r="DQ91" s="663"/>
      <c r="DR91" s="663"/>
      <c r="DS91" s="663"/>
      <c r="DT91" s="663"/>
      <c r="DU91" s="663"/>
      <c r="DV91" s="663"/>
      <c r="DW91" s="663"/>
      <c r="DX91" s="663"/>
      <c r="DY91" s="663"/>
      <c r="DZ91" s="663"/>
      <c r="EA91" s="663"/>
      <c r="EB91" s="663"/>
      <c r="EC91" s="663"/>
      <c r="ED91" s="663"/>
      <c r="EE91" s="663"/>
      <c r="EF91" s="663"/>
      <c r="EG91" s="663"/>
      <c r="EH91" s="663"/>
      <c r="EI91" s="663"/>
      <c r="EJ91" s="663"/>
      <c r="EK91" s="663"/>
      <c r="EL91" s="663"/>
      <c r="EM91" s="663"/>
      <c r="EN91" s="663"/>
      <c r="EO91" s="663"/>
      <c r="EP91" s="663"/>
      <c r="EQ91" s="663"/>
      <c r="ER91" s="663"/>
      <c r="ES91" s="663"/>
      <c r="ET91" s="663"/>
      <c r="EU91" s="663"/>
      <c r="EV91" s="663"/>
      <c r="EW91" s="663"/>
      <c r="EX91" s="663"/>
      <c r="EY91" s="663"/>
      <c r="EZ91" s="663"/>
      <c r="FA91" s="663"/>
      <c r="FB91" s="663"/>
      <c r="FC91" s="663"/>
      <c r="FD91" s="663"/>
      <c r="FE91" s="663"/>
      <c r="FF91" s="663"/>
      <c r="FG91" s="663"/>
      <c r="FH91" s="663"/>
      <c r="FI91" s="663"/>
      <c r="FJ91" s="663"/>
      <c r="FK91" s="663"/>
      <c r="FL91" s="663"/>
      <c r="FM91" s="663"/>
      <c r="FN91" s="663"/>
      <c r="FO91" s="663"/>
      <c r="FP91" s="663"/>
      <c r="FQ91" s="663"/>
      <c r="FR91" s="663"/>
      <c r="FS91" s="663"/>
      <c r="FT91" s="663"/>
      <c r="FU91" s="663"/>
      <c r="FV91" s="663"/>
      <c r="FW91" s="663"/>
      <c r="FX91" s="663"/>
      <c r="FY91" s="663"/>
      <c r="FZ91" s="663"/>
      <c r="GA91" s="663"/>
      <c r="GB91" s="663"/>
      <c r="GC91" s="663"/>
      <c r="GD91" s="663"/>
      <c r="GE91" s="663"/>
      <c r="GF91" s="663"/>
      <c r="GG91" s="663"/>
      <c r="GH91" s="663"/>
      <c r="GI91" s="663"/>
      <c r="GJ91" s="663"/>
      <c r="GK91" s="663"/>
      <c r="GL91" s="663"/>
      <c r="GM91" s="663"/>
      <c r="GN91" s="663"/>
      <c r="GO91" s="663"/>
      <c r="GP91" s="663"/>
      <c r="GQ91" s="663"/>
      <c r="GR91" s="663"/>
      <c r="GS91" s="663"/>
      <c r="GT91" s="663"/>
      <c r="GU91" s="663"/>
      <c r="GV91" s="663"/>
      <c r="GW91" s="663"/>
      <c r="GX91" s="663"/>
      <c r="GY91" s="663"/>
      <c r="GZ91" s="663"/>
      <c r="HA91" s="663"/>
      <c r="HB91" s="663"/>
      <c r="HC91" s="663"/>
      <c r="HD91" s="663"/>
      <c r="HE91" s="663"/>
      <c r="HF91" s="663"/>
      <c r="HG91" s="663"/>
      <c r="HH91" s="663"/>
      <c r="HI91" s="663"/>
      <c r="HJ91" s="663"/>
      <c r="HK91" s="663"/>
      <c r="HL91" s="663"/>
      <c r="HM91" s="663"/>
      <c r="HN91" s="663"/>
      <c r="HO91" s="663"/>
      <c r="HP91" s="663"/>
      <c r="HQ91" s="663"/>
      <c r="HR91" s="663"/>
      <c r="HS91" s="663"/>
      <c r="HT91" s="663"/>
      <c r="HU91" s="663"/>
      <c r="HV91" s="663"/>
      <c r="HW91" s="663"/>
      <c r="HX91" s="663"/>
      <c r="HY91" s="663"/>
      <c r="HZ91" s="663"/>
      <c r="IA91" s="663"/>
      <c r="IB91" s="663"/>
      <c r="IC91" s="663"/>
      <c r="ID91" s="663"/>
      <c r="IE91" s="663"/>
      <c r="IF91" s="663"/>
      <c r="IG91" s="663"/>
      <c r="IH91" s="663"/>
      <c r="II91" s="663"/>
      <c r="IJ91" s="663"/>
      <c r="IK91" s="663"/>
      <c r="IL91" s="663"/>
      <c r="IM91" s="663"/>
      <c r="IN91" s="663"/>
      <c r="IO91" s="663"/>
      <c r="IP91" s="663"/>
      <c r="IQ91" s="663"/>
      <c r="IR91" s="663"/>
      <c r="IS91" s="663"/>
      <c r="IT91" s="663"/>
      <c r="IU91" s="663"/>
      <c r="IV91" s="663"/>
      <c r="IW91" s="663"/>
    </row>
    <row r="92" customFormat="false" ht="20.25" hidden="false" customHeight="false" outlineLevel="0" collapsed="false">
      <c r="A92" s="665" t="s">
        <v>1236</v>
      </c>
    </row>
    <row r="93" customFormat="false" ht="20.25" hidden="false" customHeight="false" outlineLevel="0" collapsed="false">
      <c r="A93" s="665"/>
    </row>
    <row r="94" customFormat="false" ht="12.75" hidden="false" customHeight="false" outlineLevel="0" collapsed="false">
      <c r="A94" s="650" t="s">
        <v>1237</v>
      </c>
      <c r="B94" s="475" t="n">
        <f aca="false">B29</f>
        <v>0.01</v>
      </c>
    </row>
    <row r="95" customFormat="false" ht="12.75" hidden="false" customHeight="false" outlineLevel="0" collapsed="false">
      <c r="B95" s="475"/>
    </row>
    <row r="96" customFormat="false" ht="12.75" hidden="false" customHeight="false" outlineLevel="0" collapsed="false">
      <c r="B96" s="608" t="n">
        <v>1</v>
      </c>
      <c r="C96" s="608" t="n">
        <v>2</v>
      </c>
      <c r="D96" s="608" t="n">
        <v>3</v>
      </c>
      <c r="E96" s="608" t="n">
        <v>4</v>
      </c>
      <c r="F96" s="608" t="n">
        <v>5</v>
      </c>
      <c r="G96" s="608" t="n">
        <v>6</v>
      </c>
      <c r="H96" s="608" t="n">
        <v>7</v>
      </c>
      <c r="I96" s="608" t="n">
        <v>8</v>
      </c>
      <c r="J96" s="608" t="n">
        <v>9</v>
      </c>
      <c r="K96" s="608" t="n">
        <v>10</v>
      </c>
    </row>
    <row r="97" customFormat="false" ht="12.75" hidden="false" customHeight="false" outlineLevel="0" collapsed="false">
      <c r="A97" s="650" t="s">
        <v>1238</v>
      </c>
      <c r="B97" s="476" t="n">
        <f aca="false">-B80</f>
        <v>-4000000</v>
      </c>
    </row>
    <row r="98" customFormat="false" ht="12.75" hidden="false" customHeight="false" outlineLevel="0" collapsed="false">
      <c r="A98" s="650" t="s">
        <v>1239</v>
      </c>
      <c r="B98" s="476" t="n">
        <f aca="false">$B$94*B35</f>
        <v>200000</v>
      </c>
      <c r="C98" s="476" t="n">
        <f aca="false">$B$94*C35</f>
        <v>350000</v>
      </c>
      <c r="D98" s="476" t="n">
        <f aca="false">$B$94*D35</f>
        <v>500000</v>
      </c>
      <c r="E98" s="476" t="n">
        <f aca="false">$B$94*E35</f>
        <v>650000</v>
      </c>
      <c r="F98" s="476" t="n">
        <f aca="false">$B$94*F35</f>
        <v>800000</v>
      </c>
      <c r="G98" s="476" t="n">
        <f aca="false">$B$94*G35</f>
        <v>950000</v>
      </c>
      <c r="H98" s="476" t="n">
        <f aca="false">$B$94*H35</f>
        <v>1100000</v>
      </c>
      <c r="I98" s="476" t="n">
        <f aca="false">$B$94*I35</f>
        <v>1250000</v>
      </c>
      <c r="J98" s="476" t="n">
        <f aca="false">$B$94*J35</f>
        <v>1400000</v>
      </c>
      <c r="K98" s="476" t="n">
        <f aca="false">$B$94*K35</f>
        <v>1550000</v>
      </c>
    </row>
    <row r="100" customFormat="false" ht="12.75" hidden="false" customHeight="false" outlineLevel="0" collapsed="false">
      <c r="A100" s="675" t="s">
        <v>1240</v>
      </c>
      <c r="B100" s="674" t="n">
        <f aca="false">SUM(B97:B99)</f>
        <v>-3800000</v>
      </c>
      <c r="C100" s="674" t="n">
        <f aca="false">SUM(C97:C99)</f>
        <v>350000</v>
      </c>
      <c r="D100" s="674" t="n">
        <f aca="false">SUM(D97:D99)</f>
        <v>500000</v>
      </c>
      <c r="E100" s="674" t="n">
        <f aca="false">SUM(E97:E99)</f>
        <v>650000</v>
      </c>
      <c r="F100" s="674" t="n">
        <f aca="false">SUM(F97:F99)</f>
        <v>800000</v>
      </c>
      <c r="G100" s="674" t="n">
        <f aca="false">SUM(G97:G99)</f>
        <v>950000</v>
      </c>
      <c r="H100" s="674" t="n">
        <f aca="false">SUM(H97:H99)</f>
        <v>1100000</v>
      </c>
      <c r="I100" s="674" t="n">
        <f aca="false">SUM(I97:I99)</f>
        <v>1250000</v>
      </c>
      <c r="J100" s="674" t="n">
        <f aca="false">SUM(J97:J99)</f>
        <v>1400000</v>
      </c>
      <c r="K100" s="674" t="n">
        <f aca="false">SUM(K97:K99)</f>
        <v>1550000</v>
      </c>
      <c r="L100" s="675"/>
      <c r="M100" s="675"/>
      <c r="N100" s="675"/>
      <c r="O100" s="675"/>
      <c r="P100" s="675"/>
      <c r="Q100" s="675"/>
      <c r="R100" s="675"/>
      <c r="S100" s="675"/>
      <c r="T100" s="675"/>
      <c r="U100" s="675"/>
      <c r="V100" s="675"/>
      <c r="W100" s="675"/>
      <c r="X100" s="675"/>
      <c r="Y100" s="675"/>
      <c r="Z100" s="675"/>
      <c r="AA100" s="675"/>
      <c r="AB100" s="675"/>
      <c r="AC100" s="675"/>
      <c r="AD100" s="675"/>
      <c r="AE100" s="675"/>
      <c r="AF100" s="675"/>
      <c r="AG100" s="675"/>
      <c r="AH100" s="675"/>
      <c r="AI100" s="675"/>
      <c r="AJ100" s="675"/>
      <c r="AK100" s="675"/>
      <c r="AL100" s="675"/>
      <c r="AM100" s="675"/>
      <c r="AN100" s="675"/>
      <c r="AO100" s="675"/>
      <c r="AP100" s="675"/>
      <c r="AQ100" s="675"/>
      <c r="AR100" s="675"/>
      <c r="AS100" s="675"/>
      <c r="AT100" s="675"/>
      <c r="AU100" s="675"/>
      <c r="AV100" s="675"/>
      <c r="AW100" s="675"/>
      <c r="AX100" s="675"/>
      <c r="AY100" s="675"/>
      <c r="AZ100" s="675"/>
      <c r="BA100" s="675"/>
      <c r="BB100" s="675"/>
      <c r="BC100" s="675"/>
      <c r="BD100" s="675"/>
      <c r="BE100" s="675"/>
      <c r="BF100" s="675"/>
      <c r="BG100" s="675"/>
      <c r="BH100" s="675"/>
      <c r="BI100" s="675"/>
      <c r="BJ100" s="675"/>
      <c r="BK100" s="675"/>
      <c r="BL100" s="675"/>
      <c r="BM100" s="675"/>
      <c r="BN100" s="675"/>
      <c r="BO100" s="675"/>
      <c r="BP100" s="675"/>
      <c r="BQ100" s="675"/>
      <c r="BR100" s="675"/>
      <c r="BS100" s="675"/>
      <c r="BT100" s="675"/>
      <c r="BU100" s="675"/>
      <c r="BV100" s="675"/>
      <c r="BW100" s="675"/>
      <c r="BX100" s="675"/>
      <c r="BY100" s="675"/>
      <c r="BZ100" s="675"/>
      <c r="CA100" s="675"/>
      <c r="CB100" s="675"/>
      <c r="CC100" s="675"/>
      <c r="CD100" s="675"/>
      <c r="CE100" s="675"/>
      <c r="CF100" s="675"/>
      <c r="CG100" s="675"/>
      <c r="CH100" s="675"/>
      <c r="CI100" s="675"/>
      <c r="CJ100" s="675"/>
      <c r="CK100" s="675"/>
      <c r="CL100" s="675"/>
      <c r="CM100" s="675"/>
      <c r="CN100" s="675"/>
      <c r="CO100" s="675"/>
      <c r="CP100" s="675"/>
      <c r="CQ100" s="675"/>
      <c r="CR100" s="675"/>
      <c r="CS100" s="675"/>
      <c r="CT100" s="675"/>
      <c r="CU100" s="675"/>
      <c r="CV100" s="675"/>
      <c r="CW100" s="675"/>
      <c r="CX100" s="675"/>
      <c r="CY100" s="675"/>
      <c r="CZ100" s="675"/>
      <c r="DA100" s="675"/>
      <c r="DB100" s="675"/>
      <c r="DC100" s="675"/>
      <c r="DD100" s="675"/>
      <c r="DE100" s="675"/>
      <c r="DF100" s="675"/>
      <c r="DG100" s="675"/>
      <c r="DH100" s="675"/>
      <c r="DI100" s="675"/>
      <c r="DJ100" s="675"/>
      <c r="DK100" s="675"/>
      <c r="DL100" s="675"/>
      <c r="DM100" s="675"/>
      <c r="DN100" s="675"/>
      <c r="DO100" s="675"/>
      <c r="DP100" s="675"/>
      <c r="DQ100" s="675"/>
      <c r="DR100" s="675"/>
      <c r="DS100" s="675"/>
      <c r="DT100" s="675"/>
      <c r="DU100" s="675"/>
      <c r="DV100" s="675"/>
      <c r="DW100" s="675"/>
      <c r="DX100" s="675"/>
      <c r="DY100" s="675"/>
      <c r="DZ100" s="675"/>
      <c r="EA100" s="675"/>
      <c r="EB100" s="675"/>
      <c r="EC100" s="675"/>
      <c r="ED100" s="675"/>
      <c r="EE100" s="675"/>
      <c r="EF100" s="675"/>
      <c r="EG100" s="675"/>
      <c r="EH100" s="675"/>
      <c r="EI100" s="675"/>
      <c r="EJ100" s="675"/>
      <c r="EK100" s="675"/>
      <c r="EL100" s="675"/>
      <c r="EM100" s="675"/>
      <c r="EN100" s="675"/>
      <c r="EO100" s="675"/>
      <c r="EP100" s="675"/>
      <c r="EQ100" s="675"/>
      <c r="ER100" s="675"/>
      <c r="ES100" s="675"/>
      <c r="ET100" s="675"/>
      <c r="EU100" s="675"/>
      <c r="EV100" s="675"/>
      <c r="EW100" s="675"/>
      <c r="EX100" s="675"/>
      <c r="EY100" s="675"/>
      <c r="EZ100" s="675"/>
      <c r="FA100" s="675"/>
      <c r="FB100" s="675"/>
      <c r="FC100" s="675"/>
      <c r="FD100" s="675"/>
      <c r="FE100" s="675"/>
      <c r="FF100" s="675"/>
      <c r="FG100" s="675"/>
      <c r="FH100" s="675"/>
      <c r="FI100" s="675"/>
      <c r="FJ100" s="675"/>
      <c r="FK100" s="675"/>
      <c r="FL100" s="675"/>
      <c r="FM100" s="675"/>
      <c r="FN100" s="675"/>
      <c r="FO100" s="675"/>
      <c r="FP100" s="675"/>
      <c r="FQ100" s="675"/>
      <c r="FR100" s="675"/>
      <c r="FS100" s="675"/>
      <c r="FT100" s="675"/>
      <c r="FU100" s="675"/>
      <c r="FV100" s="675"/>
      <c r="FW100" s="675"/>
      <c r="FX100" s="675"/>
      <c r="FY100" s="675"/>
      <c r="FZ100" s="675"/>
      <c r="GA100" s="675"/>
      <c r="GB100" s="675"/>
      <c r="GC100" s="675"/>
      <c r="GD100" s="675"/>
      <c r="GE100" s="675"/>
      <c r="GF100" s="675"/>
      <c r="GG100" s="675"/>
      <c r="GH100" s="675"/>
      <c r="GI100" s="675"/>
      <c r="GJ100" s="675"/>
      <c r="GK100" s="675"/>
      <c r="GL100" s="675"/>
      <c r="GM100" s="675"/>
      <c r="GN100" s="675"/>
      <c r="GO100" s="675"/>
      <c r="GP100" s="675"/>
      <c r="GQ100" s="675"/>
      <c r="GR100" s="675"/>
      <c r="GS100" s="675"/>
      <c r="GT100" s="675"/>
      <c r="GU100" s="675"/>
      <c r="GV100" s="675"/>
      <c r="GW100" s="675"/>
      <c r="GX100" s="675"/>
      <c r="GY100" s="675"/>
      <c r="GZ100" s="675"/>
      <c r="HA100" s="675"/>
      <c r="HB100" s="675"/>
      <c r="HC100" s="675"/>
      <c r="HD100" s="675"/>
      <c r="HE100" s="675"/>
      <c r="HF100" s="675"/>
      <c r="HG100" s="675"/>
      <c r="HH100" s="675"/>
      <c r="HI100" s="675"/>
      <c r="HJ100" s="675"/>
      <c r="HK100" s="675"/>
      <c r="HL100" s="675"/>
      <c r="HM100" s="675"/>
      <c r="HN100" s="675"/>
      <c r="HO100" s="675"/>
      <c r="HP100" s="675"/>
      <c r="HQ100" s="675"/>
      <c r="HR100" s="675"/>
      <c r="HS100" s="675"/>
      <c r="HT100" s="675"/>
      <c r="HU100" s="675"/>
      <c r="HV100" s="675"/>
      <c r="HW100" s="675"/>
      <c r="HX100" s="675"/>
      <c r="HY100" s="675"/>
      <c r="HZ100" s="675"/>
      <c r="IA100" s="675"/>
      <c r="IB100" s="675"/>
      <c r="IC100" s="675"/>
      <c r="ID100" s="675"/>
      <c r="IE100" s="675"/>
      <c r="IF100" s="675"/>
      <c r="IG100" s="675"/>
      <c r="IH100" s="675"/>
      <c r="II100" s="675"/>
      <c r="IJ100" s="675"/>
      <c r="IK100" s="675"/>
      <c r="IL100" s="675"/>
      <c r="IM100" s="675"/>
      <c r="IN100" s="675"/>
      <c r="IO100" s="675"/>
      <c r="IP100" s="675"/>
      <c r="IQ100" s="675"/>
      <c r="IR100" s="675"/>
      <c r="IS100" s="675"/>
      <c r="IT100" s="675"/>
      <c r="IU100" s="675"/>
      <c r="IV100" s="675"/>
      <c r="IW100" s="675"/>
    </row>
    <row r="102" customFormat="false" ht="12.75" hidden="false" customHeight="false" outlineLevel="0" collapsed="false">
      <c r="A102" s="671" t="s">
        <v>1241</v>
      </c>
      <c r="B102" s="672" t="n">
        <f aca="false">NPV('general info'!B45,B100:K100)</f>
        <v>318414.276889837</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2:IW86"/>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F18" activeCellId="0" sqref="F18"/>
    </sheetView>
  </sheetViews>
  <sheetFormatPr defaultColWidth="7.9921875" defaultRowHeight="12.75" customHeight="true" zeroHeight="false" outlineLevelRow="0" outlineLevelCol="0"/>
  <cols>
    <col collapsed="false" customWidth="true" hidden="false" outlineLevel="0" max="1" min="1" style="1" width="24.7"/>
    <col collapsed="false" customWidth="true" hidden="false" outlineLevel="0" max="2" min="2" style="1" width="13.41"/>
    <col collapsed="false" customWidth="true" hidden="false" outlineLevel="0" max="3" min="3" style="103" width="15.7"/>
    <col collapsed="false" customWidth="true" hidden="false" outlineLevel="0" max="4" min="4" style="103" width="12.99"/>
    <col collapsed="false" customWidth="true" hidden="false" outlineLevel="0" max="13" min="5" style="103" width="11.85"/>
    <col collapsed="false" customWidth="true" hidden="false" outlineLevel="0" max="14" min="14" style="103" width="15.99"/>
    <col collapsed="false" customWidth="true" hidden="false" outlineLevel="0" max="24" min="15" style="103" width="11.85"/>
    <col collapsed="false" customWidth="true" hidden="false" outlineLevel="0" max="124" min="25" style="1" width="11.85"/>
    <col collapsed="false" customWidth="true" hidden="false" outlineLevel="0" max="164" min="125" style="1" width="10.99"/>
    <col collapsed="false" customWidth="false" hidden="false" outlineLevel="0" max="257" min="165" style="1" width="7.99"/>
  </cols>
  <sheetData>
    <row r="2" customFormat="false" ht="12.75" hidden="false" customHeight="false" outlineLevel="0" collapsed="false">
      <c r="A2" s="373" t="s">
        <v>1242</v>
      </c>
      <c r="B2" s="373" t="s">
        <v>49</v>
      </c>
    </row>
    <row r="3" customFormat="false" ht="12.75" hidden="false" customHeight="false" outlineLevel="0" collapsed="false">
      <c r="M3" s="52" t="s">
        <v>43</v>
      </c>
    </row>
    <row r="4" customFormat="false" ht="15.75" hidden="false" customHeight="false" outlineLevel="0" collapsed="false">
      <c r="A4" s="676" t="s">
        <v>1243</v>
      </c>
    </row>
    <row r="5" customFormat="false" ht="12.75" hidden="false" customHeight="false" outlineLevel="0" collapsed="false">
      <c r="A5" s="373"/>
      <c r="B5" s="373"/>
      <c r="C5" s="608"/>
      <c r="D5" s="608" t="n">
        <v>1</v>
      </c>
      <c r="E5" s="608" t="n">
        <v>2</v>
      </c>
      <c r="F5" s="608" t="n">
        <v>3</v>
      </c>
      <c r="G5" s="608" t="n">
        <v>4</v>
      </c>
      <c r="H5" s="608" t="n">
        <v>5</v>
      </c>
      <c r="I5" s="608" t="n">
        <v>6</v>
      </c>
      <c r="J5" s="608" t="n">
        <v>7</v>
      </c>
      <c r="K5" s="608" t="n">
        <v>8</v>
      </c>
      <c r="L5" s="608" t="n">
        <v>9</v>
      </c>
      <c r="M5" s="608" t="n">
        <v>10</v>
      </c>
      <c r="N5" s="608" t="s">
        <v>782</v>
      </c>
      <c r="O5" s="373"/>
      <c r="P5" s="373"/>
      <c r="Q5" s="373"/>
      <c r="R5" s="373"/>
      <c r="S5" s="373"/>
      <c r="T5" s="373"/>
      <c r="U5" s="373"/>
      <c r="V5" s="373"/>
      <c r="W5" s="373"/>
      <c r="X5" s="373"/>
      <c r="Y5" s="373"/>
      <c r="Z5" s="373"/>
      <c r="AA5" s="373"/>
      <c r="AB5" s="373"/>
      <c r="AC5" s="373"/>
      <c r="AD5" s="373"/>
      <c r="AE5" s="373"/>
      <c r="AF5" s="373"/>
      <c r="AG5" s="373"/>
      <c r="AH5" s="373"/>
      <c r="AI5" s="373"/>
      <c r="AJ5" s="373"/>
      <c r="AK5" s="373"/>
      <c r="AL5" s="373"/>
      <c r="AM5" s="373"/>
      <c r="AN5" s="373"/>
      <c r="AO5" s="373"/>
      <c r="AP5" s="373"/>
      <c r="AQ5" s="373"/>
      <c r="AR5" s="373"/>
      <c r="AS5" s="373"/>
      <c r="AT5" s="373"/>
      <c r="AU5" s="373"/>
      <c r="AV5" s="373"/>
      <c r="AW5" s="373"/>
      <c r="AX5" s="373"/>
      <c r="AY5" s="373"/>
      <c r="AZ5" s="373"/>
      <c r="BA5" s="373"/>
      <c r="BB5" s="373"/>
      <c r="BC5" s="373"/>
      <c r="BD5" s="373"/>
      <c r="BE5" s="373"/>
      <c r="BF5" s="373"/>
      <c r="BG5" s="373"/>
      <c r="BH5" s="373"/>
      <c r="BI5" s="373"/>
      <c r="BJ5" s="373"/>
      <c r="BK5" s="373"/>
      <c r="BL5" s="373"/>
      <c r="BM5" s="373"/>
      <c r="BN5" s="373"/>
      <c r="BO5" s="373"/>
      <c r="BP5" s="373"/>
      <c r="BQ5" s="373"/>
      <c r="BR5" s="373"/>
      <c r="BS5" s="373"/>
      <c r="BT5" s="373"/>
      <c r="BU5" s="373"/>
      <c r="BV5" s="373"/>
      <c r="BW5" s="373"/>
      <c r="BX5" s="373"/>
      <c r="BY5" s="373"/>
      <c r="BZ5" s="373"/>
      <c r="CA5" s="373"/>
      <c r="CB5" s="373"/>
      <c r="CC5" s="373"/>
      <c r="CD5" s="373"/>
      <c r="CE5" s="373"/>
      <c r="CF5" s="373"/>
      <c r="CG5" s="373"/>
      <c r="CH5" s="373"/>
      <c r="CI5" s="373"/>
      <c r="CJ5" s="373"/>
      <c r="CK5" s="373"/>
      <c r="CL5" s="373"/>
      <c r="CM5" s="373"/>
      <c r="CN5" s="373"/>
      <c r="CO5" s="373"/>
      <c r="CP5" s="373"/>
      <c r="CQ5" s="373"/>
      <c r="CR5" s="373"/>
      <c r="CS5" s="373"/>
      <c r="CT5" s="373"/>
      <c r="CU5" s="373"/>
      <c r="CV5" s="373"/>
      <c r="CW5" s="373"/>
      <c r="CX5" s="373"/>
      <c r="CY5" s="373"/>
      <c r="CZ5" s="373"/>
      <c r="DA5" s="373"/>
      <c r="DB5" s="373"/>
      <c r="DC5" s="373"/>
      <c r="DD5" s="373"/>
      <c r="DE5" s="373"/>
      <c r="DF5" s="373"/>
      <c r="DG5" s="373"/>
      <c r="DH5" s="373"/>
      <c r="DI5" s="373"/>
      <c r="DJ5" s="373"/>
      <c r="DK5" s="373"/>
      <c r="DL5" s="373"/>
      <c r="DM5" s="373"/>
      <c r="DN5" s="373"/>
      <c r="DO5" s="373"/>
      <c r="DP5" s="373"/>
      <c r="DQ5" s="373"/>
      <c r="DR5" s="373"/>
      <c r="DS5" s="373"/>
      <c r="DT5" s="373"/>
      <c r="DU5" s="373"/>
      <c r="DV5" s="373"/>
      <c r="DW5" s="373"/>
      <c r="DX5" s="373"/>
      <c r="DY5" s="373"/>
      <c r="DZ5" s="373"/>
      <c r="EA5" s="373"/>
      <c r="EB5" s="373"/>
      <c r="EC5" s="373"/>
      <c r="ED5" s="373"/>
      <c r="EE5" s="373"/>
      <c r="EF5" s="373"/>
      <c r="EG5" s="373"/>
      <c r="EH5" s="373"/>
      <c r="EI5" s="373"/>
      <c r="EJ5" s="373"/>
      <c r="EK5" s="373"/>
      <c r="EL5" s="373"/>
      <c r="EM5" s="373"/>
      <c r="EN5" s="373"/>
      <c r="EO5" s="373"/>
      <c r="EP5" s="373"/>
      <c r="EQ5" s="373"/>
      <c r="ER5" s="373"/>
      <c r="ES5" s="373"/>
      <c r="ET5" s="373"/>
      <c r="EU5" s="373"/>
      <c r="EV5" s="373"/>
      <c r="EW5" s="373"/>
      <c r="EX5" s="373"/>
      <c r="EY5" s="373"/>
      <c r="EZ5" s="373"/>
      <c r="FA5" s="373"/>
      <c r="FB5" s="373"/>
      <c r="FC5" s="373"/>
      <c r="FD5" s="373"/>
      <c r="FE5" s="373"/>
      <c r="FF5" s="373"/>
      <c r="FG5" s="373"/>
      <c r="FH5" s="373"/>
      <c r="FI5" s="373"/>
      <c r="FJ5" s="373"/>
      <c r="FK5" s="373"/>
      <c r="FL5" s="373"/>
      <c r="FM5" s="373"/>
      <c r="FN5" s="373"/>
      <c r="FO5" s="373"/>
      <c r="FP5" s="373"/>
      <c r="FQ5" s="373"/>
      <c r="FR5" s="373"/>
      <c r="FS5" s="373"/>
      <c r="FT5" s="373"/>
      <c r="FU5" s="373"/>
      <c r="FV5" s="373"/>
      <c r="FW5" s="373"/>
      <c r="FX5" s="373"/>
      <c r="FY5" s="373"/>
      <c r="FZ5" s="373"/>
      <c r="GA5" s="373"/>
      <c r="GB5" s="373"/>
      <c r="GC5" s="373"/>
      <c r="GD5" s="373"/>
      <c r="GE5" s="373"/>
      <c r="GF5" s="373"/>
      <c r="GG5" s="373"/>
      <c r="GH5" s="373"/>
      <c r="GI5" s="373"/>
      <c r="GJ5" s="373"/>
      <c r="GK5" s="373"/>
      <c r="GL5" s="373"/>
      <c r="GM5" s="373"/>
      <c r="GN5" s="373"/>
      <c r="GO5" s="373"/>
      <c r="GP5" s="373"/>
      <c r="GQ5" s="373"/>
      <c r="GR5" s="373"/>
      <c r="GS5" s="373"/>
      <c r="GT5" s="373"/>
      <c r="GU5" s="373"/>
      <c r="GV5" s="373"/>
      <c r="GW5" s="373"/>
      <c r="GX5" s="373"/>
      <c r="GY5" s="373"/>
      <c r="GZ5" s="373"/>
      <c r="HA5" s="373"/>
      <c r="HB5" s="373"/>
      <c r="HC5" s="373"/>
      <c r="HD5" s="373"/>
      <c r="HE5" s="373"/>
      <c r="HF5" s="373"/>
      <c r="HG5" s="373"/>
      <c r="HH5" s="373"/>
      <c r="HI5" s="373"/>
      <c r="HJ5" s="373"/>
      <c r="HK5" s="373"/>
      <c r="HL5" s="373"/>
      <c r="HM5" s="373"/>
      <c r="HN5" s="373"/>
      <c r="HO5" s="373"/>
      <c r="HP5" s="373"/>
      <c r="HQ5" s="373"/>
      <c r="HR5" s="373"/>
      <c r="HS5" s="373"/>
      <c r="HT5" s="373"/>
      <c r="HU5" s="373"/>
      <c r="HV5" s="373"/>
      <c r="HW5" s="373"/>
      <c r="HX5" s="373"/>
      <c r="HY5" s="373"/>
      <c r="HZ5" s="373"/>
      <c r="IA5" s="373"/>
      <c r="IB5" s="373"/>
      <c r="IC5" s="373"/>
      <c r="ID5" s="373"/>
      <c r="IE5" s="373"/>
      <c r="IF5" s="373"/>
      <c r="IG5" s="373"/>
      <c r="IH5" s="373"/>
      <c r="II5" s="373"/>
      <c r="IJ5" s="373"/>
      <c r="IK5" s="373"/>
      <c r="IL5" s="373"/>
      <c r="IM5" s="373"/>
      <c r="IN5" s="373"/>
      <c r="IO5" s="373"/>
      <c r="IP5" s="373"/>
      <c r="IQ5" s="373"/>
      <c r="IR5" s="373"/>
      <c r="IS5" s="373"/>
      <c r="IT5" s="373"/>
      <c r="IU5" s="373"/>
      <c r="IV5" s="373"/>
      <c r="IW5" s="373"/>
    </row>
    <row r="6" customFormat="false" ht="12.75" hidden="false" customHeight="false" outlineLevel="0" collapsed="false">
      <c r="C6" s="677" t="s">
        <v>857</v>
      </c>
      <c r="D6" s="678"/>
      <c r="E6" s="679"/>
      <c r="F6" s="679"/>
      <c r="G6" s="679"/>
      <c r="H6" s="679"/>
      <c r="I6" s="679"/>
      <c r="J6" s="679"/>
      <c r="K6" s="679"/>
      <c r="L6" s="679"/>
      <c r="M6" s="679"/>
      <c r="N6" s="680"/>
      <c r="O6" s="1"/>
      <c r="P6" s="1"/>
      <c r="Q6" s="1"/>
      <c r="R6" s="1"/>
      <c r="S6" s="1"/>
      <c r="T6" s="1"/>
      <c r="U6" s="1"/>
      <c r="V6" s="1"/>
      <c r="W6" s="1"/>
      <c r="X6" s="1"/>
    </row>
    <row r="7" customFormat="false" ht="12.75" hidden="false" customHeight="false" outlineLevel="0" collapsed="false">
      <c r="A7" s="681" t="s">
        <v>979</v>
      </c>
      <c r="B7" s="681"/>
      <c r="C7" s="250"/>
      <c r="D7" s="1"/>
      <c r="E7" s="1"/>
      <c r="F7" s="1"/>
      <c r="G7" s="1"/>
      <c r="H7" s="1"/>
      <c r="I7" s="1"/>
      <c r="J7" s="1"/>
      <c r="K7" s="1"/>
      <c r="L7" s="1"/>
      <c r="M7" s="1"/>
      <c r="N7" s="247"/>
      <c r="O7" s="1"/>
      <c r="P7" s="1"/>
      <c r="Q7" s="1"/>
      <c r="R7" s="1"/>
      <c r="S7" s="1"/>
      <c r="T7" s="1"/>
      <c r="U7" s="1"/>
      <c r="V7" s="1"/>
      <c r="W7" s="1"/>
      <c r="X7" s="1"/>
    </row>
    <row r="8" customFormat="false" ht="12.75" hidden="false" customHeight="false" outlineLevel="0" collapsed="false">
      <c r="A8" s="1" t="s">
        <v>1244</v>
      </c>
      <c r="C8" s="682" t="n">
        <f aca="false">'wholesale services'!C103</f>
        <v>0</v>
      </c>
      <c r="D8" s="103" t="n">
        <f aca="false">'wholesale services'!D103</f>
        <v>56663438.0526106</v>
      </c>
      <c r="E8" s="103" t="n">
        <f aca="false">'wholesale services'!E103</f>
        <v>57258542.8860967</v>
      </c>
      <c r="F8" s="455" t="n">
        <f aca="false">'wholesale services'!F103</f>
        <v>57849186.4843441</v>
      </c>
      <c r="G8" s="103" t="n">
        <f aca="false">'wholesale services'!G103</f>
        <v>58446622.4839714</v>
      </c>
      <c r="H8" s="103" t="n">
        <f aca="false">'wholesale services'!H103</f>
        <v>59050928.9975944</v>
      </c>
      <c r="I8" s="103" t="n">
        <f aca="false">'wholesale services'!I103</f>
        <v>59662185.0361241</v>
      </c>
      <c r="J8" s="103" t="n">
        <f aca="false">'wholesale services'!J103</f>
        <v>60280470.5190968</v>
      </c>
      <c r="K8" s="103" t="n">
        <f aca="false">'wholesale services'!K103</f>
        <v>60905866.2851238</v>
      </c>
      <c r="L8" s="103" t="n">
        <f aca="false">'wholesale services'!L103</f>
        <v>61538454.10246</v>
      </c>
      <c r="M8" s="103" t="n">
        <f aca="false">'wholesale services'!M103</f>
        <v>62178316.6796956</v>
      </c>
      <c r="N8" s="250" t="n">
        <f aca="false">SUM(D8:M8)</f>
        <v>593834011.527118</v>
      </c>
      <c r="O8" s="1"/>
      <c r="P8" s="1"/>
      <c r="Q8" s="1"/>
      <c r="R8" s="1"/>
      <c r="S8" s="1"/>
      <c r="T8" s="1"/>
      <c r="U8" s="1"/>
      <c r="V8" s="1"/>
      <c r="W8" s="1"/>
      <c r="X8" s="1"/>
    </row>
    <row r="9" customFormat="false" ht="12.75" hidden="false" customHeight="false" outlineLevel="0" collapsed="false">
      <c r="A9" s="1" t="s">
        <v>1245</v>
      </c>
      <c r="C9" s="250" t="n">
        <f aca="false">'power redistribution'!C62</f>
        <v>62458732.1638868</v>
      </c>
      <c r="D9" s="103" t="n">
        <f aca="false">'power redistribution'!D62</f>
        <v>64134569.753865</v>
      </c>
      <c r="E9" s="103" t="n">
        <f aca="false">'power redistribution'!E62</f>
        <v>71142739.4772484</v>
      </c>
      <c r="F9" s="455" t="n">
        <f aca="false">'power redistribution'!F62</f>
        <v>79479635.3627893</v>
      </c>
      <c r="G9" s="103" t="n">
        <f aca="false">'power redistribution'!G62</f>
        <v>82468720.4705109</v>
      </c>
      <c r="H9" s="103" t="n">
        <f aca="false">'power redistribution'!H62</f>
        <v>82496371.1494714</v>
      </c>
      <c r="I9" s="103" t="n">
        <f aca="false">'power redistribution'!I62</f>
        <v>82528930.2131767</v>
      </c>
      <c r="J9" s="103" t="n">
        <f aca="false">'power redistribution'!J62</f>
        <v>82566365.1806662</v>
      </c>
      <c r="K9" s="103" t="n">
        <f aca="false">'power redistribution'!K62</f>
        <v>82608645.4712398</v>
      </c>
      <c r="L9" s="103" t="n">
        <f aca="false">'power redistribution'!L62</f>
        <v>82655742.4404631</v>
      </c>
      <c r="M9" s="103" t="n">
        <f aca="false">'power redistribution'!M62</f>
        <v>82707629.3807118</v>
      </c>
      <c r="N9" s="250" t="n">
        <f aca="false">SUM(D9:M9)</f>
        <v>792789348.900143</v>
      </c>
      <c r="O9" s="1"/>
      <c r="P9" s="1"/>
      <c r="Q9" s="1"/>
      <c r="R9" s="1"/>
      <c r="S9" s="1"/>
      <c r="T9" s="1"/>
      <c r="U9" s="1"/>
      <c r="V9" s="1"/>
      <c r="W9" s="1"/>
      <c r="X9" s="1"/>
    </row>
    <row r="10" customFormat="false" ht="12.75" hidden="false" customHeight="false" outlineLevel="0" collapsed="false">
      <c r="A10" s="277" t="s">
        <v>1246</v>
      </c>
      <c r="C10" s="250" t="n">
        <v>0</v>
      </c>
      <c r="D10" s="103" t="n">
        <f aca="false">'power redistribution'!D59</f>
        <v>0</v>
      </c>
      <c r="E10" s="103" t="n">
        <f aca="false">'power redistribution'!E59</f>
        <v>0</v>
      </c>
      <c r="F10" s="103" t="n">
        <f aca="false">'power redistribution'!F59</f>
        <v>0</v>
      </c>
      <c r="G10" s="103" t="n">
        <f aca="false">'power redistribution'!G59</f>
        <v>0</v>
      </c>
      <c r="H10" s="103" t="n">
        <f aca="false">'power redistribution'!H59</f>
        <v>0</v>
      </c>
      <c r="I10" s="103" t="n">
        <f aca="false">'power redistribution'!I59</f>
        <v>0</v>
      </c>
      <c r="J10" s="103" t="n">
        <f aca="false">'power redistribution'!J59</f>
        <v>0</v>
      </c>
      <c r="K10" s="103" t="n">
        <f aca="false">'power redistribution'!K59</f>
        <v>0</v>
      </c>
      <c r="L10" s="103" t="n">
        <f aca="false">'power redistribution'!L59</f>
        <v>0</v>
      </c>
      <c r="M10" s="103" t="n">
        <f aca="false">'power redistribution'!M59</f>
        <v>0</v>
      </c>
      <c r="N10" s="258" t="n">
        <f aca="false">SUM(D10:M10)</f>
        <v>0</v>
      </c>
      <c r="O10" s="1"/>
      <c r="P10" s="1"/>
      <c r="Q10" s="1"/>
      <c r="R10" s="1"/>
      <c r="S10" s="1"/>
      <c r="T10" s="1"/>
      <c r="U10" s="1"/>
      <c r="V10" s="1"/>
      <c r="W10" s="1"/>
      <c r="X10" s="1"/>
    </row>
    <row r="11" customFormat="false" ht="12.75" hidden="false" customHeight="false" outlineLevel="0" collapsed="false">
      <c r="A11" s="683" t="s">
        <v>1136</v>
      </c>
      <c r="C11" s="684" t="s">
        <v>1247</v>
      </c>
      <c r="D11" s="685" t="n">
        <f aca="false">SUM(D8:D10)</f>
        <v>120798007.806476</v>
      </c>
      <c r="E11" s="685" t="n">
        <f aca="false">SUM(E8:E10)</f>
        <v>128401282.363345</v>
      </c>
      <c r="F11" s="686" t="n">
        <f aca="false">SUM(F8:F10)</f>
        <v>137328821.847133</v>
      </c>
      <c r="G11" s="685" t="n">
        <f aca="false">SUM(G8:G10)</f>
        <v>140915342.954482</v>
      </c>
      <c r="H11" s="685" t="n">
        <f aca="false">SUM(H8:H10)</f>
        <v>141547300.147066</v>
      </c>
      <c r="I11" s="685" t="n">
        <f aca="false">SUM(I8:I10)</f>
        <v>142191115.249301</v>
      </c>
      <c r="J11" s="685" t="n">
        <f aca="false">SUM(J8:J10)</f>
        <v>142846835.699763</v>
      </c>
      <c r="K11" s="685" t="n">
        <f aca="false">SUM(K8:K10)</f>
        <v>143514511.756364</v>
      </c>
      <c r="L11" s="685" t="n">
        <f aca="false">SUM(L8:L10)</f>
        <v>144194196.542923</v>
      </c>
      <c r="M11" s="685" t="n">
        <f aca="false">SUM(M8:M10)</f>
        <v>144885946.060407</v>
      </c>
      <c r="N11" s="685" t="n">
        <f aca="false">SUM(N8:N10)</f>
        <v>1386623360.42726</v>
      </c>
      <c r="O11" s="103" t="n">
        <f aca="false">'Re-Whole'!C35+'Re-Redis'!C34+'Re-FM'!C34</f>
        <v>1395373360.42726</v>
      </c>
      <c r="P11" s="1"/>
      <c r="Q11" s="1"/>
      <c r="R11" s="1"/>
      <c r="S11" s="1"/>
      <c r="T11" s="1"/>
      <c r="U11" s="1"/>
      <c r="V11" s="1"/>
      <c r="W11" s="1"/>
      <c r="X11" s="1"/>
    </row>
    <row r="12" customFormat="false" ht="13.5" hidden="false" customHeight="true" outlineLevel="0" collapsed="false">
      <c r="C12" s="250"/>
      <c r="D12" s="101"/>
      <c r="E12" s="101"/>
      <c r="F12" s="101"/>
      <c r="G12" s="101"/>
      <c r="H12" s="101"/>
      <c r="I12" s="101"/>
      <c r="J12" s="101"/>
      <c r="K12" s="101"/>
      <c r="L12" s="101"/>
      <c r="M12" s="101"/>
      <c r="N12" s="250"/>
      <c r="O12" s="1"/>
      <c r="P12" s="1"/>
      <c r="Q12" s="1"/>
      <c r="R12" s="1"/>
      <c r="S12" s="1"/>
      <c r="T12" s="1"/>
      <c r="U12" s="1"/>
      <c r="V12" s="1"/>
      <c r="W12" s="1"/>
      <c r="X12" s="1"/>
    </row>
    <row r="13" customFormat="false" ht="12.75" hidden="false" customHeight="false" outlineLevel="0" collapsed="false">
      <c r="A13" s="681" t="s">
        <v>1090</v>
      </c>
      <c r="B13" s="681"/>
      <c r="C13" s="250"/>
      <c r="D13" s="101"/>
      <c r="E13" s="101"/>
      <c r="F13" s="101"/>
      <c r="G13" s="101"/>
      <c r="H13" s="101"/>
      <c r="I13" s="101"/>
      <c r="J13" s="101"/>
      <c r="K13" s="101"/>
      <c r="L13" s="101"/>
      <c r="M13" s="101"/>
      <c r="N13" s="250"/>
      <c r="O13" s="1"/>
      <c r="P13" s="1"/>
      <c r="Q13" s="1"/>
      <c r="R13" s="1"/>
      <c r="S13" s="1"/>
      <c r="T13" s="1"/>
      <c r="U13" s="1"/>
      <c r="V13" s="1"/>
      <c r="W13" s="1"/>
      <c r="X13" s="1"/>
    </row>
    <row r="14" customFormat="false" ht="12.75" hidden="false" customHeight="false" outlineLevel="0" collapsed="false">
      <c r="A14" s="687" t="s">
        <v>1248</v>
      </c>
      <c r="B14" s="681"/>
      <c r="C14" s="250" t="n">
        <v>0</v>
      </c>
      <c r="D14" s="103" t="n">
        <f aca="false">-'power redistribution'!D65</f>
        <v>-0</v>
      </c>
      <c r="E14" s="103" t="n">
        <f aca="false">-'power redistribution'!E65</f>
        <v>-0</v>
      </c>
      <c r="F14" s="455" t="n">
        <f aca="false">-'power redistribution'!F65</f>
        <v>-0</v>
      </c>
      <c r="G14" s="103" t="n">
        <f aca="false">-'power redistribution'!G65</f>
        <v>-0</v>
      </c>
      <c r="H14" s="103" t="n">
        <f aca="false">-'power redistribution'!H65</f>
        <v>-0</v>
      </c>
      <c r="I14" s="103" t="n">
        <f aca="false">-'power redistribution'!I65</f>
        <v>-0</v>
      </c>
      <c r="J14" s="103" t="n">
        <f aca="false">-'power redistribution'!J65</f>
        <v>-0</v>
      </c>
      <c r="K14" s="103" t="n">
        <f aca="false">-'power redistribution'!K65</f>
        <v>-0</v>
      </c>
      <c r="L14" s="103" t="n">
        <f aca="false">-'power redistribution'!L65</f>
        <v>-0</v>
      </c>
      <c r="M14" s="251" t="n">
        <f aca="false">-'power redistribution'!M65</f>
        <v>-0</v>
      </c>
      <c r="N14" s="103" t="n">
        <f aca="false">SUM(D14:M14)</f>
        <v>0</v>
      </c>
      <c r="O14" s="1"/>
      <c r="P14" s="1"/>
      <c r="Q14" s="1"/>
      <c r="R14" s="1"/>
      <c r="S14" s="1"/>
      <c r="T14" s="1"/>
      <c r="U14" s="1"/>
      <c r="V14" s="1"/>
      <c r="W14" s="1"/>
      <c r="X14" s="1"/>
    </row>
    <row r="15" customFormat="false" ht="12.75" hidden="false" customHeight="false" outlineLevel="0" collapsed="false">
      <c r="A15" s="1" t="s">
        <v>1249</v>
      </c>
      <c r="B15" s="681"/>
      <c r="C15" s="250" t="n">
        <v>0</v>
      </c>
      <c r="D15" s="271" t="n">
        <f aca="false">-'power redistribution'!D66</f>
        <v>-12251522.5410309</v>
      </c>
      <c r="E15" s="271" t="n">
        <f aca="false">-'power redistribution'!E66</f>
        <v>-13617292.006098</v>
      </c>
      <c r="F15" s="688" t="n">
        <f aca="false">-'power redistribution'!F66</f>
        <v>-15240147.4881188</v>
      </c>
      <c r="G15" s="271" t="n">
        <f aca="false">-'power redistribution'!G66</f>
        <v>-15818591.0262648</v>
      </c>
      <c r="H15" s="271" t="n">
        <f aca="false">-'power redistribution'!H66</f>
        <v>-15818591.0262648</v>
      </c>
      <c r="I15" s="271" t="n">
        <f aca="false">-'power redistribution'!I66</f>
        <v>-15818591.0262648</v>
      </c>
      <c r="J15" s="271" t="n">
        <f aca="false">-'power redistribution'!J66</f>
        <v>-15818591.0262648</v>
      </c>
      <c r="K15" s="271" t="n">
        <f aca="false">-'power redistribution'!K66</f>
        <v>-15818591.0262648</v>
      </c>
      <c r="L15" s="271" t="n">
        <f aca="false">-'power redistribution'!L66</f>
        <v>-15818591.0262648</v>
      </c>
      <c r="M15" s="689" t="n">
        <f aca="false">-'power redistribution'!M66</f>
        <v>-15818591.0262648</v>
      </c>
      <c r="N15" s="103" t="n">
        <f aca="false">SUM(D15:M15)</f>
        <v>-151839099.219102</v>
      </c>
      <c r="O15" s="1"/>
      <c r="P15" s="1"/>
      <c r="Q15" s="1"/>
      <c r="R15" s="1"/>
      <c r="S15" s="1"/>
      <c r="T15" s="1"/>
      <c r="U15" s="1"/>
      <c r="V15" s="1"/>
      <c r="W15" s="1"/>
      <c r="X15" s="1"/>
    </row>
    <row r="16" customFormat="false" ht="12.75" hidden="false" customHeight="false" outlineLevel="0" collapsed="false">
      <c r="A16" s="1" t="s">
        <v>984</v>
      </c>
      <c r="B16" s="681"/>
      <c r="C16" s="250" t="n">
        <v>0</v>
      </c>
      <c r="D16" s="271" t="n">
        <f aca="false">-'wholesale services'!D109</f>
        <v>-3246342.80509748</v>
      </c>
      <c r="E16" s="271" t="n">
        <f aca="false">-'wholesale services'!E109</f>
        <v>-3280437.35284929</v>
      </c>
      <c r="F16" s="688" t="n">
        <f aca="false">-'wholesale services'!F109</f>
        <v>-3314276.30899888</v>
      </c>
      <c r="G16" s="271" t="n">
        <f aca="false">-'wholesale services'!G109</f>
        <v>-3348504.4131442</v>
      </c>
      <c r="H16" s="271" t="n">
        <f aca="false">-'wholesale services'!H109</f>
        <v>-3383126.14048718</v>
      </c>
      <c r="I16" s="271" t="n">
        <f aca="false">-'wholesale services'!I109</f>
        <v>-3418146.01769461</v>
      </c>
      <c r="J16" s="271" t="n">
        <f aca="false">-'wholesale services'!J109</f>
        <v>-3453568.62348992</v>
      </c>
      <c r="K16" s="271" t="n">
        <f aca="false">-'wholesale services'!K109</f>
        <v>-3489398.58925188</v>
      </c>
      <c r="L16" s="271" t="n">
        <f aca="false">-'wholesale services'!L109</f>
        <v>-3525640.59962011</v>
      </c>
      <c r="M16" s="271" t="n">
        <f aca="false">-'wholesale services'!M109</f>
        <v>-3562299.39310756</v>
      </c>
      <c r="N16" s="250" t="n">
        <f aca="false">SUM(D16:M16)</f>
        <v>-34021740.2437411</v>
      </c>
      <c r="O16" s="1"/>
      <c r="P16" s="1"/>
      <c r="Q16" s="1"/>
      <c r="R16" s="1"/>
      <c r="S16" s="1"/>
      <c r="T16" s="1"/>
      <c r="U16" s="1"/>
      <c r="V16" s="1"/>
      <c r="W16" s="1"/>
      <c r="X16" s="1"/>
    </row>
    <row r="17" customFormat="false" ht="12.75" hidden="false" customHeight="false" outlineLevel="0" collapsed="false">
      <c r="A17" s="1" t="s">
        <v>1250</v>
      </c>
      <c r="C17" s="250" t="n">
        <f aca="false">-'wholesale services'!C112</f>
        <v>-41943000</v>
      </c>
      <c r="D17" s="103" t="n">
        <f aca="false">-'wholesale services'!D112</f>
        <v>-39006990</v>
      </c>
      <c r="E17" s="103" t="n">
        <f aca="false">-'wholesale services'!E112</f>
        <v>-32686951.52875</v>
      </c>
      <c r="F17" s="455" t="n">
        <f aca="false">-'wholesale services'!F112</f>
        <v>-31422943.8345</v>
      </c>
      <c r="G17" s="103" t="n">
        <f aca="false">-'wholesale services'!G112</f>
        <v>-31422943.8345</v>
      </c>
      <c r="H17" s="103" t="n">
        <f aca="false">-'wholesale services'!H112</f>
        <v>-31422943.8345</v>
      </c>
      <c r="I17" s="103" t="n">
        <f aca="false">-'wholesale services'!I112</f>
        <v>-31422943.8345</v>
      </c>
      <c r="J17" s="103" t="n">
        <f aca="false">-'wholesale services'!J112</f>
        <v>-31422943.8345</v>
      </c>
      <c r="K17" s="103" t="n">
        <f aca="false">-'wholesale services'!K112</f>
        <v>-31422943.8345</v>
      </c>
      <c r="L17" s="103" t="n">
        <f aca="false">-'wholesale services'!L112</f>
        <v>-31422943.8345</v>
      </c>
      <c r="M17" s="103" t="n">
        <f aca="false">-'wholesale services'!M112</f>
        <v>-31422943.8345</v>
      </c>
      <c r="N17" s="250" t="n">
        <f aca="false">SUM(D17:M17)</f>
        <v>-323077492.20475</v>
      </c>
      <c r="O17" s="101"/>
      <c r="P17" s="1"/>
      <c r="Q17" s="1"/>
      <c r="R17" s="1"/>
      <c r="S17" s="1"/>
      <c r="T17" s="1"/>
      <c r="U17" s="1"/>
      <c r="V17" s="1"/>
      <c r="W17" s="1"/>
      <c r="X17" s="1"/>
    </row>
    <row r="18" customFormat="false" ht="12.75" hidden="false" customHeight="false" outlineLevel="0" collapsed="false">
      <c r="A18" s="1" t="s">
        <v>1251</v>
      </c>
      <c r="C18" s="250" t="n">
        <f aca="false">-'wholesale services'!C115</f>
        <v>-1486000</v>
      </c>
      <c r="D18" s="103" t="n">
        <f aca="false">-'wholesale services'!D115</f>
        <v>-1708211.51070845</v>
      </c>
      <c r="E18" s="103" t="n">
        <f aca="false">-'wholesale services'!E115</f>
        <v>-1301250.12609073</v>
      </c>
      <c r="F18" s="455" t="n">
        <f aca="false">-'wholesale services'!F115</f>
        <v>-1232294.17505978</v>
      </c>
      <c r="G18" s="103" t="n">
        <f aca="false">-'wholesale services'!G115</f>
        <v>-1253412.83819212</v>
      </c>
      <c r="H18" s="103" t="n">
        <f aca="false">-'wholesale services'!H115</f>
        <v>-1279128.253755</v>
      </c>
      <c r="I18" s="103" t="n">
        <f aca="false">-'wholesale services'!I115</f>
        <v>-1309408.51756753</v>
      </c>
      <c r="J18" s="103" t="n">
        <f aca="false">-'wholesale services'!J115</f>
        <v>-1344223.42200262</v>
      </c>
      <c r="K18" s="103" t="n">
        <f aca="false">-'wholesale services'!K115</f>
        <v>-1383544.52669487</v>
      </c>
      <c r="L18" s="103" t="n">
        <f aca="false">-'wholesale services'!L115</f>
        <v>-1427345.19202602</v>
      </c>
      <c r="M18" s="103" t="n">
        <f aca="false">-'wholesale services'!M115</f>
        <v>-1475600.57963107</v>
      </c>
      <c r="N18" s="250" t="n">
        <f aca="false">SUM(D18:M18)</f>
        <v>-13714419.1417282</v>
      </c>
      <c r="O18" s="1"/>
      <c r="P18" s="1"/>
      <c r="Q18" s="1"/>
      <c r="R18" s="1"/>
      <c r="S18" s="1"/>
      <c r="T18" s="1"/>
      <c r="U18" s="1"/>
      <c r="V18" s="1"/>
      <c r="W18" s="1"/>
      <c r="X18" s="1"/>
    </row>
    <row r="19" customFormat="false" ht="12.75" hidden="false" customHeight="false" outlineLevel="0" collapsed="false">
      <c r="A19" s="1" t="s">
        <v>1252</v>
      </c>
      <c r="C19" s="250" t="n">
        <f aca="false">-'wholesale services'!C116</f>
        <v>-748000</v>
      </c>
      <c r="D19" s="103" t="n">
        <f aca="false">-'wholesale services'!D116</f>
        <v>-695640</v>
      </c>
      <c r="E19" s="103" t="n">
        <f aca="false">-'wholesale services'!E116</f>
        <v>-716509.2</v>
      </c>
      <c r="F19" s="455" t="n">
        <f aca="false">-'wholesale services'!F116</f>
        <v>-738004.476</v>
      </c>
      <c r="G19" s="103" t="n">
        <f aca="false">-'wholesale services'!G116</f>
        <v>-760144.61028</v>
      </c>
      <c r="H19" s="103" t="n">
        <f aca="false">-'wholesale services'!H116</f>
        <v>-782948.9485884</v>
      </c>
      <c r="I19" s="103" t="n">
        <f aca="false">-'wholesale services'!I116</f>
        <v>-806437.417046052</v>
      </c>
      <c r="J19" s="103" t="n">
        <f aca="false">-'wholesale services'!J116</f>
        <v>-830630.539557434</v>
      </c>
      <c r="K19" s="103" t="n">
        <f aca="false">-'wholesale services'!K116</f>
        <v>-855549.455744157</v>
      </c>
      <c r="L19" s="103" t="n">
        <f aca="false">-'wholesale services'!L116</f>
        <v>-881215.939416482</v>
      </c>
      <c r="M19" s="103" t="n">
        <f aca="false">-'wholesale services'!M116</f>
        <v>-907652.417598976</v>
      </c>
      <c r="N19" s="250" t="n">
        <f aca="false">SUM(D19:M19)</f>
        <v>-7974733.0042315</v>
      </c>
      <c r="O19" s="1"/>
      <c r="P19" s="1"/>
      <c r="Q19" s="1"/>
      <c r="R19" s="1"/>
      <c r="S19" s="1"/>
      <c r="T19" s="1"/>
      <c r="U19" s="1"/>
      <c r="V19" s="1"/>
      <c r="W19" s="1"/>
      <c r="X19" s="1"/>
    </row>
    <row r="20" customFormat="false" ht="12.75" hidden="false" customHeight="false" outlineLevel="0" collapsed="false">
      <c r="A20" s="1" t="s">
        <v>1253</v>
      </c>
      <c r="C20" s="250" t="n">
        <f aca="false">-'wholesale services'!C117</f>
        <v>-5441000</v>
      </c>
      <c r="D20" s="103" t="n">
        <f aca="false">-'wholesale services'!D117</f>
        <v>-4654731.78330612</v>
      </c>
      <c r="E20" s="103" t="n">
        <f aca="false">-'wholesale services'!E117</f>
        <v>-4756204.93618219</v>
      </c>
      <c r="F20" s="455" t="n">
        <f aca="false">-'wholesale services'!F117</f>
        <v>-4855609.6193484</v>
      </c>
      <c r="G20" s="103" t="n">
        <f aca="false">-'wholesale services'!G117</f>
        <v>-4953207.3726973</v>
      </c>
      <c r="H20" s="103" t="n">
        <f aca="false">-'wholesale services'!H117</f>
        <v>-5049299.59572763</v>
      </c>
      <c r="I20" s="103" t="n">
        <f aca="false">-'wholesale services'!I117</f>
        <v>-5143721.49816774</v>
      </c>
      <c r="J20" s="103" t="n">
        <f aca="false">-'wholesale services'!J117</f>
        <v>-5236308.48513476</v>
      </c>
      <c r="K20" s="103" t="n">
        <f aca="false">-'wholesale services'!K117</f>
        <v>-5327943.88362462</v>
      </c>
      <c r="L20" s="103" t="n">
        <f aca="false">-'wholesale services'!L117</f>
        <v>-5417453.34086951</v>
      </c>
      <c r="M20" s="103" t="n">
        <f aca="false">-'wholesale services'!M117</f>
        <v>-5506299.57565977</v>
      </c>
      <c r="N20" s="250" t="n">
        <f aca="false">SUM(D20:M20)</f>
        <v>-50900780.090718</v>
      </c>
      <c r="O20" s="1"/>
      <c r="P20" s="1"/>
      <c r="Q20" s="1"/>
      <c r="R20" s="1"/>
      <c r="S20" s="1"/>
      <c r="T20" s="1"/>
      <c r="U20" s="1"/>
      <c r="V20" s="1"/>
      <c r="W20" s="1"/>
      <c r="X20" s="1"/>
    </row>
    <row r="21" customFormat="false" ht="12.75" hidden="false" customHeight="false" outlineLevel="0" collapsed="false">
      <c r="A21" s="1" t="s">
        <v>1254</v>
      </c>
      <c r="C21" s="250" t="n">
        <f aca="false">-'wholesale services'!C118</f>
        <v>-5006132.356</v>
      </c>
      <c r="D21" s="103" t="n">
        <f aca="false">-'wholesale services'!D118</f>
        <v>-4611490.93256475</v>
      </c>
      <c r="E21" s="103" t="n">
        <f aca="false">-'wholesale services'!E118</f>
        <v>-4712021.43489466</v>
      </c>
      <c r="F21" s="455" t="n">
        <f aca="false">-'wholesale services'!F118</f>
        <v>-4810502.68288396</v>
      </c>
      <c r="G21" s="103" t="n">
        <f aca="false">-'wholesale services'!G118</f>
        <v>-4907193.78680993</v>
      </c>
      <c r="H21" s="103" t="n">
        <f aca="false">-'wholesale services'!H118</f>
        <v>-5002393.34627404</v>
      </c>
      <c r="I21" s="103" t="n">
        <f aca="false">-'wholesale services'!I118</f>
        <v>-5095938.10184937</v>
      </c>
      <c r="J21" s="103" t="n">
        <f aca="false">-'wholesale services'!J118</f>
        <v>-5187664.98768265</v>
      </c>
      <c r="K21" s="103" t="n">
        <f aca="false">-'wholesale services'!K118</f>
        <v>-5278449.1249671</v>
      </c>
      <c r="L21" s="103" t="n">
        <f aca="false">-'wholesale services'!L118</f>
        <v>-5367127.07026655</v>
      </c>
      <c r="M21" s="103" t="n">
        <f aca="false">-'wholesale services'!M118</f>
        <v>-5455147.95421892</v>
      </c>
      <c r="N21" s="250" t="n">
        <f aca="false">SUM(D21:M21)</f>
        <v>-50427929.4224119</v>
      </c>
      <c r="O21" s="1"/>
      <c r="P21" s="1"/>
      <c r="Q21" s="1"/>
      <c r="R21" s="1"/>
      <c r="S21" s="1"/>
      <c r="T21" s="1"/>
      <c r="U21" s="1"/>
      <c r="V21" s="1"/>
      <c r="W21" s="1"/>
      <c r="X21" s="1"/>
    </row>
    <row r="22" customFormat="false" ht="12.75" hidden="false" customHeight="false" outlineLevel="0" collapsed="false">
      <c r="A22" s="277" t="s">
        <v>1255</v>
      </c>
      <c r="C22" s="250" t="n">
        <f aca="false">-('wholesale services'!C121+'wholesale services'!C122)</f>
        <v>-0</v>
      </c>
      <c r="D22" s="103" t="str">
        <f aca="false">IF('wholesale services'!$C$12="y",-('wholesale services'!D121+'wholesale services'!D122),"NA")</f>
        <v>NA</v>
      </c>
      <c r="E22" s="103" t="str">
        <f aca="false">IF('wholesale services'!$C$12="y",-('wholesale services'!E121+'wholesale services'!E122),"NA")</f>
        <v>NA</v>
      </c>
      <c r="F22" s="455" t="str">
        <f aca="false">IF('wholesale services'!$C$12="y",-('wholesale services'!F121+'wholesale services'!F122),"NA")</f>
        <v>NA</v>
      </c>
      <c r="G22" s="103" t="str">
        <f aca="false">IF('wholesale services'!$C$12="y",-('wholesale services'!G121+'wholesale services'!G122),"NA")</f>
        <v>NA</v>
      </c>
      <c r="H22" s="103" t="str">
        <f aca="false">IF('wholesale services'!$C$12="y",-('wholesale services'!H121+'wholesale services'!H122),"NA")</f>
        <v>NA</v>
      </c>
      <c r="I22" s="103" t="str">
        <f aca="false">IF('wholesale services'!$C$12="y",-('wholesale services'!I121+'wholesale services'!I122),"NA")</f>
        <v>NA</v>
      </c>
      <c r="J22" s="103" t="str">
        <f aca="false">IF('wholesale services'!$C$12="y",-('wholesale services'!J121+'wholesale services'!J122),"NA")</f>
        <v>NA</v>
      </c>
      <c r="K22" s="103" t="str">
        <f aca="false">IF('wholesale services'!$C$12="y",-('wholesale services'!K121+'wholesale services'!K122),"NA")</f>
        <v>NA</v>
      </c>
      <c r="L22" s="103" t="str">
        <f aca="false">IF('wholesale services'!$C$12="y",-('wholesale services'!L121+'wholesale services'!L122),"NA")</f>
        <v>NA</v>
      </c>
      <c r="M22" s="103" t="str">
        <f aca="false">IF('wholesale services'!$C$12="y",-('wholesale services'!M121+'wholesale services'!M122),"NA")</f>
        <v>NA</v>
      </c>
      <c r="N22" s="250" t="n">
        <f aca="false">SUM(D22:M22)</f>
        <v>0</v>
      </c>
      <c r="O22" s="1"/>
      <c r="P22" s="1"/>
      <c r="Q22" s="1"/>
      <c r="R22" s="1"/>
      <c r="S22" s="1"/>
      <c r="T22" s="1"/>
      <c r="U22" s="1"/>
      <c r="V22" s="1"/>
      <c r="W22" s="1"/>
      <c r="X22" s="1"/>
    </row>
    <row r="23" customFormat="false" ht="12.75" hidden="false" customHeight="false" outlineLevel="0" collapsed="false">
      <c r="A23" s="1" t="s">
        <v>1256</v>
      </c>
      <c r="C23" s="250" t="n">
        <v>0</v>
      </c>
      <c r="D23" s="103" t="n">
        <f aca="false">IF(B2="y",'FM Summary'!B97,0)</f>
        <v>0</v>
      </c>
      <c r="E23" s="103" t="n">
        <v>0</v>
      </c>
      <c r="F23" s="455" t="n">
        <v>0</v>
      </c>
      <c r="G23" s="103" t="n">
        <v>0</v>
      </c>
      <c r="H23" s="103" t="n">
        <v>0</v>
      </c>
      <c r="I23" s="103" t="n">
        <v>0</v>
      </c>
      <c r="J23" s="103" t="n">
        <v>0</v>
      </c>
      <c r="K23" s="103" t="n">
        <v>0</v>
      </c>
      <c r="L23" s="103" t="n">
        <v>0</v>
      </c>
      <c r="M23" s="103" t="n">
        <v>0</v>
      </c>
      <c r="N23" s="250" t="n">
        <f aca="false">SUM(D23:M23)</f>
        <v>0</v>
      </c>
      <c r="O23" s="1"/>
      <c r="P23" s="1"/>
      <c r="Q23" s="1"/>
      <c r="R23" s="1"/>
      <c r="S23" s="1"/>
      <c r="T23" s="1"/>
      <c r="U23" s="1"/>
      <c r="V23" s="1"/>
      <c r="W23" s="1"/>
      <c r="X23" s="1"/>
    </row>
    <row r="24" customFormat="false" ht="12.75" hidden="false" customHeight="false" outlineLevel="0" collapsed="false">
      <c r="A24" s="1" t="s">
        <v>1257</v>
      </c>
      <c r="C24" s="250" t="n">
        <f aca="false">-('power redistribution'!C67+'power redistribution'!C68)</f>
        <v>-51167000</v>
      </c>
      <c r="D24" s="103" t="n">
        <f aca="false">-('power redistribution'!D67+'power redistribution'!D68)</f>
        <v>-51576068.0416806</v>
      </c>
      <c r="E24" s="103" t="n">
        <f aca="false">-('power redistribution'!E67+'power redistribution'!E68)</f>
        <v>-57370369.1031032</v>
      </c>
      <c r="F24" s="455" t="n">
        <f aca="false">-('power redistribution'!F67+'power redistribution'!F68)</f>
        <v>-61104101.9686864</v>
      </c>
      <c r="G24" s="103" t="n">
        <f aca="false">-('power redistribution'!G67+'power redistribution'!G68)</f>
        <v>-63452613.0263893</v>
      </c>
      <c r="H24" s="103" t="n">
        <f aca="false">-('power redistribution'!H67+'power redistribution'!H68)</f>
        <v>-62162521.614207</v>
      </c>
      <c r="I24" s="103" t="n">
        <f aca="false">-('power redistribution'!I67+'power redistribution'!I68)</f>
        <v>-62189111.516233</v>
      </c>
      <c r="J24" s="103" t="n">
        <f aca="false">-('power redistribution'!J67+'power redistribution'!J68)</f>
        <v>-62219683.4063494</v>
      </c>
      <c r="K24" s="103" t="n">
        <f aca="false">-('power redistribution'!K67+'power redistribution'!K68)</f>
        <v>-62254212.3103178</v>
      </c>
      <c r="L24" s="103" t="n">
        <f aca="false">-('power redistribution'!L67+'power redistribution'!L68)</f>
        <v>-60323665.6351835</v>
      </c>
      <c r="M24" s="103" t="n">
        <f aca="false">-('power redistribution'!M67+'power redistribution'!M68)</f>
        <v>-60366039.96972</v>
      </c>
      <c r="N24" s="250" t="n">
        <f aca="false">SUM(D24:M24)</f>
        <v>-603018386.59187</v>
      </c>
      <c r="O24" s="1"/>
      <c r="P24" s="1"/>
      <c r="Q24" s="1"/>
      <c r="R24" s="1"/>
      <c r="S24" s="1"/>
      <c r="T24" s="1"/>
      <c r="U24" s="1"/>
      <c r="V24" s="1"/>
      <c r="W24" s="1"/>
      <c r="X24" s="1"/>
    </row>
    <row r="25" customFormat="false" ht="12.75" hidden="false" customHeight="false" outlineLevel="0" collapsed="false">
      <c r="A25" s="277" t="s">
        <v>1258</v>
      </c>
      <c r="C25" s="250" t="n">
        <f aca="false">-'power redistribution'!C70</f>
        <v>-500000</v>
      </c>
      <c r="D25" s="103" t="n">
        <f aca="false">-'power redistribution'!D70</f>
        <v>-512088.885515695</v>
      </c>
      <c r="E25" s="103" t="n">
        <f aca="false">-'power redistribution'!E70</f>
        <v>-322955.05893133</v>
      </c>
      <c r="F25" s="455" t="n">
        <f aca="false">-'power redistribution'!F70</f>
        <v>-338352.160076188</v>
      </c>
      <c r="G25" s="103" t="n">
        <f aca="false">-'power redistribution'!G70</f>
        <v>-175910.490839671</v>
      </c>
      <c r="H25" s="103" t="n">
        <f aca="false">-'power redistribution'!H70</f>
        <v>-100000</v>
      </c>
      <c r="I25" s="103" t="n">
        <f aca="false">-'power redistribution'!I70</f>
        <v>-100000</v>
      </c>
      <c r="J25" s="103" t="n">
        <f aca="false">-'power redistribution'!J70</f>
        <v>-100000</v>
      </c>
      <c r="K25" s="103" t="n">
        <f aca="false">-'power redistribution'!K70</f>
        <v>-100000</v>
      </c>
      <c r="L25" s="103" t="n">
        <f aca="false">-'power redistribution'!L70</f>
        <v>-100000</v>
      </c>
      <c r="M25" s="103" t="n">
        <f aca="false">-'power redistribution'!M70</f>
        <v>-100000</v>
      </c>
      <c r="N25" s="250"/>
      <c r="O25" s="1"/>
      <c r="P25" s="1"/>
      <c r="Q25" s="1"/>
      <c r="R25" s="1"/>
      <c r="S25" s="1"/>
      <c r="T25" s="1"/>
      <c r="U25" s="1"/>
      <c r="V25" s="1"/>
      <c r="W25" s="1"/>
      <c r="X25" s="1"/>
    </row>
    <row r="26" customFormat="false" ht="12.75" hidden="false" customHeight="false" outlineLevel="0" collapsed="false">
      <c r="A26" s="277" t="s">
        <v>1259</v>
      </c>
      <c r="C26" s="250" t="n">
        <f aca="false">-'power redistribution'!C69</f>
        <v>-650000</v>
      </c>
      <c r="D26" s="103" t="n">
        <f aca="false">-'power redistribution'!D69</f>
        <v>-559201.062983139</v>
      </c>
      <c r="E26" s="103" t="n">
        <f aca="false">-'power redistribution'!E69</f>
        <v>-621539.415959073</v>
      </c>
      <c r="F26" s="455" t="n">
        <f aca="false">-'power redistribution'!F69</f>
        <v>-695612.047142241</v>
      </c>
      <c r="G26" s="103" t="n">
        <f aca="false">-'power redistribution'!G69</f>
        <v>-722014.173108519</v>
      </c>
      <c r="H26" s="103" t="n">
        <f aca="false">-'power redistribution'!H69</f>
        <v>-722014.173108519</v>
      </c>
      <c r="I26" s="103" t="n">
        <f aca="false">-'power redistribution'!I69</f>
        <v>-722014.173108519</v>
      </c>
      <c r="J26" s="103" t="n">
        <f aca="false">-'power redistribution'!J69</f>
        <v>-722014.173108519</v>
      </c>
      <c r="K26" s="103" t="n">
        <f aca="false">-'power redistribution'!K69</f>
        <v>-722014.173108519</v>
      </c>
      <c r="L26" s="103" t="n">
        <f aca="false">-'power redistribution'!L69</f>
        <v>-722014.173108519</v>
      </c>
      <c r="M26" s="103" t="n">
        <f aca="false">-'power redistribution'!M69</f>
        <v>-722014.173108519</v>
      </c>
      <c r="N26" s="250" t="n">
        <f aca="false">SUM(D26:M26)</f>
        <v>-6930451.73784409</v>
      </c>
      <c r="O26" s="1"/>
      <c r="P26" s="1"/>
      <c r="Q26" s="1"/>
      <c r="R26" s="1"/>
      <c r="S26" s="1"/>
      <c r="T26" s="1"/>
      <c r="U26" s="1"/>
      <c r="V26" s="1"/>
      <c r="W26" s="1"/>
      <c r="X26" s="1"/>
    </row>
    <row r="27" customFormat="false" ht="12.75" hidden="false" customHeight="false" outlineLevel="0" collapsed="false">
      <c r="A27" s="442" t="s">
        <v>1260</v>
      </c>
      <c r="B27" s="442"/>
      <c r="C27" s="258" t="n">
        <v>0</v>
      </c>
      <c r="D27" s="690" t="n">
        <f aca="false">'account mgt'!C23</f>
        <v>-611000</v>
      </c>
      <c r="E27" s="690" t="n">
        <f aca="false">'account mgt'!D23</f>
        <v>-602820</v>
      </c>
      <c r="F27" s="691" t="n">
        <f aca="false">'account mgt'!E23</f>
        <v>-614876.4</v>
      </c>
      <c r="G27" s="690" t="n">
        <f aca="false">'account mgt'!F23</f>
        <v>-627173.928</v>
      </c>
      <c r="H27" s="690" t="n">
        <f aca="false">'account mgt'!G23</f>
        <v>-639717.40656</v>
      </c>
      <c r="I27" s="690" t="n">
        <f aca="false">'account mgt'!H23</f>
        <v>-652511.7546912</v>
      </c>
      <c r="J27" s="690" t="n">
        <f aca="false">'account mgt'!I23</f>
        <v>-665561.989785024</v>
      </c>
      <c r="K27" s="690" t="n">
        <f aca="false">'account mgt'!J23</f>
        <v>-678873.229580725</v>
      </c>
      <c r="L27" s="690" t="n">
        <f aca="false">'account mgt'!K23</f>
        <v>-692450.694172339</v>
      </c>
      <c r="M27" s="690" t="n">
        <f aca="false">'account mgt'!L23</f>
        <v>-706299.708055786</v>
      </c>
      <c r="N27" s="258" t="n">
        <f aca="false">SUM(D27:M27)</f>
        <v>-6491285.11084507</v>
      </c>
      <c r="O27" s="442"/>
      <c r="P27" s="442"/>
      <c r="Q27" s="442"/>
      <c r="R27" s="442"/>
      <c r="S27" s="442"/>
      <c r="T27" s="442"/>
      <c r="U27" s="442"/>
      <c r="V27" s="442"/>
      <c r="W27" s="442"/>
      <c r="X27" s="442"/>
      <c r="Y27" s="442"/>
      <c r="Z27" s="442"/>
      <c r="AA27" s="442"/>
      <c r="AB27" s="442"/>
      <c r="AC27" s="442"/>
      <c r="AD27" s="442"/>
      <c r="AE27" s="442"/>
      <c r="AF27" s="442"/>
      <c r="AG27" s="442"/>
      <c r="AH27" s="442"/>
      <c r="AI27" s="442"/>
      <c r="AJ27" s="442"/>
      <c r="AK27" s="442"/>
      <c r="AL27" s="442"/>
      <c r="AM27" s="442"/>
      <c r="AN27" s="442"/>
      <c r="AO27" s="442"/>
      <c r="AP27" s="442"/>
      <c r="AQ27" s="442"/>
      <c r="AR27" s="442"/>
      <c r="AS27" s="442"/>
      <c r="AT27" s="442"/>
      <c r="AU27" s="442"/>
      <c r="AV27" s="442"/>
      <c r="AW27" s="442"/>
      <c r="AX27" s="442"/>
      <c r="AY27" s="442"/>
      <c r="AZ27" s="442"/>
      <c r="BA27" s="442"/>
      <c r="BB27" s="442"/>
      <c r="BC27" s="442"/>
      <c r="BD27" s="442"/>
      <c r="BE27" s="442"/>
      <c r="BF27" s="442"/>
      <c r="BG27" s="442"/>
      <c r="BH27" s="442"/>
      <c r="BI27" s="442"/>
      <c r="BJ27" s="442"/>
      <c r="BK27" s="442"/>
      <c r="BL27" s="442"/>
      <c r="BM27" s="442"/>
      <c r="BN27" s="442"/>
      <c r="BO27" s="442"/>
      <c r="BP27" s="442"/>
      <c r="BQ27" s="442"/>
      <c r="BR27" s="442"/>
      <c r="BS27" s="442"/>
      <c r="BT27" s="442"/>
      <c r="BU27" s="442"/>
      <c r="BV27" s="442"/>
      <c r="BW27" s="442"/>
      <c r="BX27" s="442"/>
      <c r="BY27" s="442"/>
      <c r="BZ27" s="442"/>
      <c r="CA27" s="442"/>
      <c r="CB27" s="442"/>
      <c r="CC27" s="442"/>
      <c r="CD27" s="442"/>
      <c r="CE27" s="442"/>
      <c r="CF27" s="442"/>
      <c r="CG27" s="442"/>
      <c r="CH27" s="442"/>
      <c r="CI27" s="442"/>
      <c r="CJ27" s="442"/>
      <c r="CK27" s="442"/>
      <c r="CL27" s="442"/>
      <c r="CM27" s="442"/>
      <c r="CN27" s="442"/>
      <c r="CO27" s="442"/>
      <c r="CP27" s="442"/>
      <c r="CQ27" s="442"/>
      <c r="CR27" s="442"/>
      <c r="CS27" s="442"/>
      <c r="CT27" s="442"/>
      <c r="CU27" s="442"/>
      <c r="CV27" s="442"/>
      <c r="CW27" s="442"/>
      <c r="CX27" s="442"/>
      <c r="CY27" s="442"/>
      <c r="CZ27" s="442"/>
      <c r="DA27" s="442"/>
      <c r="DB27" s="442"/>
      <c r="DC27" s="442"/>
      <c r="DD27" s="442"/>
      <c r="DE27" s="442"/>
      <c r="DF27" s="442"/>
      <c r="DG27" s="442"/>
      <c r="DH27" s="442"/>
      <c r="DI27" s="442"/>
      <c r="DJ27" s="442"/>
      <c r="DK27" s="442"/>
      <c r="DL27" s="442"/>
      <c r="DM27" s="442"/>
      <c r="DN27" s="442"/>
      <c r="DO27" s="442"/>
      <c r="DP27" s="442"/>
      <c r="DQ27" s="442"/>
      <c r="DR27" s="442"/>
      <c r="DS27" s="442"/>
      <c r="DT27" s="442"/>
      <c r="DU27" s="442"/>
      <c r="DV27" s="442"/>
      <c r="DW27" s="442"/>
      <c r="DX27" s="442"/>
      <c r="DY27" s="442"/>
      <c r="DZ27" s="442"/>
      <c r="EA27" s="442"/>
      <c r="EB27" s="442"/>
      <c r="EC27" s="442"/>
      <c r="ED27" s="442"/>
      <c r="EE27" s="442"/>
      <c r="EF27" s="442"/>
      <c r="EG27" s="442"/>
      <c r="EH27" s="442"/>
      <c r="EI27" s="442"/>
      <c r="EJ27" s="442"/>
      <c r="EK27" s="442"/>
      <c r="EL27" s="442"/>
      <c r="EM27" s="442"/>
      <c r="EN27" s="442"/>
      <c r="EO27" s="442"/>
      <c r="EP27" s="442"/>
      <c r="EQ27" s="442"/>
      <c r="ER27" s="442"/>
      <c r="ES27" s="442"/>
      <c r="ET27" s="442"/>
      <c r="EU27" s="442"/>
      <c r="EV27" s="442"/>
      <c r="EW27" s="442"/>
      <c r="EX27" s="442"/>
      <c r="EY27" s="442"/>
      <c r="EZ27" s="442"/>
      <c r="FA27" s="442"/>
      <c r="FB27" s="442"/>
      <c r="FC27" s="442"/>
      <c r="FD27" s="442"/>
      <c r="FE27" s="442"/>
      <c r="FF27" s="442"/>
      <c r="FG27" s="442"/>
      <c r="FH27" s="442"/>
      <c r="FI27" s="442"/>
      <c r="FJ27" s="442"/>
      <c r="FK27" s="442"/>
      <c r="FL27" s="442"/>
      <c r="FM27" s="442"/>
      <c r="FN27" s="442"/>
      <c r="FO27" s="442"/>
      <c r="FP27" s="442"/>
      <c r="FQ27" s="442"/>
      <c r="FR27" s="442"/>
      <c r="FS27" s="442"/>
      <c r="FT27" s="442"/>
      <c r="FU27" s="442"/>
      <c r="FV27" s="442"/>
      <c r="FW27" s="442"/>
      <c r="FX27" s="442"/>
      <c r="FY27" s="442"/>
      <c r="FZ27" s="442"/>
      <c r="GA27" s="442"/>
      <c r="GB27" s="442"/>
      <c r="GC27" s="442"/>
      <c r="GD27" s="442"/>
      <c r="GE27" s="442"/>
      <c r="GF27" s="442"/>
      <c r="GG27" s="442"/>
      <c r="GH27" s="442"/>
      <c r="GI27" s="442"/>
      <c r="GJ27" s="442"/>
      <c r="GK27" s="442"/>
      <c r="GL27" s="442"/>
      <c r="GM27" s="442"/>
      <c r="GN27" s="442"/>
      <c r="GO27" s="442"/>
      <c r="GP27" s="442"/>
      <c r="GQ27" s="442"/>
      <c r="GR27" s="442"/>
      <c r="GS27" s="442"/>
      <c r="GT27" s="442"/>
      <c r="GU27" s="442"/>
      <c r="GV27" s="442"/>
      <c r="GW27" s="442"/>
      <c r="GX27" s="442"/>
      <c r="GY27" s="442"/>
      <c r="GZ27" s="442"/>
      <c r="HA27" s="442"/>
      <c r="HB27" s="442"/>
      <c r="HC27" s="442"/>
      <c r="HD27" s="442"/>
      <c r="HE27" s="442"/>
      <c r="HF27" s="442"/>
      <c r="HG27" s="442"/>
      <c r="HH27" s="442"/>
      <c r="HI27" s="442"/>
      <c r="HJ27" s="442"/>
      <c r="HK27" s="442"/>
      <c r="HL27" s="442"/>
      <c r="HM27" s="442"/>
      <c r="HN27" s="442"/>
      <c r="HO27" s="442"/>
      <c r="HP27" s="442"/>
      <c r="HQ27" s="442"/>
      <c r="HR27" s="442"/>
      <c r="HS27" s="442"/>
      <c r="HT27" s="442"/>
      <c r="HU27" s="442"/>
      <c r="HV27" s="442"/>
      <c r="HW27" s="442"/>
      <c r="HX27" s="442"/>
      <c r="HY27" s="442"/>
      <c r="HZ27" s="442"/>
      <c r="IA27" s="442"/>
      <c r="IB27" s="442"/>
      <c r="IC27" s="442"/>
      <c r="ID27" s="442"/>
      <c r="IE27" s="442"/>
      <c r="IF27" s="442"/>
      <c r="IG27" s="442"/>
      <c r="IH27" s="442"/>
      <c r="II27" s="442"/>
      <c r="IJ27" s="442"/>
      <c r="IK27" s="442"/>
      <c r="IL27" s="442"/>
      <c r="IM27" s="442"/>
      <c r="IN27" s="442"/>
      <c r="IO27" s="442"/>
      <c r="IP27" s="442"/>
      <c r="IQ27" s="442"/>
      <c r="IR27" s="442"/>
      <c r="IS27" s="442"/>
      <c r="IT27" s="442"/>
      <c r="IU27" s="442"/>
      <c r="IV27" s="442"/>
      <c r="IW27" s="442"/>
    </row>
    <row r="28" customFormat="false" ht="12.75" hidden="false" customHeight="false" outlineLevel="0" collapsed="false">
      <c r="A28" s="692" t="s">
        <v>1261</v>
      </c>
      <c r="C28" s="258" t="n">
        <f aca="false">SUM(C15:C27)</f>
        <v>-106941132.356</v>
      </c>
      <c r="D28" s="690" t="n">
        <f aca="false">SUM(D14:D27)</f>
        <v>-119433287.562887</v>
      </c>
      <c r="E28" s="690" t="n">
        <f aca="false">SUM(E14:E27)</f>
        <v>-119988350.162858</v>
      </c>
      <c r="F28" s="691" t="n">
        <f aca="false">SUM(F14:F27)</f>
        <v>-124366721.160815</v>
      </c>
      <c r="G28" s="690" t="n">
        <f aca="false">SUM(G14:G27)</f>
        <v>-127441709.500226</v>
      </c>
      <c r="H28" s="690" t="n">
        <f aca="false">SUM(H14:H27)</f>
        <v>-126362684.339473</v>
      </c>
      <c r="I28" s="690" t="n">
        <f aca="false">SUM(I14:I27)</f>
        <v>-126678823.857123</v>
      </c>
      <c r="J28" s="690" t="n">
        <f aca="false">SUM(J14:J27)</f>
        <v>-127001190.487875</v>
      </c>
      <c r="K28" s="690" t="n">
        <f aca="false">SUM(K14:K27)</f>
        <v>-127331520.154055</v>
      </c>
      <c r="L28" s="690" t="n">
        <f aca="false">SUM(L14:L27)</f>
        <v>-125698447.505428</v>
      </c>
      <c r="M28" s="690" t="n">
        <f aca="false">SUM(M14:M27)</f>
        <v>-126042888.631865</v>
      </c>
      <c r="N28" s="258" t="n">
        <f aca="false">SUM(N14:N27)</f>
        <v>-1248396316.76724</v>
      </c>
      <c r="O28" s="1"/>
      <c r="P28" s="1"/>
      <c r="Q28" s="1"/>
      <c r="R28" s="1"/>
      <c r="S28" s="1"/>
      <c r="T28" s="1"/>
      <c r="U28" s="1"/>
      <c r="V28" s="1"/>
      <c r="W28" s="1"/>
      <c r="X28" s="1"/>
    </row>
    <row r="29" customFormat="false" ht="12.75" hidden="false" customHeight="true" outlineLevel="0" collapsed="false">
      <c r="C29" s="250"/>
      <c r="N29" s="250"/>
      <c r="O29" s="1"/>
      <c r="P29" s="1"/>
      <c r="Q29" s="1"/>
      <c r="R29" s="1"/>
      <c r="S29" s="1"/>
      <c r="T29" s="1"/>
      <c r="U29" s="1"/>
      <c r="V29" s="1"/>
      <c r="W29" s="1"/>
      <c r="X29" s="1"/>
    </row>
    <row r="30" customFormat="false" ht="12.75" hidden="false" customHeight="false" outlineLevel="0" collapsed="false">
      <c r="A30" s="683" t="s">
        <v>1262</v>
      </c>
      <c r="B30" s="373"/>
      <c r="C30" s="693" t="s">
        <v>1247</v>
      </c>
      <c r="D30" s="694" t="n">
        <f aca="false">D11+D28</f>
        <v>1364720.24358831</v>
      </c>
      <c r="E30" s="694" t="n">
        <f aca="false">E11+E28</f>
        <v>8412932.20048662</v>
      </c>
      <c r="F30" s="695" t="n">
        <f aca="false">F11+F28</f>
        <v>12962100.6863188</v>
      </c>
      <c r="G30" s="694" t="n">
        <f aca="false">G11+G28</f>
        <v>13473633.4542565</v>
      </c>
      <c r="H30" s="694" t="n">
        <f aca="false">H11+H28</f>
        <v>15184615.8075932</v>
      </c>
      <c r="I30" s="694" t="n">
        <f aca="false">I11+I28</f>
        <v>15512291.3921779</v>
      </c>
      <c r="J30" s="694" t="n">
        <f aca="false">J11+J28</f>
        <v>15845645.2118878</v>
      </c>
      <c r="K30" s="694" t="n">
        <f aca="false">K11+K28</f>
        <v>16182991.602309</v>
      </c>
      <c r="L30" s="694" t="n">
        <f aca="false">L11+L28</f>
        <v>18495749.0374952</v>
      </c>
      <c r="M30" s="694" t="n">
        <f aca="false">M11+M28</f>
        <v>18843057.428542</v>
      </c>
      <c r="N30" s="696" t="n">
        <f aca="false">N11-N28</f>
        <v>2635019677.1945</v>
      </c>
      <c r="O30" s="277"/>
      <c r="P30" s="1"/>
      <c r="Q30" s="1"/>
      <c r="R30" s="1"/>
      <c r="S30" s="1"/>
      <c r="T30" s="1"/>
      <c r="U30" s="1"/>
      <c r="V30" s="1"/>
      <c r="W30" s="1"/>
      <c r="X30" s="1"/>
    </row>
    <row r="31" customFormat="false" ht="13.5" hidden="false" customHeight="true" outlineLevel="0" collapsed="false">
      <c r="A31" s="2"/>
      <c r="B31" s="2"/>
      <c r="C31" s="250"/>
      <c r="D31" s="8"/>
      <c r="E31" s="8"/>
      <c r="F31" s="8"/>
      <c r="G31" s="8"/>
      <c r="H31" s="8"/>
      <c r="I31" s="8"/>
      <c r="J31" s="8"/>
      <c r="K31" s="8"/>
      <c r="L31" s="8"/>
      <c r="M31" s="8"/>
      <c r="N31" s="697"/>
      <c r="O31" s="2"/>
      <c r="P31" s="2"/>
      <c r="Q31" s="2"/>
      <c r="R31" s="2"/>
      <c r="S31" s="2"/>
      <c r="T31" s="2"/>
      <c r="U31" s="2"/>
      <c r="V31" s="2"/>
      <c r="W31" s="1"/>
      <c r="X31" s="1"/>
    </row>
    <row r="32" customFormat="false" ht="13.5" hidden="false" customHeight="true" outlineLevel="0" collapsed="false">
      <c r="A32" s="698" t="s">
        <v>1263</v>
      </c>
      <c r="B32" s="2"/>
      <c r="C32" s="250"/>
      <c r="D32" s="8"/>
      <c r="E32" s="8"/>
      <c r="F32" s="8"/>
      <c r="G32" s="8"/>
      <c r="H32" s="8"/>
      <c r="I32" s="8"/>
      <c r="J32" s="8"/>
      <c r="K32" s="8"/>
      <c r="L32" s="8"/>
      <c r="M32" s="8"/>
      <c r="N32" s="697"/>
      <c r="O32" s="2"/>
      <c r="P32" s="2"/>
      <c r="Q32" s="2"/>
      <c r="R32" s="2"/>
      <c r="S32" s="2"/>
      <c r="T32" s="2"/>
      <c r="U32" s="2"/>
      <c r="V32" s="2"/>
      <c r="W32" s="1"/>
      <c r="X32" s="1"/>
    </row>
    <row r="33" customFormat="false" ht="13.5" hidden="false" customHeight="true" outlineLevel="0" collapsed="false">
      <c r="A33" s="277" t="s">
        <v>1264</v>
      </c>
      <c r="B33" s="277"/>
      <c r="C33" s="250" t="n">
        <f aca="false">'wholesale services'!C119</f>
        <v>0</v>
      </c>
      <c r="D33" s="103" t="n">
        <f aca="false">-'wholesale services'!D119</f>
        <v>-28439040</v>
      </c>
      <c r="E33" s="103" t="n">
        <f aca="false">-'wholesale services'!E119</f>
        <v>-4739840</v>
      </c>
      <c r="F33" s="455" t="n">
        <f aca="false">-'wholesale services'!F119</f>
        <v>-0</v>
      </c>
      <c r="G33" s="103" t="n">
        <f aca="false">-'wholesale services'!G119</f>
        <v>-0</v>
      </c>
      <c r="H33" s="103" t="n">
        <f aca="false">-'wholesale services'!H119</f>
        <v>-0</v>
      </c>
      <c r="I33" s="103" t="n">
        <f aca="false">-'wholesale services'!I119</f>
        <v>-0</v>
      </c>
      <c r="J33" s="103" t="n">
        <f aca="false">-'wholesale services'!J119</f>
        <v>-0</v>
      </c>
      <c r="K33" s="103" t="n">
        <f aca="false">-'wholesale services'!K119</f>
        <v>-0</v>
      </c>
      <c r="L33" s="103" t="n">
        <f aca="false">-'wholesale services'!L119</f>
        <v>-0</v>
      </c>
      <c r="M33" s="103" t="n">
        <f aca="false">-'wholesale services'!M119</f>
        <v>-0</v>
      </c>
      <c r="N33" s="250" t="n">
        <f aca="false">SUM(D33:M33)</f>
        <v>-33178880</v>
      </c>
      <c r="O33" s="2"/>
      <c r="P33" s="2"/>
      <c r="Q33" s="2"/>
      <c r="R33" s="2"/>
      <c r="S33" s="2"/>
      <c r="T33" s="2"/>
      <c r="U33" s="2"/>
      <c r="V33" s="2"/>
      <c r="W33" s="1"/>
      <c r="X33" s="1"/>
    </row>
    <row r="34" customFormat="false" ht="13.5" hidden="false" customHeight="true" outlineLevel="0" collapsed="false">
      <c r="A34" s="277" t="s">
        <v>1265</v>
      </c>
      <c r="B34" s="277"/>
      <c r="C34" s="250" t="n">
        <f aca="false">'power redistribution'!C71</f>
        <v>0</v>
      </c>
      <c r="D34" s="103" t="n">
        <f aca="false">'power redistribution'!D71</f>
        <v>0</v>
      </c>
      <c r="E34" s="103" t="n">
        <f aca="false">'power redistribution'!E71</f>
        <v>0</v>
      </c>
      <c r="F34" s="455" t="n">
        <f aca="false">'power redistribution'!F71</f>
        <v>0</v>
      </c>
      <c r="G34" s="103" t="n">
        <f aca="false">'power redistribution'!G71</f>
        <v>0</v>
      </c>
      <c r="H34" s="103" t="n">
        <f aca="false">'power redistribution'!H71</f>
        <v>0</v>
      </c>
      <c r="I34" s="103" t="n">
        <f aca="false">'power redistribution'!I71</f>
        <v>0</v>
      </c>
      <c r="J34" s="103" t="n">
        <f aca="false">'power redistribution'!J71</f>
        <v>0</v>
      </c>
      <c r="K34" s="103" t="n">
        <f aca="false">'power redistribution'!K71</f>
        <v>0</v>
      </c>
      <c r="L34" s="103" t="n">
        <f aca="false">'power redistribution'!L71</f>
        <v>0</v>
      </c>
      <c r="M34" s="103" t="n">
        <f aca="false">'power redistribution'!M71</f>
        <v>0</v>
      </c>
      <c r="N34" s="250" t="n">
        <f aca="false">SUM(D34:M34)</f>
        <v>0</v>
      </c>
      <c r="O34" s="2"/>
      <c r="P34" s="2"/>
      <c r="Q34" s="2"/>
      <c r="R34" s="2"/>
      <c r="S34" s="2"/>
      <c r="T34" s="2"/>
      <c r="U34" s="2"/>
      <c r="V34" s="2"/>
      <c r="W34" s="1"/>
      <c r="X34" s="1"/>
    </row>
    <row r="35" customFormat="false" ht="13.5" hidden="false" customHeight="true" outlineLevel="0" collapsed="false">
      <c r="A35" s="277" t="s">
        <v>1266</v>
      </c>
      <c r="B35" s="277"/>
      <c r="C35" s="258" t="n">
        <f aca="false">'wholesale services'!C120</f>
        <v>3798248</v>
      </c>
      <c r="D35" s="690" t="n">
        <f aca="false">-'wholesale services'!D120</f>
        <v>-3798248</v>
      </c>
      <c r="E35" s="690" t="n">
        <f aca="false">-'wholesale services'!E120</f>
        <v>-3798248</v>
      </c>
      <c r="F35" s="691" t="n">
        <f aca="false">-'wholesale services'!F120</f>
        <v>-3798248</v>
      </c>
      <c r="G35" s="690" t="n">
        <f aca="false">-'wholesale services'!G120</f>
        <v>-3798248</v>
      </c>
      <c r="H35" s="690" t="n">
        <f aca="false">-'wholesale services'!H120</f>
        <v>-3798248</v>
      </c>
      <c r="I35" s="690" t="n">
        <f aca="false">-'wholesale services'!I120</f>
        <v>-3798248</v>
      </c>
      <c r="J35" s="690" t="n">
        <f aca="false">-'wholesale services'!J120</f>
        <v>-3798248</v>
      </c>
      <c r="K35" s="690" t="n">
        <f aca="false">-'wholesale services'!K120</f>
        <v>-3798248</v>
      </c>
      <c r="L35" s="690" t="n">
        <f aca="false">-'wholesale services'!L120</f>
        <v>-3798248</v>
      </c>
      <c r="M35" s="690" t="n">
        <f aca="false">-'wholesale services'!M120</f>
        <v>-3798248</v>
      </c>
      <c r="N35" s="258" t="n">
        <f aca="false">SUM(D35:M35)</f>
        <v>-37982480</v>
      </c>
      <c r="O35" s="2"/>
      <c r="P35" s="2"/>
      <c r="Q35" s="2"/>
      <c r="R35" s="2"/>
      <c r="S35" s="2"/>
      <c r="T35" s="2"/>
      <c r="U35" s="2"/>
      <c r="V35" s="2"/>
      <c r="W35" s="1"/>
      <c r="X35" s="1"/>
    </row>
    <row r="36" customFormat="false" ht="13.5" hidden="false" customHeight="true" outlineLevel="0" collapsed="false">
      <c r="A36" s="683" t="s">
        <v>1267</v>
      </c>
      <c r="B36" s="277"/>
      <c r="C36" s="250" t="n">
        <f aca="false">SUM(C33:C35)</f>
        <v>3798248</v>
      </c>
      <c r="D36" s="103" t="n">
        <f aca="false">SUM(D33:D35)</f>
        <v>-32237288</v>
      </c>
      <c r="E36" s="103" t="n">
        <f aca="false">SUM(E33:E35)</f>
        <v>-8538088</v>
      </c>
      <c r="F36" s="455" t="n">
        <f aca="false">SUM(F33:F35)</f>
        <v>-3798248</v>
      </c>
      <c r="G36" s="103" t="n">
        <f aca="false">SUM(G33:G35)</f>
        <v>-3798248</v>
      </c>
      <c r="H36" s="103" t="n">
        <f aca="false">SUM(H33:H35)</f>
        <v>-3798248</v>
      </c>
      <c r="I36" s="103" t="n">
        <f aca="false">SUM(I33:I35)</f>
        <v>-3798248</v>
      </c>
      <c r="J36" s="103" t="n">
        <f aca="false">SUM(J33:J35)</f>
        <v>-3798248</v>
      </c>
      <c r="K36" s="103" t="n">
        <f aca="false">SUM(K33:K35)</f>
        <v>-3798248</v>
      </c>
      <c r="L36" s="103" t="n">
        <f aca="false">SUM(L33:L35)</f>
        <v>-3798248</v>
      </c>
      <c r="M36" s="103" t="n">
        <f aca="false">SUM(M33:M35)</f>
        <v>-3798248</v>
      </c>
      <c r="N36" s="250" t="n">
        <f aca="false">SUM(N33:N35)</f>
        <v>-71161360</v>
      </c>
      <c r="O36" s="2"/>
      <c r="P36" s="2"/>
      <c r="Q36" s="2"/>
      <c r="R36" s="2"/>
      <c r="S36" s="2"/>
      <c r="T36" s="2"/>
      <c r="U36" s="2"/>
      <c r="V36" s="2"/>
      <c r="W36" s="1"/>
      <c r="X36" s="1"/>
    </row>
    <row r="37" customFormat="false" ht="13.5" hidden="false" customHeight="true" outlineLevel="0" collapsed="false">
      <c r="A37" s="277"/>
      <c r="B37" s="277"/>
      <c r="C37" s="250"/>
      <c r="N37" s="250"/>
      <c r="O37" s="2"/>
      <c r="P37" s="2"/>
      <c r="Q37" s="2"/>
      <c r="R37" s="2"/>
      <c r="S37" s="2"/>
      <c r="T37" s="2"/>
      <c r="U37" s="2"/>
      <c r="V37" s="2"/>
      <c r="W37" s="1"/>
      <c r="X37" s="1"/>
    </row>
    <row r="38" customFormat="false" ht="13.5" hidden="false" customHeight="true" outlineLevel="0" collapsed="false">
      <c r="A38" s="699" t="s">
        <v>1268</v>
      </c>
      <c r="B38" s="277"/>
      <c r="C38" s="700" t="s">
        <v>1247</v>
      </c>
      <c r="D38" s="608" t="n">
        <f aca="false">D30+D36</f>
        <v>-30872567.7564117</v>
      </c>
      <c r="E38" s="608" t="n">
        <f aca="false">E30+E36</f>
        <v>-125155.799513385</v>
      </c>
      <c r="F38" s="701" t="n">
        <f aca="false">F30+F36</f>
        <v>9163852.68631882</v>
      </c>
      <c r="G38" s="608" t="n">
        <f aca="false">G30+G36</f>
        <v>9675385.45425648</v>
      </c>
      <c r="H38" s="608" t="n">
        <f aca="false">H30+H36</f>
        <v>11386367.8075932</v>
      </c>
      <c r="I38" s="608" t="n">
        <f aca="false">I30+I36</f>
        <v>11714043.3921779</v>
      </c>
      <c r="J38" s="608" t="n">
        <f aca="false">J30+J36</f>
        <v>12047397.2118878</v>
      </c>
      <c r="K38" s="608" t="n">
        <f aca="false">K30+K36</f>
        <v>12384743.602309</v>
      </c>
      <c r="L38" s="608" t="n">
        <f aca="false">L30+L36</f>
        <v>14697501.0374952</v>
      </c>
      <c r="M38" s="608" t="n">
        <f aca="false">M30+M36</f>
        <v>15044809.428542</v>
      </c>
      <c r="N38" s="702" t="n">
        <f aca="false">N30-N36</f>
        <v>2706181037.1945</v>
      </c>
      <c r="O38" s="2"/>
      <c r="P38" s="2"/>
      <c r="Q38" s="2"/>
      <c r="R38" s="2"/>
      <c r="S38" s="2"/>
      <c r="T38" s="2"/>
      <c r="U38" s="2"/>
      <c r="V38" s="2"/>
      <c r="W38" s="1"/>
      <c r="X38" s="1"/>
    </row>
    <row r="39" customFormat="false" ht="13.5" hidden="false" customHeight="true" outlineLevel="0" collapsed="false">
      <c r="A39" s="277"/>
      <c r="B39" s="277"/>
      <c r="C39" s="250"/>
      <c r="N39" s="250"/>
      <c r="O39" s="2"/>
      <c r="P39" s="2"/>
      <c r="Q39" s="2"/>
      <c r="R39" s="2"/>
      <c r="S39" s="2"/>
      <c r="T39" s="2"/>
      <c r="U39" s="2"/>
      <c r="V39" s="2"/>
      <c r="W39" s="1"/>
      <c r="X39" s="1"/>
    </row>
    <row r="40" customFormat="false" ht="12.75" hidden="false" customHeight="true" outlineLevel="0" collapsed="false">
      <c r="A40" s="698" t="s">
        <v>1093</v>
      </c>
      <c r="B40" s="277"/>
      <c r="C40" s="250"/>
      <c r="N40" s="250"/>
      <c r="O40" s="2"/>
      <c r="P40" s="2"/>
      <c r="Q40" s="2"/>
      <c r="R40" s="2"/>
      <c r="S40" s="2"/>
      <c r="T40" s="2"/>
      <c r="U40" s="2"/>
      <c r="V40" s="2"/>
      <c r="W40" s="1"/>
      <c r="X40" s="1"/>
    </row>
    <row r="41" customFormat="false" ht="12.75" hidden="false" customHeight="true" outlineLevel="0" collapsed="false">
      <c r="A41" s="277" t="s">
        <v>1001</v>
      </c>
      <c r="B41" s="277"/>
      <c r="C41" s="250"/>
      <c r="D41" s="103" t="n">
        <f aca="false">'wholesale services'!D128</f>
        <v>-662655</v>
      </c>
      <c r="E41" s="103" t="n">
        <f aca="false">'wholesale services'!E128</f>
        <v>-662655</v>
      </c>
      <c r="F41" s="455" t="n">
        <f aca="false">'wholesale services'!F128</f>
        <v>-662655</v>
      </c>
      <c r="G41" s="103" t="n">
        <f aca="false">'wholesale services'!G128</f>
        <v>-662655</v>
      </c>
      <c r="H41" s="103" t="n">
        <f aca="false">'wholesale services'!H128</f>
        <v>-662655</v>
      </c>
      <c r="I41" s="103" t="n">
        <f aca="false">'wholesale services'!I128</f>
        <v>-662655</v>
      </c>
      <c r="J41" s="103" t="n">
        <f aca="false">'wholesale services'!J128</f>
        <v>-662655</v>
      </c>
      <c r="K41" s="103" t="n">
        <f aca="false">'wholesale services'!K128</f>
        <v>-662655</v>
      </c>
      <c r="L41" s="103" t="n">
        <f aca="false">'wholesale services'!L128</f>
        <v>-662655</v>
      </c>
      <c r="M41" s="103" t="n">
        <f aca="false">'wholesale services'!M128</f>
        <v>-662655</v>
      </c>
      <c r="N41" s="250" t="n">
        <f aca="false">SUM(D41:M41)</f>
        <v>-6626550</v>
      </c>
      <c r="O41" s="2"/>
      <c r="P41" s="2"/>
      <c r="Q41" s="2"/>
      <c r="R41" s="2"/>
      <c r="S41" s="2"/>
      <c r="T41" s="2"/>
      <c r="U41" s="2"/>
      <c r="V41" s="2"/>
      <c r="W41" s="1"/>
      <c r="X41" s="1"/>
    </row>
    <row r="42" customFormat="false" ht="14.25" hidden="false" customHeight="true" outlineLevel="0" collapsed="false">
      <c r="A42" s="277" t="s">
        <v>1269</v>
      </c>
      <c r="B42" s="277"/>
      <c r="C42" s="258" t="n">
        <v>0</v>
      </c>
      <c r="D42" s="690" t="n">
        <f aca="false">'wholesale services'!D127</f>
        <v>0</v>
      </c>
      <c r="E42" s="690" t="n">
        <f aca="false">'wholesale services'!E127</f>
        <v>0</v>
      </c>
      <c r="F42" s="703" t="n">
        <f aca="false">'wholesale services'!F127</f>
        <v>0</v>
      </c>
      <c r="G42" s="690" t="n">
        <f aca="false">'wholesale services'!G127</f>
        <v>0</v>
      </c>
      <c r="H42" s="690" t="n">
        <f aca="false">'wholesale services'!H127</f>
        <v>0</v>
      </c>
      <c r="I42" s="690" t="n">
        <f aca="false">'wholesale services'!I127</f>
        <v>0</v>
      </c>
      <c r="J42" s="690" t="n">
        <f aca="false">'wholesale services'!J127</f>
        <v>0</v>
      </c>
      <c r="K42" s="690" t="n">
        <f aca="false">'wholesale services'!K127</f>
        <v>0</v>
      </c>
      <c r="L42" s="690" t="n">
        <f aca="false">'wholesale services'!L127</f>
        <v>0</v>
      </c>
      <c r="M42" s="690" t="n">
        <f aca="false">'wholesale services'!M127</f>
        <v>0</v>
      </c>
      <c r="N42" s="258" t="n">
        <f aca="false">SUM(D42:M42)</f>
        <v>0</v>
      </c>
      <c r="O42" s="2"/>
      <c r="P42" s="2"/>
      <c r="Q42" s="2"/>
      <c r="R42" s="2"/>
      <c r="S42" s="2"/>
      <c r="T42" s="2"/>
      <c r="U42" s="2"/>
      <c r="V42" s="2"/>
      <c r="W42" s="1"/>
      <c r="X42" s="1"/>
    </row>
    <row r="43" customFormat="false" ht="14.25" hidden="false" customHeight="true" outlineLevel="0" collapsed="false">
      <c r="A43" s="699" t="s">
        <v>1270</v>
      </c>
      <c r="B43" s="277"/>
      <c r="C43" s="103" t="n">
        <f aca="false">SUM(C41:C42)</f>
        <v>0</v>
      </c>
      <c r="D43" s="103" t="n">
        <f aca="false">SUM(D41:D42)</f>
        <v>-662655</v>
      </c>
      <c r="E43" s="103" t="n">
        <f aca="false">SUM(E41:E42)</f>
        <v>-662655</v>
      </c>
      <c r="F43" s="455" t="n">
        <f aca="false">SUM(F41:F42)</f>
        <v>-662655</v>
      </c>
      <c r="G43" s="103" t="n">
        <f aca="false">SUM(G41:G42)</f>
        <v>-662655</v>
      </c>
      <c r="H43" s="103" t="n">
        <f aca="false">SUM(H41:H42)</f>
        <v>-662655</v>
      </c>
      <c r="I43" s="103" t="n">
        <f aca="false">SUM(I41:I42)</f>
        <v>-662655</v>
      </c>
      <c r="J43" s="103" t="n">
        <f aca="false">SUM(J41:J42)</f>
        <v>-662655</v>
      </c>
      <c r="K43" s="103" t="n">
        <f aca="false">SUM(K41:K42)</f>
        <v>-662655</v>
      </c>
      <c r="L43" s="103" t="n">
        <f aca="false">SUM(L41:L42)</f>
        <v>-662655</v>
      </c>
      <c r="M43" s="103" t="n">
        <f aca="false">SUM(M41:M42)</f>
        <v>-662655</v>
      </c>
      <c r="N43" s="250" t="n">
        <f aca="false">SUM(N41:N42)</f>
        <v>-6626550</v>
      </c>
      <c r="O43" s="2"/>
      <c r="P43" s="2"/>
      <c r="Q43" s="2"/>
      <c r="R43" s="2"/>
      <c r="S43" s="2"/>
      <c r="T43" s="2"/>
      <c r="U43" s="2"/>
      <c r="V43" s="2"/>
      <c r="W43" s="1"/>
      <c r="X43" s="1"/>
    </row>
    <row r="44" customFormat="false" ht="14.25" hidden="false" customHeight="true" outlineLevel="0" collapsed="false">
      <c r="A44" s="277"/>
      <c r="B44" s="277"/>
      <c r="N44" s="250"/>
      <c r="O44" s="2"/>
      <c r="P44" s="2"/>
      <c r="Q44" s="2"/>
      <c r="R44" s="2"/>
      <c r="S44" s="2"/>
      <c r="T44" s="2"/>
      <c r="U44" s="2"/>
      <c r="V44" s="2"/>
      <c r="W44" s="1"/>
      <c r="X44" s="1"/>
    </row>
    <row r="45" customFormat="false" ht="14.25" hidden="false" customHeight="true" outlineLevel="0" collapsed="false">
      <c r="A45" s="704" t="s">
        <v>1271</v>
      </c>
      <c r="B45" s="256"/>
      <c r="C45" s="705" t="s">
        <v>1247</v>
      </c>
      <c r="D45" s="706" t="n">
        <f aca="false">D38+D43</f>
        <v>-31535222.7564117</v>
      </c>
      <c r="E45" s="706" t="n">
        <f aca="false">E38+E43</f>
        <v>-787810.799513385</v>
      </c>
      <c r="F45" s="707" t="n">
        <f aca="false">F38+F43</f>
        <v>8501197.68631882</v>
      </c>
      <c r="G45" s="706" t="n">
        <f aca="false">G38+G43</f>
        <v>9012730.45425648</v>
      </c>
      <c r="H45" s="706" t="n">
        <f aca="false">H38+H43</f>
        <v>10723712.8075932</v>
      </c>
      <c r="I45" s="706" t="n">
        <f aca="false">I38+I43</f>
        <v>11051388.3921779</v>
      </c>
      <c r="J45" s="706" t="n">
        <f aca="false">J38+J43</f>
        <v>11384742.2118878</v>
      </c>
      <c r="K45" s="706" t="n">
        <f aca="false">K38+K43</f>
        <v>11722088.602309</v>
      </c>
      <c r="L45" s="706" t="n">
        <f aca="false">L38+L43</f>
        <v>14034846.0374952</v>
      </c>
      <c r="M45" s="706" t="n">
        <f aca="false">M38+M43</f>
        <v>14382154.428542</v>
      </c>
      <c r="N45" s="708" t="n">
        <f aca="false">N38-N43</f>
        <v>2712807587.1945</v>
      </c>
      <c r="O45" s="2"/>
      <c r="P45" s="2"/>
      <c r="Q45" s="2"/>
      <c r="R45" s="2"/>
      <c r="S45" s="2"/>
      <c r="T45" s="2"/>
      <c r="U45" s="2"/>
      <c r="V45" s="2"/>
      <c r="W45" s="1"/>
      <c r="X45" s="1"/>
    </row>
    <row r="46" customFormat="false" ht="14.25" hidden="false" customHeight="true" outlineLevel="0" collapsed="false">
      <c r="A46" s="277" t="s">
        <v>43</v>
      </c>
      <c r="B46" s="277"/>
      <c r="D46" s="608" t="s">
        <v>43</v>
      </c>
      <c r="N46" s="633"/>
      <c r="O46" s="709"/>
      <c r="P46" s="709"/>
      <c r="Q46" s="2"/>
      <c r="R46" s="2"/>
      <c r="S46" s="2"/>
      <c r="T46" s="2"/>
      <c r="U46" s="2"/>
      <c r="V46" s="2"/>
      <c r="W46" s="1"/>
      <c r="X46" s="1"/>
    </row>
    <row r="47" customFormat="false" ht="14.25" hidden="false" customHeight="true" outlineLevel="0" collapsed="false">
      <c r="A47" s="710"/>
      <c r="B47" s="711"/>
      <c r="C47" s="712"/>
      <c r="N47" s="633"/>
      <c r="O47" s="709"/>
      <c r="P47" s="709"/>
      <c r="Q47" s="2"/>
      <c r="R47" s="2"/>
      <c r="S47" s="2"/>
      <c r="T47" s="2"/>
      <c r="U47" s="2"/>
      <c r="V47" s="2"/>
      <c r="W47" s="1"/>
      <c r="X47" s="1"/>
    </row>
    <row r="48" customFormat="false" ht="14.25" hidden="false" customHeight="true" outlineLevel="0" collapsed="false">
      <c r="A48" s="100" t="s">
        <v>1272</v>
      </c>
      <c r="B48" s="713" t="n">
        <f aca="false">'general info'!B45</f>
        <v>0.135</v>
      </c>
      <c r="C48" s="714"/>
      <c r="N48" s="633"/>
      <c r="O48" s="709"/>
      <c r="P48" s="709"/>
      <c r="Q48" s="2"/>
      <c r="R48" s="2"/>
      <c r="S48" s="2"/>
      <c r="T48" s="2"/>
      <c r="U48" s="2"/>
      <c r="V48" s="2"/>
      <c r="W48" s="1"/>
      <c r="X48" s="1"/>
    </row>
    <row r="49" customFormat="false" ht="14.25" hidden="false" customHeight="true" outlineLevel="0" collapsed="false">
      <c r="A49" s="100" t="s">
        <v>1273</v>
      </c>
      <c r="B49" s="715" t="n">
        <f aca="false">NPV($B$48,D45:M45)</f>
        <v>11204113.3517949</v>
      </c>
      <c r="C49" s="714"/>
      <c r="N49" s="633"/>
      <c r="O49" s="709"/>
      <c r="P49" s="709"/>
      <c r="Q49" s="2"/>
      <c r="R49" s="2"/>
      <c r="S49" s="2"/>
      <c r="T49" s="2"/>
      <c r="U49" s="2"/>
      <c r="V49" s="2"/>
      <c r="W49" s="1"/>
      <c r="X49" s="1"/>
    </row>
    <row r="50" customFormat="false" ht="14.25" hidden="false" customHeight="true" outlineLevel="0" collapsed="false">
      <c r="A50" s="716" t="s">
        <v>1007</v>
      </c>
      <c r="B50" s="717" t="n">
        <f aca="false">IRR(D45:M45)</f>
        <v>0.212508666056034</v>
      </c>
      <c r="C50" s="718"/>
      <c r="N50" s="633"/>
      <c r="O50" s="709"/>
      <c r="P50" s="709"/>
      <c r="Q50" s="2"/>
      <c r="R50" s="2"/>
      <c r="S50" s="2"/>
      <c r="T50" s="2"/>
      <c r="U50" s="2"/>
      <c r="V50" s="2"/>
      <c r="W50" s="1"/>
      <c r="X50" s="1"/>
    </row>
    <row r="51" customFormat="false" ht="14.25" hidden="false" customHeight="true" outlineLevel="0" collapsed="false">
      <c r="A51" s="633"/>
      <c r="B51" s="633"/>
      <c r="N51" s="633"/>
      <c r="O51" s="709"/>
      <c r="P51" s="709"/>
      <c r="Q51" s="2"/>
      <c r="R51" s="2"/>
      <c r="S51" s="2"/>
      <c r="T51" s="2"/>
      <c r="U51" s="2"/>
      <c r="V51" s="2"/>
      <c r="W51" s="1"/>
      <c r="X51" s="1"/>
    </row>
    <row r="52" customFormat="false" ht="14.25" hidden="false" customHeight="true" outlineLevel="0" collapsed="false">
      <c r="A52" s="719" t="s">
        <v>1274</v>
      </c>
      <c r="B52" s="720" t="n">
        <f aca="false">NPV('general info'!B45,D52:M52)</f>
        <v>14523930.0633732</v>
      </c>
      <c r="C52" s="721"/>
      <c r="D52" s="720" t="n">
        <f aca="false">D45-D33+'wholesale services'!D105</f>
        <v>-3096182.75641169</v>
      </c>
      <c r="E52" s="720" t="n">
        <f aca="false">E45-E33+'wholesale services'!E105</f>
        <v>-963162.462026194</v>
      </c>
      <c r="F52" s="455" t="n">
        <f aca="false">F45-F33+'wholesale services'!F105</f>
        <v>2602967.69130345</v>
      </c>
      <c r="G52" s="720" t="n">
        <f aca="false">G45-G33+'wholesale services'!G105</f>
        <v>3114500.45924111</v>
      </c>
      <c r="H52" s="720" t="n">
        <f aca="false">H45-H33+'wholesale services'!H105</f>
        <v>4825482.81257783</v>
      </c>
      <c r="I52" s="720" t="n">
        <f aca="false">I45-I33+'wholesale services'!I105</f>
        <v>5153158.39716256</v>
      </c>
      <c r="J52" s="720" t="n">
        <f aca="false">J45-J33+'wholesale services'!J105</f>
        <v>5486512.21687247</v>
      </c>
      <c r="K52" s="720" t="n">
        <f aca="false">K45-K33+'wholesale services'!K105</f>
        <v>5823858.60729363</v>
      </c>
      <c r="L52" s="720" t="n">
        <f aca="false">L45-L33+'wholesale services'!L105</f>
        <v>8136616.04247984</v>
      </c>
      <c r="M52" s="720" t="n">
        <f aca="false">M45-M33+'wholesale services'!M105</f>
        <v>8483924.43352665</v>
      </c>
      <c r="N52" s="719"/>
      <c r="O52" s="722"/>
      <c r="P52" s="722"/>
      <c r="Q52" s="723"/>
      <c r="R52" s="723"/>
      <c r="S52" s="723"/>
      <c r="T52" s="723"/>
      <c r="U52" s="723"/>
      <c r="V52" s="723"/>
      <c r="W52" s="721"/>
      <c r="X52" s="721"/>
      <c r="Y52" s="721"/>
      <c r="Z52" s="721"/>
      <c r="AA52" s="721"/>
      <c r="AB52" s="721"/>
      <c r="AC52" s="721"/>
      <c r="AD52" s="721"/>
      <c r="AE52" s="721"/>
      <c r="AF52" s="721"/>
      <c r="AG52" s="721"/>
      <c r="AH52" s="721"/>
      <c r="AI52" s="721"/>
      <c r="AJ52" s="721"/>
      <c r="AK52" s="721"/>
      <c r="AL52" s="721"/>
      <c r="AM52" s="721"/>
      <c r="AN52" s="721"/>
      <c r="AO52" s="721"/>
      <c r="AP52" s="721"/>
      <c r="AQ52" s="721"/>
      <c r="AR52" s="721"/>
      <c r="AS52" s="721"/>
      <c r="AT52" s="721"/>
      <c r="AU52" s="721"/>
      <c r="AV52" s="721"/>
      <c r="AW52" s="721"/>
      <c r="AX52" s="721"/>
      <c r="AY52" s="721"/>
      <c r="AZ52" s="721"/>
      <c r="BA52" s="721"/>
      <c r="BB52" s="721"/>
      <c r="BC52" s="721"/>
      <c r="BD52" s="721"/>
      <c r="BE52" s="721"/>
      <c r="BF52" s="721"/>
      <c r="BG52" s="721"/>
      <c r="BH52" s="721"/>
      <c r="BI52" s="721"/>
      <c r="BJ52" s="721"/>
      <c r="BK52" s="721"/>
      <c r="BL52" s="721"/>
      <c r="BM52" s="721"/>
      <c r="BN52" s="721"/>
      <c r="BO52" s="721"/>
      <c r="BP52" s="721"/>
      <c r="BQ52" s="721"/>
      <c r="BR52" s="721"/>
      <c r="BS52" s="721"/>
      <c r="BT52" s="721"/>
      <c r="BU52" s="721"/>
      <c r="BV52" s="721"/>
      <c r="BW52" s="721"/>
      <c r="BX52" s="721"/>
      <c r="BY52" s="721"/>
      <c r="BZ52" s="721"/>
      <c r="CA52" s="721"/>
      <c r="CB52" s="721"/>
      <c r="CC52" s="721"/>
      <c r="CD52" s="721"/>
      <c r="CE52" s="721"/>
      <c r="CF52" s="721"/>
      <c r="CG52" s="721"/>
      <c r="CH52" s="721"/>
      <c r="CI52" s="721"/>
      <c r="CJ52" s="721"/>
      <c r="CK52" s="721"/>
      <c r="CL52" s="721"/>
      <c r="CM52" s="721"/>
      <c r="CN52" s="721"/>
      <c r="CO52" s="721"/>
      <c r="CP52" s="721"/>
      <c r="CQ52" s="721"/>
      <c r="CR52" s="721"/>
      <c r="CS52" s="721"/>
      <c r="CT52" s="721"/>
      <c r="CU52" s="721"/>
      <c r="CV52" s="721"/>
      <c r="CW52" s="721"/>
      <c r="CX52" s="721"/>
      <c r="CY52" s="721"/>
      <c r="CZ52" s="721"/>
      <c r="DA52" s="721"/>
      <c r="DB52" s="721"/>
      <c r="DC52" s="721"/>
      <c r="DD52" s="721"/>
      <c r="DE52" s="721"/>
      <c r="DF52" s="721"/>
      <c r="DG52" s="721"/>
      <c r="DH52" s="721"/>
      <c r="DI52" s="721"/>
      <c r="DJ52" s="721"/>
      <c r="DK52" s="721"/>
      <c r="DL52" s="721"/>
      <c r="DM52" s="721"/>
      <c r="DN52" s="721"/>
      <c r="DO52" s="721"/>
      <c r="DP52" s="721"/>
      <c r="DQ52" s="721"/>
      <c r="DR52" s="721"/>
      <c r="DS52" s="721"/>
      <c r="DT52" s="721"/>
      <c r="DU52" s="721"/>
      <c r="DV52" s="721"/>
      <c r="DW52" s="721"/>
      <c r="DX52" s="721"/>
      <c r="DY52" s="721"/>
      <c r="DZ52" s="721"/>
      <c r="EA52" s="721"/>
      <c r="EB52" s="721"/>
      <c r="EC52" s="721"/>
      <c r="ED52" s="721"/>
      <c r="EE52" s="721"/>
      <c r="EF52" s="721"/>
      <c r="EG52" s="721"/>
      <c r="EH52" s="721"/>
      <c r="EI52" s="721"/>
      <c r="EJ52" s="721"/>
      <c r="EK52" s="721"/>
      <c r="EL52" s="721"/>
      <c r="EM52" s="721"/>
      <c r="EN52" s="721"/>
      <c r="EO52" s="721"/>
      <c r="EP52" s="721"/>
      <c r="EQ52" s="721"/>
      <c r="ER52" s="721"/>
      <c r="ES52" s="721"/>
      <c r="ET52" s="721"/>
      <c r="EU52" s="721"/>
      <c r="EV52" s="721"/>
      <c r="EW52" s="721"/>
      <c r="EX52" s="721"/>
      <c r="EY52" s="721"/>
      <c r="EZ52" s="721"/>
      <c r="FA52" s="721"/>
      <c r="FB52" s="721"/>
      <c r="FC52" s="721"/>
      <c r="FD52" s="721"/>
      <c r="FE52" s="721"/>
      <c r="FF52" s="721"/>
      <c r="FG52" s="721"/>
      <c r="FH52" s="721"/>
      <c r="FI52" s="721"/>
      <c r="FJ52" s="721"/>
      <c r="FK52" s="721"/>
      <c r="FL52" s="721"/>
      <c r="FM52" s="721"/>
      <c r="FN52" s="721"/>
      <c r="FO52" s="721"/>
      <c r="FP52" s="721"/>
      <c r="FQ52" s="721"/>
      <c r="FR52" s="721"/>
      <c r="FS52" s="721"/>
      <c r="FT52" s="721"/>
      <c r="FU52" s="721"/>
      <c r="FV52" s="721"/>
      <c r="FW52" s="721"/>
      <c r="FX52" s="721"/>
      <c r="FY52" s="721"/>
      <c r="FZ52" s="721"/>
      <c r="GA52" s="721"/>
      <c r="GB52" s="721"/>
      <c r="GC52" s="721"/>
      <c r="GD52" s="721"/>
      <c r="GE52" s="721"/>
      <c r="GF52" s="721"/>
      <c r="GG52" s="721"/>
      <c r="GH52" s="721"/>
      <c r="GI52" s="721"/>
      <c r="GJ52" s="721"/>
      <c r="GK52" s="721"/>
      <c r="GL52" s="721"/>
      <c r="GM52" s="721"/>
      <c r="GN52" s="721"/>
      <c r="GO52" s="721"/>
      <c r="GP52" s="721"/>
      <c r="GQ52" s="721"/>
      <c r="GR52" s="721"/>
      <c r="GS52" s="721"/>
      <c r="GT52" s="721"/>
      <c r="GU52" s="721"/>
      <c r="GV52" s="721"/>
      <c r="GW52" s="721"/>
      <c r="GX52" s="721"/>
      <c r="GY52" s="721"/>
      <c r="GZ52" s="721"/>
      <c r="HA52" s="721"/>
      <c r="HB52" s="721"/>
      <c r="HC52" s="721"/>
      <c r="HD52" s="721"/>
      <c r="HE52" s="721"/>
      <c r="HF52" s="721"/>
      <c r="HG52" s="721"/>
      <c r="HH52" s="721"/>
      <c r="HI52" s="721"/>
      <c r="HJ52" s="721"/>
      <c r="HK52" s="721"/>
      <c r="HL52" s="721"/>
      <c r="HM52" s="721"/>
      <c r="HN52" s="721"/>
      <c r="HO52" s="721"/>
      <c r="HP52" s="721"/>
      <c r="HQ52" s="721"/>
      <c r="HR52" s="721"/>
      <c r="HS52" s="721"/>
      <c r="HT52" s="721"/>
      <c r="HU52" s="721"/>
      <c r="HV52" s="721"/>
      <c r="HW52" s="721"/>
      <c r="HX52" s="721"/>
      <c r="HY52" s="721"/>
      <c r="HZ52" s="721"/>
      <c r="IA52" s="721"/>
      <c r="IB52" s="721"/>
      <c r="IC52" s="721"/>
      <c r="ID52" s="721"/>
      <c r="IE52" s="721"/>
      <c r="IF52" s="721"/>
      <c r="IG52" s="721"/>
      <c r="IH52" s="721"/>
      <c r="II52" s="721"/>
      <c r="IJ52" s="721"/>
      <c r="IK52" s="721"/>
      <c r="IL52" s="721"/>
      <c r="IM52" s="721"/>
      <c r="IN52" s="721"/>
      <c r="IO52" s="721"/>
      <c r="IP52" s="721"/>
      <c r="IQ52" s="721"/>
      <c r="IR52" s="721"/>
      <c r="IS52" s="721"/>
      <c r="IT52" s="721"/>
      <c r="IU52" s="721"/>
      <c r="IV52" s="721"/>
      <c r="IW52" s="721"/>
    </row>
    <row r="53" customFormat="false" ht="14.25" hidden="false" customHeight="true" outlineLevel="0" collapsed="false">
      <c r="A53" s="633"/>
      <c r="B53" s="633"/>
      <c r="N53" s="633"/>
      <c r="O53" s="709"/>
      <c r="P53" s="709"/>
      <c r="Q53" s="2"/>
      <c r="R53" s="2"/>
      <c r="S53" s="2"/>
      <c r="T53" s="2"/>
      <c r="U53" s="2"/>
      <c r="V53" s="2"/>
      <c r="W53" s="1"/>
      <c r="X53" s="1"/>
    </row>
    <row r="54" customFormat="false" ht="14.25" hidden="false" customHeight="true" outlineLevel="0" collapsed="false">
      <c r="A54" s="724"/>
      <c r="B54" s="724"/>
      <c r="C54" s="725"/>
      <c r="D54" s="720"/>
      <c r="N54" s="633"/>
      <c r="O54" s="709"/>
      <c r="P54" s="709"/>
      <c r="Q54" s="2"/>
      <c r="R54" s="2"/>
      <c r="S54" s="2"/>
      <c r="T54" s="2"/>
      <c r="U54" s="2"/>
      <c r="V54" s="2"/>
      <c r="W54" s="1"/>
      <c r="X54" s="1"/>
    </row>
    <row r="55" customFormat="false" ht="14.25" hidden="false" customHeight="true" outlineLevel="0" collapsed="false">
      <c r="A55" s="726" t="s">
        <v>1275</v>
      </c>
      <c r="B55" s="727"/>
      <c r="C55" s="727"/>
      <c r="D55" s="720"/>
      <c r="N55" s="633"/>
      <c r="O55" s="709"/>
      <c r="P55" s="709"/>
      <c r="Q55" s="2"/>
      <c r="R55" s="2"/>
      <c r="S55" s="2"/>
      <c r="T55" s="2"/>
      <c r="U55" s="2"/>
      <c r="V55" s="2"/>
      <c r="W55" s="1"/>
      <c r="X55" s="1"/>
    </row>
    <row r="56" customFormat="false" ht="14.25" hidden="false" customHeight="true" outlineLevel="0" collapsed="false">
      <c r="A56" s="724"/>
      <c r="B56" s="728"/>
      <c r="C56" s="725"/>
      <c r="D56" s="720"/>
      <c r="N56" s="633"/>
      <c r="O56" s="709"/>
      <c r="P56" s="709"/>
      <c r="Q56" s="2"/>
      <c r="R56" s="2"/>
      <c r="S56" s="2"/>
      <c r="T56" s="2"/>
      <c r="U56" s="2"/>
      <c r="V56" s="2"/>
      <c r="W56" s="1"/>
      <c r="X56" s="1"/>
    </row>
    <row r="57" customFormat="false" ht="12.75" hidden="false" customHeight="false" outlineLevel="0" collapsed="false">
      <c r="A57" s="724" t="s">
        <v>895</v>
      </c>
      <c r="B57" s="728" t="n">
        <f aca="false">'wholesale services'!C143</f>
        <v>5096302.96193024</v>
      </c>
      <c r="C57" s="725"/>
      <c r="D57" s="720"/>
      <c r="N57" s="1"/>
      <c r="O57" s="1"/>
      <c r="P57" s="1"/>
      <c r="Q57" s="1"/>
      <c r="R57" s="1"/>
      <c r="S57" s="1"/>
      <c r="T57" s="1"/>
      <c r="U57" s="1"/>
      <c r="V57" s="1"/>
      <c r="W57" s="1"/>
      <c r="X57" s="1"/>
    </row>
    <row r="58" customFormat="false" ht="12.75" hidden="false" customHeight="false" outlineLevel="0" collapsed="false">
      <c r="A58" s="724" t="s">
        <v>2</v>
      </c>
      <c r="B58" s="728" t="n">
        <f aca="false">'power redistribution'!C78</f>
        <v>10256443.0447698</v>
      </c>
      <c r="C58" s="725"/>
      <c r="D58" s="720"/>
      <c r="N58" s="1"/>
      <c r="O58" s="1"/>
      <c r="P58" s="1"/>
      <c r="Q58" s="1"/>
      <c r="R58" s="1"/>
      <c r="S58" s="1"/>
      <c r="T58" s="1"/>
      <c r="U58" s="1"/>
      <c r="V58" s="1"/>
      <c r="W58" s="1"/>
      <c r="X58" s="1"/>
    </row>
    <row r="59" customFormat="false" ht="12.75" hidden="false" customHeight="false" outlineLevel="0" collapsed="false">
      <c r="A59" s="724" t="s">
        <v>1074</v>
      </c>
      <c r="B59" s="728" t="n">
        <f aca="false">IF(B2="y",'FM Summary'!B102,0)</f>
        <v>0</v>
      </c>
      <c r="C59" s="725"/>
      <c r="D59" s="720"/>
      <c r="N59" s="1"/>
      <c r="O59" s="1"/>
      <c r="P59" s="1"/>
      <c r="Q59" s="1"/>
      <c r="R59" s="1"/>
      <c r="S59" s="1"/>
      <c r="T59" s="1"/>
      <c r="U59" s="1"/>
      <c r="V59" s="1"/>
      <c r="W59" s="1"/>
      <c r="X59" s="1"/>
    </row>
    <row r="60" customFormat="false" ht="12.75" hidden="false" customHeight="false" outlineLevel="0" collapsed="false">
      <c r="A60" s="724" t="s">
        <v>1082</v>
      </c>
      <c r="B60" s="728" t="n">
        <f aca="false">'account mgt'!C25</f>
        <v>-3390987.23626865</v>
      </c>
      <c r="C60" s="725"/>
      <c r="D60" s="720"/>
      <c r="N60" s="1"/>
      <c r="O60" s="1"/>
      <c r="P60" s="1"/>
      <c r="Q60" s="1"/>
      <c r="R60" s="1"/>
      <c r="S60" s="1"/>
      <c r="T60" s="1"/>
      <c r="U60" s="1"/>
      <c r="V60" s="1"/>
      <c r="W60" s="1"/>
      <c r="X60" s="1"/>
    </row>
    <row r="61" customFormat="false" ht="12.75" hidden="false" customHeight="false" outlineLevel="0" collapsed="false">
      <c r="A61" s="724" t="s">
        <v>1276</v>
      </c>
      <c r="B61" s="728" t="n">
        <f aca="false">SUM(B57:B60)</f>
        <v>11961758.7704314</v>
      </c>
      <c r="C61" s="725"/>
      <c r="D61" s="720"/>
      <c r="N61" s="1"/>
      <c r="O61" s="1"/>
      <c r="P61" s="1"/>
      <c r="Q61" s="1"/>
      <c r="R61" s="1"/>
      <c r="S61" s="1"/>
      <c r="T61" s="1"/>
      <c r="U61" s="1"/>
      <c r="V61" s="1"/>
      <c r="W61" s="1"/>
      <c r="X61" s="1"/>
    </row>
    <row r="62" customFormat="false" ht="12.75" hidden="false" customHeight="false" outlineLevel="0" collapsed="false">
      <c r="A62" s="724" t="s">
        <v>1000</v>
      </c>
      <c r="B62" s="728"/>
      <c r="C62" s="725"/>
      <c r="D62" s="720"/>
      <c r="N62" s="1"/>
      <c r="O62" s="1"/>
      <c r="P62" s="1"/>
      <c r="Q62" s="1"/>
      <c r="R62" s="1"/>
      <c r="S62" s="1"/>
      <c r="T62" s="1"/>
      <c r="U62" s="1"/>
      <c r="V62" s="1"/>
      <c r="W62" s="1"/>
      <c r="X62" s="1"/>
    </row>
    <row r="63" customFormat="false" ht="12.75" hidden="false" customHeight="false" outlineLevel="0" collapsed="false">
      <c r="A63" s="724" t="s">
        <v>1277</v>
      </c>
      <c r="B63" s="728" t="n">
        <f aca="false">-'RMPM-Whole'!CN11</f>
        <v>-2150000</v>
      </c>
      <c r="C63" s="725"/>
      <c r="D63" s="720"/>
      <c r="N63" s="1"/>
      <c r="O63" s="1"/>
      <c r="P63" s="1"/>
      <c r="Q63" s="1"/>
      <c r="R63" s="1"/>
      <c r="S63" s="1"/>
      <c r="T63" s="1"/>
      <c r="U63" s="1"/>
      <c r="V63" s="1"/>
      <c r="W63" s="1"/>
      <c r="X63" s="1"/>
    </row>
    <row r="64" customFormat="false" ht="12.75" hidden="false" customHeight="false" outlineLevel="0" collapsed="false">
      <c r="A64" s="724" t="s">
        <v>1278</v>
      </c>
      <c r="B64" s="728" t="n">
        <f aca="false">-'RMPM-Redis'!AD10</f>
        <v>-1275000</v>
      </c>
      <c r="C64" s="725"/>
      <c r="D64" s="720"/>
      <c r="N64" s="1"/>
      <c r="O64" s="1"/>
      <c r="P64" s="1"/>
      <c r="Q64" s="1"/>
      <c r="R64" s="1"/>
      <c r="S64" s="1"/>
      <c r="T64" s="1"/>
      <c r="U64" s="1"/>
      <c r="V64" s="1"/>
      <c r="W64" s="1"/>
      <c r="X64" s="1"/>
    </row>
    <row r="65" customFormat="false" ht="12.75" hidden="false" customHeight="false" outlineLevel="0" collapsed="false">
      <c r="A65" s="724" t="s">
        <v>1279</v>
      </c>
      <c r="B65" s="728" t="n">
        <f aca="false">IF(B2="y",-'RMPM-FM'!S10,0)</f>
        <v>0</v>
      </c>
      <c r="C65" s="725"/>
      <c r="D65" s="720"/>
      <c r="N65" s="1"/>
      <c r="O65" s="1"/>
      <c r="P65" s="1"/>
      <c r="Q65" s="1"/>
      <c r="R65" s="1"/>
      <c r="S65" s="1"/>
      <c r="T65" s="1"/>
      <c r="U65" s="1"/>
      <c r="V65" s="1"/>
      <c r="W65" s="1"/>
      <c r="X65" s="1"/>
    </row>
    <row r="66" customFormat="false" ht="12.75" hidden="false" customHeight="false" outlineLevel="0" collapsed="false">
      <c r="A66" s="724" t="s">
        <v>798</v>
      </c>
      <c r="B66" s="728" t="n">
        <f aca="false">B61+SUM(B63:B65)</f>
        <v>8536758.77043136</v>
      </c>
      <c r="C66" s="725"/>
      <c r="D66" s="720"/>
      <c r="N66" s="1"/>
      <c r="O66" s="1"/>
      <c r="P66" s="1"/>
      <c r="Q66" s="1"/>
      <c r="R66" s="1"/>
      <c r="S66" s="1"/>
      <c r="T66" s="1"/>
      <c r="U66" s="1"/>
      <c r="V66" s="1"/>
      <c r="W66" s="1"/>
      <c r="X66" s="1"/>
    </row>
    <row r="67" customFormat="false" ht="12.75" hidden="false" customHeight="false" outlineLevel="0" collapsed="false">
      <c r="A67" s="724"/>
      <c r="B67" s="728"/>
      <c r="C67" s="725"/>
      <c r="D67" s="720"/>
      <c r="N67" s="1"/>
      <c r="O67" s="1"/>
      <c r="P67" s="1"/>
      <c r="Q67" s="1"/>
      <c r="R67" s="1"/>
      <c r="S67" s="1"/>
      <c r="T67" s="1"/>
      <c r="U67" s="1"/>
      <c r="V67" s="1"/>
      <c r="W67" s="1"/>
      <c r="X67" s="1"/>
    </row>
    <row r="68" customFormat="false" ht="12.75" hidden="false" customHeight="false" outlineLevel="0" collapsed="false">
      <c r="A68" s="724"/>
      <c r="B68" s="724"/>
      <c r="C68" s="725"/>
      <c r="D68" s="720"/>
      <c r="DT68" s="1" t="n">
        <v>0</v>
      </c>
    </row>
    <row r="69" customFormat="false" ht="12.75" hidden="false" customHeight="false" outlineLevel="0" collapsed="false">
      <c r="DT69" s="1" t="n">
        <v>0</v>
      </c>
    </row>
    <row r="70" customFormat="false" ht="12.75" hidden="false" customHeight="false" outlineLevel="0" collapsed="false">
      <c r="DT70" s="1" t="n">
        <v>0</v>
      </c>
    </row>
    <row r="71" customFormat="false" ht="12.75" hidden="false" customHeight="false" outlineLevel="0" collapsed="false">
      <c r="DT71" s="1" t="n">
        <v>0</v>
      </c>
    </row>
    <row r="72" customFormat="false" ht="12.75" hidden="false" customHeight="false" outlineLevel="0" collapsed="false">
      <c r="DT72" s="1" t="n">
        <v>0</v>
      </c>
    </row>
    <row r="73" customFormat="false" ht="12.75" hidden="false" customHeight="false" outlineLevel="0" collapsed="false">
      <c r="DT73" s="1" t="n">
        <v>0</v>
      </c>
    </row>
    <row r="74" customFormat="false" ht="12.75" hidden="false" customHeight="false" outlineLevel="0" collapsed="false">
      <c r="DT74" s="1" t="n">
        <v>0</v>
      </c>
    </row>
    <row r="75" customFormat="false" ht="12.75" hidden="false" customHeight="false" outlineLevel="0" collapsed="false">
      <c r="DT75" s="1" t="n">
        <v>0</v>
      </c>
    </row>
    <row r="76" customFormat="false" ht="12.75" hidden="false" customHeight="false" outlineLevel="0" collapsed="false">
      <c r="DT76" s="1" t="n">
        <v>0</v>
      </c>
    </row>
    <row r="77" customFormat="false" ht="12.75" hidden="false" customHeight="false" outlineLevel="0" collapsed="false">
      <c r="DT77" s="1" t="n">
        <v>0</v>
      </c>
    </row>
    <row r="78" customFormat="false" ht="12.75" hidden="false" customHeight="false" outlineLevel="0" collapsed="false">
      <c r="DT78" s="1" t="n">
        <v>0</v>
      </c>
    </row>
    <row r="79" customFormat="false" ht="12.75" hidden="false" customHeight="false" outlineLevel="0" collapsed="false">
      <c r="DT79" s="1" t="n">
        <v>0</v>
      </c>
    </row>
    <row r="80" customFormat="false" ht="12.75" hidden="false" customHeight="false" outlineLevel="0" collapsed="false">
      <c r="DT80" s="1" t="n">
        <v>0</v>
      </c>
    </row>
    <row r="81" customFormat="false" ht="12.75" hidden="false" customHeight="false" outlineLevel="0" collapsed="false">
      <c r="DT81" s="1" t="n">
        <v>0</v>
      </c>
    </row>
    <row r="82" customFormat="false" ht="12.75" hidden="false" customHeight="false" outlineLevel="0" collapsed="false">
      <c r="DT82" s="1" t="n">
        <v>0</v>
      </c>
    </row>
    <row r="83" customFormat="false" ht="12.75" hidden="false" customHeight="false" outlineLevel="0" collapsed="false">
      <c r="DT83" s="1" t="n">
        <v>0</v>
      </c>
    </row>
    <row r="84" customFormat="false" ht="12.75" hidden="false" customHeight="false" outlineLevel="0" collapsed="false">
      <c r="DT84" s="1" t="n">
        <v>0</v>
      </c>
    </row>
    <row r="85" customFormat="false" ht="12.75" hidden="false" customHeight="false" outlineLevel="0" collapsed="false">
      <c r="DT85" s="1" t="n">
        <v>0</v>
      </c>
    </row>
    <row r="86" customFormat="false" ht="12.75" hidden="false" customHeight="false" outlineLevel="0" collapsed="false">
      <c r="DT86" s="1" t="n">
        <v>0</v>
      </c>
    </row>
  </sheetData>
  <printOptions headings="false" gridLines="false" gridLinesSet="true" horizontalCentered="false" verticalCentered="false"/>
  <pageMargins left="0.179861111111111" right="0.170138888888889" top="0.170138888888889" bottom="0.229861111111111" header="0.511811023622047" footer="0.229861111111111"/>
  <pageSetup paperSize="5" scale="100" fitToWidth="1" fitToHeight="1" pageOrder="downThenOver" orientation="landscape" blackAndWhite="false" draft="false" cellComments="none" horizontalDpi="300" verticalDpi="300" copies="1"/>
  <headerFooter differentFirst="false" differentOddEven="false">
    <oddHeader/>
    <oddFooter>&amp;L&amp;A&amp;C&amp;D &amp;T</oddFooter>
  </headerFooter>
  <rowBreaks count="1" manualBreakCount="1">
    <brk id="53" man="true" max="16383" min="0"/>
  </rowBreaks>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2:IW84"/>
  <sheetViews>
    <sheetView showFormulas="false" showGridLines="true" showRowColHeaders="true" showZeros="true" rightToLeft="false" tabSelected="false" showOutlineSymbols="true" defaultGridColor="true" view="normal" topLeftCell="A2" colorId="64" zoomScale="100" zoomScaleNormal="100" zoomScalePageLayoutView="100" workbookViewId="0">
      <selection pane="topLeft" activeCell="N19" activeCellId="0" sqref="N19"/>
    </sheetView>
  </sheetViews>
  <sheetFormatPr defaultColWidth="7.9921875" defaultRowHeight="12.75" customHeight="true" zeroHeight="false" outlineLevelRow="0" outlineLevelCol="0"/>
  <cols>
    <col collapsed="false" customWidth="true" hidden="false" outlineLevel="0" max="1" min="1" style="1" width="48.7"/>
    <col collapsed="false" customWidth="true" hidden="false" outlineLevel="0" max="2" min="2" style="1" width="13.99"/>
    <col collapsed="false" customWidth="true" hidden="false" outlineLevel="0" max="3" min="3" style="1" width="12.56"/>
    <col collapsed="false" customWidth="true" hidden="false" outlineLevel="0" max="11" min="4" style="1" width="11.99"/>
    <col collapsed="false" customWidth="true" hidden="false" outlineLevel="0" max="12" min="12" style="1" width="12.14"/>
    <col collapsed="false" customWidth="true" hidden="false" outlineLevel="0" max="13" min="13" style="1" width="11.85"/>
    <col collapsed="false" customWidth="true" hidden="false" outlineLevel="0" max="14" min="14" style="1" width="14.41"/>
    <col collapsed="false" customWidth="false" hidden="false" outlineLevel="0" max="257" min="15" style="1" width="7.99"/>
  </cols>
  <sheetData>
    <row r="2" customFormat="false" ht="18.75" hidden="false" customHeight="false" outlineLevel="0" collapsed="false">
      <c r="A2" s="372" t="s">
        <v>1280</v>
      </c>
    </row>
    <row r="4" customFormat="false" ht="15.75" hidden="false" customHeight="false" outlineLevel="0" collapsed="false">
      <c r="A4" s="647" t="str">
        <f aca="false">IF('general info'!B46="y","Wholly-Owned Only","All Facilities")</f>
        <v>Wholly-Owned Only</v>
      </c>
    </row>
    <row r="5" customFormat="false" ht="13.5" hidden="false" customHeight="false" outlineLevel="0" collapsed="false"/>
    <row r="6" customFormat="false" ht="12.75" hidden="false" customHeight="false" outlineLevel="0" collapsed="false">
      <c r="A6" s="729"/>
      <c r="B6" s="75"/>
      <c r="C6" s="75"/>
      <c r="D6" s="75"/>
      <c r="E6" s="75"/>
      <c r="F6" s="75"/>
      <c r="G6" s="75"/>
      <c r="H6" s="75"/>
      <c r="I6" s="75"/>
      <c r="J6" s="75"/>
      <c r="K6" s="75"/>
      <c r="L6" s="730"/>
    </row>
    <row r="7" customFormat="false" ht="12.75" hidden="false" customHeight="false" outlineLevel="0" collapsed="false">
      <c r="A7" s="100"/>
      <c r="B7" s="101"/>
      <c r="C7" s="256" t="n">
        <v>1</v>
      </c>
      <c r="D7" s="256" t="n">
        <v>2</v>
      </c>
      <c r="E7" s="256" t="n">
        <v>3</v>
      </c>
      <c r="F7" s="256" t="n">
        <v>4</v>
      </c>
      <c r="G7" s="256" t="n">
        <v>5</v>
      </c>
      <c r="H7" s="256" t="n">
        <v>6</v>
      </c>
      <c r="I7" s="256" t="n">
        <v>7</v>
      </c>
      <c r="J7" s="256" t="n">
        <v>8</v>
      </c>
      <c r="K7" s="256" t="n">
        <v>9</v>
      </c>
      <c r="L7" s="731" t="n">
        <v>10</v>
      </c>
      <c r="M7" s="375" t="s">
        <v>798</v>
      </c>
      <c r="N7" s="375" t="s">
        <v>1281</v>
      </c>
    </row>
    <row r="8" customFormat="false" ht="12.75" hidden="false" customHeight="false" outlineLevel="0" collapsed="false">
      <c r="A8" s="732" t="s">
        <v>1282</v>
      </c>
      <c r="B8" s="101"/>
      <c r="C8" s="101"/>
      <c r="D8" s="101"/>
      <c r="E8" s="101"/>
      <c r="F8" s="101"/>
      <c r="G8" s="101"/>
      <c r="H8" s="101"/>
      <c r="I8" s="101"/>
      <c r="J8" s="101"/>
      <c r="K8" s="101"/>
      <c r="L8" s="104"/>
    </row>
    <row r="9" customFormat="false" ht="12.75" hidden="false" customHeight="false" outlineLevel="0" collapsed="false">
      <c r="A9" s="100" t="s">
        <v>1283</v>
      </c>
      <c r="B9" s="101"/>
      <c r="C9" s="103" t="n">
        <f aca="false">'power redistribution'!D65</f>
        <v>0</v>
      </c>
      <c r="D9" s="103" t="n">
        <f aca="false">'power redistribution'!E65</f>
        <v>0</v>
      </c>
      <c r="E9" s="103" t="n">
        <f aca="false">'power redistribution'!F65</f>
        <v>0</v>
      </c>
      <c r="F9" s="103" t="n">
        <f aca="false">'power redistribution'!G65</f>
        <v>0</v>
      </c>
      <c r="G9" s="103" t="n">
        <f aca="false">'power redistribution'!H65</f>
        <v>0</v>
      </c>
      <c r="H9" s="103" t="n">
        <f aca="false">'power redistribution'!I65</f>
        <v>0</v>
      </c>
      <c r="I9" s="103" t="n">
        <f aca="false">'power redistribution'!J65</f>
        <v>0</v>
      </c>
      <c r="J9" s="103" t="n">
        <f aca="false">'power redistribution'!K65</f>
        <v>0</v>
      </c>
      <c r="K9" s="103" t="n">
        <f aca="false">'power redistribution'!L65</f>
        <v>0</v>
      </c>
      <c r="L9" s="714" t="n">
        <f aca="false">'power redistribution'!M65</f>
        <v>0</v>
      </c>
      <c r="M9" s="626" t="n">
        <f aca="false">SUM(C9:L9)</f>
        <v>0</v>
      </c>
      <c r="N9" s="599" t="n">
        <f aca="false">NPV($D$30,C9:L9)</f>
        <v>0</v>
      </c>
    </row>
    <row r="10" customFormat="false" ht="12.75" hidden="false" customHeight="false" outlineLevel="0" collapsed="false">
      <c r="A10" s="100" t="s">
        <v>1284</v>
      </c>
      <c r="B10" s="101"/>
      <c r="C10" s="103" t="n">
        <f aca="false">'wholesale services'!D109</f>
        <v>3246342.80509748</v>
      </c>
      <c r="D10" s="103" t="n">
        <f aca="false">'wholesale services'!E109</f>
        <v>3280437.35284929</v>
      </c>
      <c r="E10" s="103" t="n">
        <f aca="false">'wholesale services'!F109</f>
        <v>3314276.30899888</v>
      </c>
      <c r="F10" s="103" t="n">
        <f aca="false">'wholesale services'!G109</f>
        <v>3348504.4131442</v>
      </c>
      <c r="G10" s="103" t="n">
        <f aca="false">'wholesale services'!H109</f>
        <v>3383126.14048718</v>
      </c>
      <c r="H10" s="103" t="n">
        <f aca="false">'wholesale services'!I109</f>
        <v>3418146.01769461</v>
      </c>
      <c r="I10" s="103" t="n">
        <f aca="false">'wholesale services'!J109</f>
        <v>3453568.62348992</v>
      </c>
      <c r="J10" s="103" t="n">
        <f aca="false">'wholesale services'!K109</f>
        <v>3489398.58925188</v>
      </c>
      <c r="K10" s="103" t="n">
        <f aca="false">'wholesale services'!L109</f>
        <v>3525640.59962011</v>
      </c>
      <c r="L10" s="714" t="n">
        <f aca="false">'wholesale services'!M109</f>
        <v>3562299.39310756</v>
      </c>
      <c r="M10" s="626" t="n">
        <f aca="false">SUM(C10:L10)</f>
        <v>34021740.2437411</v>
      </c>
      <c r="N10" s="599" t="n">
        <f aca="false">NPV($D$30,C10:L10)</f>
        <v>24917054.1179322</v>
      </c>
    </row>
    <row r="11" customFormat="false" ht="12.75" hidden="false" customHeight="false" outlineLevel="0" collapsed="false">
      <c r="A11" s="100" t="s">
        <v>1285</v>
      </c>
      <c r="B11" s="101"/>
      <c r="C11" s="103" t="n">
        <f aca="false">-'FM Summary'!B97</f>
        <v>4000000</v>
      </c>
      <c r="D11" s="103"/>
      <c r="E11" s="103"/>
      <c r="F11" s="103"/>
      <c r="G11" s="103"/>
      <c r="H11" s="103"/>
      <c r="I11" s="103"/>
      <c r="J11" s="103"/>
      <c r="K11" s="103"/>
      <c r="L11" s="714"/>
      <c r="M11" s="626" t="n">
        <f aca="false">SUM(C11:L11)</f>
        <v>4000000</v>
      </c>
      <c r="N11" s="599" t="n">
        <f aca="false">NPV($D$30,C11:L11)</f>
        <v>3773584.90566038</v>
      </c>
    </row>
    <row r="12" customFormat="false" ht="12.75" hidden="false" customHeight="false" outlineLevel="0" collapsed="false">
      <c r="A12" s="733" t="s">
        <v>1286</v>
      </c>
      <c r="B12" s="101"/>
      <c r="C12" s="103" t="n">
        <f aca="false">SUM(C9:C11)</f>
        <v>7246342.80509748</v>
      </c>
      <c r="D12" s="103" t="n">
        <f aca="false">SUM(D9:D11)</f>
        <v>3280437.35284929</v>
      </c>
      <c r="E12" s="103" t="n">
        <f aca="false">SUM(E9:E11)</f>
        <v>3314276.30899888</v>
      </c>
      <c r="F12" s="103" t="n">
        <f aca="false">SUM(F9:F11)</f>
        <v>3348504.4131442</v>
      </c>
      <c r="G12" s="103" t="n">
        <f aca="false">SUM(G9:G11)</f>
        <v>3383126.14048718</v>
      </c>
      <c r="H12" s="103" t="n">
        <f aca="false">SUM(H9:H11)</f>
        <v>3418146.01769461</v>
      </c>
      <c r="I12" s="103" t="n">
        <f aca="false">SUM(I9:I11)</f>
        <v>3453568.62348992</v>
      </c>
      <c r="J12" s="103" t="n">
        <f aca="false">SUM(J9:J11)</f>
        <v>3489398.58925188</v>
      </c>
      <c r="K12" s="103" t="n">
        <f aca="false">SUM(K9:K11)</f>
        <v>3525640.59962011</v>
      </c>
      <c r="L12" s="714" t="n">
        <f aca="false">SUM(L9:L11)</f>
        <v>3562299.39310756</v>
      </c>
      <c r="M12" s="103" t="n">
        <f aca="false">SUM(M9:M11)</f>
        <v>38021740.2437411</v>
      </c>
      <c r="N12" s="599" t="n">
        <f aca="false">NPV($D$30,C12:L12)</f>
        <v>28690639.0235925</v>
      </c>
    </row>
    <row r="13" customFormat="false" ht="12.75" hidden="false" customHeight="false" outlineLevel="0" collapsed="false">
      <c r="A13" s="733"/>
      <c r="B13" s="101"/>
      <c r="C13" s="103"/>
      <c r="D13" s="103"/>
      <c r="E13" s="103"/>
      <c r="F13" s="103"/>
      <c r="G13" s="103"/>
      <c r="H13" s="103"/>
      <c r="I13" s="103"/>
      <c r="J13" s="103"/>
      <c r="K13" s="103"/>
      <c r="L13" s="714"/>
      <c r="M13" s="103"/>
      <c r="N13" s="599"/>
    </row>
    <row r="14" customFormat="false" ht="12.75" hidden="false" customHeight="false" outlineLevel="0" collapsed="false">
      <c r="A14" s="100" t="s">
        <v>1287</v>
      </c>
      <c r="B14" s="101"/>
      <c r="C14" s="103" t="n">
        <f aca="false">'power redistribution'!D66</f>
        <v>12251522.5410309</v>
      </c>
      <c r="D14" s="103" t="n">
        <f aca="false">'power redistribution'!E66</f>
        <v>13617292.006098</v>
      </c>
      <c r="E14" s="103" t="n">
        <f aca="false">'power redistribution'!F66</f>
        <v>15240147.4881188</v>
      </c>
      <c r="F14" s="103" t="n">
        <f aca="false">'power redistribution'!G66</f>
        <v>15818591.0262648</v>
      </c>
      <c r="G14" s="103" t="n">
        <f aca="false">'power redistribution'!H66</f>
        <v>15818591.0262648</v>
      </c>
      <c r="H14" s="103" t="n">
        <f aca="false">'power redistribution'!I66</f>
        <v>15818591.0262648</v>
      </c>
      <c r="I14" s="103" t="n">
        <f aca="false">'power redistribution'!J66</f>
        <v>15818591.0262648</v>
      </c>
      <c r="J14" s="103" t="n">
        <f aca="false">'power redistribution'!K66</f>
        <v>15818591.0262648</v>
      </c>
      <c r="K14" s="103" t="n">
        <f aca="false">'power redistribution'!L66</f>
        <v>15818591.0262648</v>
      </c>
      <c r="L14" s="714" t="n">
        <f aca="false">'power redistribution'!M66</f>
        <v>15818591.0262648</v>
      </c>
      <c r="M14" s="626" t="n">
        <f aca="false">SUM(C14:L14)</f>
        <v>151839099.219102</v>
      </c>
      <c r="N14" s="599" t="n">
        <f aca="false">NPV($D$30,C14:L14)</f>
        <v>110616227.395575</v>
      </c>
    </row>
    <row r="15" customFormat="false" ht="12.75" hidden="false" customHeight="false" outlineLevel="0" collapsed="false">
      <c r="A15" s="100" t="s">
        <v>1288</v>
      </c>
      <c r="B15" s="101"/>
      <c r="C15" s="103" t="n">
        <f aca="false">'FM Summary'!B81</f>
        <v>1000000</v>
      </c>
      <c r="D15" s="103" t="n">
        <f aca="false">'FM Summary'!C81</f>
        <v>1750000</v>
      </c>
      <c r="E15" s="103" t="n">
        <f aca="false">'FM Summary'!D81</f>
        <v>2500000</v>
      </c>
      <c r="F15" s="103" t="n">
        <f aca="false">'FM Summary'!E81</f>
        <v>3250000</v>
      </c>
      <c r="G15" s="103" t="n">
        <f aca="false">'FM Summary'!F81</f>
        <v>4000000</v>
      </c>
      <c r="H15" s="103" t="n">
        <f aca="false">'FM Summary'!G81</f>
        <v>4750000</v>
      </c>
      <c r="I15" s="103" t="n">
        <f aca="false">'FM Summary'!H81</f>
        <v>5500000</v>
      </c>
      <c r="J15" s="103" t="n">
        <f aca="false">'FM Summary'!I81</f>
        <v>6250000</v>
      </c>
      <c r="K15" s="103" t="n">
        <f aca="false">'FM Summary'!J81</f>
        <v>7000000</v>
      </c>
      <c r="L15" s="714" t="n">
        <f aca="false">'FM Summary'!K81</f>
        <v>7750000</v>
      </c>
      <c r="M15" s="626" t="n">
        <f aca="false">SUM(C15:L15)</f>
        <v>43750000</v>
      </c>
      <c r="N15" s="599" t="n">
        <f aca="false">NPV($D$30,C15:L15)</f>
        <v>29561828.0797086</v>
      </c>
    </row>
    <row r="16" customFormat="false" ht="12.75" hidden="false" customHeight="false" outlineLevel="0" collapsed="false">
      <c r="A16" s="100" t="s">
        <v>1289</v>
      </c>
      <c r="B16" s="101"/>
      <c r="C16" s="690"/>
      <c r="D16" s="690"/>
      <c r="E16" s="690"/>
      <c r="F16" s="690"/>
      <c r="G16" s="690"/>
      <c r="H16" s="690"/>
      <c r="I16" s="690"/>
      <c r="J16" s="690"/>
      <c r="K16" s="690"/>
      <c r="L16" s="734"/>
      <c r="M16" s="626" t="n">
        <f aca="false">SUM(C16:L16)</f>
        <v>0</v>
      </c>
      <c r="N16" s="599"/>
    </row>
    <row r="17" customFormat="false" ht="12.75" hidden="false" customHeight="false" outlineLevel="0" collapsed="false">
      <c r="A17" s="733" t="s">
        <v>1290</v>
      </c>
      <c r="B17" s="101"/>
      <c r="C17" s="103" t="n">
        <f aca="false">SUM(C14:C16)</f>
        <v>13251522.5410309</v>
      </c>
      <c r="D17" s="103" t="n">
        <f aca="false">SUM(D14:D16)</f>
        <v>15367292.006098</v>
      </c>
      <c r="E17" s="103" t="n">
        <f aca="false">SUM(E14:E16)</f>
        <v>17740147.4881188</v>
      </c>
      <c r="F17" s="103" t="n">
        <f aca="false">SUM(F14:F16)</f>
        <v>19068591.0262648</v>
      </c>
      <c r="G17" s="103" t="n">
        <f aca="false">SUM(G14:G16)</f>
        <v>19818591.0262648</v>
      </c>
      <c r="H17" s="103" t="n">
        <f aca="false">SUM(H14:H16)</f>
        <v>20568591.0262648</v>
      </c>
      <c r="I17" s="103" t="n">
        <f aca="false">SUM(I14:I16)</f>
        <v>21318591.0262648</v>
      </c>
      <c r="J17" s="103" t="n">
        <f aca="false">SUM(J14:J16)</f>
        <v>22068591.0262648</v>
      </c>
      <c r="K17" s="103" t="n">
        <f aca="false">SUM(K14:K16)</f>
        <v>22818591.0262648</v>
      </c>
      <c r="L17" s="714" t="n">
        <f aca="false">SUM(L14:L16)</f>
        <v>23568591.0262648</v>
      </c>
      <c r="M17" s="103" t="n">
        <f aca="false">SUM(M14)</f>
        <v>151839099.219102</v>
      </c>
      <c r="N17" s="599" t="n">
        <f aca="false">NPV($D$30,C17:L17)</f>
        <v>140178055.475283</v>
      </c>
    </row>
    <row r="18" customFormat="false" ht="12.75" hidden="false" customHeight="false" outlineLevel="0" collapsed="false">
      <c r="A18" s="735"/>
      <c r="B18" s="103"/>
      <c r="C18" s="103"/>
      <c r="D18" s="103"/>
      <c r="E18" s="103"/>
      <c r="F18" s="103"/>
      <c r="G18" s="103"/>
      <c r="H18" s="103"/>
      <c r="I18" s="103"/>
      <c r="J18" s="103"/>
      <c r="K18" s="103"/>
      <c r="L18" s="714"/>
      <c r="M18" s="103"/>
      <c r="N18" s="599"/>
    </row>
    <row r="19" customFormat="false" ht="12.75" hidden="false" customHeight="false" outlineLevel="0" collapsed="false">
      <c r="A19" s="735" t="s">
        <v>1291</v>
      </c>
      <c r="B19" s="103"/>
      <c r="C19" s="103" t="n">
        <f aca="false">'wholesale services'!F63-'wholesale services'!D103</f>
        <v>2360976.58552545</v>
      </c>
      <c r="D19" s="103" t="n">
        <f aca="false">C19*(1+'wholesale services'!$D$104)</f>
        <v>2388127.81625899</v>
      </c>
      <c r="E19" s="103" t="n">
        <f aca="false">D19*(1+'wholesale services'!$D$104)</f>
        <v>2415591.28614597</v>
      </c>
      <c r="F19" s="103" t="n">
        <f aca="false">E19*(1+'wholesale services'!$D$104)</f>
        <v>2443370.58593665</v>
      </c>
      <c r="G19" s="103" t="n">
        <f aca="false">F19*(1+'wholesale services'!$D$104)</f>
        <v>2471469.34767492</v>
      </c>
      <c r="H19" s="103" t="n">
        <f aca="false">G19*(1+'wholesale services'!$D$104)</f>
        <v>2499891.24517318</v>
      </c>
      <c r="I19" s="103" t="n">
        <f aca="false">H19*(1+'wholesale services'!$D$104)</f>
        <v>2528639.99449267</v>
      </c>
      <c r="J19" s="103" t="n">
        <f aca="false">I19*(1+'wholesale services'!$D$104)</f>
        <v>2557719.35442934</v>
      </c>
      <c r="K19" s="103" t="n">
        <f aca="false">J19*(1+'wholesale services'!$D$104)</f>
        <v>2587133.12700527</v>
      </c>
      <c r="L19" s="714" t="n">
        <f aca="false">K19*(1+'wholesale services'!$D$104)</f>
        <v>2616885.15796584</v>
      </c>
      <c r="M19" s="626" t="n">
        <f aca="false">SUM(C19:L19)</f>
        <v>24869804.5006083</v>
      </c>
      <c r="N19" s="599" t="n">
        <f aca="false">NPV($D$30,C19:L19)</f>
        <v>18204477.2986534</v>
      </c>
    </row>
    <row r="20" customFormat="false" ht="12.75" hidden="false" customHeight="false" outlineLevel="0" collapsed="false">
      <c r="A20" s="736" t="s">
        <v>1292</v>
      </c>
      <c r="B20" s="737"/>
      <c r="C20" s="738" t="n">
        <v>0</v>
      </c>
      <c r="D20" s="738" t="n">
        <v>0</v>
      </c>
      <c r="E20" s="738" t="n">
        <v>0</v>
      </c>
      <c r="F20" s="738" t="n">
        <v>0</v>
      </c>
      <c r="G20" s="738" t="n">
        <v>0</v>
      </c>
      <c r="H20" s="738" t="n">
        <v>0</v>
      </c>
      <c r="I20" s="738" t="n">
        <v>0</v>
      </c>
      <c r="J20" s="738" t="n">
        <v>0</v>
      </c>
      <c r="K20" s="738" t="n">
        <v>0</v>
      </c>
      <c r="L20" s="738" t="n">
        <v>0</v>
      </c>
      <c r="M20" s="103"/>
      <c r="N20" s="599" t="n">
        <f aca="false">NPV($D$30,C20:L20)</f>
        <v>0</v>
      </c>
    </row>
    <row r="21" customFormat="false" ht="15" hidden="false" customHeight="true" outlineLevel="0" collapsed="false">
      <c r="A21" s="736"/>
      <c r="B21" s="737"/>
      <c r="C21" s="738"/>
      <c r="D21" s="738"/>
      <c r="E21" s="738"/>
      <c r="F21" s="738"/>
      <c r="G21" s="738"/>
      <c r="H21" s="738"/>
      <c r="I21" s="738"/>
      <c r="J21" s="738"/>
      <c r="K21" s="738"/>
      <c r="L21" s="739"/>
      <c r="M21" s="103"/>
      <c r="N21" s="599"/>
    </row>
    <row r="22" customFormat="false" ht="13.5" hidden="false" customHeight="false" outlineLevel="0" collapsed="false">
      <c r="A22" s="740" t="s">
        <v>1293</v>
      </c>
      <c r="B22" s="741"/>
      <c r="C22" s="742" t="n">
        <f aca="false">C12+C17+C19</f>
        <v>22858841.9316539</v>
      </c>
      <c r="D22" s="742" t="n">
        <f aca="false">D12+D17+D19</f>
        <v>21035857.1752063</v>
      </c>
      <c r="E22" s="742" t="n">
        <f aca="false">E12+E17+E19</f>
        <v>23470015.0832637</v>
      </c>
      <c r="F22" s="742" t="n">
        <f aca="false">F12+F17+F19</f>
        <v>24860466.0253457</v>
      </c>
      <c r="G22" s="742" t="n">
        <f aca="false">G12+G17+G19</f>
        <v>25673186.5144269</v>
      </c>
      <c r="H22" s="742" t="n">
        <f aca="false">H12+H17+H19</f>
        <v>26486628.2891326</v>
      </c>
      <c r="I22" s="742" t="n">
        <f aca="false">I12+I17+I19</f>
        <v>27300799.6442474</v>
      </c>
      <c r="J22" s="742" t="n">
        <f aca="false">J12+J17+J19</f>
        <v>28115708.9699461</v>
      </c>
      <c r="K22" s="742" t="n">
        <f aca="false">K12+K17+K19</f>
        <v>28931364.7528902</v>
      </c>
      <c r="L22" s="743" t="n">
        <f aca="false">L12+L17+L19</f>
        <v>29747775.5773382</v>
      </c>
      <c r="M22" s="742" t="n">
        <f aca="false">M12+M17+M19</f>
        <v>214730643.963451</v>
      </c>
      <c r="N22" s="599" t="n">
        <f aca="false">NPV($D$30,C22:L22)</f>
        <v>187073171.797529</v>
      </c>
      <c r="O22" s="373"/>
      <c r="P22" s="373"/>
      <c r="Q22" s="373"/>
      <c r="R22" s="373"/>
      <c r="S22" s="373"/>
      <c r="T22" s="373"/>
      <c r="U22" s="373"/>
      <c r="V22" s="373"/>
      <c r="W22" s="373"/>
      <c r="X22" s="373"/>
      <c r="Y22" s="373"/>
      <c r="Z22" s="373"/>
      <c r="AA22" s="373"/>
      <c r="AB22" s="373"/>
      <c r="AC22" s="373"/>
      <c r="AD22" s="373"/>
      <c r="AE22" s="373"/>
      <c r="AF22" s="373"/>
      <c r="AG22" s="373"/>
      <c r="AH22" s="373"/>
      <c r="AI22" s="373"/>
      <c r="AJ22" s="373"/>
      <c r="AK22" s="373"/>
      <c r="AL22" s="373"/>
      <c r="AM22" s="373"/>
      <c r="AN22" s="373"/>
      <c r="AO22" s="373"/>
      <c r="AP22" s="373"/>
      <c r="AQ22" s="373"/>
      <c r="AR22" s="373"/>
      <c r="AS22" s="373"/>
      <c r="AT22" s="373"/>
      <c r="AU22" s="373"/>
      <c r="AV22" s="373"/>
      <c r="AW22" s="373"/>
      <c r="AX22" s="373"/>
      <c r="AY22" s="373"/>
      <c r="AZ22" s="373"/>
      <c r="BA22" s="373"/>
      <c r="BB22" s="373"/>
      <c r="BC22" s="373"/>
      <c r="BD22" s="373"/>
      <c r="BE22" s="373"/>
      <c r="BF22" s="373"/>
      <c r="BG22" s="373"/>
      <c r="BH22" s="373"/>
      <c r="BI22" s="373"/>
      <c r="BJ22" s="373"/>
      <c r="BK22" s="373"/>
      <c r="BL22" s="373"/>
      <c r="BM22" s="373"/>
      <c r="BN22" s="373"/>
      <c r="BO22" s="373"/>
      <c r="BP22" s="373"/>
      <c r="BQ22" s="373"/>
      <c r="BR22" s="373"/>
      <c r="BS22" s="373"/>
      <c r="BT22" s="373"/>
      <c r="BU22" s="373"/>
      <c r="BV22" s="373"/>
      <c r="BW22" s="373"/>
      <c r="BX22" s="373"/>
      <c r="BY22" s="373"/>
      <c r="BZ22" s="373"/>
      <c r="CA22" s="373"/>
      <c r="CB22" s="373"/>
      <c r="CC22" s="373"/>
      <c r="CD22" s="373"/>
      <c r="CE22" s="373"/>
      <c r="CF22" s="373"/>
      <c r="CG22" s="373"/>
      <c r="CH22" s="373"/>
      <c r="CI22" s="373"/>
      <c r="CJ22" s="373"/>
      <c r="CK22" s="373"/>
      <c r="CL22" s="373"/>
      <c r="CM22" s="373"/>
      <c r="CN22" s="373"/>
      <c r="CO22" s="373"/>
      <c r="CP22" s="373"/>
      <c r="CQ22" s="373"/>
      <c r="CR22" s="373"/>
      <c r="CS22" s="373"/>
      <c r="CT22" s="373"/>
      <c r="CU22" s="373"/>
      <c r="CV22" s="373"/>
      <c r="CW22" s="373"/>
      <c r="CX22" s="373"/>
      <c r="CY22" s="373"/>
      <c r="CZ22" s="373"/>
      <c r="DA22" s="373"/>
      <c r="DB22" s="373"/>
      <c r="DC22" s="373"/>
      <c r="DD22" s="373"/>
      <c r="DE22" s="373"/>
      <c r="DF22" s="373"/>
      <c r="DG22" s="373"/>
      <c r="DH22" s="373"/>
      <c r="DI22" s="373"/>
      <c r="DJ22" s="373"/>
      <c r="DK22" s="373"/>
      <c r="DL22" s="373"/>
      <c r="DM22" s="373"/>
      <c r="DN22" s="373"/>
      <c r="DO22" s="373"/>
      <c r="DP22" s="373"/>
      <c r="DQ22" s="373"/>
      <c r="DR22" s="373"/>
      <c r="DS22" s="373"/>
      <c r="DT22" s="373"/>
      <c r="DU22" s="373"/>
      <c r="DV22" s="373"/>
      <c r="DW22" s="373"/>
      <c r="DX22" s="373"/>
      <c r="DY22" s="373"/>
      <c r="DZ22" s="373"/>
      <c r="EA22" s="373"/>
      <c r="EB22" s="373"/>
      <c r="EC22" s="373"/>
      <c r="ED22" s="373"/>
      <c r="EE22" s="373"/>
      <c r="EF22" s="373"/>
      <c r="EG22" s="373"/>
      <c r="EH22" s="373"/>
      <c r="EI22" s="373"/>
      <c r="EJ22" s="373"/>
      <c r="EK22" s="373"/>
      <c r="EL22" s="373"/>
      <c r="EM22" s="373"/>
      <c r="EN22" s="373"/>
      <c r="EO22" s="373"/>
      <c r="EP22" s="373"/>
      <c r="EQ22" s="373"/>
      <c r="ER22" s="373"/>
      <c r="ES22" s="373"/>
      <c r="ET22" s="373"/>
      <c r="EU22" s="373"/>
      <c r="EV22" s="373"/>
      <c r="EW22" s="373"/>
      <c r="EX22" s="373"/>
      <c r="EY22" s="373"/>
      <c r="EZ22" s="373"/>
      <c r="FA22" s="373"/>
      <c r="FB22" s="373"/>
      <c r="FC22" s="373"/>
      <c r="FD22" s="373"/>
      <c r="FE22" s="373"/>
      <c r="FF22" s="373"/>
      <c r="FG22" s="373"/>
      <c r="FH22" s="373"/>
      <c r="FI22" s="373"/>
      <c r="FJ22" s="373"/>
      <c r="FK22" s="373"/>
      <c r="FL22" s="373"/>
      <c r="FM22" s="373"/>
      <c r="FN22" s="373"/>
      <c r="FO22" s="373"/>
      <c r="FP22" s="373"/>
      <c r="FQ22" s="373"/>
      <c r="FR22" s="373"/>
      <c r="FS22" s="373"/>
      <c r="FT22" s="373"/>
      <c r="FU22" s="373"/>
      <c r="FV22" s="373"/>
      <c r="FW22" s="373"/>
      <c r="FX22" s="373"/>
      <c r="FY22" s="373"/>
      <c r="FZ22" s="373"/>
      <c r="GA22" s="373"/>
      <c r="GB22" s="373"/>
      <c r="GC22" s="373"/>
      <c r="GD22" s="373"/>
      <c r="GE22" s="373"/>
      <c r="GF22" s="373"/>
      <c r="GG22" s="373"/>
      <c r="GH22" s="373"/>
      <c r="GI22" s="373"/>
      <c r="GJ22" s="373"/>
      <c r="GK22" s="373"/>
      <c r="GL22" s="373"/>
      <c r="GM22" s="373"/>
      <c r="GN22" s="373"/>
      <c r="GO22" s="373"/>
      <c r="GP22" s="373"/>
      <c r="GQ22" s="373"/>
      <c r="GR22" s="373"/>
      <c r="GS22" s="373"/>
      <c r="GT22" s="373"/>
      <c r="GU22" s="373"/>
      <c r="GV22" s="373"/>
      <c r="GW22" s="373"/>
      <c r="GX22" s="373"/>
      <c r="GY22" s="373"/>
      <c r="GZ22" s="373"/>
      <c r="HA22" s="373"/>
      <c r="HB22" s="373"/>
      <c r="HC22" s="373"/>
      <c r="HD22" s="373"/>
      <c r="HE22" s="373"/>
      <c r="HF22" s="373"/>
      <c r="HG22" s="373"/>
      <c r="HH22" s="373"/>
      <c r="HI22" s="373"/>
      <c r="HJ22" s="373"/>
      <c r="HK22" s="373"/>
      <c r="HL22" s="373"/>
      <c r="HM22" s="373"/>
      <c r="HN22" s="373"/>
      <c r="HO22" s="373"/>
      <c r="HP22" s="373"/>
      <c r="HQ22" s="373"/>
      <c r="HR22" s="373"/>
      <c r="HS22" s="373"/>
      <c r="HT22" s="373"/>
      <c r="HU22" s="373"/>
      <c r="HV22" s="373"/>
      <c r="HW22" s="373"/>
      <c r="HX22" s="373"/>
      <c r="HY22" s="373"/>
      <c r="HZ22" s="373"/>
      <c r="IA22" s="373"/>
      <c r="IB22" s="373"/>
      <c r="IC22" s="373"/>
      <c r="ID22" s="373"/>
      <c r="IE22" s="373"/>
      <c r="IF22" s="373"/>
      <c r="IG22" s="373"/>
      <c r="IH22" s="373"/>
      <c r="II22" s="373"/>
      <c r="IJ22" s="373"/>
      <c r="IK22" s="373"/>
      <c r="IL22" s="373"/>
      <c r="IM22" s="373"/>
      <c r="IN22" s="373"/>
      <c r="IO22" s="373"/>
      <c r="IP22" s="373"/>
      <c r="IQ22" s="373"/>
      <c r="IR22" s="373"/>
      <c r="IS22" s="373"/>
      <c r="IT22" s="373"/>
      <c r="IU22" s="373"/>
      <c r="IV22" s="373"/>
      <c r="IW22" s="373"/>
    </row>
    <row r="23" customFormat="false" ht="12.75" hidden="false" customHeight="false" outlineLevel="0" collapsed="false">
      <c r="A23" s="744"/>
      <c r="B23" s="745"/>
      <c r="C23" s="608"/>
      <c r="D23" s="608"/>
      <c r="E23" s="608"/>
      <c r="F23" s="608"/>
      <c r="G23" s="608"/>
      <c r="H23" s="608"/>
      <c r="I23" s="608"/>
      <c r="J23" s="608"/>
      <c r="K23" s="608"/>
      <c r="L23" s="746"/>
      <c r="M23" s="608"/>
      <c r="N23" s="513"/>
      <c r="O23" s="468"/>
      <c r="P23" s="468"/>
      <c r="Q23" s="468"/>
      <c r="R23" s="468"/>
      <c r="S23" s="468"/>
      <c r="T23" s="468"/>
      <c r="U23" s="468"/>
      <c r="V23" s="468"/>
      <c r="W23" s="468"/>
      <c r="X23" s="468"/>
      <c r="Y23" s="468"/>
      <c r="Z23" s="468"/>
      <c r="AA23" s="468"/>
      <c r="AB23" s="468"/>
      <c r="AC23" s="468"/>
      <c r="AD23" s="468"/>
      <c r="AE23" s="468"/>
      <c r="AF23" s="468"/>
      <c r="AG23" s="468"/>
      <c r="AH23" s="468"/>
      <c r="AI23" s="468"/>
      <c r="AJ23" s="468"/>
      <c r="AK23" s="468"/>
      <c r="AL23" s="468"/>
      <c r="AM23" s="468"/>
      <c r="AN23" s="468"/>
      <c r="AO23" s="468"/>
      <c r="AP23" s="468"/>
      <c r="AQ23" s="468"/>
      <c r="AR23" s="468"/>
      <c r="AS23" s="468"/>
      <c r="AT23" s="468"/>
      <c r="AU23" s="468"/>
      <c r="AV23" s="468"/>
      <c r="AW23" s="468"/>
      <c r="AX23" s="468"/>
      <c r="AY23" s="468"/>
      <c r="AZ23" s="468"/>
      <c r="BA23" s="468"/>
      <c r="BB23" s="468"/>
      <c r="BC23" s="468"/>
      <c r="BD23" s="468"/>
      <c r="BE23" s="468"/>
      <c r="BF23" s="468"/>
      <c r="BG23" s="468"/>
      <c r="BH23" s="468"/>
      <c r="BI23" s="468"/>
      <c r="BJ23" s="468"/>
      <c r="BK23" s="468"/>
      <c r="BL23" s="468"/>
      <c r="BM23" s="468"/>
      <c r="BN23" s="468"/>
      <c r="BO23" s="468"/>
      <c r="BP23" s="468"/>
      <c r="BQ23" s="468"/>
      <c r="BR23" s="468"/>
      <c r="BS23" s="468"/>
      <c r="BT23" s="468"/>
      <c r="BU23" s="468"/>
      <c r="BV23" s="468"/>
      <c r="BW23" s="468"/>
      <c r="BX23" s="468"/>
      <c r="BY23" s="468"/>
      <c r="BZ23" s="468"/>
      <c r="CA23" s="468"/>
      <c r="CB23" s="468"/>
      <c r="CC23" s="468"/>
      <c r="CD23" s="468"/>
      <c r="CE23" s="468"/>
      <c r="CF23" s="468"/>
      <c r="CG23" s="468"/>
      <c r="CH23" s="468"/>
      <c r="CI23" s="468"/>
      <c r="CJ23" s="468"/>
      <c r="CK23" s="468"/>
      <c r="CL23" s="468"/>
      <c r="CM23" s="468"/>
      <c r="CN23" s="468"/>
      <c r="CO23" s="468"/>
      <c r="CP23" s="468"/>
      <c r="CQ23" s="468"/>
      <c r="CR23" s="468"/>
      <c r="CS23" s="468"/>
      <c r="CT23" s="468"/>
      <c r="CU23" s="468"/>
      <c r="CV23" s="468"/>
      <c r="CW23" s="468"/>
      <c r="CX23" s="468"/>
      <c r="CY23" s="468"/>
      <c r="CZ23" s="468"/>
      <c r="DA23" s="468"/>
      <c r="DB23" s="468"/>
      <c r="DC23" s="468"/>
      <c r="DD23" s="468"/>
      <c r="DE23" s="468"/>
      <c r="DF23" s="468"/>
      <c r="DG23" s="468"/>
      <c r="DH23" s="468"/>
      <c r="DI23" s="468"/>
      <c r="DJ23" s="468"/>
      <c r="DK23" s="468"/>
      <c r="DL23" s="468"/>
      <c r="DM23" s="468"/>
      <c r="DN23" s="468"/>
      <c r="DO23" s="468"/>
      <c r="DP23" s="468"/>
      <c r="DQ23" s="468"/>
      <c r="DR23" s="468"/>
      <c r="DS23" s="468"/>
      <c r="DT23" s="468"/>
      <c r="DU23" s="468"/>
      <c r="DV23" s="468"/>
      <c r="DW23" s="468"/>
      <c r="DX23" s="468"/>
      <c r="DY23" s="468"/>
      <c r="DZ23" s="468"/>
      <c r="EA23" s="468"/>
      <c r="EB23" s="468"/>
      <c r="EC23" s="468"/>
      <c r="ED23" s="468"/>
      <c r="EE23" s="468"/>
      <c r="EF23" s="468"/>
      <c r="EG23" s="468"/>
      <c r="EH23" s="468"/>
      <c r="EI23" s="468"/>
      <c r="EJ23" s="468"/>
      <c r="EK23" s="468"/>
      <c r="EL23" s="468"/>
      <c r="EM23" s="468"/>
      <c r="EN23" s="468"/>
      <c r="EO23" s="468"/>
      <c r="EP23" s="468"/>
      <c r="EQ23" s="468"/>
      <c r="ER23" s="468"/>
      <c r="ES23" s="468"/>
      <c r="ET23" s="468"/>
      <c r="EU23" s="468"/>
      <c r="EV23" s="468"/>
      <c r="EW23" s="468"/>
      <c r="EX23" s="468"/>
      <c r="EY23" s="468"/>
      <c r="EZ23" s="468"/>
      <c r="FA23" s="468"/>
      <c r="FB23" s="468"/>
      <c r="FC23" s="468"/>
      <c r="FD23" s="468"/>
      <c r="FE23" s="468"/>
      <c r="FF23" s="468"/>
      <c r="FG23" s="468"/>
      <c r="FH23" s="468"/>
      <c r="FI23" s="468"/>
      <c r="FJ23" s="468"/>
      <c r="FK23" s="468"/>
      <c r="FL23" s="468"/>
      <c r="FM23" s="468"/>
      <c r="FN23" s="468"/>
      <c r="FO23" s="468"/>
      <c r="FP23" s="468"/>
      <c r="FQ23" s="468"/>
      <c r="FR23" s="468"/>
      <c r="FS23" s="468"/>
      <c r="FT23" s="468"/>
      <c r="FU23" s="468"/>
      <c r="FV23" s="468"/>
      <c r="FW23" s="468"/>
      <c r="FX23" s="468"/>
      <c r="FY23" s="468"/>
      <c r="FZ23" s="468"/>
      <c r="GA23" s="468"/>
      <c r="GB23" s="468"/>
      <c r="GC23" s="468"/>
      <c r="GD23" s="468"/>
      <c r="GE23" s="468"/>
      <c r="GF23" s="468"/>
      <c r="GG23" s="468"/>
      <c r="GH23" s="468"/>
      <c r="GI23" s="468"/>
      <c r="GJ23" s="468"/>
      <c r="GK23" s="468"/>
      <c r="GL23" s="468"/>
      <c r="GM23" s="468"/>
      <c r="GN23" s="468"/>
      <c r="GO23" s="468"/>
      <c r="GP23" s="468"/>
      <c r="GQ23" s="468"/>
      <c r="GR23" s="468"/>
      <c r="GS23" s="468"/>
      <c r="GT23" s="468"/>
      <c r="GU23" s="468"/>
      <c r="GV23" s="468"/>
      <c r="GW23" s="468"/>
      <c r="GX23" s="468"/>
      <c r="GY23" s="468"/>
      <c r="GZ23" s="468"/>
      <c r="HA23" s="468"/>
      <c r="HB23" s="468"/>
      <c r="HC23" s="468"/>
      <c r="HD23" s="468"/>
      <c r="HE23" s="468"/>
      <c r="HF23" s="468"/>
      <c r="HG23" s="468"/>
      <c r="HH23" s="468"/>
      <c r="HI23" s="468"/>
      <c r="HJ23" s="468"/>
      <c r="HK23" s="468"/>
      <c r="HL23" s="468"/>
      <c r="HM23" s="468"/>
      <c r="HN23" s="468"/>
      <c r="HO23" s="468"/>
      <c r="HP23" s="468"/>
      <c r="HQ23" s="468"/>
      <c r="HR23" s="468"/>
      <c r="HS23" s="468"/>
      <c r="HT23" s="468"/>
      <c r="HU23" s="468"/>
      <c r="HV23" s="468"/>
      <c r="HW23" s="468"/>
      <c r="HX23" s="468"/>
      <c r="HY23" s="468"/>
      <c r="HZ23" s="468"/>
      <c r="IA23" s="468"/>
      <c r="IB23" s="468"/>
      <c r="IC23" s="468"/>
      <c r="ID23" s="468"/>
      <c r="IE23" s="468"/>
      <c r="IF23" s="468"/>
      <c r="IG23" s="468"/>
      <c r="IH23" s="468"/>
      <c r="II23" s="468"/>
      <c r="IJ23" s="468"/>
      <c r="IK23" s="468"/>
      <c r="IL23" s="468"/>
      <c r="IM23" s="468"/>
      <c r="IN23" s="468"/>
      <c r="IO23" s="468"/>
      <c r="IP23" s="468"/>
      <c r="IQ23" s="468"/>
      <c r="IR23" s="468"/>
      <c r="IS23" s="468"/>
      <c r="IT23" s="468"/>
      <c r="IU23" s="468"/>
      <c r="IV23" s="468"/>
      <c r="IW23" s="468"/>
    </row>
    <row r="24" customFormat="false" ht="12.75" hidden="false" customHeight="false" outlineLevel="0" collapsed="false">
      <c r="A24" s="732" t="s">
        <v>1294</v>
      </c>
      <c r="B24" s="101"/>
      <c r="C24" s="747" t="n">
        <f aca="false">C9+C14</f>
        <v>12251522.5410309</v>
      </c>
      <c r="D24" s="747" t="n">
        <f aca="false">D9+D14</f>
        <v>13617292.006098</v>
      </c>
      <c r="E24" s="747" t="n">
        <f aca="false">E9+E14</f>
        <v>15240147.4881188</v>
      </c>
      <c r="F24" s="747" t="n">
        <f aca="false">F9+F14</f>
        <v>15818591.0262648</v>
      </c>
      <c r="G24" s="747" t="n">
        <f aca="false">G9+G14</f>
        <v>15818591.0262648</v>
      </c>
      <c r="H24" s="747" t="n">
        <f aca="false">H9+H14</f>
        <v>15818591.0262648</v>
      </c>
      <c r="I24" s="747" t="n">
        <f aca="false">I9+I14</f>
        <v>15818591.0262648</v>
      </c>
      <c r="J24" s="747" t="n">
        <f aca="false">J9+J14</f>
        <v>15818591.0262648</v>
      </c>
      <c r="K24" s="747" t="n">
        <f aca="false">K9+K14</f>
        <v>15818591.0262648</v>
      </c>
      <c r="L24" s="748" t="n">
        <f aca="false">L9+L14</f>
        <v>15818591.0262648</v>
      </c>
      <c r="M24" s="747" t="n">
        <f aca="false">M9+M14</f>
        <v>151839099.219102</v>
      </c>
      <c r="N24" s="599"/>
    </row>
    <row r="25" customFormat="false" ht="12.75" hidden="false" customHeight="false" outlineLevel="0" collapsed="false">
      <c r="A25" s="100" t="s">
        <v>1295</v>
      </c>
      <c r="B25" s="101"/>
      <c r="C25" s="103" t="n">
        <v>-10742000</v>
      </c>
      <c r="D25" s="103" t="n">
        <f aca="false">C25*(1+C26)</f>
        <v>-10955872.6036892</v>
      </c>
      <c r="E25" s="103" t="n">
        <f aca="false">D25*(1+D26)</f>
        <v>-11174003.3986471</v>
      </c>
      <c r="F25" s="103" t="n">
        <f aca="false">E25*(1+E26)</f>
        <v>-11396477.1652176</v>
      </c>
      <c r="G25" s="103" t="n">
        <f aca="false">F25*(1+F26)</f>
        <v>-11623380.3717163</v>
      </c>
      <c r="H25" s="103" t="n">
        <f aca="false">G25*(1+G26)</f>
        <v>-11854801.2080381</v>
      </c>
      <c r="I25" s="103" t="n">
        <f aca="false">H25*(1+H26)</f>
        <v>-12090829.6199336</v>
      </c>
      <c r="J25" s="103" t="n">
        <f aca="false">I25*(1+I26)</f>
        <v>-12331557.343968</v>
      </c>
      <c r="K25" s="103" t="n">
        <f aca="false">J25*(1+J26)</f>
        <v>-12577077.9431764</v>
      </c>
      <c r="L25" s="103" t="n">
        <f aca="false">K25*(1+K26)</f>
        <v>-12827486.8434286</v>
      </c>
      <c r="M25" s="626" t="n">
        <f aca="false">SUM(C25:L25)</f>
        <v>-117573486.497815</v>
      </c>
      <c r="N25" s="599" t="n">
        <f aca="false">NPV($D$30,C25:L25)</f>
        <v>-85721687.6406121</v>
      </c>
    </row>
    <row r="26" customFormat="false" ht="12.75" hidden="false" customHeight="false" outlineLevel="0" collapsed="false">
      <c r="A26" s="100" t="s">
        <v>1296</v>
      </c>
      <c r="B26" s="101"/>
      <c r="C26" s="402" t="n">
        <v>0.0199099426260643</v>
      </c>
      <c r="D26" s="402" t="n">
        <f aca="false">$C$26</f>
        <v>0.0199099426260643</v>
      </c>
      <c r="E26" s="402" t="n">
        <f aca="false">$C$26</f>
        <v>0.0199099426260643</v>
      </c>
      <c r="F26" s="402" t="n">
        <f aca="false">$C$26</f>
        <v>0.0199099426260643</v>
      </c>
      <c r="G26" s="402" t="n">
        <f aca="false">$C$26</f>
        <v>0.0199099426260643</v>
      </c>
      <c r="H26" s="402" t="n">
        <f aca="false">$C$26</f>
        <v>0.0199099426260643</v>
      </c>
      <c r="I26" s="402" t="n">
        <f aca="false">$C$26</f>
        <v>0.0199099426260643</v>
      </c>
      <c r="J26" s="402" t="n">
        <f aca="false">$C$26</f>
        <v>0.0199099426260643</v>
      </c>
      <c r="K26" s="402" t="n">
        <f aca="false">$C$26</f>
        <v>0.0199099426260643</v>
      </c>
      <c r="L26" s="402" t="n">
        <f aca="false">$C$26</f>
        <v>0.0199099426260643</v>
      </c>
      <c r="M26" s="103"/>
      <c r="N26" s="599" t="n">
        <f aca="false">NPV($D$30,C26:L26)</f>
        <v>0.146538910916505</v>
      </c>
    </row>
    <row r="27" customFormat="false" ht="13.5" hidden="false" customHeight="false" outlineLevel="0" collapsed="false">
      <c r="A27" s="100"/>
      <c r="B27" s="101"/>
      <c r="C27" s="101"/>
      <c r="D27" s="101"/>
      <c r="E27" s="101"/>
      <c r="F27" s="101"/>
      <c r="G27" s="101"/>
      <c r="H27" s="101"/>
      <c r="I27" s="101"/>
      <c r="J27" s="101"/>
      <c r="K27" s="101"/>
      <c r="L27" s="104"/>
      <c r="M27" s="103"/>
      <c r="N27" s="599"/>
    </row>
    <row r="28" customFormat="false" ht="13.5" hidden="false" customHeight="false" outlineLevel="0" collapsed="false">
      <c r="A28" s="749" t="s">
        <v>1297</v>
      </c>
      <c r="B28" s="750" t="s">
        <v>43</v>
      </c>
      <c r="C28" s="742" t="n">
        <f aca="false">C22+C25</f>
        <v>12116841.9316539</v>
      </c>
      <c r="D28" s="742" t="n">
        <f aca="false">D22+D25</f>
        <v>10079984.5715171</v>
      </c>
      <c r="E28" s="742" t="n">
        <f aca="false">E22+E25</f>
        <v>12296011.6846166</v>
      </c>
      <c r="F28" s="742" t="n">
        <f aca="false">F22+F25</f>
        <v>13463988.8601281</v>
      </c>
      <c r="G28" s="742" t="n">
        <f aca="false">G22+G25</f>
        <v>14049806.1427106</v>
      </c>
      <c r="H28" s="742" t="n">
        <f aca="false">H22+H25</f>
        <v>14631827.0810945</v>
      </c>
      <c r="I28" s="742" t="n">
        <f aca="false">I22+I25</f>
        <v>15209970.0243139</v>
      </c>
      <c r="J28" s="742" t="n">
        <f aca="false">J22+J25</f>
        <v>15784151.6259781</v>
      </c>
      <c r="K28" s="742" t="n">
        <f aca="false">K22+K25</f>
        <v>16354286.8097138</v>
      </c>
      <c r="L28" s="743" t="n">
        <f aca="false">L22+L25</f>
        <v>16920288.7339097</v>
      </c>
      <c r="M28" s="751" t="n">
        <f aca="false">SUM(C28:L28)</f>
        <v>140907157.465636</v>
      </c>
      <c r="N28" s="599" t="n">
        <f aca="false">NPV($D$30,C28:L28)</f>
        <v>101351484.156917</v>
      </c>
      <c r="O28" s="752"/>
      <c r="P28" s="752"/>
      <c r="Q28" s="752"/>
      <c r="R28" s="752"/>
      <c r="S28" s="752"/>
      <c r="T28" s="752"/>
      <c r="U28" s="752"/>
      <c r="V28" s="752"/>
      <c r="W28" s="752"/>
      <c r="X28" s="752"/>
      <c r="Y28" s="752"/>
      <c r="Z28" s="752"/>
      <c r="AA28" s="752"/>
      <c r="AB28" s="752"/>
      <c r="AC28" s="752"/>
      <c r="AD28" s="752"/>
      <c r="AE28" s="752"/>
      <c r="AF28" s="752"/>
      <c r="AG28" s="752"/>
      <c r="AH28" s="752"/>
      <c r="AI28" s="752"/>
      <c r="AJ28" s="752"/>
      <c r="AK28" s="752"/>
      <c r="AL28" s="752"/>
      <c r="AM28" s="752"/>
      <c r="AN28" s="752"/>
      <c r="AO28" s="752"/>
      <c r="AP28" s="752"/>
      <c r="AQ28" s="752"/>
      <c r="AR28" s="752"/>
      <c r="AS28" s="752"/>
      <c r="AT28" s="752"/>
      <c r="AU28" s="752"/>
      <c r="AV28" s="752"/>
      <c r="AW28" s="752"/>
      <c r="AX28" s="752"/>
      <c r="AY28" s="752"/>
      <c r="AZ28" s="752"/>
      <c r="BA28" s="753"/>
      <c r="BB28" s="753"/>
      <c r="BC28" s="753"/>
      <c r="BD28" s="753"/>
      <c r="BE28" s="753"/>
      <c r="BF28" s="753"/>
      <c r="BG28" s="753"/>
      <c r="BH28" s="753"/>
      <c r="BI28" s="753"/>
      <c r="BJ28" s="753"/>
      <c r="BK28" s="753"/>
      <c r="BL28" s="753"/>
      <c r="BM28" s="753"/>
      <c r="BN28" s="753"/>
      <c r="BO28" s="753"/>
      <c r="BP28" s="753"/>
      <c r="BQ28" s="753"/>
      <c r="BR28" s="753"/>
      <c r="BS28" s="753"/>
      <c r="BT28" s="753"/>
      <c r="BU28" s="753"/>
      <c r="BV28" s="753"/>
      <c r="BW28" s="753"/>
      <c r="BX28" s="753"/>
      <c r="BY28" s="753"/>
      <c r="BZ28" s="753"/>
      <c r="CA28" s="753"/>
      <c r="CB28" s="753"/>
      <c r="CC28" s="753"/>
      <c r="CD28" s="753"/>
      <c r="CE28" s="753"/>
      <c r="CF28" s="753"/>
      <c r="CG28" s="753"/>
      <c r="CH28" s="753"/>
      <c r="CI28" s="753"/>
      <c r="CJ28" s="753"/>
      <c r="CK28" s="753"/>
      <c r="CL28" s="753"/>
      <c r="CM28" s="753"/>
      <c r="CN28" s="753"/>
      <c r="CO28" s="753"/>
      <c r="CP28" s="753"/>
      <c r="CQ28" s="753"/>
      <c r="CR28" s="753"/>
      <c r="CS28" s="753"/>
      <c r="CT28" s="753"/>
      <c r="CU28" s="753"/>
      <c r="CV28" s="753"/>
      <c r="CW28" s="753"/>
      <c r="CX28" s="753"/>
      <c r="CY28" s="753"/>
      <c r="CZ28" s="753"/>
      <c r="DA28" s="753"/>
      <c r="DB28" s="753"/>
      <c r="DC28" s="753"/>
      <c r="DD28" s="753"/>
      <c r="DE28" s="753"/>
      <c r="DF28" s="753"/>
      <c r="DG28" s="753"/>
      <c r="DH28" s="753"/>
      <c r="DI28" s="753"/>
      <c r="DJ28" s="753"/>
      <c r="DK28" s="753"/>
      <c r="DL28" s="753"/>
      <c r="DM28" s="753"/>
      <c r="DN28" s="753"/>
      <c r="DO28" s="753"/>
      <c r="DP28" s="753"/>
      <c r="DQ28" s="753"/>
      <c r="DR28" s="753"/>
      <c r="DS28" s="753"/>
      <c r="DT28" s="753"/>
      <c r="DU28" s="753"/>
      <c r="DV28" s="753"/>
      <c r="DW28" s="753"/>
      <c r="DX28" s="753"/>
      <c r="DY28" s="753"/>
      <c r="DZ28" s="753"/>
      <c r="EA28" s="753"/>
      <c r="EB28" s="753"/>
      <c r="EC28" s="753"/>
      <c r="ED28" s="753"/>
      <c r="EE28" s="753"/>
      <c r="EF28" s="753"/>
      <c r="EG28" s="753"/>
      <c r="EH28" s="753"/>
      <c r="EI28" s="753"/>
      <c r="EJ28" s="753"/>
      <c r="EK28" s="753"/>
      <c r="EL28" s="753"/>
      <c r="EM28" s="753"/>
      <c r="EN28" s="753"/>
      <c r="EO28" s="753"/>
      <c r="EP28" s="753"/>
      <c r="EQ28" s="753"/>
      <c r="ER28" s="753"/>
      <c r="ES28" s="753"/>
      <c r="ET28" s="753"/>
      <c r="EU28" s="753"/>
      <c r="EV28" s="753"/>
      <c r="EW28" s="753"/>
      <c r="EX28" s="753"/>
      <c r="EY28" s="753"/>
      <c r="EZ28" s="753"/>
      <c r="FA28" s="753"/>
      <c r="FB28" s="753"/>
      <c r="FC28" s="753"/>
      <c r="FD28" s="753"/>
      <c r="FE28" s="753"/>
      <c r="FF28" s="753"/>
      <c r="FG28" s="753"/>
      <c r="FH28" s="753"/>
      <c r="FI28" s="753"/>
      <c r="FJ28" s="753"/>
      <c r="FK28" s="753"/>
      <c r="FL28" s="753"/>
      <c r="FM28" s="753"/>
      <c r="FN28" s="753"/>
      <c r="FO28" s="753"/>
      <c r="FP28" s="753"/>
      <c r="FQ28" s="753"/>
      <c r="FR28" s="753"/>
      <c r="FS28" s="753"/>
      <c r="FT28" s="753"/>
      <c r="FU28" s="753"/>
      <c r="FV28" s="753"/>
      <c r="FW28" s="753"/>
      <c r="FX28" s="753"/>
      <c r="FY28" s="753"/>
      <c r="FZ28" s="753"/>
      <c r="GA28" s="753"/>
      <c r="GB28" s="753"/>
      <c r="GC28" s="753"/>
      <c r="GD28" s="753"/>
      <c r="GE28" s="753"/>
      <c r="GF28" s="753"/>
      <c r="GG28" s="753"/>
      <c r="GH28" s="753"/>
      <c r="GI28" s="753"/>
      <c r="GJ28" s="753"/>
      <c r="GK28" s="753"/>
      <c r="GL28" s="753"/>
      <c r="GM28" s="753"/>
      <c r="GN28" s="753"/>
      <c r="GO28" s="753"/>
      <c r="GP28" s="753"/>
      <c r="GQ28" s="753"/>
      <c r="GR28" s="753"/>
      <c r="GS28" s="753"/>
      <c r="GT28" s="753"/>
      <c r="GU28" s="753"/>
      <c r="GV28" s="753"/>
      <c r="GW28" s="753"/>
      <c r="GX28" s="753"/>
      <c r="GY28" s="753"/>
      <c r="GZ28" s="753"/>
      <c r="HA28" s="753"/>
      <c r="HB28" s="753"/>
      <c r="HC28" s="753"/>
      <c r="HD28" s="753"/>
      <c r="HE28" s="753"/>
      <c r="HF28" s="753"/>
      <c r="HG28" s="753"/>
      <c r="HH28" s="753"/>
      <c r="HI28" s="753"/>
      <c r="HJ28" s="753"/>
      <c r="HK28" s="753"/>
      <c r="HL28" s="753"/>
      <c r="HM28" s="753"/>
      <c r="HN28" s="753"/>
      <c r="HO28" s="753"/>
      <c r="HP28" s="753"/>
      <c r="HQ28" s="753"/>
      <c r="HR28" s="753"/>
      <c r="HS28" s="753"/>
      <c r="HT28" s="753"/>
      <c r="HU28" s="753"/>
      <c r="HV28" s="753"/>
      <c r="HW28" s="753"/>
      <c r="HX28" s="753"/>
      <c r="HY28" s="753"/>
      <c r="HZ28" s="753"/>
      <c r="IA28" s="753"/>
      <c r="IB28" s="753"/>
      <c r="IC28" s="753"/>
      <c r="ID28" s="753"/>
      <c r="IE28" s="753"/>
      <c r="IF28" s="753"/>
      <c r="IG28" s="753"/>
      <c r="IH28" s="753"/>
      <c r="II28" s="753"/>
      <c r="IJ28" s="753"/>
      <c r="IK28" s="753"/>
      <c r="IL28" s="753"/>
      <c r="IM28" s="753"/>
      <c r="IN28" s="753"/>
      <c r="IO28" s="753"/>
      <c r="IP28" s="753"/>
      <c r="IQ28" s="753"/>
      <c r="IR28" s="753"/>
      <c r="IS28" s="753"/>
      <c r="IT28" s="753"/>
      <c r="IU28" s="753"/>
      <c r="IV28" s="753"/>
      <c r="IW28" s="753"/>
    </row>
    <row r="29" customFormat="false" ht="13.5" hidden="false" customHeight="false" outlineLevel="0" collapsed="false">
      <c r="A29" s="754"/>
      <c r="B29" s="755"/>
      <c r="C29" s="608"/>
      <c r="D29" s="608"/>
      <c r="E29" s="608"/>
      <c r="F29" s="608"/>
      <c r="G29" s="608"/>
      <c r="H29" s="608"/>
      <c r="I29" s="608"/>
      <c r="J29" s="608"/>
      <c r="K29" s="608"/>
      <c r="L29" s="746"/>
      <c r="M29" s="103"/>
      <c r="N29" s="599"/>
    </row>
    <row r="30" customFormat="false" ht="16.5" hidden="false" customHeight="false" outlineLevel="0" collapsed="false">
      <c r="A30" s="756" t="s">
        <v>1298</v>
      </c>
      <c r="B30" s="757" t="n">
        <f aca="false">NPV(D30,C28:L28)</f>
        <v>101351484.156917</v>
      </c>
      <c r="C30" s="758" t="s">
        <v>1299</v>
      </c>
      <c r="D30" s="759" t="n">
        <v>0.06</v>
      </c>
      <c r="E30" s="760"/>
      <c r="F30" s="760"/>
      <c r="G30" s="760"/>
      <c r="H30" s="760"/>
      <c r="I30" s="760"/>
      <c r="J30" s="760"/>
      <c r="K30" s="760"/>
      <c r="L30" s="761"/>
      <c r="M30" s="103"/>
      <c r="N30" s="599"/>
    </row>
    <row r="31" customFormat="false" ht="17.25" hidden="false" customHeight="true" outlineLevel="0" collapsed="false">
      <c r="A31" s="754" t="s">
        <v>1300</v>
      </c>
      <c r="B31" s="755"/>
      <c r="C31" s="608"/>
      <c r="D31" s="608"/>
      <c r="E31" s="608"/>
      <c r="F31" s="608"/>
      <c r="G31" s="608"/>
      <c r="H31" s="608"/>
      <c r="I31" s="608"/>
      <c r="J31" s="608"/>
      <c r="K31" s="608"/>
      <c r="L31" s="746"/>
      <c r="M31" s="103"/>
      <c r="N31" s="599"/>
    </row>
    <row r="32" customFormat="false" ht="17.25" hidden="false" customHeight="true" outlineLevel="0" collapsed="false">
      <c r="A32" s="754"/>
      <c r="B32" s="755"/>
      <c r="C32" s="608"/>
      <c r="D32" s="608"/>
      <c r="E32" s="608"/>
      <c r="F32" s="608"/>
      <c r="G32" s="608"/>
      <c r="H32" s="608"/>
      <c r="I32" s="608"/>
      <c r="J32" s="608"/>
      <c r="K32" s="608"/>
      <c r="L32" s="746"/>
      <c r="M32" s="103"/>
      <c r="N32" s="599"/>
    </row>
    <row r="33" customFormat="false" ht="13.5" hidden="false" customHeight="false" outlineLevel="0" collapsed="false">
      <c r="A33" s="754"/>
      <c r="B33" s="755"/>
      <c r="C33" s="608"/>
      <c r="D33" s="608"/>
      <c r="E33" s="608"/>
      <c r="F33" s="608"/>
      <c r="G33" s="608"/>
      <c r="H33" s="608"/>
      <c r="I33" s="608"/>
      <c r="J33" s="608"/>
      <c r="K33" s="608"/>
      <c r="L33" s="746"/>
      <c r="M33" s="103"/>
      <c r="N33" s="599"/>
    </row>
    <row r="34" customFormat="false" ht="12.75" hidden="false" customHeight="false" outlineLevel="0" collapsed="false">
      <c r="A34" s="762" t="s">
        <v>1301</v>
      </c>
      <c r="B34" s="75"/>
      <c r="C34" s="96"/>
      <c r="D34" s="96"/>
      <c r="E34" s="96"/>
      <c r="F34" s="96"/>
      <c r="G34" s="96"/>
      <c r="H34" s="96"/>
      <c r="I34" s="96"/>
      <c r="J34" s="96"/>
      <c r="K34" s="96"/>
      <c r="L34" s="712"/>
      <c r="M34" s="103"/>
      <c r="N34" s="599"/>
    </row>
    <row r="35" customFormat="false" ht="12.75" hidden="false" customHeight="false" outlineLevel="0" collapsed="false">
      <c r="A35" s="100" t="s">
        <v>1302</v>
      </c>
      <c r="B35" s="763" t="n">
        <v>10</v>
      </c>
      <c r="C35" s="103"/>
      <c r="D35" s="103"/>
      <c r="E35" s="103"/>
      <c r="F35" s="103"/>
      <c r="G35" s="103"/>
      <c r="H35" s="103"/>
      <c r="I35" s="103"/>
      <c r="J35" s="103"/>
      <c r="K35" s="103"/>
      <c r="L35" s="714"/>
      <c r="M35" s="103"/>
      <c r="N35" s="599"/>
    </row>
    <row r="36" customFormat="false" ht="12.75" hidden="false" customHeight="false" outlineLevel="0" collapsed="false">
      <c r="A36" s="100" t="s">
        <v>1303</v>
      </c>
      <c r="B36" s="101"/>
      <c r="C36" s="103" t="n">
        <f aca="false">('wholesale services'!C72:F72)/B35</f>
        <v>3317888</v>
      </c>
      <c r="D36" s="103" t="n">
        <f aca="false">C36</f>
        <v>3317888</v>
      </c>
      <c r="E36" s="103" t="n">
        <f aca="false">D36</f>
        <v>3317888</v>
      </c>
      <c r="F36" s="103" t="n">
        <f aca="false">E36</f>
        <v>3317888</v>
      </c>
      <c r="G36" s="103" t="n">
        <f aca="false">F36</f>
        <v>3317888</v>
      </c>
      <c r="H36" s="103" t="n">
        <f aca="false">G36</f>
        <v>3317888</v>
      </c>
      <c r="I36" s="103" t="n">
        <f aca="false">H36</f>
        <v>3317888</v>
      </c>
      <c r="J36" s="103" t="n">
        <f aca="false">I36</f>
        <v>3317888</v>
      </c>
      <c r="K36" s="103" t="n">
        <f aca="false">J36</f>
        <v>3317888</v>
      </c>
      <c r="L36" s="714" t="n">
        <f aca="false">K36</f>
        <v>3317888</v>
      </c>
      <c r="M36" s="103"/>
      <c r="N36" s="599"/>
    </row>
    <row r="37" customFormat="false" ht="13.5" hidden="false" customHeight="false" outlineLevel="0" collapsed="false">
      <c r="A37" s="105" t="s">
        <v>43</v>
      </c>
      <c r="B37" s="106"/>
      <c r="C37" s="108"/>
      <c r="D37" s="108"/>
      <c r="E37" s="108"/>
      <c r="F37" s="108"/>
      <c r="G37" s="108"/>
      <c r="H37" s="108"/>
      <c r="I37" s="108"/>
      <c r="J37" s="108"/>
      <c r="K37" s="108"/>
      <c r="L37" s="718"/>
      <c r="M37" s="103"/>
      <c r="N37" s="599"/>
    </row>
    <row r="38" customFormat="false" ht="12.75" hidden="false" customHeight="false" outlineLevel="0" collapsed="false">
      <c r="A38" s="100"/>
      <c r="B38" s="101"/>
      <c r="C38" s="103"/>
      <c r="D38" s="103"/>
      <c r="E38" s="103"/>
      <c r="F38" s="103"/>
      <c r="G38" s="103"/>
      <c r="H38" s="103"/>
      <c r="I38" s="103"/>
      <c r="J38" s="103"/>
      <c r="K38" s="103"/>
      <c r="L38" s="714"/>
      <c r="M38" s="103"/>
      <c r="N38" s="599"/>
    </row>
    <row r="39" customFormat="false" ht="13.5" hidden="false" customHeight="false" outlineLevel="0" collapsed="false">
      <c r="A39" s="100"/>
      <c r="B39" s="101"/>
      <c r="C39" s="103"/>
      <c r="D39" s="103"/>
      <c r="E39" s="103"/>
      <c r="F39" s="103"/>
      <c r="G39" s="103"/>
      <c r="H39" s="103"/>
      <c r="I39" s="103"/>
      <c r="J39" s="103"/>
      <c r="K39" s="103"/>
      <c r="L39" s="714"/>
      <c r="M39" s="103"/>
      <c r="N39" s="599"/>
    </row>
    <row r="40" customFormat="false" ht="12.75" hidden="false" customHeight="false" outlineLevel="0" collapsed="false">
      <c r="A40" s="762" t="s">
        <v>1304</v>
      </c>
      <c r="B40" s="75"/>
      <c r="C40" s="96"/>
      <c r="D40" s="96"/>
      <c r="E40" s="96"/>
      <c r="F40" s="96"/>
      <c r="G40" s="96"/>
      <c r="H40" s="96"/>
      <c r="I40" s="96"/>
      <c r="J40" s="96"/>
      <c r="K40" s="96"/>
      <c r="L40" s="712"/>
      <c r="M40" s="103"/>
      <c r="N40" s="599"/>
    </row>
    <row r="41" customFormat="false" ht="12.75" hidden="false" customHeight="false" outlineLevel="0" collapsed="false">
      <c r="A41" s="100"/>
      <c r="B41" s="101"/>
      <c r="C41" s="101" t="n">
        <v>1</v>
      </c>
      <c r="D41" s="101" t="n">
        <v>2</v>
      </c>
      <c r="E41" s="101" t="n">
        <v>3</v>
      </c>
      <c r="F41" s="101" t="n">
        <v>4</v>
      </c>
      <c r="G41" s="101" t="n">
        <v>5</v>
      </c>
      <c r="H41" s="101" t="n">
        <v>6</v>
      </c>
      <c r="I41" s="101" t="n">
        <v>7</v>
      </c>
      <c r="J41" s="101" t="n">
        <v>8</v>
      </c>
      <c r="K41" s="101" t="n">
        <v>9</v>
      </c>
      <c r="L41" s="104" t="n">
        <v>10</v>
      </c>
      <c r="M41" s="103"/>
      <c r="N41" s="599"/>
    </row>
    <row r="42" customFormat="false" ht="13.5" hidden="false" customHeight="false" outlineLevel="0" collapsed="false">
      <c r="A42" s="100" t="s">
        <v>1305</v>
      </c>
      <c r="B42" s="101"/>
      <c r="C42" s="260" t="n">
        <v>170000000</v>
      </c>
      <c r="D42" s="103" t="n">
        <f aca="false">C42</f>
        <v>170000000</v>
      </c>
      <c r="E42" s="103" t="n">
        <f aca="false">D42</f>
        <v>170000000</v>
      </c>
      <c r="F42" s="103" t="n">
        <f aca="false">E42</f>
        <v>170000000</v>
      </c>
      <c r="G42" s="103" t="n">
        <f aca="false">F42</f>
        <v>170000000</v>
      </c>
      <c r="H42" s="103" t="n">
        <f aca="false">G42</f>
        <v>170000000</v>
      </c>
      <c r="I42" s="103" t="n">
        <f aca="false">H42</f>
        <v>170000000</v>
      </c>
      <c r="J42" s="103" t="n">
        <f aca="false">I42</f>
        <v>170000000</v>
      </c>
      <c r="K42" s="103" t="n">
        <f aca="false">J42</f>
        <v>170000000</v>
      </c>
      <c r="L42" s="714" t="n">
        <f aca="false">K42</f>
        <v>170000000</v>
      </c>
      <c r="M42" s="103"/>
      <c r="N42" s="599" t="n">
        <f aca="false">NPV($D$30,C42:L42)</f>
        <v>1251214798.7405</v>
      </c>
    </row>
    <row r="43" customFormat="false" ht="13.5" hidden="false" customHeight="false" outlineLevel="0" collapsed="false">
      <c r="A43" s="100" t="s">
        <v>1304</v>
      </c>
      <c r="B43" s="101" t="s">
        <v>43</v>
      </c>
      <c r="C43" s="103" t="n">
        <f aca="false">C28+C36</f>
        <v>15434729.9316539</v>
      </c>
      <c r="D43" s="103" t="n">
        <f aca="false">D28+D36</f>
        <v>13397872.5715171</v>
      </c>
      <c r="E43" s="103" t="n">
        <f aca="false">E28+E36</f>
        <v>15613899.6846166</v>
      </c>
      <c r="F43" s="103" t="n">
        <f aca="false">F28+F36</f>
        <v>16781876.8601281</v>
      </c>
      <c r="G43" s="103" t="n">
        <f aca="false">G28+G36</f>
        <v>17367694.1427106</v>
      </c>
      <c r="H43" s="103" t="n">
        <f aca="false">H28+H36</f>
        <v>17949715.0810945</v>
      </c>
      <c r="I43" s="103" t="n">
        <f aca="false">I28+I36</f>
        <v>18527858.0243139</v>
      </c>
      <c r="J43" s="103" t="n">
        <f aca="false">J28+J36</f>
        <v>19102039.6259781</v>
      </c>
      <c r="K43" s="103" t="n">
        <f aca="false">K28+K36</f>
        <v>19672174.8097138</v>
      </c>
      <c r="L43" s="714" t="n">
        <f aca="false">L28+L36</f>
        <v>20238176.7339097</v>
      </c>
      <c r="M43" s="751" t="n">
        <f aca="false">SUM(C43:L43)</f>
        <v>174086037.465636</v>
      </c>
      <c r="N43" s="599" t="n">
        <f aca="false">NPV($D$30,C43:L43)</f>
        <v>125771428.663761</v>
      </c>
    </row>
    <row r="44" customFormat="false" ht="12.75" hidden="false" customHeight="false" outlineLevel="0" collapsed="false">
      <c r="A44" s="100" t="s">
        <v>1306</v>
      </c>
      <c r="B44" s="101"/>
      <c r="C44" s="398" t="n">
        <f aca="false">C43/C42</f>
        <v>0.0907925290097287</v>
      </c>
      <c r="D44" s="398" t="n">
        <f aca="false">D43/D42</f>
        <v>0.078811015126571</v>
      </c>
      <c r="E44" s="398" t="n">
        <f aca="false">E43/E42</f>
        <v>0.0918464687330386</v>
      </c>
      <c r="F44" s="398" t="n">
        <f aca="false">F43/F42</f>
        <v>0.0987169227066357</v>
      </c>
      <c r="G44" s="398" t="n">
        <f aca="false">G43/G42</f>
        <v>0.102162906721827</v>
      </c>
      <c r="H44" s="398" t="n">
        <f aca="false">H43/H42</f>
        <v>0.105586559300556</v>
      </c>
      <c r="I44" s="398" t="n">
        <f aca="false">I43/I42</f>
        <v>0.108987400143023</v>
      </c>
      <c r="J44" s="398" t="n">
        <f aca="false">J43/J42</f>
        <v>0.112364938976342</v>
      </c>
      <c r="K44" s="398" t="n">
        <f aca="false">K43/K42</f>
        <v>0.115718675351258</v>
      </c>
      <c r="L44" s="764" t="n">
        <f aca="false">L43/L42</f>
        <v>0.119048098434763</v>
      </c>
      <c r="M44" s="103"/>
      <c r="N44" s="101"/>
    </row>
    <row r="45" customFormat="false" ht="13.5" hidden="false" customHeight="false" outlineLevel="0" collapsed="false">
      <c r="A45" s="105"/>
      <c r="B45" s="106"/>
      <c r="C45" s="108"/>
      <c r="D45" s="108"/>
      <c r="E45" s="108"/>
      <c r="F45" s="108"/>
      <c r="G45" s="108"/>
      <c r="H45" s="108"/>
      <c r="I45" s="108"/>
      <c r="J45" s="108"/>
      <c r="K45" s="108"/>
      <c r="L45" s="718"/>
      <c r="M45" s="103"/>
      <c r="N45" s="101"/>
    </row>
    <row r="46" customFormat="false" ht="12.75" hidden="false" customHeight="false" outlineLevel="0" collapsed="false">
      <c r="A46" s="101"/>
      <c r="B46" s="101"/>
      <c r="C46" s="101"/>
      <c r="D46" s="101"/>
      <c r="E46" s="101"/>
      <c r="F46" s="101"/>
      <c r="G46" s="101"/>
      <c r="H46" s="101"/>
      <c r="I46" s="101"/>
      <c r="J46" s="101"/>
      <c r="K46" s="101"/>
      <c r="L46" s="101"/>
      <c r="M46" s="101"/>
      <c r="N46" s="101"/>
    </row>
    <row r="47" customFormat="false" ht="15.75" hidden="false" customHeight="false" outlineLevel="0" collapsed="false">
      <c r="A47" s="647" t="s">
        <v>1275</v>
      </c>
      <c r="M47" s="101"/>
      <c r="N47" s="101"/>
    </row>
    <row r="48" customFormat="false" ht="12.75" hidden="false" customHeight="false" outlineLevel="0" collapsed="false">
      <c r="A48" s="633" t="s">
        <v>1307</v>
      </c>
      <c r="B48" s="632" t="n">
        <f aca="false">N10+N19</f>
        <v>43121531.4165856</v>
      </c>
      <c r="C48" s="101"/>
      <c r="D48" s="101"/>
      <c r="E48" s="101"/>
      <c r="F48" s="101"/>
      <c r="G48" s="101"/>
      <c r="H48" s="101"/>
      <c r="I48" s="101"/>
      <c r="J48" s="101"/>
      <c r="K48" s="101"/>
      <c r="L48" s="101"/>
      <c r="M48" s="101"/>
      <c r="N48" s="101"/>
    </row>
    <row r="49" customFormat="false" ht="12.75" hidden="false" customHeight="false" outlineLevel="0" collapsed="false">
      <c r="A49" s="633" t="s">
        <v>1308</v>
      </c>
      <c r="B49" s="271" t="n">
        <f aca="false">N14+N25</f>
        <v>24894539.7549624</v>
      </c>
      <c r="C49" s="101"/>
      <c r="D49" s="101"/>
      <c r="E49" s="101"/>
      <c r="F49" s="101"/>
      <c r="G49" s="101"/>
      <c r="H49" s="101"/>
      <c r="I49" s="101"/>
      <c r="J49" s="101"/>
      <c r="K49" s="101"/>
      <c r="L49" s="101"/>
      <c r="M49" s="101"/>
      <c r="N49" s="101"/>
    </row>
    <row r="50" customFormat="false" ht="12.75" hidden="false" customHeight="false" outlineLevel="0" collapsed="false">
      <c r="A50" s="633" t="s">
        <v>1309</v>
      </c>
      <c r="B50" s="632" t="n">
        <f aca="false">N11</f>
        <v>3773584.90566038</v>
      </c>
      <c r="C50" s="101"/>
      <c r="D50" s="101"/>
      <c r="E50" s="101"/>
      <c r="F50" s="101"/>
      <c r="G50" s="101"/>
      <c r="H50" s="101"/>
      <c r="I50" s="101"/>
      <c r="J50" s="101"/>
      <c r="K50" s="101"/>
      <c r="L50" s="101"/>
      <c r="M50" s="101"/>
      <c r="N50" s="101"/>
    </row>
    <row r="51" customFormat="false" ht="12.75" hidden="false" customHeight="false" outlineLevel="0" collapsed="false">
      <c r="A51" s="277" t="s">
        <v>1310</v>
      </c>
      <c r="B51" s="765" t="n">
        <f aca="false">N15</f>
        <v>29561828.0797086</v>
      </c>
    </row>
    <row r="52" customFormat="false" ht="12.75" hidden="false" customHeight="false" outlineLevel="0" collapsed="false">
      <c r="A52" s="683" t="s">
        <v>1311</v>
      </c>
      <c r="B52" s="599" t="n">
        <f aca="false">SUM(B48:B51)</f>
        <v>101351484.156917</v>
      </c>
    </row>
    <row r="61" customFormat="false" ht="12.75" hidden="true" customHeight="false" outlineLevel="0" collapsed="false"/>
    <row r="73" customFormat="false" ht="12.75" hidden="false" customHeight="false" outlineLevel="0" collapsed="false">
      <c r="B73" s="280"/>
    </row>
    <row r="84" customFormat="false" ht="12.75" hidden="false" customHeight="false" outlineLevel="0" collapsed="false">
      <c r="B84" s="280"/>
    </row>
  </sheetData>
  <printOptions headings="false" gridLines="false" gridLinesSet="true" horizontalCentered="false" verticalCentered="false"/>
  <pageMargins left="0.5" right="0.5" top="0.984027777777778" bottom="0.984027777777778" header="0.511811023622047" footer="0.5"/>
  <pageSetup paperSize="5" scale="100" fitToWidth="1" fitToHeight="1" pageOrder="downThenOver" orientation="landscape" blackAndWhite="false" draft="false" cellComments="none" horizontalDpi="300" verticalDpi="300" copies="1"/>
  <headerFooter differentFirst="false" differentOddEven="false">
    <oddHeader/>
    <oddFooter>&amp;L&amp;A&amp;C&amp;D &amp;T</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2:M84"/>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G35" activeCellId="0" sqref="G35"/>
    </sheetView>
  </sheetViews>
  <sheetFormatPr defaultColWidth="7.9921875" defaultRowHeight="12.75" customHeight="true" zeroHeight="false" outlineLevelRow="0" outlineLevelCol="0"/>
  <cols>
    <col collapsed="false" customWidth="true" hidden="false" outlineLevel="0" max="1" min="1" style="1" width="49.7"/>
    <col collapsed="false" customWidth="true" hidden="false" outlineLevel="0" max="2" min="2" style="1" width="12.42"/>
    <col collapsed="false" customWidth="true" hidden="false" outlineLevel="0" max="3" min="3" style="1" width="14.56"/>
    <col collapsed="false" customWidth="true" hidden="false" outlineLevel="0" max="4" min="4" style="1" width="12.85"/>
    <col collapsed="false" customWidth="true" hidden="false" outlineLevel="0" max="5" min="5" style="1" width="13.7"/>
    <col collapsed="false" customWidth="true" hidden="false" outlineLevel="0" max="6" min="6" style="1" width="14.7"/>
    <col collapsed="false" customWidth="true" hidden="false" outlineLevel="0" max="7" min="7" style="1" width="14.28"/>
    <col collapsed="false" customWidth="true" hidden="false" outlineLevel="0" max="8" min="8" style="1" width="14.7"/>
    <col collapsed="false" customWidth="true" hidden="false" outlineLevel="0" max="9" min="9" style="1" width="13.85"/>
    <col collapsed="false" customWidth="true" hidden="false" outlineLevel="0" max="10" min="10" style="1" width="14.41"/>
    <col collapsed="false" customWidth="true" hidden="false" outlineLevel="0" max="11" min="11" style="1" width="14.28"/>
    <col collapsed="false" customWidth="true" hidden="false" outlineLevel="0" max="12" min="12" style="1" width="13.85"/>
    <col collapsed="false" customWidth="false" hidden="false" outlineLevel="0" max="257" min="13" style="1" width="7.99"/>
  </cols>
  <sheetData>
    <row r="2" customFormat="false" ht="18.75" hidden="false" customHeight="false" outlineLevel="0" collapsed="false">
      <c r="A2" s="372" t="s">
        <v>1312</v>
      </c>
    </row>
    <row r="3" customFormat="false" ht="14.25" hidden="false" customHeight="true" outlineLevel="0" collapsed="false">
      <c r="A3" s="372"/>
    </row>
    <row r="4" customFormat="false" ht="13.5" hidden="false" customHeight="true" outlineLevel="0" collapsed="false">
      <c r="A4" s="373" t="s">
        <v>1313</v>
      </c>
    </row>
    <row r="5" customFormat="false" ht="13.5" hidden="false" customHeight="true" outlineLevel="0" collapsed="false">
      <c r="A5" s="277" t="s">
        <v>1314</v>
      </c>
      <c r="C5" s="391" t="n">
        <v>0.5</v>
      </c>
    </row>
    <row r="6" customFormat="false" ht="13.5" hidden="false" customHeight="true" outlineLevel="0" collapsed="false">
      <c r="A6" s="277" t="s">
        <v>1315</v>
      </c>
      <c r="C6" s="391" t="n">
        <v>0.15</v>
      </c>
    </row>
    <row r="7" customFormat="false" ht="13.5" hidden="false" customHeight="true" outlineLevel="0" collapsed="false">
      <c r="A7" s="277" t="s">
        <v>1316</v>
      </c>
      <c r="C7" s="391" t="n">
        <v>0.9</v>
      </c>
    </row>
    <row r="8" customFormat="false" ht="13.5" hidden="false" customHeight="true" outlineLevel="0" collapsed="false">
      <c r="A8" s="277" t="s">
        <v>1317</v>
      </c>
      <c r="C8" s="391" t="n">
        <v>0.9</v>
      </c>
    </row>
    <row r="9" customFormat="false" ht="13.5" hidden="false" customHeight="true" outlineLevel="0" collapsed="false">
      <c r="A9" s="277"/>
      <c r="C9" s="391"/>
    </row>
    <row r="10" customFormat="false" ht="13.5" hidden="false" customHeight="true" outlineLevel="0" collapsed="false">
      <c r="A10" s="277"/>
      <c r="B10" s="600"/>
      <c r="C10" s="391"/>
    </row>
    <row r="12" customFormat="false" ht="12.75" hidden="false" customHeight="false" outlineLevel="0" collapsed="false">
      <c r="A12" s="596" t="s">
        <v>1318</v>
      </c>
      <c r="B12" s="1" t="s">
        <v>857</v>
      </c>
      <c r="C12" s="1" t="n">
        <v>1</v>
      </c>
      <c r="D12" s="1" t="n">
        <v>2</v>
      </c>
      <c r="E12" s="1" t="n">
        <v>3</v>
      </c>
      <c r="F12" s="1" t="n">
        <v>4</v>
      </c>
      <c r="G12" s="1" t="n">
        <v>5</v>
      </c>
      <c r="H12" s="1" t="n">
        <v>6</v>
      </c>
      <c r="I12" s="1" t="n">
        <v>7</v>
      </c>
      <c r="J12" s="1" t="n">
        <v>8</v>
      </c>
      <c r="K12" s="1" t="n">
        <v>9</v>
      </c>
      <c r="L12" s="1" t="n">
        <v>10</v>
      </c>
    </row>
    <row r="13" customFormat="false" ht="12.75" hidden="false" customHeight="false" outlineLevel="0" collapsed="false">
      <c r="A13" s="1" t="s">
        <v>1319</v>
      </c>
      <c r="B13" s="514" t="n">
        <v>0</v>
      </c>
      <c r="C13" s="63" t="n">
        <f aca="false">$C$5*$C$6*$C$7*('wholesale services'!D119)</f>
        <v>1919635.2</v>
      </c>
      <c r="D13" s="63" t="n">
        <f aca="false">$C$5*$C$6*$C$7*('wholesale services'!E119)</f>
        <v>319939.2</v>
      </c>
      <c r="E13" s="63" t="n">
        <f aca="false">$C$5*$C$6*$C$7*('wholesale services'!F119)</f>
        <v>0</v>
      </c>
      <c r="F13" s="63" t="n">
        <f aca="false">$C$5*$C$6*$C$7*('wholesale services'!G119)</f>
        <v>0</v>
      </c>
      <c r="G13" s="63" t="n">
        <f aca="false">$C$5*$C$6*$C$7*('wholesale services'!H119)</f>
        <v>0</v>
      </c>
      <c r="H13" s="63" t="n">
        <f aca="false">$C$5*$C$6*$C$7*('wholesale services'!I119)</f>
        <v>0</v>
      </c>
      <c r="I13" s="63" t="n">
        <f aca="false">$C$5*$C$6*$C$7*('wholesale services'!J119)</f>
        <v>0</v>
      </c>
      <c r="J13" s="63" t="n">
        <f aca="false">$C$5*$C$6*$C$7*('wholesale services'!K119)</f>
        <v>0</v>
      </c>
      <c r="K13" s="63" t="n">
        <f aca="false">$C$5*$C$6*$C$7*('wholesale services'!L119)</f>
        <v>0</v>
      </c>
      <c r="L13" s="63" t="n">
        <f aca="false">$C$5*$C$6*$C$7*('wholesale services'!M119)</f>
        <v>0</v>
      </c>
    </row>
    <row r="14" customFormat="false" ht="12.75" hidden="false" customHeight="false" outlineLevel="0" collapsed="false">
      <c r="A14" s="1" t="s">
        <v>1320</v>
      </c>
      <c r="B14" s="514" t="n">
        <v>0</v>
      </c>
      <c r="C14" s="63" t="n">
        <f aca="false">$C$5*$C$6*$C$8*'power redistribution'!D71</f>
        <v>0</v>
      </c>
      <c r="D14" s="63" t="n">
        <f aca="false">$C$5*$C$6*$C$8*'power redistribution'!E71</f>
        <v>0</v>
      </c>
      <c r="E14" s="63" t="n">
        <f aca="false">$C$5*$C$6*$C$8*'power redistribution'!F71</f>
        <v>0</v>
      </c>
      <c r="F14" s="63" t="n">
        <f aca="false">$C$5*$C$6*$C$8*'power redistribution'!G71</f>
        <v>0</v>
      </c>
      <c r="G14" s="63" t="n">
        <f aca="false">$C$5*$C$6*$C$8*'power redistribution'!H71</f>
        <v>0</v>
      </c>
      <c r="H14" s="63" t="n">
        <f aca="false">$C$5*$C$6*$C$8*'power redistribution'!I71</f>
        <v>0</v>
      </c>
      <c r="I14" s="63" t="n">
        <f aca="false">$C$5*$C$6*$C$8*'power redistribution'!J71</f>
        <v>0</v>
      </c>
      <c r="J14" s="63" t="n">
        <f aca="false">$C$5*$C$6*$C$8*'power redistribution'!K71</f>
        <v>0</v>
      </c>
      <c r="K14" s="63" t="n">
        <f aca="false">$C$5*$C$6*$C$8*'power redistribution'!L71</f>
        <v>0</v>
      </c>
      <c r="L14" s="63" t="n">
        <f aca="false">$C$5*$C$6*$C$8*'power redistribution'!M71</f>
        <v>0</v>
      </c>
    </row>
    <row r="15" customFormat="false" ht="12.75" hidden="false" customHeight="false" outlineLevel="0" collapsed="false">
      <c r="A15" s="277" t="s">
        <v>1321</v>
      </c>
      <c r="B15" s="514"/>
      <c r="C15" s="63" t="n">
        <f aca="false">'FM Summary'!B57+'FM Summary'!B58</f>
        <v>1800000</v>
      </c>
      <c r="D15" s="63" t="n">
        <f aca="false">'FM Summary'!C57+'FM Summary'!C58</f>
        <v>3150000</v>
      </c>
      <c r="E15" s="63" t="n">
        <f aca="false">'FM Summary'!D57+'FM Summary'!D58</f>
        <v>4500000</v>
      </c>
      <c r="F15" s="63" t="n">
        <f aca="false">'FM Summary'!E57+'FM Summary'!E58</f>
        <v>5850000</v>
      </c>
      <c r="G15" s="63" t="n">
        <f aca="false">'FM Summary'!F57+'FM Summary'!F58</f>
        <v>7200000</v>
      </c>
      <c r="H15" s="63" t="n">
        <f aca="false">'FM Summary'!G57+'FM Summary'!G58</f>
        <v>8550000</v>
      </c>
      <c r="I15" s="63" t="n">
        <f aca="false">'FM Summary'!H57+'FM Summary'!H58</f>
        <v>9900000</v>
      </c>
      <c r="J15" s="63" t="n">
        <f aca="false">'FM Summary'!I57+'FM Summary'!I58</f>
        <v>11250000</v>
      </c>
      <c r="K15" s="63" t="n">
        <f aca="false">'FM Summary'!J57+'FM Summary'!J58</f>
        <v>12600000</v>
      </c>
      <c r="L15" s="63" t="n">
        <f aca="false">'FM Summary'!K57+'FM Summary'!K58</f>
        <v>13950000</v>
      </c>
    </row>
    <row r="16" customFormat="false" ht="12.75" hidden="false" customHeight="false" outlineLevel="0" collapsed="false">
      <c r="A16" s="1" t="s">
        <v>1322</v>
      </c>
      <c r="B16" s="514"/>
      <c r="C16" s="63" t="n">
        <f aca="false">'FM Summary'!B59</f>
        <v>-1000000</v>
      </c>
      <c r="D16" s="63" t="n">
        <f aca="false">'FM Summary'!C59</f>
        <v>-1750000</v>
      </c>
      <c r="E16" s="63" t="n">
        <f aca="false">'FM Summary'!D59</f>
        <v>-2500000</v>
      </c>
      <c r="F16" s="63" t="n">
        <f aca="false">'FM Summary'!E59</f>
        <v>-3250000</v>
      </c>
      <c r="G16" s="63" t="n">
        <f aca="false">'FM Summary'!F59</f>
        <v>-4000000</v>
      </c>
      <c r="H16" s="63" t="n">
        <f aca="false">'FM Summary'!G59</f>
        <v>-4750000</v>
      </c>
      <c r="I16" s="63" t="n">
        <f aca="false">'FM Summary'!H59</f>
        <v>-5500000</v>
      </c>
      <c r="J16" s="63" t="n">
        <f aca="false">'FM Summary'!I59</f>
        <v>-6250000</v>
      </c>
      <c r="K16" s="63" t="n">
        <f aca="false">'FM Summary'!J59</f>
        <v>-7000000</v>
      </c>
      <c r="L16" s="63" t="n">
        <f aca="false">'FM Summary'!K59</f>
        <v>-7750000</v>
      </c>
    </row>
    <row r="17" customFormat="false" ht="12.75" hidden="false" customHeight="false" outlineLevel="0" collapsed="false">
      <c r="A17" s="683" t="s">
        <v>1323</v>
      </c>
      <c r="B17" s="514" t="n">
        <f aca="false">SUM(B13:B16)</f>
        <v>0</v>
      </c>
      <c r="C17" s="63" t="n">
        <f aca="false">SUM(C13:C16)</f>
        <v>2719635.2</v>
      </c>
      <c r="D17" s="63" t="n">
        <f aca="false">SUM(D13:D16)</f>
        <v>1719939.2</v>
      </c>
      <c r="E17" s="63" t="n">
        <f aca="false">SUM(E13:E16)</f>
        <v>2000000</v>
      </c>
      <c r="F17" s="63" t="n">
        <f aca="false">SUM(F13:F16)</f>
        <v>2600000</v>
      </c>
      <c r="G17" s="63" t="n">
        <f aca="false">SUM(G13:G16)</f>
        <v>3200000</v>
      </c>
      <c r="H17" s="63" t="n">
        <f aca="false">SUM(H13:H16)</f>
        <v>3800000</v>
      </c>
      <c r="I17" s="63" t="n">
        <f aca="false">SUM(I13:I16)</f>
        <v>4400000</v>
      </c>
      <c r="J17" s="63" t="n">
        <f aca="false">SUM(J13:J16)</f>
        <v>5000000</v>
      </c>
      <c r="K17" s="63" t="n">
        <f aca="false">SUM(K13:K16)</f>
        <v>5600000</v>
      </c>
      <c r="L17" s="63" t="n">
        <f aca="false">SUM(L13:L16)</f>
        <v>6200000</v>
      </c>
      <c r="M17" s="409"/>
    </row>
    <row r="18" customFormat="false" ht="13.5" hidden="false" customHeight="false" outlineLevel="0" collapsed="false">
      <c r="B18" s="514"/>
    </row>
    <row r="19" customFormat="false" ht="16.5" hidden="false" customHeight="false" outlineLevel="0" collapsed="false">
      <c r="A19" s="756" t="s">
        <v>1324</v>
      </c>
      <c r="B19" s="766" t="n">
        <f aca="false">NPV('general info'!B45,C17:L17)</f>
        <v>17310238.5680961</v>
      </c>
    </row>
    <row r="20" customFormat="false" ht="12.75" hidden="false" customHeight="false" outlineLevel="0" collapsed="false">
      <c r="C20" s="600"/>
      <c r="D20" s="600"/>
      <c r="E20" s="600"/>
      <c r="F20" s="600"/>
      <c r="G20" s="600"/>
      <c r="H20" s="600"/>
      <c r="I20" s="600"/>
      <c r="J20" s="600"/>
      <c r="K20" s="600"/>
      <c r="L20" s="600"/>
    </row>
    <row r="73" customFormat="false" ht="12.75" hidden="false" customHeight="false" outlineLevel="0" collapsed="false">
      <c r="B73" s="280"/>
    </row>
    <row r="84" customFormat="false" ht="12.75" hidden="false" customHeight="false" outlineLevel="0" collapsed="false">
      <c r="B84" s="280"/>
    </row>
  </sheetData>
  <printOptions headings="false" gridLines="false" gridLinesSet="true" horizontalCentered="false" verticalCentered="false"/>
  <pageMargins left="0.5" right="0.5"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X53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0" topLeftCell="H1" activePane="topRight" state="frozen"/>
      <selection pane="topLeft" activeCell="A1" activeCellId="0" sqref="A1"/>
      <selection pane="topRight" activeCell="I12" activeCellId="0" sqref="I12:I25"/>
    </sheetView>
  </sheetViews>
  <sheetFormatPr defaultColWidth="9.0546875" defaultRowHeight="12.75" customHeight="true" zeroHeight="false" outlineLevelRow="0" outlineLevelCol="0"/>
  <cols>
    <col collapsed="false" customWidth="true" hidden="false" outlineLevel="0" max="1" min="1" style="767" width="21.84"/>
    <col collapsed="false" customWidth="true" hidden="false" outlineLevel="0" max="2" min="2" style="768" width="13.85"/>
    <col collapsed="false" customWidth="true" hidden="false" outlineLevel="0" max="4" min="3" style="0" width="13.85"/>
    <col collapsed="false" customWidth="true" hidden="false" outlineLevel="0" max="5" min="5" style="0" width="13.28"/>
    <col collapsed="false" customWidth="true" hidden="false" outlineLevel="0" max="6" min="6" style="0" width="17.14"/>
    <col collapsed="false" customWidth="true" hidden="false" outlineLevel="0" max="7" min="7" style="0" width="19.99"/>
    <col collapsed="false" customWidth="true" hidden="false" outlineLevel="0" max="8" min="8" style="0" width="13.85"/>
    <col collapsed="false" customWidth="true" hidden="false" outlineLevel="0" max="9" min="9" style="0" width="17.14"/>
    <col collapsed="false" customWidth="true" hidden="false" outlineLevel="0" max="10" min="10" style="0" width="13.14"/>
    <col collapsed="false" customWidth="true" hidden="false" outlineLevel="0" max="11" min="11" style="0" width="13.7"/>
    <col collapsed="false" customWidth="true" hidden="false" outlineLevel="0" max="12" min="12" style="0" width="12.56"/>
    <col collapsed="false" customWidth="true" hidden="false" outlineLevel="0" max="13" min="13" style="0" width="12.99"/>
    <col collapsed="false" customWidth="true" hidden="false" outlineLevel="0" max="14" min="14" style="0" width="12.56"/>
    <col collapsed="false" customWidth="true" hidden="false" outlineLevel="0" max="15" min="15" style="0" width="12.7"/>
    <col collapsed="false" customWidth="true" hidden="false" outlineLevel="0" max="16" min="16" style="769" width="13.28"/>
    <col collapsed="false" customWidth="true" hidden="false" outlineLevel="0" max="17" min="17" style="770" width="14.7"/>
    <col collapsed="false" customWidth="true" hidden="false" outlineLevel="0" max="18" min="18" style="771" width="10.85"/>
    <col collapsed="false" customWidth="true" hidden="false" outlineLevel="0" max="19" min="19" style="769" width="10.99"/>
    <col collapsed="false" customWidth="true" hidden="false" outlineLevel="0" max="20" min="20" style="770" width="10.71"/>
    <col collapsed="false" customWidth="true" hidden="false" outlineLevel="0" max="21" min="21" style="771" width="10.71"/>
    <col collapsed="false" customWidth="true" hidden="false" outlineLevel="0" max="22" min="22" style="769" width="10.71"/>
    <col collapsed="false" customWidth="true" hidden="false" outlineLevel="0" max="23" min="23" style="772" width="10.71"/>
    <col collapsed="false" customWidth="true" hidden="false" outlineLevel="0" max="24" min="24" style="771" width="10.71"/>
    <col collapsed="false" customWidth="true" hidden="false" outlineLevel="0" max="25" min="25" style="769" width="10.71"/>
    <col collapsed="false" customWidth="true" hidden="false" outlineLevel="0" max="26" min="26" style="770" width="10.71"/>
    <col collapsed="false" customWidth="true" hidden="false" outlineLevel="0" max="27" min="27" style="769" width="10.71"/>
    <col collapsed="false" customWidth="true" hidden="false" outlineLevel="0" max="28" min="28" style="770" width="9.99"/>
    <col collapsed="false" customWidth="true" hidden="false" outlineLevel="0" max="29" min="29" style="769" width="10.56"/>
    <col collapsed="false" customWidth="true" hidden="false" outlineLevel="0" max="30" min="30" style="770" width="10.56"/>
    <col collapsed="false" customWidth="true" hidden="false" outlineLevel="0" max="31" min="31" style="769" width="10.71"/>
    <col collapsed="false" customWidth="true" hidden="false" outlineLevel="0" max="32" min="32" style="770" width="11.13"/>
    <col collapsed="false" customWidth="true" hidden="false" outlineLevel="0" max="33" min="33" style="773" width="12.28"/>
    <col collapsed="false" customWidth="true" hidden="false" outlineLevel="0" max="34" min="34" style="773" width="13.28"/>
    <col collapsed="false" customWidth="true" hidden="false" outlineLevel="0" max="36" min="35" style="774" width="13.28"/>
    <col collapsed="false" customWidth="true" hidden="false" outlineLevel="0" max="37" min="37" style="775" width="12.7"/>
    <col collapsed="false" customWidth="true" hidden="false" outlineLevel="0" max="38" min="38" style="772" width="15.13"/>
    <col collapsed="false" customWidth="true" hidden="false" outlineLevel="0" max="39" min="39" style="776" width="13.41"/>
    <col collapsed="false" customWidth="true" hidden="false" outlineLevel="0" max="40" min="40" style="772" width="14.28"/>
    <col collapsed="false" customWidth="true" hidden="false" outlineLevel="0" max="41" min="41" style="772" width="11.56"/>
    <col collapsed="false" customWidth="true" hidden="false" outlineLevel="0" max="43" min="42" style="772" width="11.13"/>
    <col collapsed="false" customWidth="true" hidden="false" outlineLevel="0" max="44" min="44" style="772" width="9.7"/>
    <col collapsed="false" customWidth="true" hidden="false" outlineLevel="0" max="45" min="45" style="772" width="13.85"/>
    <col collapsed="false" customWidth="true" hidden="false" outlineLevel="0" max="46" min="46" style="772" width="9.7"/>
    <col collapsed="false" customWidth="true" hidden="false" outlineLevel="0" max="47" min="47" style="772" width="11.13"/>
    <col collapsed="false" customWidth="true" hidden="false" outlineLevel="0" max="49" min="48" style="772" width="9.14"/>
    <col collapsed="false" customWidth="true" hidden="false" outlineLevel="0" max="50" min="50" style="772" width="12.14"/>
    <col collapsed="false" customWidth="true" hidden="false" outlineLevel="0" max="51" min="51" style="772" width="13.14"/>
    <col collapsed="false" customWidth="true" hidden="false" outlineLevel="0" max="52" min="52" style="772" width="9.14"/>
    <col collapsed="false" customWidth="true" hidden="false" outlineLevel="0" max="53" min="53" style="772" width="10.13"/>
    <col collapsed="false" customWidth="true" hidden="false" outlineLevel="0" max="55" min="54" style="772" width="10.71"/>
    <col collapsed="false" customWidth="true" hidden="false" outlineLevel="0" max="56" min="56" style="772" width="10.85"/>
    <col collapsed="false" customWidth="true" hidden="false" outlineLevel="0" max="57" min="57" style="772" width="8.99"/>
    <col collapsed="false" customWidth="true" hidden="false" outlineLevel="0" max="58" min="58" style="772" width="8.56"/>
    <col collapsed="false" customWidth="true" hidden="false" outlineLevel="0" max="59" min="59" style="772" width="9.56"/>
    <col collapsed="false" customWidth="true" hidden="false" outlineLevel="0" max="60" min="60" style="772" width="10.71"/>
    <col collapsed="false" customWidth="true" hidden="false" outlineLevel="0" max="61" min="61" style="772" width="13.7"/>
    <col collapsed="false" customWidth="true" hidden="false" outlineLevel="0" max="64" min="62" style="772" width="10.13"/>
    <col collapsed="false" customWidth="true" hidden="false" outlineLevel="0" max="65" min="65" style="772" width="10.71"/>
    <col collapsed="false" customWidth="true" hidden="false" outlineLevel="0" max="66" min="66" style="772" width="10.56"/>
    <col collapsed="false" customWidth="true" hidden="false" outlineLevel="0" max="67" min="67" style="772" width="10.13"/>
    <col collapsed="false" customWidth="true" hidden="false" outlineLevel="0" max="68" min="68" style="772" width="9.14"/>
    <col collapsed="false" customWidth="true" hidden="false" outlineLevel="0" max="69" min="69" style="772" width="10.13"/>
    <col collapsed="false" customWidth="true" hidden="false" outlineLevel="0" max="70" min="70" style="772" width="9.14"/>
    <col collapsed="false" customWidth="true" hidden="false" outlineLevel="0" max="71" min="71" style="772" width="10.71"/>
    <col collapsed="false" customWidth="true" hidden="false" outlineLevel="0" max="72" min="72" style="772" width="13.7"/>
    <col collapsed="false" customWidth="true" hidden="false" outlineLevel="0" max="74" min="73" style="772" width="11.56"/>
    <col collapsed="false" customWidth="true" hidden="false" outlineLevel="0" max="75" min="75" style="772" width="11.28"/>
    <col collapsed="false" customWidth="true" hidden="false" outlineLevel="0" max="81" min="76" style="772" width="10.13"/>
    <col collapsed="false" customWidth="true" hidden="false" outlineLevel="0" max="83" min="82" style="772" width="9.14"/>
    <col collapsed="false" customWidth="true" hidden="false" outlineLevel="0" max="84" min="84" style="772" width="9.7"/>
    <col collapsed="false" customWidth="true" hidden="false" outlineLevel="0" max="89" min="85" style="772" width="9.14"/>
    <col collapsed="false" customWidth="true" hidden="false" outlineLevel="0" max="90" min="90" style="772" width="9.7"/>
    <col collapsed="false" customWidth="true" hidden="false" outlineLevel="0" max="91" min="91" style="772" width="9.14"/>
    <col collapsed="false" customWidth="true" hidden="false" outlineLevel="0" max="92" min="92" style="772" width="12.56"/>
    <col collapsed="false" customWidth="true" hidden="false" outlineLevel="0" max="93" min="93" style="772" width="9.14"/>
    <col collapsed="false" customWidth="true" hidden="false" outlineLevel="0" max="99" min="94" style="772" width="13.85"/>
    <col collapsed="false" customWidth="true" hidden="false" outlineLevel="0" max="100" min="100" style="772" width="11.42"/>
    <col collapsed="false" customWidth="true" hidden="false" outlineLevel="0" max="101" min="101" style="772" width="10.13"/>
    <col collapsed="false" customWidth="true" hidden="false" outlineLevel="0" max="102" min="102" style="772" width="12.28"/>
    <col collapsed="false" customWidth="true" hidden="false" outlineLevel="0" max="103" min="103" style="772" width="11.85"/>
    <col collapsed="false" customWidth="true" hidden="false" outlineLevel="0" max="104" min="104" style="772" width="10.13"/>
    <col collapsed="false" customWidth="true" hidden="false" outlineLevel="0" max="106" min="105" style="772" width="13.85"/>
    <col collapsed="false" customWidth="true" hidden="false" outlineLevel="0" max="107" min="107" style="772" width="11.42"/>
    <col collapsed="false" customWidth="true" hidden="false" outlineLevel="0" max="108" min="108" style="772" width="10.13"/>
    <col collapsed="false" customWidth="true" hidden="false" outlineLevel="0" max="109" min="109" style="772" width="12.28"/>
    <col collapsed="false" customWidth="true" hidden="false" outlineLevel="0" max="110" min="110" style="772" width="11.85"/>
    <col collapsed="false" customWidth="true" hidden="false" outlineLevel="0" max="111" min="111" style="772" width="9.14"/>
    <col collapsed="false" customWidth="true" hidden="false" outlineLevel="0" max="112" min="112" style="777" width="12.56"/>
    <col collapsed="false" customWidth="true" hidden="false" outlineLevel="0" max="114" min="113" style="777" width="12.7"/>
    <col collapsed="false" customWidth="true" hidden="false" outlineLevel="0" max="115" min="115" style="772" width="13.14"/>
    <col collapsed="false" customWidth="true" hidden="false" outlineLevel="0" max="116" min="116" style="0" width="12.56"/>
    <col collapsed="false" customWidth="true" hidden="false" outlineLevel="0" max="117" min="117" style="772" width="9.14"/>
    <col collapsed="false" customWidth="true" hidden="false" outlineLevel="0" max="119" min="118" style="777" width="11.56"/>
    <col collapsed="false" customWidth="true" hidden="false" outlineLevel="0" max="120" min="120" style="772" width="9.14"/>
    <col collapsed="false" customWidth="true" hidden="false" outlineLevel="0" max="122" min="121" style="772" width="10.13"/>
  </cols>
  <sheetData>
    <row r="1" customFormat="false" ht="12.75" hidden="false" customHeight="false" outlineLevel="0" collapsed="false">
      <c r="A1" s="778" t="s">
        <v>1325</v>
      </c>
      <c r="B1" s="779"/>
      <c r="I1" s="0" t="s">
        <v>902</v>
      </c>
      <c r="K1" s="0" t="s">
        <v>888</v>
      </c>
      <c r="R1" s="780"/>
      <c r="S1" s="780"/>
      <c r="T1" s="780"/>
      <c r="U1" s="780"/>
      <c r="V1" s="780"/>
      <c r="W1" s="780"/>
      <c r="X1" s="780"/>
      <c r="Y1" s="780"/>
      <c r="Z1" s="780"/>
      <c r="AA1" s="780"/>
      <c r="AB1" s="780"/>
      <c r="AC1" s="780"/>
      <c r="AG1" s="769"/>
      <c r="AH1" s="770"/>
      <c r="AI1" s="773"/>
      <c r="AJ1" s="773"/>
      <c r="AK1" s="774"/>
      <c r="AL1" s="774"/>
      <c r="AM1" s="775"/>
      <c r="AO1" s="776"/>
      <c r="DS1" s="772"/>
      <c r="DT1" s="772"/>
    </row>
    <row r="2" customFormat="false" ht="13.5" hidden="false" customHeight="false" outlineLevel="0" collapsed="false">
      <c r="A2" s="778" t="s">
        <v>1326</v>
      </c>
      <c r="B2" s="779"/>
      <c r="H2" s="781" t="s">
        <v>1327</v>
      </c>
      <c r="I2" s="413" t="n">
        <f aca="false">K2-0.01</f>
        <v>0.0972</v>
      </c>
      <c r="J2" s="413" t="n">
        <f aca="false">I2/12</f>
        <v>0.0081</v>
      </c>
      <c r="K2" s="421" t="n">
        <v>0.1072</v>
      </c>
      <c r="L2" s="782" t="n">
        <f aca="false">K2/12</f>
        <v>0.00893333333333333</v>
      </c>
      <c r="M2" s="421"/>
      <c r="N2" s="783" t="s">
        <v>1328</v>
      </c>
      <c r="O2" s="784" t="n">
        <f aca="false">-SUM(I12:I25)</f>
        <v>33178880</v>
      </c>
      <c r="R2" s="780"/>
      <c r="S2" s="780"/>
      <c r="T2" s="780"/>
      <c r="U2" s="780"/>
      <c r="V2" s="780"/>
      <c r="W2" s="785"/>
      <c r="X2" s="785"/>
      <c r="Y2" s="785"/>
      <c r="Z2" s="785"/>
      <c r="AA2" s="785"/>
      <c r="AB2" s="785"/>
      <c r="AC2" s="785"/>
      <c r="AD2" s="785"/>
      <c r="AE2" s="785"/>
      <c r="AF2" s="785" t="n">
        <f aca="false">SUM($R$120:$R$131)+SUM($U$120:$U$131)+0.95*SUM($AY$120:$AY$131)*'wholesale services'!L104/'wholesale services'!$C$111+0.05*SUM($AY$120:$AY$131)*'wholesale services'!M108/'wholesale services'!$C$114</f>
        <v>39832398.3192386</v>
      </c>
      <c r="AG2" s="769"/>
      <c r="AH2" s="770"/>
      <c r="AI2" s="773"/>
      <c r="AJ2" s="773"/>
      <c r="AK2" s="774"/>
      <c r="AL2" s="774"/>
      <c r="AM2" s="775"/>
      <c r="AO2" s="776"/>
      <c r="DI2" s="786"/>
      <c r="DJ2" s="786"/>
      <c r="DL2" s="421"/>
      <c r="DS2" s="772"/>
      <c r="DT2" s="772"/>
    </row>
    <row r="3" customFormat="false" ht="14.25" hidden="false" customHeight="false" outlineLevel="0" collapsed="false">
      <c r="A3" s="778" t="s">
        <v>1329</v>
      </c>
      <c r="B3" s="779"/>
      <c r="H3" s="781" t="s">
        <v>1330</v>
      </c>
      <c r="I3" s="413" t="n">
        <f aca="false">K3-0.0075</f>
        <v>0.0872</v>
      </c>
      <c r="J3" s="413" t="n">
        <f aca="false">I3/12</f>
        <v>0.00726666666666667</v>
      </c>
      <c r="K3" s="782" t="n">
        <v>0.0947</v>
      </c>
      <c r="L3" s="782" t="n">
        <f aca="false">K3/12</f>
        <v>0.00789166666666667</v>
      </c>
      <c r="M3" s="421"/>
      <c r="Q3" s="787"/>
      <c r="R3" s="788" t="s">
        <v>1331</v>
      </c>
      <c r="S3" s="789" t="s">
        <v>888</v>
      </c>
      <c r="T3" s="790"/>
      <c r="U3" s="790"/>
      <c r="V3" s="770" t="s">
        <v>1332</v>
      </c>
      <c r="W3" s="785" t="n">
        <v>34577150</v>
      </c>
      <c r="X3" s="785" t="n">
        <v>30757770</v>
      </c>
      <c r="Y3" s="785" t="n">
        <v>26938390</v>
      </c>
      <c r="Z3" s="785" t="n">
        <v>26938390</v>
      </c>
      <c r="AA3" s="785" t="n">
        <v>26938390</v>
      </c>
      <c r="AB3" s="785" t="n">
        <v>26938390</v>
      </c>
      <c r="AC3" s="785" t="n">
        <v>26938390</v>
      </c>
      <c r="AD3" s="785" t="n">
        <v>26938390</v>
      </c>
      <c r="AE3" s="785" t="n">
        <v>26938390</v>
      </c>
      <c r="AF3" s="785" t="n">
        <v>26938390</v>
      </c>
      <c r="AG3" s="769"/>
      <c r="AH3" s="770"/>
      <c r="AI3" s="773"/>
      <c r="AJ3" s="773"/>
      <c r="AK3" s="791" t="s">
        <v>1333</v>
      </c>
      <c r="AL3" s="774"/>
      <c r="AM3" s="792" t="s">
        <v>1334</v>
      </c>
      <c r="AO3" s="776"/>
      <c r="DL3" s="421"/>
      <c r="DS3" s="772"/>
      <c r="DT3" s="772"/>
    </row>
    <row r="4" customFormat="false" ht="14.25" hidden="false" customHeight="false" outlineLevel="0" collapsed="false">
      <c r="A4" s="778"/>
      <c r="B4" s="779"/>
      <c r="H4" s="781"/>
      <c r="J4" s="781"/>
      <c r="K4" s="413" t="n">
        <v>0.0947</v>
      </c>
      <c r="Q4" s="793" t="s">
        <v>1335</v>
      </c>
      <c r="R4" s="794" t="n">
        <f aca="false">O2/R5</f>
        <v>3.86515849723436</v>
      </c>
      <c r="S4" s="795" t="n">
        <v>3.92</v>
      </c>
      <c r="T4" s="796"/>
      <c r="U4" s="796"/>
      <c r="V4" s="770"/>
      <c r="W4" s="785" t="n">
        <f aca="false">SUM($R$12:$R$23)+0.95*SUM($AY$12:$AY$23)*'wholesale services'!C111/'wholesale services'!C111</f>
        <v>39845850</v>
      </c>
      <c r="X4" s="785" t="n">
        <f aca="false">SUM($R$24:$R$35)+0.95*SUM($AY$24:$AY$35)*'wholesale services'!D111/'wholesale services'!C111</f>
        <v>33614230</v>
      </c>
      <c r="Y4" s="785" t="n">
        <f aca="false">SUM($R$36:$R$47)+0.95*SUM($AY$36:$AY$47)*'wholesale services'!D111/'wholesale services'!C111</f>
        <v>32367906</v>
      </c>
      <c r="Z4" s="785" t="n">
        <f aca="false">SUM($R$48:$R$59)+0.95*SUM($AY$48:$AY$59)*'wholesale services'!E111/'wholesale services'!C111</f>
        <v>32367906</v>
      </c>
      <c r="AA4" s="785"/>
      <c r="AB4" s="785"/>
      <c r="AC4" s="785"/>
      <c r="AD4" s="785"/>
      <c r="AE4" s="785"/>
      <c r="AF4" s="785"/>
      <c r="AG4" s="769"/>
      <c r="AH4" s="770"/>
      <c r="AI4" s="773"/>
      <c r="AJ4" s="773"/>
      <c r="AK4" s="791" t="n">
        <f aca="false">SUM(AO12:AO131)</f>
        <v>593834011.527118</v>
      </c>
      <c r="AL4" s="774"/>
      <c r="AM4" s="792" t="n">
        <f aca="false">AK4+'RMPM-Redis'!T5+'RMPM-FM'!K5</f>
        <v>1395373360.42726</v>
      </c>
      <c r="AO4" s="776"/>
      <c r="BA4" s="797"/>
      <c r="BK4" s="798" t="s">
        <v>1336</v>
      </c>
      <c r="BL4" s="799" t="str">
        <f aca="false">'wholesale services'!C10</f>
        <v>mid</v>
      </c>
      <c r="DQ4" s="800"/>
      <c r="DR4" s="800"/>
      <c r="DS4" s="772"/>
      <c r="DT4" s="772"/>
    </row>
    <row r="5" customFormat="false" ht="13.5" hidden="false" customHeight="false" outlineLevel="0" collapsed="false">
      <c r="A5" s="778" t="s">
        <v>1337</v>
      </c>
      <c r="B5" s="779"/>
      <c r="H5" s="781" t="s">
        <v>1338</v>
      </c>
      <c r="I5" s="419" t="n">
        <f aca="false">SUM(DK12:DK25)</f>
        <v>-35266995.3491859</v>
      </c>
      <c r="J5" s="781"/>
      <c r="K5" s="784" t="n">
        <f aca="false">SUM(K12:K25)</f>
        <v>-35490271.4390492</v>
      </c>
      <c r="L5" s="419" t="n">
        <f aca="false">SUM(L10:L24)</f>
        <v>0</v>
      </c>
      <c r="M5" s="801" t="s">
        <v>1339</v>
      </c>
      <c r="N5" s="802" t="s">
        <v>1331</v>
      </c>
      <c r="O5" s="803" t="s">
        <v>888</v>
      </c>
      <c r="Q5" s="804" t="s">
        <v>1340</v>
      </c>
      <c r="R5" s="805" t="n">
        <v>8584093</v>
      </c>
      <c r="S5" s="806" t="n">
        <f aca="false">$O$2/S4</f>
        <v>8464000</v>
      </c>
      <c r="T5" s="807"/>
      <c r="U5" s="807"/>
      <c r="V5" s="808" t="n">
        <f aca="false">NPV('general info'!B45,W5:AF5)</f>
        <v>2032074.36592133</v>
      </c>
      <c r="W5" s="809" t="n">
        <f aca="false">W7-W6</f>
        <v>0</v>
      </c>
      <c r="X5" s="809" t="n">
        <f aca="false">X7-X6</f>
        <v>420887.485431999</v>
      </c>
      <c r="Y5" s="809" t="n">
        <f aca="false">Y7-Y6</f>
        <v>499565.459271044</v>
      </c>
      <c r="Z5" s="809" t="n">
        <f aca="false">Z7-Z6</f>
        <v>490988.369659334</v>
      </c>
      <c r="AA5" s="809" t="n">
        <f aca="false">AA7-AA6</f>
        <v>480544.364643347</v>
      </c>
      <c r="AB5" s="809" t="n">
        <f aca="false">AB7-AB6</f>
        <v>468246.401720293</v>
      </c>
      <c r="AC5" s="809" t="n">
        <f aca="false">AC7-AC6</f>
        <v>454106.749352545</v>
      </c>
      <c r="AD5" s="809" t="n">
        <f aca="false">AD7-AD6</f>
        <v>438136.95825056</v>
      </c>
      <c r="AE5" s="809" t="n">
        <f aca="false">AE7-AE6</f>
        <v>420347.84777309</v>
      </c>
      <c r="AF5" s="809" t="n">
        <f aca="false">AF7-AF6</f>
        <v>400749.505721681</v>
      </c>
      <c r="AG5" s="769"/>
      <c r="AH5" s="770"/>
      <c r="AI5" s="773"/>
      <c r="AJ5" s="773"/>
      <c r="AK5" s="774"/>
      <c r="AL5" s="774"/>
      <c r="AM5" s="775"/>
      <c r="AO5" s="776"/>
      <c r="BO5" s="810" t="s">
        <v>1341</v>
      </c>
      <c r="BP5" s="810"/>
      <c r="BQ5" s="810" t="n">
        <f aca="false">BU10-BJ10</f>
        <v>13570008.721347</v>
      </c>
      <c r="DH5" s="811"/>
      <c r="DI5" s="811"/>
      <c r="DJ5" s="811"/>
      <c r="DL5" s="419"/>
      <c r="DN5" s="811"/>
      <c r="DO5" s="811"/>
      <c r="DQ5" s="812"/>
      <c r="DR5" s="812"/>
      <c r="DS5" s="772"/>
      <c r="DT5" s="772"/>
    </row>
    <row r="6" customFormat="false" ht="13.5" hidden="false" customHeight="false" outlineLevel="0" collapsed="false">
      <c r="A6" s="778" t="s">
        <v>1342</v>
      </c>
      <c r="B6" s="779"/>
      <c r="I6" s="781"/>
      <c r="J6" s="781"/>
      <c r="M6" s="813"/>
      <c r="N6" s="814" t="n">
        <v>-2454974</v>
      </c>
      <c r="O6" s="815" t="n">
        <v>-2354974</v>
      </c>
      <c r="Q6" s="816" t="s">
        <v>1343</v>
      </c>
      <c r="R6" s="817" t="n">
        <f aca="false">PMT($K$4,9,-$O$2)</f>
        <v>5640387.73202021</v>
      </c>
      <c r="S6" s="818" t="n">
        <f aca="false">PMT($K$4,9,-$O$2)</f>
        <v>5640387.73202021</v>
      </c>
      <c r="T6" s="819"/>
      <c r="U6" s="819"/>
      <c r="V6" s="820" t="s">
        <v>1344</v>
      </c>
      <c r="W6" s="785" t="n">
        <f aca="false">SUM($Q$12:$Q$23)+SUM($T$12:$T$23)+SUM($AX$12:$AX$23)</f>
        <v>40715201.5107084</v>
      </c>
      <c r="X6" s="785" t="n">
        <f aca="false">SUM($Q$24:$Q$35)+SUM($T$24:$T$35)+SUM($AX$24:$AX$35)</f>
        <v>33567314.1694087</v>
      </c>
      <c r="Y6" s="785" t="n">
        <f aca="false">SUM($Q$36:$Q$47)+SUM($T$36:$T$47)+SUM($AX$36:$AX$47)</f>
        <v>32155672.5502887</v>
      </c>
      <c r="Z6" s="785" t="n">
        <f aca="false">SUM($Q$48:$Q$59)+SUM($T$48:$T$59)+SUM($AX$48:$AX$59)</f>
        <v>32185368.3030328</v>
      </c>
      <c r="AA6" s="785" t="n">
        <f aca="false">SUM($Q$60:$Q$71)+SUM($T$60:$T$71)+SUM($AX$60:$AX$71)</f>
        <v>32221527.7236117</v>
      </c>
      <c r="AB6" s="785" t="n">
        <f aca="false">SUM($Q$72:$Q$83)+SUM($T$72:$T$83)+SUM($AX$72:$AX$83)</f>
        <v>32264105.9503472</v>
      </c>
      <c r="AC6" s="785" t="n">
        <f aca="false">SUM($Q$84:$Q$95)+SUM($T$84:$T$95)+SUM($AX$84:$AX$95)</f>
        <v>32313060.5071501</v>
      </c>
      <c r="AD6" s="785" t="n">
        <f aca="false">SUM($Q$96:$Q$107)+SUM($T$96:$T$107)+SUM($AX$96:$AX$107)</f>
        <v>32368351.4029443</v>
      </c>
      <c r="AE6" s="785" t="n">
        <f aca="false">SUM($Q$108:$Q$119)+SUM($T$108:$T$119)+SUM($AX$108:$AX$119)</f>
        <v>32429941.1787529</v>
      </c>
      <c r="AF6" s="785" t="n">
        <f aca="false">SUM($Q$120:$Q$131)+SUM($T$120:$T$131)+SUM($AX$120:$AX$131)</f>
        <v>32497794.9084094</v>
      </c>
      <c r="AG6" s="769"/>
      <c r="AH6" s="770"/>
      <c r="AI6" s="773"/>
      <c r="AJ6" s="773"/>
      <c r="AK6" s="774"/>
      <c r="AL6" s="774"/>
      <c r="AM6" s="775"/>
      <c r="AO6" s="776"/>
      <c r="AX6" s="821" t="n">
        <f aca="false">12*(1+1-'wholesale services'!C79)+1</f>
        <v>15</v>
      </c>
      <c r="BA6" s="772" t="s">
        <v>1345</v>
      </c>
      <c r="BL6" s="772" t="s">
        <v>1346</v>
      </c>
      <c r="CN6" s="810" t="s">
        <v>1000</v>
      </c>
      <c r="CO6" s="810"/>
      <c r="CP6" s="810" t="s">
        <v>1347</v>
      </c>
      <c r="CQ6" s="810"/>
      <c r="CR6" s="810"/>
      <c r="CS6" s="810"/>
      <c r="CT6" s="810"/>
      <c r="CU6" s="810"/>
      <c r="DA6" s="810"/>
      <c r="DB6" s="810"/>
      <c r="DH6" s="822"/>
      <c r="DI6" s="822"/>
      <c r="DJ6" s="822"/>
      <c r="DN6" s="822"/>
      <c r="DO6" s="822"/>
      <c r="DQ6" s="812"/>
      <c r="DR6" s="812"/>
      <c r="DS6" s="772"/>
      <c r="DT6" s="772"/>
    </row>
    <row r="7" customFormat="false" ht="14.25" hidden="false" customHeight="false" outlineLevel="0" collapsed="false">
      <c r="A7" s="778"/>
      <c r="B7" s="779"/>
      <c r="I7" s="781" t="s">
        <v>1348</v>
      </c>
      <c r="J7" s="781"/>
      <c r="K7" s="419" t="n">
        <f aca="false">33178880/14</f>
        <v>2369920</v>
      </c>
      <c r="L7" s="419"/>
      <c r="Q7" s="823" t="s">
        <v>1349</v>
      </c>
      <c r="R7" s="824" t="n">
        <f aca="false">R6-R5</f>
        <v>-2943705.26797979</v>
      </c>
      <c r="S7" s="825" t="n">
        <f aca="false">S6-S5</f>
        <v>-2823612.26797979</v>
      </c>
      <c r="T7" s="826"/>
      <c r="U7" s="826"/>
      <c r="V7" s="770" t="s">
        <v>1350</v>
      </c>
      <c r="W7" s="785" t="n">
        <f aca="false">'wholesale services'!$D$112+'wholesale services'!$D$115</f>
        <v>40715201.5107084</v>
      </c>
      <c r="X7" s="785" t="n">
        <f aca="false">'wholesale services'!$E$112+'wholesale services'!$E$115</f>
        <v>33988201.6548407</v>
      </c>
      <c r="Y7" s="785" t="n">
        <f aca="false">'wholesale services'!$F$112+'wholesale services'!$F$115</f>
        <v>32655238.0095598</v>
      </c>
      <c r="Z7" s="785" t="n">
        <f aca="false">'wholesale services'!$G$112+'wholesale services'!$G$115</f>
        <v>32676356.6726921</v>
      </c>
      <c r="AA7" s="785" t="n">
        <f aca="false">'wholesale services'!$H$112+'wholesale services'!$H$115</f>
        <v>32702072.088255</v>
      </c>
      <c r="AB7" s="785" t="n">
        <f aca="false">'wholesale services'!$I$112+'wholesale services'!$I$115</f>
        <v>32732352.3520675</v>
      </c>
      <c r="AC7" s="785" t="n">
        <f aca="false">'wholesale services'!$J$112+'wholesale services'!$J$115</f>
        <v>32767167.2565026</v>
      </c>
      <c r="AD7" s="785" t="n">
        <f aca="false">'wholesale services'!$K$112+'wholesale services'!$K$115</f>
        <v>32806488.3611949</v>
      </c>
      <c r="AE7" s="785" t="n">
        <f aca="false">'wholesale services'!$L$112+'wholesale services'!$L$115</f>
        <v>32850289.026526</v>
      </c>
      <c r="AF7" s="785" t="n">
        <f aca="false">'wholesale services'!$M$112+'wholesale services'!$M$115</f>
        <v>32898544.4141311</v>
      </c>
      <c r="AG7" s="769"/>
      <c r="AH7" s="770"/>
      <c r="AI7" s="773"/>
      <c r="AJ7" s="773"/>
      <c r="AK7" s="774"/>
      <c r="AL7" s="827"/>
      <c r="AM7" s="775"/>
      <c r="AO7" s="776"/>
      <c r="CE7" s="772" t="s">
        <v>1340</v>
      </c>
      <c r="CP7" s="772" t="s">
        <v>1351</v>
      </c>
      <c r="CQ7" s="772" t="s">
        <v>1352</v>
      </c>
      <c r="CR7" s="772" t="s">
        <v>1353</v>
      </c>
      <c r="CS7" s="772" t="s">
        <v>1354</v>
      </c>
      <c r="CT7" s="772" t="s">
        <v>1352</v>
      </c>
      <c r="CU7" s="772" t="s">
        <v>1353</v>
      </c>
      <c r="CV7" s="772" t="s">
        <v>1355</v>
      </c>
      <c r="CW7" s="772" t="s">
        <v>1354</v>
      </c>
      <c r="CX7" s="772" t="s">
        <v>1356</v>
      </c>
      <c r="DA7" s="772" t="s">
        <v>1352</v>
      </c>
      <c r="DB7" s="772" t="s">
        <v>1353</v>
      </c>
      <c r="DC7" s="772" t="s">
        <v>1355</v>
      </c>
      <c r="DD7" s="772" t="s">
        <v>1354</v>
      </c>
      <c r="DE7" s="772" t="s">
        <v>1356</v>
      </c>
      <c r="DS7" s="772"/>
      <c r="DT7" s="772"/>
    </row>
    <row r="8" customFormat="false" ht="13.5" hidden="false" customHeight="false" outlineLevel="0" collapsed="false">
      <c r="A8" s="778" t="s">
        <v>1357</v>
      </c>
      <c r="B8" s="828" t="n">
        <v>15</v>
      </c>
      <c r="N8" s="417" t="n">
        <f aca="false">XNPV(Breakout!$C$5,N11:N131,$B$11:$B$131)</f>
        <v>-38324060.7321644</v>
      </c>
      <c r="O8" s="417" t="n">
        <f aca="false">XNPV(Breakout!$C$5,O11:O131,$B$11:$B$131)</f>
        <v>-37787900.2519007</v>
      </c>
      <c r="Q8" s="829"/>
      <c r="T8" s="769"/>
      <c r="U8" s="769"/>
      <c r="V8" s="829" t="s">
        <v>890</v>
      </c>
      <c r="W8" s="785" t="n">
        <f aca="false">SUM($Q$12:$Q$23)+SUM($T$12:$T$23)+0.95*SUM($AX$12:$AX$23)*'wholesale services'!D111/'wholesale services'!$C$111+0.05*SUM($AX$12:$AX$23)*'wholesale services'!D114/'wholesale services'!$C$114</f>
        <v>40715201.5107084</v>
      </c>
      <c r="X8" s="785" t="n">
        <f aca="false">SUM($Q$24:$Q$35)+SUM($T$24:$T$35)+0.95*SUM($AX$24:$AX$35)*'wholesale services'!E111/'wholesale services'!$C$111+0.05*SUM($AX$24:$AX$35)*'wholesale services'!E114/'wholesale services'!$C$114</f>
        <v>33988201.6548407</v>
      </c>
      <c r="Y8" s="785" t="n">
        <f aca="false">SUM($Q$36:$Q$47)+SUM($T$36:$T$47)+0.95*SUM($AX$36:$AX$47)*'wholesale services'!F111/'wholesale services'!$C$111+0.05*SUM($AX$36:$AX$47)*'wholesale services'!F114/'wholesale services'!$C$114</f>
        <v>32655238.0095598</v>
      </c>
      <c r="Z8" s="785" t="n">
        <f aca="false">SUM($Q$48:$Q$59)+SUM($T$48:$T$59)+0.95*SUM($AX$48:$AX$59)*'wholesale services'!G111/'wholesale services'!$C$111+0.05*SUM($AX$48:$AX$59)*'wholesale services'!G114/'wholesale services'!$C$114</f>
        <v>32676356.6726921</v>
      </c>
      <c r="AA8" s="785" t="n">
        <f aca="false">SUM($Q$60:$Q$71)+SUM($T$60:$T$71)+0.95*SUM($AX$60:$AX$71)*'wholesale services'!H111/'wholesale services'!$C$111+0.05*SUM($AX$60:$AX$71)*'wholesale services'!H114/'wholesale services'!$C$114</f>
        <v>32702072.088255</v>
      </c>
      <c r="AB8" s="785" t="n">
        <f aca="false">SUM($Q$72:$Q$83)+SUM($T$72:$T$83)+0.95*SUM($AX$72:$AX$83)*'wholesale services'!I111/'wholesale services'!$C$111+0.05*SUM($AX$72:$AX$83)*'wholesale services'!I114/'wholesale services'!$C$114</f>
        <v>32732352.3520675</v>
      </c>
      <c r="AC8" s="785" t="n">
        <f aca="false">SUM($Q$84:$Q$95)+SUM($T$84:$T$95)+0.95*SUM($AX$84:$AX$95)*'wholesale services'!J111/'wholesale services'!$C$111+0.05*SUM($AX$84:$AX$95)*'wholesale services'!J114/'wholesale services'!$C$114</f>
        <v>32767167.2565026</v>
      </c>
      <c r="AD8" s="785" t="n">
        <f aca="false">SUM($Q$96:$Q$107)+SUM($T$96:$T$107)+0.95*SUM($AX$96:$AX$107)*'wholesale services'!K111/'wholesale services'!$C$111+0.05*SUM($AX$96:$AX$107)*'wholesale services'!K114/'wholesale services'!$C$114</f>
        <v>32806488.3611949</v>
      </c>
      <c r="AE8" s="785" t="n">
        <f aca="false">SUM($Q$108:$Q$119)+SUM($T$108:$T$119)+0.95*SUM($AX$108:$AX$119)*'wholesale services'!L111/'wholesale services'!$C$111+0.05*SUM($AX$108:$AX$119)*'wholesale services'!L114/'wholesale services'!$C$114</f>
        <v>32850289.026526</v>
      </c>
      <c r="AF8" s="785" t="n">
        <f aca="false">SUM($Q$120:$Q$131)+SUM($T$120:$T$131)+0.95*SUM($AX$120:$AX$131)*'wholesale services'!M111/'wholesale services'!$C$111+0.05*SUM($AX$120:$AX$131)*'wholesale services'!M114/'wholesale services'!$C$114</f>
        <v>32898544.4141311</v>
      </c>
      <c r="AG8" s="769"/>
      <c r="AH8" s="770"/>
      <c r="AI8" s="773"/>
      <c r="AJ8" s="773"/>
      <c r="AK8" s="774"/>
      <c r="AL8" s="774"/>
      <c r="AM8" s="775"/>
      <c r="AO8" s="776"/>
      <c r="AQ8" s="772" t="s">
        <v>1329</v>
      </c>
      <c r="AU8" s="830" t="s">
        <v>1358</v>
      </c>
      <c r="AV8" s="830"/>
      <c r="AW8" s="830"/>
      <c r="AX8" s="831" t="n">
        <f aca="false">XNPV(Breakout!$C$5,AX11:AX131,$B$11:$B$131)</f>
        <v>-38324060.7321644</v>
      </c>
      <c r="AY8" s="831" t="n">
        <f aca="false">XNPV(Breakout!$C$5,AY11:AY131,$B$11:$B$131)</f>
        <v>-37787900.2519007</v>
      </c>
      <c r="AZ8" s="830"/>
      <c r="BA8" s="830" t="s">
        <v>1358</v>
      </c>
      <c r="BB8" s="830" t="s">
        <v>1359</v>
      </c>
      <c r="BC8" s="830" t="s">
        <v>1360</v>
      </c>
      <c r="BD8" s="830" t="s">
        <v>1361</v>
      </c>
      <c r="BE8" s="830" t="s">
        <v>894</v>
      </c>
      <c r="BF8" s="830" t="s">
        <v>1362</v>
      </c>
      <c r="BG8" s="830" t="s">
        <v>1363</v>
      </c>
      <c r="BH8" s="830" t="s">
        <v>1364</v>
      </c>
      <c r="BI8" s="830" t="s">
        <v>1365</v>
      </c>
      <c r="BJ8" s="832" t="s">
        <v>798</v>
      </c>
      <c r="BL8" s="830" t="s">
        <v>1358</v>
      </c>
      <c r="BM8" s="830" t="s">
        <v>1359</v>
      </c>
      <c r="BN8" s="830" t="s">
        <v>1360</v>
      </c>
      <c r="BO8" s="830" t="s">
        <v>1361</v>
      </c>
      <c r="BP8" s="830" t="s">
        <v>894</v>
      </c>
      <c r="BQ8" s="830" t="s">
        <v>1362</v>
      </c>
      <c r="BR8" s="830" t="s">
        <v>1363</v>
      </c>
      <c r="BS8" s="830" t="s">
        <v>1364</v>
      </c>
      <c r="BT8" s="830" t="s">
        <v>1365</v>
      </c>
      <c r="BU8" s="832" t="s">
        <v>798</v>
      </c>
      <c r="BV8" s="832"/>
      <c r="BW8" s="772" t="s">
        <v>1332</v>
      </c>
      <c r="BX8" s="772" t="s">
        <v>1366</v>
      </c>
      <c r="BY8" s="772" t="s">
        <v>1367</v>
      </c>
      <c r="BZ8" s="772" t="s">
        <v>1368</v>
      </c>
      <c r="CA8" s="772" t="s">
        <v>1369</v>
      </c>
      <c r="CB8" s="772" t="s">
        <v>1370</v>
      </c>
      <c r="CC8" s="772" t="s">
        <v>1371</v>
      </c>
      <c r="CE8" s="772" t="s">
        <v>1332</v>
      </c>
      <c r="CF8" s="772" t="s">
        <v>1366</v>
      </c>
      <c r="CG8" s="772" t="s">
        <v>1367</v>
      </c>
      <c r="CI8" s="772" t="s">
        <v>902</v>
      </c>
      <c r="CJ8" s="772" t="s">
        <v>1372</v>
      </c>
      <c r="CL8" s="772" t="s">
        <v>1373</v>
      </c>
      <c r="CQ8" s="772" t="s">
        <v>1374</v>
      </c>
      <c r="CS8" s="772" t="s">
        <v>1374</v>
      </c>
      <c r="CT8" s="772" t="s">
        <v>1375</v>
      </c>
      <c r="CW8" s="772" t="s">
        <v>1374</v>
      </c>
      <c r="CX8" s="772" t="s">
        <v>1328</v>
      </c>
      <c r="DA8" s="772" t="s">
        <v>1375</v>
      </c>
      <c r="DD8" s="772" t="s">
        <v>1374</v>
      </c>
      <c r="DE8" s="772" t="s">
        <v>1328</v>
      </c>
      <c r="DH8" s="417"/>
      <c r="DI8" s="417"/>
      <c r="DJ8" s="417"/>
      <c r="DK8" s="833" t="s">
        <v>1376</v>
      </c>
      <c r="DL8" s="834" t="s">
        <v>1377</v>
      </c>
      <c r="DN8" s="52" t="s">
        <v>1378</v>
      </c>
      <c r="DO8" s="52" t="s">
        <v>1377</v>
      </c>
      <c r="DQ8" s="830" t="s">
        <v>1358</v>
      </c>
      <c r="DR8" s="830" t="s">
        <v>1359</v>
      </c>
      <c r="DS8" s="772"/>
      <c r="DT8" s="772"/>
      <c r="DU8" s="772"/>
      <c r="DV8" s="772"/>
      <c r="DW8" s="772"/>
      <c r="DX8" s="772"/>
    </row>
    <row r="9" customFormat="false" ht="12.75" hidden="false" customHeight="false" outlineLevel="0" collapsed="false">
      <c r="A9" s="834"/>
      <c r="B9" s="835"/>
      <c r="C9" s="834" t="s">
        <v>1379</v>
      </c>
      <c r="D9" s="834" t="s">
        <v>1353</v>
      </c>
      <c r="E9" s="834" t="s">
        <v>1380</v>
      </c>
      <c r="F9" s="834" t="s">
        <v>1381</v>
      </c>
      <c r="G9" s="834" t="s">
        <v>1382</v>
      </c>
      <c r="H9" s="834" t="s">
        <v>1383</v>
      </c>
      <c r="I9" s="834" t="s">
        <v>1384</v>
      </c>
      <c r="J9" s="834" t="s">
        <v>1379</v>
      </c>
      <c r="K9" s="834" t="s">
        <v>1379</v>
      </c>
      <c r="L9" s="834" t="s">
        <v>1377</v>
      </c>
      <c r="M9" s="834" t="s">
        <v>1385</v>
      </c>
      <c r="N9" s="836" t="s">
        <v>1378</v>
      </c>
      <c r="O9" s="834" t="s">
        <v>1378</v>
      </c>
      <c r="P9" s="837" t="s">
        <v>1358</v>
      </c>
      <c r="Q9" s="838" t="s">
        <v>1358</v>
      </c>
      <c r="R9" s="839" t="s">
        <v>1358</v>
      </c>
      <c r="S9" s="837" t="s">
        <v>1359</v>
      </c>
      <c r="T9" s="838" t="s">
        <v>1359</v>
      </c>
      <c r="U9" s="839" t="s">
        <v>1359</v>
      </c>
      <c r="V9" s="837" t="s">
        <v>1360</v>
      </c>
      <c r="W9" s="838" t="s">
        <v>1360</v>
      </c>
      <c r="X9" s="839" t="s">
        <v>1360</v>
      </c>
      <c r="Y9" s="837" t="s">
        <v>1361</v>
      </c>
      <c r="Z9" s="838" t="s">
        <v>1361</v>
      </c>
      <c r="AA9" s="838" t="s">
        <v>1361</v>
      </c>
      <c r="AB9" s="837" t="s">
        <v>894</v>
      </c>
      <c r="AC9" s="838" t="s">
        <v>894</v>
      </c>
      <c r="AD9" s="838" t="s">
        <v>894</v>
      </c>
      <c r="AE9" s="837" t="s">
        <v>1362</v>
      </c>
      <c r="AF9" s="838" t="s">
        <v>1362</v>
      </c>
      <c r="AG9" s="838" t="s">
        <v>1362</v>
      </c>
      <c r="AH9" s="837" t="s">
        <v>1386</v>
      </c>
      <c r="AI9" s="838" t="s">
        <v>1386</v>
      </c>
      <c r="AJ9" s="838" t="s">
        <v>1386</v>
      </c>
      <c r="AK9" s="840" t="s">
        <v>1387</v>
      </c>
      <c r="AL9" s="840" t="s">
        <v>1387</v>
      </c>
      <c r="AM9" s="840" t="s">
        <v>1388</v>
      </c>
      <c r="AN9" s="840" t="s">
        <v>1388</v>
      </c>
      <c r="AO9" s="841" t="s">
        <v>1389</v>
      </c>
      <c r="AP9" s="841" t="s">
        <v>887</v>
      </c>
      <c r="AQ9" s="842" t="s">
        <v>1390</v>
      </c>
      <c r="AR9" s="843"/>
      <c r="AS9" s="844" t="s">
        <v>1391</v>
      </c>
      <c r="AT9" s="830"/>
      <c r="AU9" s="830" t="s">
        <v>1392</v>
      </c>
      <c r="AV9" s="830" t="s">
        <v>1392</v>
      </c>
      <c r="AW9" s="830"/>
      <c r="AX9" s="836" t="s">
        <v>1378</v>
      </c>
      <c r="AY9" s="834" t="s">
        <v>1378</v>
      </c>
      <c r="AZ9" s="830"/>
      <c r="BA9" s="845" t="n">
        <v>0.95</v>
      </c>
      <c r="BB9" s="845" t="n">
        <v>0.05</v>
      </c>
      <c r="BC9" s="845" t="n">
        <v>0</v>
      </c>
      <c r="BD9" s="830"/>
      <c r="BE9" s="830"/>
      <c r="BF9" s="830"/>
      <c r="BG9" s="830"/>
      <c r="BH9" s="830"/>
      <c r="BI9" s="830"/>
      <c r="BJ9" s="830"/>
      <c r="BK9" s="830"/>
      <c r="BL9" s="845" t="n">
        <v>0.95</v>
      </c>
      <c r="BM9" s="845" t="n">
        <v>0.05</v>
      </c>
      <c r="BN9" s="845" t="n">
        <v>0</v>
      </c>
      <c r="BO9" s="830"/>
      <c r="BP9" s="830"/>
      <c r="BQ9" s="830"/>
      <c r="BR9" s="830"/>
      <c r="BS9" s="830"/>
      <c r="BT9" s="830"/>
      <c r="BU9" s="832"/>
      <c r="BV9" s="832"/>
      <c r="BW9" s="830"/>
      <c r="BX9" s="830"/>
      <c r="BY9" s="830"/>
      <c r="BZ9" s="830"/>
      <c r="CA9" s="830"/>
      <c r="CB9" s="830"/>
      <c r="CC9" s="830"/>
      <c r="CD9" s="830"/>
      <c r="CE9" s="830"/>
      <c r="CF9" s="830"/>
      <c r="CG9" s="830"/>
      <c r="CH9" s="830"/>
      <c r="CI9" s="830"/>
      <c r="CJ9" s="830"/>
      <c r="CK9" s="830"/>
      <c r="CL9" s="834"/>
      <c r="CM9" s="830"/>
      <c r="CN9" s="830"/>
      <c r="CO9" s="830"/>
      <c r="CP9" s="830"/>
      <c r="CQ9" s="830"/>
      <c r="CR9" s="830"/>
      <c r="CS9" s="830"/>
      <c r="CT9" s="830"/>
      <c r="CU9" s="830"/>
      <c r="CV9" s="830"/>
      <c r="CW9" s="830"/>
      <c r="CX9" s="830"/>
      <c r="CY9" s="830"/>
      <c r="CZ9" s="830"/>
      <c r="DA9" s="830"/>
      <c r="DB9" s="830"/>
      <c r="DC9" s="830"/>
      <c r="DD9" s="830"/>
      <c r="DE9" s="830"/>
      <c r="DF9" s="830"/>
      <c r="DG9" s="830"/>
      <c r="DH9" s="846" t="s">
        <v>1378</v>
      </c>
      <c r="DI9" s="846" t="s">
        <v>1378</v>
      </c>
      <c r="DJ9" s="846"/>
      <c r="DK9" s="833" t="s">
        <v>1393</v>
      </c>
      <c r="DL9" s="834" t="s">
        <v>1394</v>
      </c>
      <c r="DM9" s="830"/>
      <c r="DN9" s="847" t="s">
        <v>1395</v>
      </c>
      <c r="DO9" s="847" t="s">
        <v>1394</v>
      </c>
      <c r="DP9" s="830"/>
      <c r="DQ9" s="845"/>
      <c r="DR9" s="845"/>
      <c r="DS9" s="830"/>
      <c r="DT9" s="830"/>
      <c r="DU9" s="830"/>
      <c r="DV9" s="830"/>
      <c r="DW9" s="830"/>
      <c r="DX9" s="830"/>
    </row>
    <row r="10" customFormat="false" ht="12.75" hidden="false" customHeight="false" outlineLevel="0" collapsed="false">
      <c r="A10" s="834" t="s">
        <v>1396</v>
      </c>
      <c r="B10" s="835" t="s">
        <v>1397</v>
      </c>
      <c r="C10" s="834" t="s">
        <v>1398</v>
      </c>
      <c r="D10" s="834" t="s">
        <v>1389</v>
      </c>
      <c r="E10" s="834" t="s">
        <v>1399</v>
      </c>
      <c r="F10" s="834" t="s">
        <v>1400</v>
      </c>
      <c r="G10" s="834" t="s">
        <v>1400</v>
      </c>
      <c r="H10" s="834" t="s">
        <v>1401</v>
      </c>
      <c r="I10" s="834" t="s">
        <v>1401</v>
      </c>
      <c r="J10" s="834" t="s">
        <v>1402</v>
      </c>
      <c r="K10" s="834" t="s">
        <v>1402</v>
      </c>
      <c r="L10" s="834" t="s">
        <v>1394</v>
      </c>
      <c r="M10" s="834" t="s">
        <v>1403</v>
      </c>
      <c r="N10" s="836" t="s">
        <v>1404</v>
      </c>
      <c r="O10" s="834" t="s">
        <v>1405</v>
      </c>
      <c r="P10" s="837" t="s">
        <v>1389</v>
      </c>
      <c r="Q10" s="838" t="s">
        <v>1406</v>
      </c>
      <c r="R10" s="839" t="s">
        <v>1407</v>
      </c>
      <c r="S10" s="837" t="s">
        <v>1389</v>
      </c>
      <c r="T10" s="838" t="s">
        <v>1406</v>
      </c>
      <c r="U10" s="839" t="s">
        <v>1407</v>
      </c>
      <c r="V10" s="837" t="s">
        <v>1389</v>
      </c>
      <c r="W10" s="838" t="s">
        <v>1406</v>
      </c>
      <c r="X10" s="839" t="s">
        <v>1407</v>
      </c>
      <c r="Y10" s="837" t="s">
        <v>1408</v>
      </c>
      <c r="Z10" s="838" t="s">
        <v>1409</v>
      </c>
      <c r="AA10" s="838" t="s">
        <v>1407</v>
      </c>
      <c r="AB10" s="837" t="s">
        <v>1408</v>
      </c>
      <c r="AC10" s="838" t="s">
        <v>1409</v>
      </c>
      <c r="AD10" s="838" t="s">
        <v>1407</v>
      </c>
      <c r="AE10" s="837" t="s">
        <v>1408</v>
      </c>
      <c r="AF10" s="838" t="s">
        <v>1409</v>
      </c>
      <c r="AG10" s="838" t="s">
        <v>1407</v>
      </c>
      <c r="AH10" s="837" t="s">
        <v>1408</v>
      </c>
      <c r="AI10" s="838" t="s">
        <v>1409</v>
      </c>
      <c r="AJ10" s="838" t="s">
        <v>1407</v>
      </c>
      <c r="AK10" s="840" t="s">
        <v>1410</v>
      </c>
      <c r="AL10" s="840" t="s">
        <v>1411</v>
      </c>
      <c r="AM10" s="840" t="s">
        <v>1412</v>
      </c>
      <c r="AN10" s="840" t="s">
        <v>1413</v>
      </c>
      <c r="AO10" s="832" t="n">
        <f aca="false">XNPV(Breakout!$C$5,AO11:AO131,$B$11:$B$131)</f>
        <v>324394762.653618</v>
      </c>
      <c r="AP10" s="832" t="n">
        <f aca="false">XNPV(Breakout!$C$5,AP11:AP131,$B$11:$B$131)</f>
        <v>329915029.969487</v>
      </c>
      <c r="AQ10" s="832" t="n">
        <f aca="false">XNPV(Breakout!$C$5,$AQ$11:$AQ$131,$B$11:$B$131)</f>
        <v>7456606.4808598</v>
      </c>
      <c r="AR10" s="832"/>
      <c r="AS10" s="832" t="n">
        <f aca="false">XNPV(Breakout!$C$5,AS11:AS131,$B$11:$B$131)</f>
        <v>-1095700.68790454</v>
      </c>
      <c r="AT10" s="830"/>
      <c r="AU10" s="830" t="s">
        <v>1358</v>
      </c>
      <c r="AV10" s="830" t="s">
        <v>1359</v>
      </c>
      <c r="AW10" s="830"/>
      <c r="AX10" s="836" t="s">
        <v>1404</v>
      </c>
      <c r="AY10" s="834" t="s">
        <v>1405</v>
      </c>
      <c r="AZ10" s="830"/>
      <c r="BA10" s="830" t="n">
        <f aca="false">XNPV(Breakout!$C$5,BA11:BA131,$B$11:$B$131)</f>
        <v>28801010.0994172</v>
      </c>
      <c r="BB10" s="830" t="n">
        <f aca="false">XNPV(Breakout!$C$5,BB11:BB131,$B$11:$B$131)</f>
        <v>-1113760.22611979</v>
      </c>
      <c r="BC10" s="830" t="n">
        <f aca="false">XNPV(Breakout!$C$5,BC11:BC131,$B$11:$B$131)</f>
        <v>-135322.664697922</v>
      </c>
      <c r="BD10" s="830" t="n">
        <f aca="false">XNPV(Breakout!$C$5,BD11:BD131,$B$11:$B$131)</f>
        <v>2516087.21042088</v>
      </c>
      <c r="BE10" s="830" t="n">
        <f aca="false">XNPV(Breakout!$C$5,BE11:BE131,$B$11:$B$131)</f>
        <v>367825.418072649</v>
      </c>
      <c r="BF10" s="830" t="n">
        <f aca="false">XNPV(Breakout!$C$5,BF11:BF131,$B$11:$B$131)</f>
        <v>31860.3309685985</v>
      </c>
      <c r="BG10" s="830" t="n">
        <f aca="false">XNPV(Breakout!$C$5,BG11:BG131,$B$11:$B$131)</f>
        <v>1382229.42671374</v>
      </c>
      <c r="BH10" s="830" t="n">
        <f aca="false">XNPV(Breakout!$C$5,BH11:BH131,$B$11:$B$131)</f>
        <v>-18585116.6103635</v>
      </c>
      <c r="BI10" s="830" t="n">
        <f aca="false">XNPV(Breakout!$C$5,BI11:BI131,$B$11:$B$131)</f>
        <v>-3658206.50355203</v>
      </c>
      <c r="BJ10" s="832" t="n">
        <f aca="false">SUM(BA10:BI10)</f>
        <v>9606606.48085978</v>
      </c>
      <c r="BK10" s="830"/>
      <c r="BL10" s="830" t="n">
        <f aca="false">XNPV(Breakout!$C$5,BL11:BL131,$B$11:$B$131)</f>
        <v>38501773.4287041</v>
      </c>
      <c r="BM10" s="830" t="n">
        <f aca="false">XNPV(Breakout!$C$5,BM11:BM131,$B$11:$B$131)</f>
        <v>-770071.546070191</v>
      </c>
      <c r="BN10" s="830" t="n">
        <f aca="false">XNPV(Breakout!$C$5,BN11:BN131,$B$11:$B$131)</f>
        <v>37678.0975343123</v>
      </c>
      <c r="BO10" s="830" t="n">
        <f aca="false">XNPV(Breakout!$C$5,BO11:BO131,$B$11:$B$131)</f>
        <v>3774505.85655134</v>
      </c>
      <c r="BP10" s="830" t="n">
        <f aca="false">XNPV(Breakout!$C$5,BP11:BP131,$B$11:$B$131)</f>
        <v>1525665.94403984</v>
      </c>
      <c r="BQ10" s="830" t="n">
        <f aca="false">XNPV(Breakout!$C$5,BQ11:BQ131,$B$11:$B$131)</f>
        <v>910335.998277505</v>
      </c>
      <c r="BR10" s="830" t="n">
        <f aca="false">XNPV(Breakout!$C$5,BR11:BR131,$B$11:$B$131)</f>
        <v>1440050.53708548</v>
      </c>
      <c r="BS10" s="830" t="n">
        <f aca="false">XNPV(Breakout!$C$5,BS11:BS131,$B$11:$B$131)</f>
        <v>-18585116.6103635</v>
      </c>
      <c r="BT10" s="830" t="n">
        <f aca="false">XNPV(Breakout!$C$5,BT11:BT131,$B$11:$B$131)</f>
        <v>-3658206.50355203</v>
      </c>
      <c r="BU10" s="832" t="n">
        <f aca="false">SUM(BL10:BT10)</f>
        <v>23176615.2022068</v>
      </c>
      <c r="BV10" s="832"/>
      <c r="BW10" s="830"/>
      <c r="BX10" s="830"/>
      <c r="BY10" s="830"/>
      <c r="BZ10" s="830"/>
      <c r="CA10" s="830"/>
      <c r="CB10" s="830"/>
      <c r="CC10" s="830"/>
      <c r="CD10" s="830"/>
      <c r="CE10" s="830"/>
      <c r="CF10" s="830"/>
      <c r="CG10" s="830"/>
      <c r="CH10" s="830"/>
      <c r="CI10" s="830"/>
      <c r="CJ10" s="830"/>
      <c r="CK10" s="830"/>
      <c r="CL10" s="830" t="n">
        <f aca="false">XNPV(Breakout!$C$5,CL11:CL131,B11:B131)</f>
        <v>-3519085.25564549</v>
      </c>
      <c r="CM10" s="830"/>
      <c r="CN10" s="830" t="n">
        <f aca="false">XNPV(Breakout!$C$5,CN11:CN131,$B$11:$B$131)</f>
        <v>2150000</v>
      </c>
      <c r="CO10" s="830"/>
      <c r="CP10" s="830"/>
      <c r="CQ10" s="830"/>
      <c r="CR10" s="830"/>
      <c r="CS10" s="830"/>
      <c r="CT10" s="830"/>
      <c r="CU10" s="830"/>
      <c r="CV10" s="830"/>
      <c r="CW10" s="830"/>
      <c r="CX10" s="830"/>
      <c r="CY10" s="830"/>
      <c r="CZ10" s="830"/>
      <c r="DA10" s="830"/>
      <c r="DB10" s="830"/>
      <c r="DC10" s="830"/>
      <c r="DD10" s="830"/>
      <c r="DE10" s="830"/>
      <c r="DF10" s="830"/>
      <c r="DG10" s="830"/>
      <c r="DH10" s="846" t="s">
        <v>1404</v>
      </c>
      <c r="DI10" s="846" t="s">
        <v>1405</v>
      </c>
      <c r="DJ10" s="846"/>
      <c r="DK10" s="830"/>
      <c r="DL10" s="834" t="s">
        <v>890</v>
      </c>
      <c r="DM10" s="830"/>
      <c r="DN10" s="830" t="n">
        <f aca="false">XNPV(Breakout!$C$5,DN11:DN131,$B$11:$B$131)</f>
        <v>-38324060.7321644</v>
      </c>
      <c r="DO10" s="830" t="n">
        <f aca="false">XNPV(Breakout!$C$5,DO11:DO131,$B$11:$B$131)</f>
        <v>25438949.8329068</v>
      </c>
      <c r="DP10" s="830"/>
      <c r="DQ10" s="830" t="n">
        <f aca="false">XNPV(Breakout!$C$5,DQ11:DQ131,$B$11:$B$131)</f>
        <v>26260918.0744094</v>
      </c>
      <c r="DR10" s="830" t="n">
        <f aca="false">XNPV(Breakout!$C$5,DR11:DR131,$B$11:$B$131)</f>
        <v>-1414327.09103307</v>
      </c>
      <c r="DS10" s="830"/>
      <c r="DT10" s="830"/>
      <c r="DU10" s="830"/>
      <c r="DV10" s="830"/>
      <c r="DW10" s="830"/>
      <c r="DX10" s="830"/>
    </row>
    <row r="11" customFormat="false" ht="12.75" hidden="false" customHeight="false" outlineLevel="0" collapsed="false">
      <c r="A11" s="834"/>
      <c r="B11" s="835" t="n">
        <v>36434</v>
      </c>
      <c r="C11" s="834"/>
      <c r="D11" s="834"/>
      <c r="E11" s="834"/>
      <c r="F11" s="834"/>
      <c r="G11" s="834"/>
      <c r="H11" s="834"/>
      <c r="I11" s="834"/>
      <c r="J11" s="848"/>
      <c r="K11" s="849"/>
      <c r="L11" s="848" t="n">
        <v>0</v>
      </c>
      <c r="M11" s="834"/>
      <c r="N11" s="850" t="n">
        <f aca="false">IF(A11&lt;$B$8,0,-$R$5/12)</f>
        <v>0</v>
      </c>
      <c r="O11" s="850" t="n">
        <f aca="false">IF(A11&lt;$B$8,0,-$S$5/12)</f>
        <v>0</v>
      </c>
      <c r="P11" s="837"/>
      <c r="Q11" s="838"/>
      <c r="R11" s="839"/>
      <c r="S11" s="837"/>
      <c r="T11" s="838"/>
      <c r="U11" s="839"/>
      <c r="V11" s="837"/>
      <c r="W11" s="838"/>
      <c r="X11" s="839"/>
      <c r="Y11" s="837"/>
      <c r="Z11" s="837"/>
      <c r="AA11" s="838"/>
      <c r="AB11" s="837"/>
      <c r="AC11" s="838"/>
      <c r="AD11" s="838"/>
      <c r="AE11" s="837"/>
      <c r="AF11" s="838"/>
      <c r="AG11" s="838"/>
      <c r="AH11" s="837"/>
      <c r="AI11" s="838"/>
      <c r="AJ11" s="838"/>
      <c r="AK11" s="840"/>
      <c r="AL11" s="840"/>
      <c r="AM11" s="840"/>
      <c r="AN11" s="840"/>
      <c r="AO11" s="774" t="n">
        <f aca="false">(P11+S11+V11)+Y11+AB11+AE11+AH11</f>
        <v>0</v>
      </c>
      <c r="AP11" s="774" t="n">
        <f aca="false">Q11+T11+W11+AA11+AD11+AG11+AJ11+AL11+AN11</f>
        <v>0</v>
      </c>
      <c r="AQ11" s="775" t="n">
        <f aca="false">P11+S11+V11+Y11+AB11+AE11+AH11-Q11-T11-W11-Z11-AC11-AF11-AI11-AK11-AM11-DH11-DL11-CN11</f>
        <v>-2150000</v>
      </c>
      <c r="AR11" s="830"/>
      <c r="AS11" s="776" t="n">
        <f aca="false">P11+S11+V11+Y11+AB11+AE11+AH11-R11-U11-X11-AA11-AD11-AG11-AJ11-AL11-AN11-O11-L11-CN11</f>
        <v>-2150000</v>
      </c>
      <c r="AT11" s="830"/>
      <c r="AU11" s="830" t="s">
        <v>1414</v>
      </c>
      <c r="AV11" s="830" t="s">
        <v>1415</v>
      </c>
      <c r="AW11" s="830"/>
      <c r="AX11" s="851" t="n">
        <f aca="false">IF(A11&lt;$AX$6,0,-$R$5/12)</f>
        <v>0</v>
      </c>
      <c r="AY11" s="417" t="n">
        <f aca="false">IF(A11&lt;$AX$6,0,-$S$5/12)</f>
        <v>0</v>
      </c>
      <c r="AZ11" s="830"/>
      <c r="BA11" s="772" t="n">
        <f aca="false">P11-IF($BL$4="mid",Q11,R11)-$BL$9*(IF($BL$4="mid",N11,O11)+IF($BL$4="mid",DL11,L11))</f>
        <v>0</v>
      </c>
      <c r="BB11" s="772" t="n">
        <f aca="false">S11-IF($BL$4="mid",T11,U11)-$BM$9*(IF($BL$4="mid",N11,O11)+IF($BL$4="mid",DL11,L11))</f>
        <v>0</v>
      </c>
      <c r="BC11" s="772" t="n">
        <f aca="false">V11-IF($BL$4="mid",W11,X11)-$BN$9*(IF($BL$4="mid",N11,O11)+IF($BL$4="mid",DL11,L11))</f>
        <v>0</v>
      </c>
      <c r="BD11" s="772" t="n">
        <f aca="false">Y11-IF($BL$4="mid",Z11,AA11)</f>
        <v>0</v>
      </c>
      <c r="BE11" s="772" t="n">
        <f aca="false">AB11-IF($BL$4="mid",AC11,AD11)</f>
        <v>0</v>
      </c>
      <c r="BF11" s="772" t="n">
        <f aca="false">AE11-IF($BL$4="mid",AF11,AG11)</f>
        <v>0</v>
      </c>
      <c r="BG11" s="772" t="n">
        <f aca="false">AH11-IF($BL$4="mid",AI11,AJ11)</f>
        <v>0</v>
      </c>
      <c r="BH11" s="772" t="n">
        <f aca="false">-IF($BL$4="mid",AK11,AL11)</f>
        <v>-0</v>
      </c>
      <c r="BI11" s="772" t="n">
        <f aca="false">-IF($BL$4="mid",AM11,AN11)</f>
        <v>-0</v>
      </c>
      <c r="BJ11" s="830"/>
      <c r="BK11" s="830"/>
      <c r="BL11" s="772" t="n">
        <f aca="false">BW11-IF($BL$4="mid",Q11,R11)-$BL$9*(IF($BL$4="mid",N11,O11)+IF($BL$4="mid",DL11,L11))</f>
        <v>0</v>
      </c>
      <c r="BM11" s="772" t="n">
        <f aca="false">BX11-IF($BL$4="mid",T11,U11)-$BM$9*(IF($BL$4="mid",N11,O11)+IF($BL$4="mid",DL11,L11))</f>
        <v>0</v>
      </c>
      <c r="BN11" s="772" t="n">
        <f aca="false">BY11-IF($BL$4="mid",W11,X11)-$BN$9*(IF($BL$4="mid",N11,O11)+IF($BL$4="mid",DL11,L11))</f>
        <v>0</v>
      </c>
      <c r="BO11" s="772" t="n">
        <f aca="false">BZ11-IF($BL$4="mid",Z11,AA11)</f>
        <v>0</v>
      </c>
      <c r="BP11" s="772" t="n">
        <f aca="false">CA11-IF($BL$4="mid",AC11,AD11)</f>
        <v>0</v>
      </c>
      <c r="BQ11" s="772" t="n">
        <f aca="false">CB11-IF($BL$4="mid",AF11,AG11)</f>
        <v>0</v>
      </c>
      <c r="BR11" s="772" t="n">
        <f aca="false">CC11-IF($BL$4="mid",AI11,AJ11)</f>
        <v>0</v>
      </c>
      <c r="BS11" s="772" t="n">
        <f aca="false">-IF($BL$4="mid",AK11,AL11)</f>
        <v>-0</v>
      </c>
      <c r="BT11" s="772" t="n">
        <f aca="false">-IF($BL$4="mid",AM11,AN11)</f>
        <v>-0</v>
      </c>
      <c r="BU11" s="830"/>
      <c r="BV11" s="830"/>
      <c r="BW11" s="830" t="n">
        <v>0</v>
      </c>
      <c r="BX11" s="830" t="n">
        <v>0</v>
      </c>
      <c r="BY11" s="830" t="n">
        <v>0</v>
      </c>
      <c r="BZ11" s="830" t="n">
        <v>0</v>
      </c>
      <c r="CA11" s="830" t="n">
        <v>0</v>
      </c>
      <c r="CB11" s="830" t="n">
        <v>0</v>
      </c>
      <c r="CC11" s="830" t="n">
        <v>0</v>
      </c>
      <c r="CD11" s="830"/>
      <c r="CE11" s="852" t="n">
        <f aca="false">P11/0.96</f>
        <v>0</v>
      </c>
      <c r="CF11" s="852" t="n">
        <f aca="false">S11/0.96</f>
        <v>0</v>
      </c>
      <c r="CG11" s="852" t="n">
        <f aca="false">V11/0.96</f>
        <v>0</v>
      </c>
      <c r="CH11" s="830"/>
      <c r="CI11" s="852" t="n">
        <f aca="false">N11</f>
        <v>0</v>
      </c>
      <c r="CJ11" s="852" t="n">
        <f aca="false">O11</f>
        <v>0</v>
      </c>
      <c r="CK11" s="830"/>
      <c r="CL11" s="830" t="n">
        <v>0</v>
      </c>
      <c r="CM11" s="830"/>
      <c r="CN11" s="830" t="n">
        <f aca="false">'wholesale services'!C29</f>
        <v>2150000</v>
      </c>
      <c r="CO11" s="830"/>
      <c r="CP11" s="830"/>
      <c r="CQ11" s="830"/>
      <c r="CR11" s="830"/>
      <c r="CS11" s="830"/>
      <c r="CT11" s="830"/>
      <c r="CU11" s="830"/>
      <c r="CV11" s="830"/>
      <c r="CW11" s="830"/>
      <c r="CX11" s="830"/>
      <c r="CY11" s="830"/>
      <c r="CZ11" s="830"/>
      <c r="DA11" s="830"/>
      <c r="DB11" s="830"/>
      <c r="DC11" s="830"/>
      <c r="DD11" s="830"/>
      <c r="DE11" s="830"/>
      <c r="DF11" s="830"/>
      <c r="DG11" s="830"/>
      <c r="DH11" s="417" t="n">
        <v>0</v>
      </c>
      <c r="DI11" s="417" t="n">
        <v>0</v>
      </c>
      <c r="DJ11" s="417"/>
      <c r="DK11" s="830"/>
      <c r="DL11" s="848"/>
      <c r="DM11" s="830"/>
      <c r="DN11" s="417" t="n">
        <f aca="false">IF($BL$4="mid",DH11,DI11)</f>
        <v>0</v>
      </c>
      <c r="DO11" s="417" t="n">
        <f aca="false">IF($BL$4="mid",DL11,L11)</f>
        <v>0</v>
      </c>
      <c r="DP11" s="830"/>
      <c r="DQ11" s="772" t="n">
        <f aca="false">BW11-IF($BL$4="mid",Q11,R11)</f>
        <v>0</v>
      </c>
      <c r="DR11" s="772" t="n">
        <f aca="false">BX11-IF($BL$4="mid",T11,U11)</f>
        <v>0</v>
      </c>
      <c r="DS11" s="830"/>
      <c r="DT11" s="830"/>
      <c r="DU11" s="830"/>
      <c r="DV11" s="830"/>
      <c r="DW11" s="830"/>
      <c r="DX11" s="830"/>
    </row>
    <row r="12" customFormat="false" ht="12.75" hidden="false" customHeight="false" outlineLevel="0" collapsed="false">
      <c r="A12" s="853" t="n">
        <v>1</v>
      </c>
      <c r="B12" s="854" t="n">
        <v>36526</v>
      </c>
      <c r="C12" s="417" t="n">
        <v>-2369920</v>
      </c>
      <c r="D12" s="417" t="n">
        <v>0</v>
      </c>
      <c r="E12" s="417" t="n">
        <v>0</v>
      </c>
      <c r="F12" s="417" t="n">
        <v>0</v>
      </c>
      <c r="G12" s="417" t="n">
        <v>0</v>
      </c>
      <c r="H12" s="417" t="n">
        <v>0</v>
      </c>
      <c r="I12" s="416" t="n">
        <v>-2369920</v>
      </c>
      <c r="J12" s="417" t="n">
        <f aca="false">I12</f>
        <v>-2369920</v>
      </c>
      <c r="K12" s="416" t="n">
        <f aca="false">I12*(1+$L$2)^($A$25-A12+1)</f>
        <v>-2684159.22114659</v>
      </c>
      <c r="L12" s="417" t="n">
        <v>0</v>
      </c>
      <c r="M12" s="417" t="n">
        <f aca="false">-J12</f>
        <v>2369920</v>
      </c>
      <c r="N12" s="850" t="n">
        <f aca="false">IF(A12&lt;$B$8,0,-$R$5/12)</f>
        <v>0</v>
      </c>
      <c r="O12" s="850" t="n">
        <f aca="false">IF(A12&lt;$B$8,0,-$S$5/12)</f>
        <v>0</v>
      </c>
      <c r="P12" s="769" t="n">
        <f aca="false">Breakout!$C$16/12</f>
        <v>3375572.64</v>
      </c>
      <c r="Q12" s="770" t="n">
        <f aca="false">'wholesale services'!$D$110*'wholesale services'!$D$111/12</f>
        <v>3250582.5</v>
      </c>
      <c r="R12" s="770" t="n">
        <v>3320487.5</v>
      </c>
      <c r="S12" s="769" t="n">
        <f aca="false">Breakout!$C$27/12</f>
        <v>119593.28</v>
      </c>
      <c r="T12" s="770" t="n">
        <f aca="false">'wholesale services'!$D$113*'wholesale services'!$D$114/12</f>
        <v>142350.959225704</v>
      </c>
      <c r="U12" s="770" t="n">
        <v>145256.080842555</v>
      </c>
      <c r="V12" s="769" t="n">
        <f aca="false">Breakout!$C$38/12</f>
        <v>60199.04</v>
      </c>
      <c r="W12" s="772" t="n">
        <f aca="false">Breakout!$C$39/12</f>
        <v>57970</v>
      </c>
      <c r="X12" s="772" t="n">
        <v>58593.3333333333</v>
      </c>
      <c r="Y12" s="769" t="n">
        <f aca="false">Breakout!$C$49/12</f>
        <v>437891.68</v>
      </c>
      <c r="Z12" s="770" t="n">
        <f aca="false">Breakout!$C$50/12</f>
        <v>387894.31527551</v>
      </c>
      <c r="AA12" s="770" t="n">
        <v>407456.021211913</v>
      </c>
      <c r="AB12" s="769" t="n">
        <f aca="false">Breakout!$C$60/12</f>
        <v>402893.53201088</v>
      </c>
      <c r="AC12" s="770" t="n">
        <f aca="false">Breakout!$C$61/12</f>
        <v>384290.911047063</v>
      </c>
      <c r="AD12" s="770" t="n">
        <v>396273.255712227</v>
      </c>
      <c r="AE12" s="769" t="n">
        <f aca="false">Breakout!$C$71/12</f>
        <v>305682.99904</v>
      </c>
      <c r="AF12" s="770" t="n">
        <f aca="false">Breakout!$C$72/12</f>
        <v>316520.666666667</v>
      </c>
      <c r="AG12" s="770" t="n">
        <v>316520.666666667</v>
      </c>
      <c r="AH12" s="769" t="n">
        <f aca="false">Breakout!$C$82/12</f>
        <v>20120</v>
      </c>
      <c r="AI12" s="770" t="n">
        <f aca="false">Breakout!$C$83/12</f>
        <v>0</v>
      </c>
      <c r="AJ12" s="770" t="n">
        <v>0</v>
      </c>
      <c r="AK12" s="773" t="n">
        <f aca="false">Breakout!$C$91/12</f>
        <v>270528.567091457</v>
      </c>
      <c r="AL12" s="773" t="n">
        <v>270528.567091457</v>
      </c>
      <c r="AM12" s="773" t="n">
        <f aca="false">(Breakout!$C$107/12)*(-1)</f>
        <v>55221.25</v>
      </c>
      <c r="AN12" s="773" t="n">
        <v>55221.25</v>
      </c>
      <c r="AO12" s="774" t="n">
        <f aca="false">(P12+S12+V12)+Y12+AB12+AE12+AH12</f>
        <v>4721953.17105088</v>
      </c>
      <c r="AP12" s="774" t="n">
        <f aca="false">Q12+T12+W12+AA12+AD12+AG12+AJ12+AL12+AN12</f>
        <v>4896903.21990797</v>
      </c>
      <c r="AQ12" s="775" t="n">
        <f aca="false">P12+S12+V12+Y12+AB12+AE12+AH12-Q12-T12-W12-Z12-AC12-AF12-AI12-AK12-AM12-DH12-DL12-CN12</f>
        <v>-143405.998255519</v>
      </c>
      <c r="AS12" s="776" t="n">
        <f aca="false">P12+S12+V12+Y12+AB12+AE12+AH12-R12-U12-X12-AA12-AD12-AG12-AJ12-AL12-AN12-O12-L12-CN12</f>
        <v>-248383.503807272</v>
      </c>
      <c r="AU12" s="770" t="n">
        <f aca="false">'wholesale services'!$D$110/12</f>
        <v>48545138.8888889</v>
      </c>
      <c r="AV12" s="770" t="n">
        <f aca="false">'wholesale services'!$D$113/12</f>
        <v>24766.6666666667</v>
      </c>
      <c r="AX12" s="851" t="n">
        <f aca="false">IF(A12&lt;$AX$6,0,-$R$5/12)</f>
        <v>0</v>
      </c>
      <c r="AY12" s="417" t="n">
        <f aca="false">IF(A12&lt;$AX$6,0,-$S$5/12)</f>
        <v>0</v>
      </c>
      <c r="BA12" s="772" t="n">
        <f aca="false">P12-IF($BL$4="mid",Q12,R12)-$BL$9*(IF($BL$4="mid",N12,O12)+IF($BL$4="mid",DL12,L12))</f>
        <v>124990.140000001</v>
      </c>
      <c r="BB12" s="772" t="n">
        <f aca="false">S12-IF($BL$4="mid",T12,U12)-$BM$9*(IF($BL$4="mid",N12,O12)+IF($BL$4="mid",DL12,L12))</f>
        <v>-22757.6792257039</v>
      </c>
      <c r="BC12" s="772" t="n">
        <f aca="false">V12-IF($BL$4="mid",W12,X12)-$BN$9*(IF($BL$4="mid",N12,O12)+IF($BL$4="mid",DL12,L12))</f>
        <v>2229.04</v>
      </c>
      <c r="BD12" s="772" t="n">
        <f aca="false">Y12-IF($BL$4="mid",Z12,AA12)</f>
        <v>49997.36472449</v>
      </c>
      <c r="BE12" s="772" t="n">
        <f aca="false">AB12-IF($BL$4="mid",AC12,AD12)</f>
        <v>18602.6209638173</v>
      </c>
      <c r="BF12" s="772" t="n">
        <f aca="false">AE12-IF($BL$4="mid",AF12,AG12)</f>
        <v>-10837.6676266667</v>
      </c>
      <c r="BG12" s="772" t="n">
        <f aca="false">AH12-IF($BL$4="mid",AI12,AJ12)</f>
        <v>20120</v>
      </c>
      <c r="BH12" s="772" t="n">
        <f aca="false">-IF($BL$4="mid",AK12,AL12)</f>
        <v>-270528.567091457</v>
      </c>
      <c r="BI12" s="772" t="n">
        <f aca="false">-IF($BL$4="mid",AM12,AN12)</f>
        <v>-55221.25</v>
      </c>
      <c r="BL12" s="772" t="n">
        <f aca="false">BW12-IF($BL$4="mid",Q12,R12)-$BL$9*(IF($BL$4="mid",N12,O12)+IF($BL$4="mid",DL12,L12))</f>
        <v>265639</v>
      </c>
      <c r="BM12" s="772" t="n">
        <f aca="false">BX12-IF($BL$4="mid",T12,U12)-$BM$9*(IF($BL$4="mid",N12,O12)+IF($BL$4="mid",DL12,L12))</f>
        <v>-17774.6258923705</v>
      </c>
      <c r="BN12" s="772" t="n">
        <f aca="false">BY12-IF($BL$4="mid",W12,X12)-$BN$9*(IF($BL$4="mid",N12,O12)+IF($BL$4="mid",DL12,L12))</f>
        <v>4737.33333333334</v>
      </c>
      <c r="BO12" s="772" t="n">
        <f aca="false">BZ12-IF($BL$4="mid",Z12,AA12)</f>
        <v>68242.8513911567</v>
      </c>
      <c r="BP12" s="772" t="n">
        <f aca="false">CA12-IF($BL$4="mid",AC12,AD12)</f>
        <v>35389.8514642707</v>
      </c>
      <c r="BQ12" s="772" t="n">
        <f aca="false">CB12-IF($BL$4="mid",AF12,AG12)</f>
        <v>1899.12399999995</v>
      </c>
      <c r="BR12" s="772" t="n">
        <f aca="false">CC12-IF($BL$4="mid",AI12,AJ12)</f>
        <v>20958.3333333333</v>
      </c>
      <c r="BS12" s="772" t="n">
        <f aca="false">-IF($BL$4="mid",AK12,AL12)</f>
        <v>-270528.567091457</v>
      </c>
      <c r="BT12" s="772" t="n">
        <f aca="false">-IF($BL$4="mid",AM12,AN12)</f>
        <v>-55221.25</v>
      </c>
      <c r="BW12" s="769" t="n">
        <f aca="false">Breakout!$C$15/12</f>
        <v>3516221.5</v>
      </c>
      <c r="BX12" s="769" t="n">
        <f aca="false">Breakout!$C$26/12</f>
        <v>124576.333333333</v>
      </c>
      <c r="BY12" s="769" t="n">
        <f aca="false">Breakout!$C$37/12</f>
        <v>62707.3333333333</v>
      </c>
      <c r="BZ12" s="769" t="n">
        <f aca="false">Breakout!$C$48/12</f>
        <v>456137.166666667</v>
      </c>
      <c r="CA12" s="769" t="n">
        <f aca="false">Breakout!$C$59/12</f>
        <v>419680.762511333</v>
      </c>
      <c r="CB12" s="769" t="n">
        <f aca="false">Breakout!$C$70/12</f>
        <v>318419.790666667</v>
      </c>
      <c r="CC12" s="769" t="n">
        <f aca="false">Breakout!$C$81/12</f>
        <v>20958.3333333333</v>
      </c>
      <c r="CE12" s="852" t="n">
        <f aca="false">P12/0.96</f>
        <v>3516221.5</v>
      </c>
      <c r="CF12" s="852" t="n">
        <f aca="false">S12/0.96</f>
        <v>124576.333333333</v>
      </c>
      <c r="CG12" s="852" t="n">
        <f aca="false">V12/0.96</f>
        <v>62707.3333333333</v>
      </c>
      <c r="CI12" s="852" t="n">
        <f aca="false">N12</f>
        <v>0</v>
      </c>
      <c r="CJ12" s="852" t="n">
        <f aca="false">O12</f>
        <v>0</v>
      </c>
      <c r="CL12" s="772" t="n">
        <f aca="false">'account mgt'!$C$23/12</f>
        <v>-50916.6666666667</v>
      </c>
      <c r="CN12" s="772" t="n">
        <v>0</v>
      </c>
      <c r="CP12" s="772" t="n">
        <f aca="false">M12</f>
        <v>2369920</v>
      </c>
      <c r="CQ12" s="772" t="n">
        <f aca="false">CP12</f>
        <v>2369920</v>
      </c>
      <c r="CR12" s="772" t="n">
        <f aca="false">CQ12*$L$2</f>
        <v>21171.2853333333</v>
      </c>
      <c r="CS12" s="772" t="n">
        <f aca="false">CQ12+CR12</f>
        <v>2391091.28533333</v>
      </c>
      <c r="CX12" s="772" t="n">
        <f aca="false">CS12</f>
        <v>2391091.28533333</v>
      </c>
      <c r="DE12" s="772" t="n">
        <f aca="false">CX12</f>
        <v>2391091.28533333</v>
      </c>
      <c r="DH12" s="417" t="n">
        <v>0</v>
      </c>
      <c r="DI12" s="417" t="n">
        <v>0</v>
      </c>
      <c r="DJ12" s="417"/>
      <c r="DK12" s="417" t="n">
        <f aca="false">I12*(1+$J$2)^($A$25-A12+1)</f>
        <v>-2653287.38649777</v>
      </c>
      <c r="DL12" s="417" t="n">
        <v>0</v>
      </c>
      <c r="DN12" s="417" t="n">
        <f aca="false">IF($BL$4="mid",DH12,DI12)</f>
        <v>0</v>
      </c>
      <c r="DO12" s="417" t="n">
        <f aca="false">IF($BL$4="mid",DL12,L12)</f>
        <v>0</v>
      </c>
      <c r="DQ12" s="772" t="n">
        <f aca="false">BW12-IF($BL$4="mid",Q12,R12)</f>
        <v>265639</v>
      </c>
      <c r="DR12" s="772" t="n">
        <f aca="false">BX12-IF($BL$4="mid",T12,U12)</f>
        <v>-17774.6258923705</v>
      </c>
      <c r="DS12" s="772"/>
      <c r="DT12" s="772"/>
      <c r="DU12" s="772"/>
      <c r="DV12" s="772"/>
      <c r="DW12" s="772"/>
      <c r="DX12" s="772"/>
    </row>
    <row r="13" customFormat="false" ht="12.75" hidden="false" customHeight="false" outlineLevel="0" collapsed="false">
      <c r="A13" s="767" t="n">
        <v>2</v>
      </c>
      <c r="B13" s="854" t="n">
        <v>36557</v>
      </c>
      <c r="C13" s="417" t="n">
        <v>-2369920</v>
      </c>
      <c r="D13" s="417" t="n">
        <v>0</v>
      </c>
      <c r="E13" s="417" t="n">
        <v>0</v>
      </c>
      <c r="F13" s="417" t="n">
        <v>0</v>
      </c>
      <c r="G13" s="417" t="n">
        <v>0</v>
      </c>
      <c r="H13" s="417" t="n">
        <v>0</v>
      </c>
      <c r="I13" s="416" t="n">
        <v>-2369920</v>
      </c>
      <c r="J13" s="417" t="n">
        <f aca="false">I13</f>
        <v>-2369920</v>
      </c>
      <c r="K13" s="417" t="n">
        <f aca="false">I13*(1+$L$2)^($A$25-A13+1)</f>
        <v>-2660393.04329318</v>
      </c>
      <c r="L13" s="417" t="n">
        <v>0</v>
      </c>
      <c r="M13" s="417" t="n">
        <f aca="false">-J13</f>
        <v>2369920</v>
      </c>
      <c r="N13" s="850" t="n">
        <f aca="false">IF(A13&lt;$B$8,0,-$R$5/12)</f>
        <v>0</v>
      </c>
      <c r="O13" s="850" t="n">
        <f aca="false">IF(A13&lt;$B$8,0,-$S$5/12)</f>
        <v>0</v>
      </c>
      <c r="P13" s="769" t="n">
        <f aca="false">Breakout!$C$16/12</f>
        <v>3375572.64</v>
      </c>
      <c r="Q13" s="770" t="n">
        <f aca="false">'wholesale services'!$D$110*'wholesale services'!$D$111/12</f>
        <v>3250582.5</v>
      </c>
      <c r="R13" s="770" t="n">
        <v>3320487.5</v>
      </c>
      <c r="S13" s="769" t="n">
        <f aca="false">Breakout!$C$27/12</f>
        <v>119593.28</v>
      </c>
      <c r="T13" s="770" t="n">
        <f aca="false">'wholesale services'!$D$113*'wholesale services'!$D$114/12</f>
        <v>142350.959225704</v>
      </c>
      <c r="U13" s="770" t="n">
        <v>145256.080842555</v>
      </c>
      <c r="V13" s="769" t="n">
        <f aca="false">Breakout!$C$38/12</f>
        <v>60199.04</v>
      </c>
      <c r="W13" s="772" t="n">
        <f aca="false">Breakout!$C$39/12</f>
        <v>57970</v>
      </c>
      <c r="X13" s="772" t="n">
        <v>58593.3333333333</v>
      </c>
      <c r="Y13" s="769" t="n">
        <f aca="false">Breakout!$C$49/12</f>
        <v>437891.68</v>
      </c>
      <c r="Z13" s="770" t="n">
        <f aca="false">Breakout!$C$50/12</f>
        <v>387894.31527551</v>
      </c>
      <c r="AA13" s="770" t="n">
        <v>407456.021211913</v>
      </c>
      <c r="AB13" s="769" t="n">
        <f aca="false">Breakout!$C$60/12</f>
        <v>402893.53201088</v>
      </c>
      <c r="AC13" s="770" t="n">
        <f aca="false">Breakout!$C$61/12</f>
        <v>384290.911047063</v>
      </c>
      <c r="AD13" s="770" t="n">
        <v>396273.255712227</v>
      </c>
      <c r="AE13" s="769" t="n">
        <f aca="false">Breakout!$C$71/12</f>
        <v>305682.99904</v>
      </c>
      <c r="AF13" s="770" t="n">
        <f aca="false">Breakout!$C$72/12</f>
        <v>316520.666666667</v>
      </c>
      <c r="AG13" s="770" t="n">
        <v>316520.666666667</v>
      </c>
      <c r="AH13" s="769" t="n">
        <f aca="false">Breakout!$C$82/12</f>
        <v>20120</v>
      </c>
      <c r="AI13" s="770" t="n">
        <f aca="false">Breakout!$C$83/12</f>
        <v>0</v>
      </c>
      <c r="AJ13" s="770" t="n">
        <v>0</v>
      </c>
      <c r="AK13" s="773" t="n">
        <f aca="false">Breakout!$C$91/12</f>
        <v>270528.567091457</v>
      </c>
      <c r="AL13" s="773" t="n">
        <v>270528.567091457</v>
      </c>
      <c r="AM13" s="773" t="n">
        <f aca="false">(Breakout!$C$107/12)*-1</f>
        <v>55221.25</v>
      </c>
      <c r="AN13" s="773" t="n">
        <v>55221.25</v>
      </c>
      <c r="AO13" s="774" t="n">
        <f aca="false">(P13+S13+V13)+Y13+AB13+AE13+AH13</f>
        <v>4721953.17105088</v>
      </c>
      <c r="AP13" s="774" t="n">
        <f aca="false">Q13+T13+W13+AA13+AD13+AG13+AJ13+AL13+AN13</f>
        <v>4896903.21990797</v>
      </c>
      <c r="AQ13" s="775" t="n">
        <f aca="false">P13+S13+V13+Y13+AB13+AE13+AH13-Q13-T13-W13-Z13-AC13-AF13-AI13-AK13-AM13-DH13-DL13-CN13</f>
        <v>-143405.998255519</v>
      </c>
      <c r="AS13" s="776" t="n">
        <f aca="false">P13+S13+V13+Y13+AB13+AE13+AH13-R13-U13-X13-AA13-AD13-AG13-AJ13-AL13-AN13-O13-L13-CN13</f>
        <v>-248383.503807272</v>
      </c>
      <c r="AU13" s="770" t="n">
        <f aca="false">'wholesale services'!$D$110/12</f>
        <v>48545138.8888889</v>
      </c>
      <c r="AV13" s="770" t="n">
        <f aca="false">'wholesale services'!$D$113/12</f>
        <v>24766.6666666667</v>
      </c>
      <c r="AX13" s="851" t="n">
        <f aca="false">IF(A13&lt;$AX$6,0,-$R$5/12)</f>
        <v>0</v>
      </c>
      <c r="AY13" s="417" t="n">
        <f aca="false">IF(A13&lt;$AX$6,0,-$S$5/12)</f>
        <v>0</v>
      </c>
      <c r="BA13" s="772" t="n">
        <f aca="false">P13-IF($BL$4="mid",Q13,R13)-$BL$9*(IF($BL$4="mid",N13,O13)+IF($BL$4="mid",DL13,L13))</f>
        <v>124990.140000001</v>
      </c>
      <c r="BB13" s="772" t="n">
        <f aca="false">S13-IF($BL$4="mid",T13,U13)-$BM$9*(IF($BL$4="mid",N13,O13)+IF($BL$4="mid",DL13,L13))</f>
        <v>-22757.6792257039</v>
      </c>
      <c r="BC13" s="772" t="n">
        <f aca="false">V13-IF($BL$4="mid",W13,X13)-$BN$9*(IF($BL$4="mid",N13,O13)+IF($BL$4="mid",DL13,L13))</f>
        <v>2229.04</v>
      </c>
      <c r="BD13" s="772" t="n">
        <f aca="false">Y13-IF($BL$4="mid",Z13,AA13)</f>
        <v>49997.36472449</v>
      </c>
      <c r="BE13" s="772" t="n">
        <f aca="false">AB13-IF($BL$4="mid",AC13,AD13)</f>
        <v>18602.6209638173</v>
      </c>
      <c r="BF13" s="772" t="n">
        <f aca="false">AE13-IF($BL$4="mid",AF13,AG13)</f>
        <v>-10837.6676266667</v>
      </c>
      <c r="BG13" s="772" t="n">
        <f aca="false">AH13-IF($BL$4="mid",AI13,AJ13)</f>
        <v>20120</v>
      </c>
      <c r="BH13" s="772" t="n">
        <f aca="false">-IF($BL$4="mid",AK13,AL13)</f>
        <v>-270528.567091457</v>
      </c>
      <c r="BI13" s="772" t="n">
        <f aca="false">-IF($BL$4="mid",AM13,AN13)</f>
        <v>-55221.25</v>
      </c>
      <c r="BL13" s="772" t="n">
        <f aca="false">BW13-IF($BL$4="mid",Q13,R13)-$BL$9*(IF($BL$4="mid",N13,O13)+IF($BL$4="mid",DL13,L13))</f>
        <v>265639</v>
      </c>
      <c r="BM13" s="772" t="n">
        <f aca="false">BX13-IF($BL$4="mid",T13,U13)-$BM$9*(IF($BL$4="mid",N13,O13)+IF($BL$4="mid",DL13,L13))</f>
        <v>-17774.6258923705</v>
      </c>
      <c r="BN13" s="772" t="n">
        <f aca="false">BY13-IF($BL$4="mid",W13,X13)-$BN$9*(IF($BL$4="mid",N13,O13)+IF($BL$4="mid",DL13,L13))</f>
        <v>4737.33333333334</v>
      </c>
      <c r="BO13" s="772" t="n">
        <f aca="false">BZ13-IF($BL$4="mid",Z13,AA13)</f>
        <v>68242.8513911567</v>
      </c>
      <c r="BP13" s="772" t="n">
        <f aca="false">CA13-IF($BL$4="mid",AC13,AD13)</f>
        <v>35389.8514642707</v>
      </c>
      <c r="BQ13" s="772" t="n">
        <f aca="false">CB13-IF($BL$4="mid",AF13,AG13)</f>
        <v>1899.12399999995</v>
      </c>
      <c r="BR13" s="772" t="n">
        <f aca="false">CC13-IF($BL$4="mid",AI13,AJ13)</f>
        <v>20958.3333333333</v>
      </c>
      <c r="BS13" s="772" t="n">
        <f aca="false">-IF($BL$4="mid",AK13,AL13)</f>
        <v>-270528.567091457</v>
      </c>
      <c r="BT13" s="772" t="n">
        <f aca="false">-IF($BL$4="mid",AM13,AN13)</f>
        <v>-55221.25</v>
      </c>
      <c r="BW13" s="769" t="n">
        <f aca="false">Breakout!$C$15/12</f>
        <v>3516221.5</v>
      </c>
      <c r="BX13" s="769" t="n">
        <f aca="false">Breakout!$C$26/12</f>
        <v>124576.333333333</v>
      </c>
      <c r="BY13" s="769" t="n">
        <f aca="false">Breakout!$C$37/12</f>
        <v>62707.3333333333</v>
      </c>
      <c r="BZ13" s="769" t="n">
        <f aca="false">Breakout!$C$48/12</f>
        <v>456137.166666667</v>
      </c>
      <c r="CA13" s="769" t="n">
        <f aca="false">Breakout!$C$59/12</f>
        <v>419680.762511333</v>
      </c>
      <c r="CB13" s="769" t="n">
        <f aca="false">Breakout!$C$70/12</f>
        <v>318419.790666667</v>
      </c>
      <c r="CC13" s="769" t="n">
        <f aca="false">Breakout!$C$81/12</f>
        <v>20958.3333333333</v>
      </c>
      <c r="CE13" s="852" t="n">
        <f aca="false">P13/0.96</f>
        <v>3516221.5</v>
      </c>
      <c r="CF13" s="852" t="n">
        <f aca="false">S13/0.96</f>
        <v>124576.333333333</v>
      </c>
      <c r="CG13" s="852" t="n">
        <f aca="false">V13/0.96</f>
        <v>62707.3333333333</v>
      </c>
      <c r="CI13" s="852" t="n">
        <f aca="false">N13</f>
        <v>0</v>
      </c>
      <c r="CJ13" s="852" t="n">
        <f aca="false">O13</f>
        <v>0</v>
      </c>
      <c r="CL13" s="772" t="n">
        <f aca="false">'account mgt'!$C$23/12</f>
        <v>-50916.6666666667</v>
      </c>
      <c r="CN13" s="772" t="n">
        <v>0</v>
      </c>
      <c r="CP13" s="772" t="n">
        <f aca="false">M13</f>
        <v>2369920</v>
      </c>
      <c r="CQ13" s="772" t="n">
        <f aca="false">CP13+CS12</f>
        <v>4761011.28533333</v>
      </c>
      <c r="CR13" s="772" t="n">
        <f aca="false">CQ13*$L$2</f>
        <v>42531.7008156444</v>
      </c>
      <c r="CS13" s="772" t="n">
        <f aca="false">CQ13+CR13</f>
        <v>4803542.98614898</v>
      </c>
      <c r="CX13" s="772" t="n">
        <f aca="false">CS13</f>
        <v>4803542.98614898</v>
      </c>
      <c r="DE13" s="772" t="n">
        <f aca="false">CX13</f>
        <v>4803542.98614898</v>
      </c>
      <c r="DH13" s="417" t="n">
        <v>0</v>
      </c>
      <c r="DI13" s="417" t="n">
        <v>0</v>
      </c>
      <c r="DJ13" s="417"/>
      <c r="DK13" s="417" t="n">
        <f aca="false">I13*(1+$J$2)^($A$25-A13+1)</f>
        <v>-2631968.44211663</v>
      </c>
      <c r="DL13" s="417" t="n">
        <v>0</v>
      </c>
      <c r="DN13" s="417" t="n">
        <f aca="false">IF($BL$4="mid",DH13,DI13)</f>
        <v>0</v>
      </c>
      <c r="DO13" s="417" t="n">
        <f aca="false">IF($BL$4="mid",DL13,L13)</f>
        <v>0</v>
      </c>
      <c r="DQ13" s="772" t="n">
        <f aca="false">BW13-IF($BL$4="mid",Q13,R13)</f>
        <v>265639</v>
      </c>
      <c r="DR13" s="772" t="n">
        <f aca="false">BX13-IF($BL$4="mid",T13,U13)</f>
        <v>-17774.6258923705</v>
      </c>
      <c r="DS13" s="772"/>
      <c r="DT13" s="772"/>
      <c r="DU13" s="772"/>
      <c r="DV13" s="772"/>
      <c r="DW13" s="772"/>
      <c r="DX13" s="772"/>
    </row>
    <row r="14" customFormat="false" ht="12.75" hidden="false" customHeight="false" outlineLevel="0" collapsed="false">
      <c r="A14" s="767" t="n">
        <v>3</v>
      </c>
      <c r="B14" s="854" t="n">
        <v>36586</v>
      </c>
      <c r="C14" s="417" t="n">
        <v>-2369920</v>
      </c>
      <c r="D14" s="417" t="n">
        <v>0</v>
      </c>
      <c r="E14" s="417" t="n">
        <v>0</v>
      </c>
      <c r="F14" s="417" t="n">
        <v>0</v>
      </c>
      <c r="G14" s="417" t="n">
        <v>0</v>
      </c>
      <c r="H14" s="417" t="n">
        <v>0</v>
      </c>
      <c r="I14" s="416" t="n">
        <v>-2369920</v>
      </c>
      <c r="J14" s="417" t="n">
        <f aca="false">I14</f>
        <v>-2369920</v>
      </c>
      <c r="K14" s="417" t="n">
        <f aca="false">I14*(1+$L$2)^($A$25-A14+1)</f>
        <v>-2636837.29677532</v>
      </c>
      <c r="L14" s="417" t="n">
        <v>0</v>
      </c>
      <c r="M14" s="417" t="n">
        <f aca="false">-J14</f>
        <v>2369920</v>
      </c>
      <c r="N14" s="850" t="n">
        <f aca="false">IF(A14&lt;$B$8,0,-$R$5/12)</f>
        <v>0</v>
      </c>
      <c r="O14" s="850" t="n">
        <f aca="false">IF(A14&lt;$B$8,0,-$S$5/12)</f>
        <v>0</v>
      </c>
      <c r="P14" s="769" t="n">
        <f aca="false">Breakout!$C$16/12</f>
        <v>3375572.64</v>
      </c>
      <c r="Q14" s="770" t="n">
        <f aca="false">'wholesale services'!$D$110*'wholesale services'!$D$111/12</f>
        <v>3250582.5</v>
      </c>
      <c r="R14" s="770" t="n">
        <v>3320487.5</v>
      </c>
      <c r="S14" s="769" t="n">
        <f aca="false">Breakout!$C$27/12</f>
        <v>119593.28</v>
      </c>
      <c r="T14" s="770" t="n">
        <f aca="false">'wholesale services'!$D$113*'wholesale services'!$D$114/12</f>
        <v>142350.959225704</v>
      </c>
      <c r="U14" s="770" t="n">
        <v>145256.080842555</v>
      </c>
      <c r="V14" s="769" t="n">
        <f aca="false">Breakout!$C$38/12</f>
        <v>60199.04</v>
      </c>
      <c r="W14" s="772" t="n">
        <f aca="false">Breakout!$C$39/12</f>
        <v>57970</v>
      </c>
      <c r="X14" s="772" t="n">
        <v>58593.3333333333</v>
      </c>
      <c r="Y14" s="769" t="n">
        <f aca="false">Breakout!$C$49/12</f>
        <v>437891.68</v>
      </c>
      <c r="Z14" s="770" t="n">
        <f aca="false">Breakout!$C$50/12</f>
        <v>387894.31527551</v>
      </c>
      <c r="AA14" s="770" t="n">
        <v>407456.021211913</v>
      </c>
      <c r="AB14" s="769" t="n">
        <f aca="false">Breakout!$C$60/12</f>
        <v>402893.53201088</v>
      </c>
      <c r="AC14" s="770" t="n">
        <f aca="false">Breakout!$C$61/12</f>
        <v>384290.911047063</v>
      </c>
      <c r="AD14" s="770" t="n">
        <v>396273.255712227</v>
      </c>
      <c r="AE14" s="769" t="n">
        <f aca="false">Breakout!$C$71/12</f>
        <v>305682.99904</v>
      </c>
      <c r="AF14" s="770" t="n">
        <f aca="false">Breakout!$C$72/12</f>
        <v>316520.666666667</v>
      </c>
      <c r="AG14" s="770" t="n">
        <v>316520.666666667</v>
      </c>
      <c r="AH14" s="769" t="n">
        <f aca="false">Breakout!$C$82/12</f>
        <v>20120</v>
      </c>
      <c r="AI14" s="770" t="n">
        <f aca="false">Breakout!$C$83/12</f>
        <v>0</v>
      </c>
      <c r="AJ14" s="770" t="n">
        <v>0</v>
      </c>
      <c r="AK14" s="773" t="n">
        <f aca="false">Breakout!$C$91/12</f>
        <v>270528.567091457</v>
      </c>
      <c r="AL14" s="773" t="n">
        <v>270528.567091457</v>
      </c>
      <c r="AM14" s="773" t="n">
        <f aca="false">(Breakout!$C$107/12)*-1</f>
        <v>55221.25</v>
      </c>
      <c r="AN14" s="773" t="n">
        <v>55221.25</v>
      </c>
      <c r="AO14" s="774" t="n">
        <f aca="false">(P14+S14+V14)+Y14+AB14+AE14+AH14</f>
        <v>4721953.17105088</v>
      </c>
      <c r="AP14" s="774" t="n">
        <f aca="false">Q14+T14+W14+AA14+AD14+AG14+AJ14+AL14+AN14</f>
        <v>4896903.21990797</v>
      </c>
      <c r="AQ14" s="775" t="n">
        <f aca="false">P14+S14+V14+Y14+AB14+AE14+AH14-Q14-T14-W14-Z14-AC14-AF14-AI14-AK14-AM14-DH14-DL14-CN14</f>
        <v>-143405.998255519</v>
      </c>
      <c r="AS14" s="776" t="n">
        <f aca="false">P14+S14+V14+Y14+AB14+AE14+AH14-R14-U14-X14-AA14-AD14-AG14-AJ14-AL14-AN14-O14-L14-CN14</f>
        <v>-248383.503807272</v>
      </c>
      <c r="AU14" s="770" t="n">
        <f aca="false">'wholesale services'!$D$110/12</f>
        <v>48545138.8888889</v>
      </c>
      <c r="AV14" s="770" t="n">
        <f aca="false">'wholesale services'!$D$113/12</f>
        <v>24766.6666666667</v>
      </c>
      <c r="AX14" s="851" t="n">
        <f aca="false">IF(A14&lt;$AX$6,0,-$R$5/12)</f>
        <v>0</v>
      </c>
      <c r="AY14" s="417" t="n">
        <f aca="false">IF(A14&lt;$AX$6,0,-$S$5/12)</f>
        <v>0</v>
      </c>
      <c r="BA14" s="772" t="n">
        <f aca="false">P14-IF($BL$4="mid",Q14,R14)-$BL$9*(IF($BL$4="mid",N14,O14)+IF($BL$4="mid",DL14,L14))</f>
        <v>124990.140000001</v>
      </c>
      <c r="BB14" s="772" t="n">
        <f aca="false">S14-IF($BL$4="mid",T14,U14)-$BM$9*(IF($BL$4="mid",N14,O14)+IF($BL$4="mid",DL14,L14))</f>
        <v>-22757.6792257039</v>
      </c>
      <c r="BC14" s="772" t="n">
        <f aca="false">V14-IF($BL$4="mid",W14,X14)-$BN$9*(IF($BL$4="mid",N14,O14)+IF($BL$4="mid",DL14,L14))</f>
        <v>2229.04</v>
      </c>
      <c r="BD14" s="772" t="n">
        <f aca="false">Y14-IF($BL$4="mid",Z14,AA14)</f>
        <v>49997.36472449</v>
      </c>
      <c r="BE14" s="772" t="n">
        <f aca="false">AB14-IF($BL$4="mid",AC14,AD14)</f>
        <v>18602.6209638173</v>
      </c>
      <c r="BF14" s="772" t="n">
        <f aca="false">AE14-IF($BL$4="mid",AF14,AG14)</f>
        <v>-10837.6676266667</v>
      </c>
      <c r="BG14" s="772" t="n">
        <f aca="false">AH14-IF($BL$4="mid",AI14,AJ14)</f>
        <v>20120</v>
      </c>
      <c r="BH14" s="772" t="n">
        <f aca="false">-IF($BL$4="mid",AK14,AL14)</f>
        <v>-270528.567091457</v>
      </c>
      <c r="BI14" s="772" t="n">
        <f aca="false">-IF($BL$4="mid",AM14,AN14)</f>
        <v>-55221.25</v>
      </c>
      <c r="BL14" s="772" t="n">
        <f aca="false">BW14-IF($BL$4="mid",Q14,R14)-$BL$9*(IF($BL$4="mid",N14,O14)+IF($BL$4="mid",DL14,L14))</f>
        <v>265639</v>
      </c>
      <c r="BM14" s="772" t="n">
        <f aca="false">BX14-IF($BL$4="mid",T14,U14)-$BM$9*(IF($BL$4="mid",N14,O14)+IF($BL$4="mid",DL14,L14))</f>
        <v>-17774.6258923705</v>
      </c>
      <c r="BN14" s="772" t="n">
        <f aca="false">BY14-IF($BL$4="mid",W14,X14)-$BN$9*(IF($BL$4="mid",N14,O14)+IF($BL$4="mid",DL14,L14))</f>
        <v>4737.33333333334</v>
      </c>
      <c r="BO14" s="772" t="n">
        <f aca="false">BZ14-IF($BL$4="mid",Z14,AA14)</f>
        <v>68242.8513911567</v>
      </c>
      <c r="BP14" s="772" t="n">
        <f aca="false">CA14-IF($BL$4="mid",AC14,AD14)</f>
        <v>35389.8514642707</v>
      </c>
      <c r="BQ14" s="772" t="n">
        <f aca="false">CB14-IF($BL$4="mid",AF14,AG14)</f>
        <v>1899.12399999995</v>
      </c>
      <c r="BR14" s="772" t="n">
        <f aca="false">CC14-IF($BL$4="mid",AI14,AJ14)</f>
        <v>20958.3333333333</v>
      </c>
      <c r="BS14" s="772" t="n">
        <f aca="false">-IF($BL$4="mid",AK14,AL14)</f>
        <v>-270528.567091457</v>
      </c>
      <c r="BT14" s="772" t="n">
        <f aca="false">-IF($BL$4="mid",AM14,AN14)</f>
        <v>-55221.25</v>
      </c>
      <c r="BW14" s="769" t="n">
        <f aca="false">Breakout!$C$15/12</f>
        <v>3516221.5</v>
      </c>
      <c r="BX14" s="769" t="n">
        <f aca="false">Breakout!$C$26/12</f>
        <v>124576.333333333</v>
      </c>
      <c r="BY14" s="769" t="n">
        <f aca="false">Breakout!$C$37/12</f>
        <v>62707.3333333333</v>
      </c>
      <c r="BZ14" s="769" t="n">
        <f aca="false">Breakout!$C$48/12</f>
        <v>456137.166666667</v>
      </c>
      <c r="CA14" s="769" t="n">
        <f aca="false">Breakout!$C$59/12</f>
        <v>419680.762511333</v>
      </c>
      <c r="CB14" s="769" t="n">
        <f aca="false">Breakout!$C$70/12</f>
        <v>318419.790666667</v>
      </c>
      <c r="CC14" s="769" t="n">
        <f aca="false">Breakout!$C$81/12</f>
        <v>20958.3333333333</v>
      </c>
      <c r="CE14" s="852" t="n">
        <f aca="false">P14/0.96</f>
        <v>3516221.5</v>
      </c>
      <c r="CF14" s="852" t="n">
        <f aca="false">S14/0.96</f>
        <v>124576.333333333</v>
      </c>
      <c r="CG14" s="852" t="n">
        <f aca="false">V14/0.96</f>
        <v>62707.3333333333</v>
      </c>
      <c r="CI14" s="852" t="n">
        <f aca="false">N14</f>
        <v>0</v>
      </c>
      <c r="CJ14" s="852" t="n">
        <f aca="false">O14</f>
        <v>0</v>
      </c>
      <c r="CL14" s="772" t="n">
        <f aca="false">'account mgt'!$C$23/12</f>
        <v>-50916.6666666667</v>
      </c>
      <c r="CN14" s="772" t="n">
        <v>0</v>
      </c>
      <c r="CP14" s="772" t="n">
        <f aca="false">M14</f>
        <v>2369920</v>
      </c>
      <c r="CQ14" s="772" t="n">
        <f aca="false">CP14+CS13</f>
        <v>7173462.98614898</v>
      </c>
      <c r="CR14" s="772" t="n">
        <f aca="false">CQ14*$L$2</f>
        <v>64082.9360095975</v>
      </c>
      <c r="CS14" s="772" t="n">
        <f aca="false">CQ14+CR14</f>
        <v>7237545.92215858</v>
      </c>
      <c r="CX14" s="772" t="n">
        <f aca="false">CS14</f>
        <v>7237545.92215858</v>
      </c>
      <c r="DE14" s="772" t="n">
        <f aca="false">CX14</f>
        <v>7237545.92215858</v>
      </c>
      <c r="DH14" s="417" t="n">
        <v>0</v>
      </c>
      <c r="DI14" s="417" t="n">
        <v>0</v>
      </c>
      <c r="DJ14" s="417"/>
      <c r="DK14" s="417" t="n">
        <f aca="false">I14*(1+$J$2)^($A$25-A14+1)</f>
        <v>-2610820.79368776</v>
      </c>
      <c r="DL14" s="417" t="n">
        <v>0</v>
      </c>
      <c r="DN14" s="417" t="n">
        <f aca="false">IF($BL$4="mid",DH14,DI14)</f>
        <v>0</v>
      </c>
      <c r="DO14" s="417" t="n">
        <f aca="false">IF($BL$4="mid",DL14,L14)</f>
        <v>0</v>
      </c>
      <c r="DQ14" s="772" t="n">
        <f aca="false">BW14-IF($BL$4="mid",Q14,R14)</f>
        <v>265639</v>
      </c>
      <c r="DR14" s="772" t="n">
        <f aca="false">BX14-IF($BL$4="mid",T14,U14)</f>
        <v>-17774.6258923705</v>
      </c>
      <c r="DS14" s="772"/>
      <c r="DT14" s="772"/>
      <c r="DU14" s="772"/>
      <c r="DV14" s="772"/>
      <c r="DW14" s="772"/>
      <c r="DX14" s="772"/>
    </row>
    <row r="15" customFormat="false" ht="12.75" hidden="false" customHeight="false" outlineLevel="0" collapsed="false">
      <c r="A15" s="767" t="n">
        <v>4</v>
      </c>
      <c r="B15" s="854" t="n">
        <v>36617</v>
      </c>
      <c r="C15" s="417" t="n">
        <v>-2369920</v>
      </c>
      <c r="D15" s="417" t="n">
        <v>0</v>
      </c>
      <c r="E15" s="417" t="n">
        <v>0</v>
      </c>
      <c r="F15" s="417" t="n">
        <v>0</v>
      </c>
      <c r="G15" s="417" t="n">
        <v>0</v>
      </c>
      <c r="H15" s="417" t="n">
        <v>0</v>
      </c>
      <c r="I15" s="416" t="n">
        <v>-2369920</v>
      </c>
      <c r="J15" s="417" t="n">
        <f aca="false">I15</f>
        <v>-2369920</v>
      </c>
      <c r="K15" s="417" t="n">
        <f aca="false">I15*(1+$L$2)^($A$25-A15+1)</f>
        <v>-2613490.11838442</v>
      </c>
      <c r="L15" s="417" t="n">
        <v>0</v>
      </c>
      <c r="M15" s="417" t="n">
        <f aca="false">-J15</f>
        <v>2369920</v>
      </c>
      <c r="N15" s="850" t="n">
        <f aca="false">IF(A15&lt;$B$8,0,-$R$5/12)</f>
        <v>0</v>
      </c>
      <c r="O15" s="850" t="n">
        <f aca="false">IF(A15&lt;$B$8,0,-$S$5/12)</f>
        <v>0</v>
      </c>
      <c r="P15" s="769" t="n">
        <f aca="false">Breakout!$C$16/12</f>
        <v>3375572.64</v>
      </c>
      <c r="Q15" s="770" t="n">
        <f aca="false">'wholesale services'!$D$110*'wholesale services'!$D$111/12</f>
        <v>3250582.5</v>
      </c>
      <c r="R15" s="770" t="n">
        <v>3320487.5</v>
      </c>
      <c r="S15" s="769" t="n">
        <f aca="false">Breakout!$C$27/12</f>
        <v>119593.28</v>
      </c>
      <c r="T15" s="770" t="n">
        <f aca="false">'wholesale services'!$D$113*'wholesale services'!$D$114/12</f>
        <v>142350.959225704</v>
      </c>
      <c r="U15" s="770" t="n">
        <v>145256.080842555</v>
      </c>
      <c r="V15" s="769" t="n">
        <f aca="false">Breakout!$C$38/12</f>
        <v>60199.04</v>
      </c>
      <c r="W15" s="772" t="n">
        <f aca="false">Breakout!$C$39/12</f>
        <v>57970</v>
      </c>
      <c r="X15" s="772" t="n">
        <v>58593.3333333333</v>
      </c>
      <c r="Y15" s="769" t="n">
        <f aca="false">Breakout!$C$49/12</f>
        <v>437891.68</v>
      </c>
      <c r="Z15" s="770" t="n">
        <f aca="false">Breakout!$C$50/12</f>
        <v>387894.31527551</v>
      </c>
      <c r="AA15" s="770" t="n">
        <v>407456.021211913</v>
      </c>
      <c r="AB15" s="769" t="n">
        <f aca="false">Breakout!$C$60/12</f>
        <v>402893.53201088</v>
      </c>
      <c r="AC15" s="770" t="n">
        <f aca="false">Breakout!$C$61/12</f>
        <v>384290.911047063</v>
      </c>
      <c r="AD15" s="770" t="n">
        <v>396273.255712227</v>
      </c>
      <c r="AE15" s="769" t="n">
        <f aca="false">Breakout!$C$71/12</f>
        <v>305682.99904</v>
      </c>
      <c r="AF15" s="770" t="n">
        <f aca="false">Breakout!$C$72/12</f>
        <v>316520.666666667</v>
      </c>
      <c r="AG15" s="770" t="n">
        <v>316520.666666667</v>
      </c>
      <c r="AH15" s="769" t="n">
        <f aca="false">Breakout!$C$82/12</f>
        <v>20120</v>
      </c>
      <c r="AI15" s="770" t="n">
        <f aca="false">Breakout!$C$83/12</f>
        <v>0</v>
      </c>
      <c r="AJ15" s="770" t="n">
        <v>0</v>
      </c>
      <c r="AK15" s="773" t="n">
        <f aca="false">Breakout!$C$91/12</f>
        <v>270528.567091457</v>
      </c>
      <c r="AL15" s="773" t="n">
        <v>270528.567091457</v>
      </c>
      <c r="AM15" s="773" t="n">
        <f aca="false">(Breakout!$C$107/12)*-1</f>
        <v>55221.25</v>
      </c>
      <c r="AN15" s="773" t="n">
        <v>55221.25</v>
      </c>
      <c r="AO15" s="774" t="n">
        <f aca="false">(P15+S15+V15)+Y15+AB15+AE15+AH15</f>
        <v>4721953.17105088</v>
      </c>
      <c r="AP15" s="774" t="n">
        <f aca="false">Q15+T15+W15+AA15+AD15+AG15+AJ15+AL15+AN15</f>
        <v>4896903.21990797</v>
      </c>
      <c r="AQ15" s="775" t="n">
        <f aca="false">P15+S15+V15+Y15+AB15+AE15+AH15-Q15-T15-W15-Z15-AC15-AF15-AI15-AK15-AM15-DH15-DL15-CN15</f>
        <v>-143405.998255519</v>
      </c>
      <c r="AS15" s="776" t="n">
        <f aca="false">P15+S15+V15+Y15+AB15+AE15+AH15-R15-U15-X15-AA15-AD15-AG15-AJ15-AL15-AN15-O15-L15-CN15</f>
        <v>-248383.503807272</v>
      </c>
      <c r="AU15" s="770" t="n">
        <f aca="false">'wholesale services'!$D$110/12</f>
        <v>48545138.8888889</v>
      </c>
      <c r="AV15" s="770" t="n">
        <f aca="false">'wholesale services'!$D$113/12</f>
        <v>24766.6666666667</v>
      </c>
      <c r="AX15" s="851" t="n">
        <f aca="false">IF(A15&lt;$AX$6,0,-$R$5/12)</f>
        <v>0</v>
      </c>
      <c r="AY15" s="417" t="n">
        <f aca="false">IF(A15&lt;$AX$6,0,-$S$5/12)</f>
        <v>0</v>
      </c>
      <c r="BA15" s="772" t="n">
        <f aca="false">P15-IF($BL$4="mid",Q15,R15)-$BL$9*(IF($BL$4="mid",N15,O15)+IF($BL$4="mid",DL15,L15))</f>
        <v>124990.140000001</v>
      </c>
      <c r="BB15" s="772" t="n">
        <f aca="false">S15-IF($BL$4="mid",T15,U15)-$BM$9*(IF($BL$4="mid",N15,O15)+IF($BL$4="mid",DL15,L15))</f>
        <v>-22757.6792257039</v>
      </c>
      <c r="BC15" s="772" t="n">
        <f aca="false">V15-IF($BL$4="mid",W15,X15)-$BN$9*(IF($BL$4="mid",N15,O15)+IF($BL$4="mid",DL15,L15))</f>
        <v>2229.04</v>
      </c>
      <c r="BD15" s="772" t="n">
        <f aca="false">Y15-IF($BL$4="mid",Z15,AA15)</f>
        <v>49997.36472449</v>
      </c>
      <c r="BE15" s="772" t="n">
        <f aca="false">AB15-IF($BL$4="mid",AC15,AD15)</f>
        <v>18602.6209638173</v>
      </c>
      <c r="BF15" s="772" t="n">
        <f aca="false">AE15-IF($BL$4="mid",AF15,AG15)</f>
        <v>-10837.6676266667</v>
      </c>
      <c r="BG15" s="772" t="n">
        <f aca="false">AH15-IF($BL$4="mid",AI15,AJ15)</f>
        <v>20120</v>
      </c>
      <c r="BH15" s="772" t="n">
        <f aca="false">-IF($BL$4="mid",AK15,AL15)</f>
        <v>-270528.567091457</v>
      </c>
      <c r="BI15" s="772" t="n">
        <f aca="false">-IF($BL$4="mid",AM15,AN15)</f>
        <v>-55221.25</v>
      </c>
      <c r="BL15" s="772" t="n">
        <f aca="false">BW15-IF($BL$4="mid",Q15,R15)-$BL$9*(IF($BL$4="mid",N15,O15)+IF($BL$4="mid",DL15,L15))</f>
        <v>265639</v>
      </c>
      <c r="BM15" s="772" t="n">
        <f aca="false">BX15-IF($BL$4="mid",T15,U15)-$BM$9*(IF($BL$4="mid",N15,O15)+IF($BL$4="mid",DL15,L15))</f>
        <v>-17774.6258923705</v>
      </c>
      <c r="BN15" s="772" t="n">
        <f aca="false">BY15-IF($BL$4="mid",W15,X15)-$BN$9*(IF($BL$4="mid",N15,O15)+IF($BL$4="mid",DL15,L15))</f>
        <v>4737.33333333334</v>
      </c>
      <c r="BO15" s="772" t="n">
        <f aca="false">BZ15-IF($BL$4="mid",Z15,AA15)</f>
        <v>68242.8513911567</v>
      </c>
      <c r="BP15" s="772" t="n">
        <f aca="false">CA15-IF($BL$4="mid",AC15,AD15)</f>
        <v>35389.8514642707</v>
      </c>
      <c r="BQ15" s="772" t="n">
        <f aca="false">CB15-IF($BL$4="mid",AF15,AG15)</f>
        <v>1899.12399999995</v>
      </c>
      <c r="BR15" s="772" t="n">
        <f aca="false">CC15-IF($BL$4="mid",AI15,AJ15)</f>
        <v>20958.3333333333</v>
      </c>
      <c r="BS15" s="772" t="n">
        <f aca="false">-IF($BL$4="mid",AK15,AL15)</f>
        <v>-270528.567091457</v>
      </c>
      <c r="BT15" s="772" t="n">
        <f aca="false">-IF($BL$4="mid",AM15,AN15)</f>
        <v>-55221.25</v>
      </c>
      <c r="BW15" s="769" t="n">
        <f aca="false">Breakout!$C$15/12</f>
        <v>3516221.5</v>
      </c>
      <c r="BX15" s="769" t="n">
        <f aca="false">Breakout!$C$26/12</f>
        <v>124576.333333333</v>
      </c>
      <c r="BY15" s="769" t="n">
        <f aca="false">Breakout!$C$37/12</f>
        <v>62707.3333333333</v>
      </c>
      <c r="BZ15" s="769" t="n">
        <f aca="false">Breakout!$C$48/12</f>
        <v>456137.166666667</v>
      </c>
      <c r="CA15" s="769" t="n">
        <f aca="false">Breakout!$C$59/12</f>
        <v>419680.762511333</v>
      </c>
      <c r="CB15" s="769" t="n">
        <f aca="false">Breakout!$C$70/12</f>
        <v>318419.790666667</v>
      </c>
      <c r="CC15" s="769" t="n">
        <f aca="false">Breakout!$C$81/12</f>
        <v>20958.3333333333</v>
      </c>
      <c r="CE15" s="852" t="n">
        <f aca="false">P15/0.96</f>
        <v>3516221.5</v>
      </c>
      <c r="CF15" s="852" t="n">
        <f aca="false">S15/0.96</f>
        <v>124576.333333333</v>
      </c>
      <c r="CG15" s="852" t="n">
        <f aca="false">V15/0.96</f>
        <v>62707.3333333333</v>
      </c>
      <c r="CI15" s="852" t="n">
        <f aca="false">N15</f>
        <v>0</v>
      </c>
      <c r="CJ15" s="852" t="n">
        <f aca="false">O15</f>
        <v>0</v>
      </c>
      <c r="CL15" s="772" t="n">
        <f aca="false">'account mgt'!$C$23/12</f>
        <v>-50916.6666666667</v>
      </c>
      <c r="CN15" s="772" t="n">
        <v>0</v>
      </c>
      <c r="CP15" s="772" t="n">
        <f aca="false">M15</f>
        <v>2369920</v>
      </c>
      <c r="CQ15" s="772" t="n">
        <f aca="false">CP15+CS14</f>
        <v>9607465.92215858</v>
      </c>
      <c r="CR15" s="772" t="n">
        <f aca="false">CQ15*$L$2</f>
        <v>85826.6955712833</v>
      </c>
      <c r="CS15" s="772" t="n">
        <f aca="false">CQ15+CR15</f>
        <v>9693292.61772986</v>
      </c>
      <c r="CX15" s="772" t="n">
        <f aca="false">CS15</f>
        <v>9693292.61772986</v>
      </c>
      <c r="DE15" s="772" t="n">
        <f aca="false">CX15</f>
        <v>9693292.61772986</v>
      </c>
      <c r="DH15" s="417" t="n">
        <v>0</v>
      </c>
      <c r="DI15" s="417" t="n">
        <v>0</v>
      </c>
      <c r="DJ15" s="417"/>
      <c r="DK15" s="417" t="n">
        <f aca="false">I15*(1+$J$2)^($A$25-A15+1)</f>
        <v>-2589843.06486237</v>
      </c>
      <c r="DL15" s="417" t="n">
        <v>0</v>
      </c>
      <c r="DN15" s="417" t="n">
        <f aca="false">IF($BL$4="mid",DH15,DI15)</f>
        <v>0</v>
      </c>
      <c r="DO15" s="417" t="n">
        <f aca="false">IF($BL$4="mid",DL15,L15)</f>
        <v>0</v>
      </c>
      <c r="DQ15" s="772" t="n">
        <f aca="false">BW15-IF($BL$4="mid",Q15,R15)</f>
        <v>265639</v>
      </c>
      <c r="DR15" s="772" t="n">
        <f aca="false">BX15-IF($BL$4="mid",T15,U15)</f>
        <v>-17774.6258923705</v>
      </c>
      <c r="DS15" s="772"/>
      <c r="DT15" s="772"/>
      <c r="DU15" s="772"/>
      <c r="DV15" s="772"/>
      <c r="DW15" s="772"/>
      <c r="DX15" s="772"/>
    </row>
    <row r="16" customFormat="false" ht="12.75" hidden="false" customHeight="false" outlineLevel="0" collapsed="false">
      <c r="A16" s="767" t="n">
        <v>5</v>
      </c>
      <c r="B16" s="854" t="n">
        <v>36647</v>
      </c>
      <c r="C16" s="417" t="n">
        <v>-2369920</v>
      </c>
      <c r="D16" s="417" t="n">
        <v>0</v>
      </c>
      <c r="E16" s="417" t="n">
        <v>0</v>
      </c>
      <c r="F16" s="417" t="n">
        <v>0</v>
      </c>
      <c r="G16" s="417" t="n">
        <v>0</v>
      </c>
      <c r="H16" s="417" t="n">
        <v>0</v>
      </c>
      <c r="I16" s="416" t="n">
        <v>-2369920</v>
      </c>
      <c r="J16" s="417" t="n">
        <f aca="false">I16</f>
        <v>-2369920</v>
      </c>
      <c r="K16" s="417" t="n">
        <f aca="false">I16*(1+$L$2)^($A$25-A16+1)</f>
        <v>-2590349.66140916</v>
      </c>
      <c r="L16" s="417" t="n">
        <v>0</v>
      </c>
      <c r="M16" s="417" t="n">
        <f aca="false">-J16</f>
        <v>2369920</v>
      </c>
      <c r="N16" s="850" t="n">
        <f aca="false">IF(A16&lt;$B$8,0,-$R$5/12)</f>
        <v>0</v>
      </c>
      <c r="O16" s="850" t="n">
        <f aca="false">IF(A16&lt;$B$8,0,-$S$5/12)</f>
        <v>0</v>
      </c>
      <c r="P16" s="769" t="n">
        <f aca="false">Breakout!$C$16/12</f>
        <v>3375572.64</v>
      </c>
      <c r="Q16" s="770" t="n">
        <f aca="false">'wholesale services'!$D$110*'wholesale services'!$D$111/12</f>
        <v>3250582.5</v>
      </c>
      <c r="R16" s="770" t="n">
        <v>3320487.5</v>
      </c>
      <c r="S16" s="769" t="n">
        <f aca="false">Breakout!$C$27/12</f>
        <v>119593.28</v>
      </c>
      <c r="T16" s="770" t="n">
        <f aca="false">'wholesale services'!$D$113*'wholesale services'!$D$114/12</f>
        <v>142350.959225704</v>
      </c>
      <c r="U16" s="770" t="n">
        <v>145256.080842555</v>
      </c>
      <c r="V16" s="769" t="n">
        <f aca="false">Breakout!$C$38/12</f>
        <v>60199.04</v>
      </c>
      <c r="W16" s="772" t="n">
        <f aca="false">Breakout!$C$39/12</f>
        <v>57970</v>
      </c>
      <c r="X16" s="772" t="n">
        <v>58593.3333333333</v>
      </c>
      <c r="Y16" s="769" t="n">
        <f aca="false">Breakout!$C$49/12</f>
        <v>437891.68</v>
      </c>
      <c r="Z16" s="770" t="n">
        <f aca="false">Breakout!$C$50/12</f>
        <v>387894.31527551</v>
      </c>
      <c r="AA16" s="770" t="n">
        <v>407456.021211913</v>
      </c>
      <c r="AB16" s="769" t="n">
        <f aca="false">Breakout!$C$60/12</f>
        <v>402893.53201088</v>
      </c>
      <c r="AC16" s="770" t="n">
        <f aca="false">Breakout!$C$61/12</f>
        <v>384290.911047063</v>
      </c>
      <c r="AD16" s="770" t="n">
        <v>396273.255712227</v>
      </c>
      <c r="AE16" s="769" t="n">
        <f aca="false">Breakout!$C$71/12</f>
        <v>305682.99904</v>
      </c>
      <c r="AF16" s="770" t="n">
        <f aca="false">Breakout!$C$72/12</f>
        <v>316520.666666667</v>
      </c>
      <c r="AG16" s="770" t="n">
        <v>316520.666666667</v>
      </c>
      <c r="AH16" s="769" t="n">
        <f aca="false">Breakout!$C$82/12</f>
        <v>20120</v>
      </c>
      <c r="AI16" s="770" t="n">
        <f aca="false">Breakout!$C$83/12</f>
        <v>0</v>
      </c>
      <c r="AJ16" s="770" t="n">
        <v>0</v>
      </c>
      <c r="AK16" s="773" t="n">
        <f aca="false">Breakout!$C$91/12</f>
        <v>270528.567091457</v>
      </c>
      <c r="AL16" s="773" t="n">
        <v>270528.567091457</v>
      </c>
      <c r="AM16" s="773" t="n">
        <f aca="false">(Breakout!$C$107/12)*-1</f>
        <v>55221.25</v>
      </c>
      <c r="AN16" s="773" t="n">
        <v>55221.25</v>
      </c>
      <c r="AO16" s="774" t="n">
        <f aca="false">(P16+S16+V16)+Y16+AB16+AE16+AH16</f>
        <v>4721953.17105088</v>
      </c>
      <c r="AP16" s="774" t="n">
        <f aca="false">Q16+T16+W16+AA16+AD16+AG16+AJ16+AL16+AN16</f>
        <v>4896903.21990797</v>
      </c>
      <c r="AQ16" s="775" t="n">
        <f aca="false">P16+S16+V16+Y16+AB16+AE16+AH16-Q16-T16-W16-Z16-AC16-AF16-AI16-AK16-AM16-DH16-DL16-CN16</f>
        <v>-143405.998255519</v>
      </c>
      <c r="AS16" s="776" t="n">
        <f aca="false">P16+S16+V16+Y16+AB16+AE16+AH16-R16-U16-X16-AA16-AD16-AG16-AJ16-AL16-AN16-O16-L16-CN16</f>
        <v>-248383.503807272</v>
      </c>
      <c r="AU16" s="770" t="n">
        <f aca="false">'wholesale services'!$D$110/12</f>
        <v>48545138.8888889</v>
      </c>
      <c r="AV16" s="770" t="n">
        <f aca="false">'wholesale services'!$D$113/12</f>
        <v>24766.6666666667</v>
      </c>
      <c r="AX16" s="851" t="n">
        <f aca="false">IF(A16&lt;$AX$6,0,-$R$5/12)</f>
        <v>0</v>
      </c>
      <c r="AY16" s="417" t="n">
        <f aca="false">IF(A16&lt;$AX$6,0,-$S$5/12)</f>
        <v>0</v>
      </c>
      <c r="BA16" s="772" t="n">
        <f aca="false">P16-IF($BL$4="mid",Q16,R16)-$BL$9*(IF($BL$4="mid",N16,O16)+IF($BL$4="mid",DL16,L16))</f>
        <v>124990.140000001</v>
      </c>
      <c r="BB16" s="772" t="n">
        <f aca="false">S16-IF($BL$4="mid",T16,U16)-$BM$9*(IF($BL$4="mid",N16,O16)+IF($BL$4="mid",DL16,L16))</f>
        <v>-22757.6792257039</v>
      </c>
      <c r="BC16" s="772" t="n">
        <f aca="false">V16-IF($BL$4="mid",W16,X16)-$BN$9*(IF($BL$4="mid",N16,O16)+IF($BL$4="mid",DL16,L16))</f>
        <v>2229.04</v>
      </c>
      <c r="BD16" s="772" t="n">
        <f aca="false">Y16-IF($BL$4="mid",Z16,AA16)</f>
        <v>49997.36472449</v>
      </c>
      <c r="BE16" s="772" t="n">
        <f aca="false">AB16-IF($BL$4="mid",AC16,AD16)</f>
        <v>18602.6209638173</v>
      </c>
      <c r="BF16" s="772" t="n">
        <f aca="false">AE16-IF($BL$4="mid",AF16,AG16)</f>
        <v>-10837.6676266667</v>
      </c>
      <c r="BG16" s="772" t="n">
        <f aca="false">AH16-IF($BL$4="mid",AI16,AJ16)</f>
        <v>20120</v>
      </c>
      <c r="BH16" s="772" t="n">
        <f aca="false">-IF($BL$4="mid",AK16,AL16)</f>
        <v>-270528.567091457</v>
      </c>
      <c r="BI16" s="772" t="n">
        <f aca="false">-IF($BL$4="mid",AM16,AN16)</f>
        <v>-55221.25</v>
      </c>
      <c r="BL16" s="772" t="n">
        <f aca="false">BW16-IF($BL$4="mid",Q16,R16)-$BL$9*(IF($BL$4="mid",N16,O16)+IF($BL$4="mid",DL16,L16))</f>
        <v>265639</v>
      </c>
      <c r="BM16" s="772" t="n">
        <f aca="false">BX16-IF($BL$4="mid",T16,U16)-$BM$9*(IF($BL$4="mid",N16,O16)+IF($BL$4="mid",DL16,L16))</f>
        <v>-17774.6258923705</v>
      </c>
      <c r="BN16" s="772" t="n">
        <f aca="false">BY16-IF($BL$4="mid",W16,X16)-$BN$9*(IF($BL$4="mid",N16,O16)+IF($BL$4="mid",DL16,L16))</f>
        <v>4737.33333333334</v>
      </c>
      <c r="BO16" s="772" t="n">
        <f aca="false">BZ16-IF($BL$4="mid",Z16,AA16)</f>
        <v>68242.8513911567</v>
      </c>
      <c r="BP16" s="772" t="n">
        <f aca="false">CA16-IF($BL$4="mid",AC16,AD16)</f>
        <v>35389.8514642707</v>
      </c>
      <c r="BQ16" s="772" t="n">
        <f aca="false">CB16-IF($BL$4="mid",AF16,AG16)</f>
        <v>1899.12399999995</v>
      </c>
      <c r="BR16" s="772" t="n">
        <f aca="false">CC16-IF($BL$4="mid",AI16,AJ16)</f>
        <v>20958.3333333333</v>
      </c>
      <c r="BS16" s="772" t="n">
        <f aca="false">-IF($BL$4="mid",AK16,AL16)</f>
        <v>-270528.567091457</v>
      </c>
      <c r="BT16" s="772" t="n">
        <f aca="false">-IF($BL$4="mid",AM16,AN16)</f>
        <v>-55221.25</v>
      </c>
      <c r="BW16" s="769" t="n">
        <f aca="false">Breakout!$C$15/12</f>
        <v>3516221.5</v>
      </c>
      <c r="BX16" s="769" t="n">
        <f aca="false">Breakout!$C$26/12</f>
        <v>124576.333333333</v>
      </c>
      <c r="BY16" s="769" t="n">
        <f aca="false">Breakout!$C$37/12</f>
        <v>62707.3333333333</v>
      </c>
      <c r="BZ16" s="769" t="n">
        <f aca="false">Breakout!$C$48/12</f>
        <v>456137.166666667</v>
      </c>
      <c r="CA16" s="769" t="n">
        <f aca="false">Breakout!$C$59/12</f>
        <v>419680.762511333</v>
      </c>
      <c r="CB16" s="769" t="n">
        <f aca="false">Breakout!$C$70/12</f>
        <v>318419.790666667</v>
      </c>
      <c r="CC16" s="769" t="n">
        <f aca="false">Breakout!$C$81/12</f>
        <v>20958.3333333333</v>
      </c>
      <c r="CE16" s="852" t="n">
        <f aca="false">P16/0.96</f>
        <v>3516221.5</v>
      </c>
      <c r="CF16" s="852" t="n">
        <f aca="false">S16/0.96</f>
        <v>124576.333333333</v>
      </c>
      <c r="CG16" s="852" t="n">
        <f aca="false">V16/0.96</f>
        <v>62707.3333333333</v>
      </c>
      <c r="CI16" s="852" t="n">
        <f aca="false">N16</f>
        <v>0</v>
      </c>
      <c r="CJ16" s="852" t="n">
        <f aca="false">O16</f>
        <v>0</v>
      </c>
      <c r="CL16" s="772" t="n">
        <f aca="false">'account mgt'!$C$23/12</f>
        <v>-50916.6666666667</v>
      </c>
      <c r="CN16" s="772" t="n">
        <v>0</v>
      </c>
      <c r="CP16" s="772" t="n">
        <f aca="false">M16</f>
        <v>2369920</v>
      </c>
      <c r="CQ16" s="772" t="n">
        <f aca="false">CP16+CS15</f>
        <v>12063212.6177299</v>
      </c>
      <c r="CR16" s="772" t="n">
        <f aca="false">CQ16*$L$2</f>
        <v>107764.699385053</v>
      </c>
      <c r="CS16" s="772" t="n">
        <f aca="false">CQ16+CR16</f>
        <v>12170977.3171149</v>
      </c>
      <c r="CX16" s="772" t="n">
        <f aca="false">CS16</f>
        <v>12170977.3171149</v>
      </c>
      <c r="DE16" s="772" t="n">
        <f aca="false">CX16</f>
        <v>12170977.3171149</v>
      </c>
      <c r="DH16" s="417" t="n">
        <v>0</v>
      </c>
      <c r="DI16" s="417" t="n">
        <v>0</v>
      </c>
      <c r="DJ16" s="417"/>
      <c r="DK16" s="417" t="n">
        <f aca="false">I16*(1+$J$2)^($A$25-A16+1)</f>
        <v>-2569033.89035053</v>
      </c>
      <c r="DL16" s="417" t="n">
        <v>0</v>
      </c>
      <c r="DN16" s="417" t="n">
        <f aca="false">IF($BL$4="mid",DH16,DI16)</f>
        <v>0</v>
      </c>
      <c r="DO16" s="417" t="n">
        <f aca="false">IF($BL$4="mid",DL16,L16)</f>
        <v>0</v>
      </c>
      <c r="DQ16" s="772" t="n">
        <f aca="false">BW16-IF($BL$4="mid",Q16,R16)</f>
        <v>265639</v>
      </c>
      <c r="DR16" s="772" t="n">
        <f aca="false">BX16-IF($BL$4="mid",T16,U16)</f>
        <v>-17774.6258923705</v>
      </c>
      <c r="DS16" s="772"/>
      <c r="DT16" s="772"/>
      <c r="DU16" s="772"/>
      <c r="DV16" s="772"/>
      <c r="DW16" s="772"/>
      <c r="DX16" s="772"/>
    </row>
    <row r="17" customFormat="false" ht="12.75" hidden="false" customHeight="false" outlineLevel="0" collapsed="false">
      <c r="A17" s="767" t="n">
        <v>6</v>
      </c>
      <c r="B17" s="854" t="n">
        <v>36678</v>
      </c>
      <c r="C17" s="417" t="n">
        <v>-2369920</v>
      </c>
      <c r="D17" s="417" t="n">
        <v>0</v>
      </c>
      <c r="E17" s="417" t="n">
        <v>0</v>
      </c>
      <c r="F17" s="417" t="n">
        <v>0</v>
      </c>
      <c r="G17" s="417" t="n">
        <v>0</v>
      </c>
      <c r="H17" s="417" t="n">
        <v>0</v>
      </c>
      <c r="I17" s="416" t="n">
        <v>-2369920</v>
      </c>
      <c r="J17" s="417" t="n">
        <f aca="false">I17</f>
        <v>-2369920</v>
      </c>
      <c r="K17" s="417" t="n">
        <f aca="false">I17*(1+$L$2)^($A$25-A17+1)</f>
        <v>-2567414.09548945</v>
      </c>
      <c r="L17" s="417" t="n">
        <v>0</v>
      </c>
      <c r="M17" s="417" t="n">
        <f aca="false">-J17</f>
        <v>2369920</v>
      </c>
      <c r="N17" s="850" t="n">
        <f aca="false">IF(A17&lt;$B$8,0,-$R$5/12)</f>
        <v>0</v>
      </c>
      <c r="O17" s="850" t="n">
        <f aca="false">IF(A17&lt;$B$8,0,-$S$5/12)</f>
        <v>0</v>
      </c>
      <c r="P17" s="769" t="n">
        <f aca="false">Breakout!$C$16/12</f>
        <v>3375572.64</v>
      </c>
      <c r="Q17" s="770" t="n">
        <f aca="false">'wholesale services'!$D$110*'wholesale services'!$D$111/12</f>
        <v>3250582.5</v>
      </c>
      <c r="R17" s="770" t="n">
        <v>3320487.5</v>
      </c>
      <c r="S17" s="769" t="n">
        <f aca="false">Breakout!$C$27/12</f>
        <v>119593.28</v>
      </c>
      <c r="T17" s="770" t="n">
        <f aca="false">'wholesale services'!$D$113*'wholesale services'!$D$114/12</f>
        <v>142350.959225704</v>
      </c>
      <c r="U17" s="770" t="n">
        <v>145256.080842555</v>
      </c>
      <c r="V17" s="769" t="n">
        <f aca="false">Breakout!$C$38/12</f>
        <v>60199.04</v>
      </c>
      <c r="W17" s="772" t="n">
        <f aca="false">Breakout!$C$39/12</f>
        <v>57970</v>
      </c>
      <c r="X17" s="772" t="n">
        <v>58593.3333333333</v>
      </c>
      <c r="Y17" s="769" t="n">
        <f aca="false">Breakout!$C$49/12</f>
        <v>437891.68</v>
      </c>
      <c r="Z17" s="770" t="n">
        <f aca="false">Breakout!$C$50/12</f>
        <v>387894.31527551</v>
      </c>
      <c r="AA17" s="770" t="n">
        <v>407456.021211913</v>
      </c>
      <c r="AB17" s="769" t="n">
        <f aca="false">Breakout!$C$60/12</f>
        <v>402893.53201088</v>
      </c>
      <c r="AC17" s="770" t="n">
        <f aca="false">Breakout!$C$61/12</f>
        <v>384290.911047063</v>
      </c>
      <c r="AD17" s="770" t="n">
        <v>396273.255712227</v>
      </c>
      <c r="AE17" s="769" t="n">
        <f aca="false">Breakout!$C$71/12</f>
        <v>305682.99904</v>
      </c>
      <c r="AF17" s="770" t="n">
        <f aca="false">Breakout!$C$72/12</f>
        <v>316520.666666667</v>
      </c>
      <c r="AG17" s="770" t="n">
        <v>316520.666666667</v>
      </c>
      <c r="AH17" s="769" t="n">
        <f aca="false">Breakout!$C$82/12</f>
        <v>20120</v>
      </c>
      <c r="AI17" s="770" t="n">
        <f aca="false">Breakout!$C$83/12</f>
        <v>0</v>
      </c>
      <c r="AJ17" s="770" t="n">
        <v>0</v>
      </c>
      <c r="AK17" s="773" t="n">
        <f aca="false">Breakout!$C$91/12</f>
        <v>270528.567091457</v>
      </c>
      <c r="AL17" s="773" t="n">
        <v>270528.567091457</v>
      </c>
      <c r="AM17" s="773" t="n">
        <f aca="false">(Breakout!$C$107/12)*-1</f>
        <v>55221.25</v>
      </c>
      <c r="AN17" s="773" t="n">
        <v>55221.25</v>
      </c>
      <c r="AO17" s="774" t="n">
        <f aca="false">(P17+S17+V17)+Y17+AB17+AE17+AH17</f>
        <v>4721953.17105088</v>
      </c>
      <c r="AP17" s="774" t="n">
        <f aca="false">Q17+T17+W17+AA17+AD17+AG17+AJ17+AL17+AN17</f>
        <v>4896903.21990797</v>
      </c>
      <c r="AQ17" s="775" t="n">
        <f aca="false">P17+S17+V17+Y17+AB17+AE17+AH17-Q17-T17-W17-Z17-AC17-AF17-AI17-AK17-AM17-DH17-DL17-CN17</f>
        <v>-143405.998255519</v>
      </c>
      <c r="AS17" s="776" t="n">
        <f aca="false">P17+S17+V17+Y17+AB17+AE17+AH17-R17-U17-X17-AA17-AD17-AG17-AJ17-AL17-AN17-O17-L17-CN17</f>
        <v>-248383.503807272</v>
      </c>
      <c r="AU17" s="770" t="n">
        <f aca="false">'wholesale services'!$D$110/12</f>
        <v>48545138.8888889</v>
      </c>
      <c r="AV17" s="770" t="n">
        <f aca="false">'wholesale services'!$D$113/12</f>
        <v>24766.6666666667</v>
      </c>
      <c r="AX17" s="851" t="n">
        <f aca="false">IF(A17&lt;$AX$6,0,-$R$5/12)</f>
        <v>0</v>
      </c>
      <c r="AY17" s="417" t="n">
        <f aca="false">IF(A17&lt;$AX$6,0,-$S$5/12)</f>
        <v>0</v>
      </c>
      <c r="BA17" s="772" t="n">
        <f aca="false">P17-IF($BL$4="mid",Q17,R17)-$BL$9*(IF($BL$4="mid",N17,O17)+IF($BL$4="mid",DL17,L17))</f>
        <v>124990.140000001</v>
      </c>
      <c r="BB17" s="772" t="n">
        <f aca="false">S17-IF($BL$4="mid",T17,U17)-$BM$9*(IF($BL$4="mid",N17,O17)+IF($BL$4="mid",DL17,L17))</f>
        <v>-22757.6792257039</v>
      </c>
      <c r="BC17" s="772" t="n">
        <f aca="false">V17-IF($BL$4="mid",W17,X17)-$BN$9*(IF($BL$4="mid",N17,O17)+IF($BL$4="mid",DL17,L17))</f>
        <v>2229.04</v>
      </c>
      <c r="BD17" s="772" t="n">
        <f aca="false">Y17-IF($BL$4="mid",Z17,AA17)</f>
        <v>49997.36472449</v>
      </c>
      <c r="BE17" s="772" t="n">
        <f aca="false">AB17-IF($BL$4="mid",AC17,AD17)</f>
        <v>18602.6209638173</v>
      </c>
      <c r="BF17" s="772" t="n">
        <f aca="false">AE17-IF($BL$4="mid",AF17,AG17)</f>
        <v>-10837.6676266667</v>
      </c>
      <c r="BG17" s="772" t="n">
        <f aca="false">AH17-IF($BL$4="mid",AI17,AJ17)</f>
        <v>20120</v>
      </c>
      <c r="BH17" s="772" t="n">
        <f aca="false">-IF($BL$4="mid",AK17,AL17)</f>
        <v>-270528.567091457</v>
      </c>
      <c r="BI17" s="772" t="n">
        <f aca="false">-IF($BL$4="mid",AM17,AN17)</f>
        <v>-55221.25</v>
      </c>
      <c r="BL17" s="772" t="n">
        <f aca="false">BW17-IF($BL$4="mid",Q17,R17)-$BL$9*(IF($BL$4="mid",N17,O17)+IF($BL$4="mid",DL17,L17))</f>
        <v>265639</v>
      </c>
      <c r="BM17" s="772" t="n">
        <f aca="false">BX17-IF($BL$4="mid",T17,U17)-$BM$9*(IF($BL$4="mid",N17,O17)+IF($BL$4="mid",DL17,L17))</f>
        <v>-17774.6258923705</v>
      </c>
      <c r="BN17" s="772" t="n">
        <f aca="false">BY17-IF($BL$4="mid",W17,X17)-$BN$9*(IF($BL$4="mid",N17,O17)+IF($BL$4="mid",DL17,L17))</f>
        <v>4737.33333333334</v>
      </c>
      <c r="BO17" s="772" t="n">
        <f aca="false">BZ17-IF($BL$4="mid",Z17,AA17)</f>
        <v>68242.8513911567</v>
      </c>
      <c r="BP17" s="772" t="n">
        <f aca="false">CA17-IF($BL$4="mid",AC17,AD17)</f>
        <v>35389.8514642707</v>
      </c>
      <c r="BQ17" s="772" t="n">
        <f aca="false">CB17-IF($BL$4="mid",AF17,AG17)</f>
        <v>1899.12399999995</v>
      </c>
      <c r="BR17" s="772" t="n">
        <f aca="false">CC17-IF($BL$4="mid",AI17,AJ17)</f>
        <v>20958.3333333333</v>
      </c>
      <c r="BS17" s="772" t="n">
        <f aca="false">-IF($BL$4="mid",AK17,AL17)</f>
        <v>-270528.567091457</v>
      </c>
      <c r="BT17" s="772" t="n">
        <f aca="false">-IF($BL$4="mid",AM17,AN17)</f>
        <v>-55221.25</v>
      </c>
      <c r="BW17" s="769" t="n">
        <f aca="false">Breakout!$C$15/12</f>
        <v>3516221.5</v>
      </c>
      <c r="BX17" s="769" t="n">
        <f aca="false">Breakout!$C$26/12</f>
        <v>124576.333333333</v>
      </c>
      <c r="BY17" s="769" t="n">
        <f aca="false">Breakout!$C$37/12</f>
        <v>62707.3333333333</v>
      </c>
      <c r="BZ17" s="769" t="n">
        <f aca="false">Breakout!$C$48/12</f>
        <v>456137.166666667</v>
      </c>
      <c r="CA17" s="769" t="n">
        <f aca="false">Breakout!$C$59/12</f>
        <v>419680.762511333</v>
      </c>
      <c r="CB17" s="769" t="n">
        <f aca="false">Breakout!$C$70/12</f>
        <v>318419.790666667</v>
      </c>
      <c r="CC17" s="769" t="n">
        <f aca="false">Breakout!$C$81/12</f>
        <v>20958.3333333333</v>
      </c>
      <c r="CE17" s="852" t="n">
        <f aca="false">P17/0.96</f>
        <v>3516221.5</v>
      </c>
      <c r="CF17" s="852" t="n">
        <f aca="false">S17/0.96</f>
        <v>124576.333333333</v>
      </c>
      <c r="CG17" s="852" t="n">
        <f aca="false">V17/0.96</f>
        <v>62707.3333333333</v>
      </c>
      <c r="CI17" s="852" t="n">
        <f aca="false">N17</f>
        <v>0</v>
      </c>
      <c r="CJ17" s="852" t="n">
        <f aca="false">O17</f>
        <v>0</v>
      </c>
      <c r="CL17" s="772" t="n">
        <f aca="false">'account mgt'!$C$23/12</f>
        <v>-50916.6666666667</v>
      </c>
      <c r="CN17" s="772" t="n">
        <v>0</v>
      </c>
      <c r="CP17" s="772" t="n">
        <f aca="false">M17</f>
        <v>2369920</v>
      </c>
      <c r="CQ17" s="772" t="n">
        <f aca="false">CP17+CS16</f>
        <v>14540897.3171149</v>
      </c>
      <c r="CR17" s="772" t="n">
        <f aca="false">CQ17*$L$2</f>
        <v>129898.68269956</v>
      </c>
      <c r="CS17" s="772" t="n">
        <f aca="false">CQ17+CR17</f>
        <v>14670795.9998145</v>
      </c>
      <c r="CX17" s="772" t="n">
        <f aca="false">CS17</f>
        <v>14670795.9998145</v>
      </c>
      <c r="DE17" s="772" t="n">
        <f aca="false">CX17</f>
        <v>14670795.9998145</v>
      </c>
      <c r="DH17" s="417" t="n">
        <v>0</v>
      </c>
      <c r="DI17" s="417" t="n">
        <v>0</v>
      </c>
      <c r="DJ17" s="417"/>
      <c r="DK17" s="417" t="n">
        <f aca="false">I17*(1+$J$2)^($A$25-A17+1)</f>
        <v>-2548391.91583229</v>
      </c>
      <c r="DL17" s="417" t="n">
        <v>0</v>
      </c>
      <c r="DN17" s="417" t="n">
        <f aca="false">IF($BL$4="mid",DH17,DI17)</f>
        <v>0</v>
      </c>
      <c r="DO17" s="417" t="n">
        <f aca="false">IF($BL$4="mid",DL17,L17)</f>
        <v>0</v>
      </c>
      <c r="DQ17" s="772" t="n">
        <f aca="false">BW17-IF($BL$4="mid",Q17,R17)</f>
        <v>265639</v>
      </c>
      <c r="DR17" s="772" t="n">
        <f aca="false">BX17-IF($BL$4="mid",T17,U17)</f>
        <v>-17774.6258923705</v>
      </c>
      <c r="DS17" s="772"/>
      <c r="DT17" s="772"/>
      <c r="DU17" s="772"/>
      <c r="DV17" s="772"/>
      <c r="DW17" s="772"/>
      <c r="DX17" s="772"/>
    </row>
    <row r="18" customFormat="false" ht="12.75" hidden="false" customHeight="false" outlineLevel="0" collapsed="false">
      <c r="A18" s="767" t="n">
        <v>7</v>
      </c>
      <c r="B18" s="854" t="n">
        <v>36708</v>
      </c>
      <c r="C18" s="417" t="n">
        <v>-2369920</v>
      </c>
      <c r="D18" s="417" t="n">
        <v>0</v>
      </c>
      <c r="E18" s="417" t="n">
        <v>0</v>
      </c>
      <c r="F18" s="417" t="n">
        <v>0</v>
      </c>
      <c r="G18" s="417" t="n">
        <v>0</v>
      </c>
      <c r="H18" s="417" t="n">
        <v>0</v>
      </c>
      <c r="I18" s="416" t="n">
        <v>-2369920</v>
      </c>
      <c r="J18" s="417" t="n">
        <f aca="false">I18</f>
        <v>-2369920</v>
      </c>
      <c r="K18" s="417" t="n">
        <f aca="false">I18*(1+$L$2)^($A$25-A18+1)</f>
        <v>-2544681.60647164</v>
      </c>
      <c r="L18" s="417" t="n">
        <v>0</v>
      </c>
      <c r="M18" s="417" t="n">
        <f aca="false">-J18</f>
        <v>2369920</v>
      </c>
      <c r="N18" s="850" t="n">
        <f aca="false">IF(A18&lt;$B$8,0,-$R$5/12)</f>
        <v>0</v>
      </c>
      <c r="O18" s="850" t="n">
        <f aca="false">IF(A18&lt;$B$8,0,-$S$5/12)</f>
        <v>0</v>
      </c>
      <c r="P18" s="769" t="n">
        <f aca="false">Breakout!$C$16/12</f>
        <v>3375572.64</v>
      </c>
      <c r="Q18" s="770" t="n">
        <f aca="false">'wholesale services'!$D$110*'wholesale services'!$D$111/12</f>
        <v>3250582.5</v>
      </c>
      <c r="R18" s="770" t="n">
        <v>3320487.5</v>
      </c>
      <c r="S18" s="769" t="n">
        <f aca="false">Breakout!$C$27/12</f>
        <v>119593.28</v>
      </c>
      <c r="T18" s="770" t="n">
        <f aca="false">'wholesale services'!$D$113*'wholesale services'!$D$114/12</f>
        <v>142350.959225704</v>
      </c>
      <c r="U18" s="770" t="n">
        <v>145256.080842555</v>
      </c>
      <c r="V18" s="769" t="n">
        <f aca="false">Breakout!$C$38/12</f>
        <v>60199.04</v>
      </c>
      <c r="W18" s="772" t="n">
        <f aca="false">Breakout!$C$39/12</f>
        <v>57970</v>
      </c>
      <c r="X18" s="772" t="n">
        <v>58593.3333333333</v>
      </c>
      <c r="Y18" s="769" t="n">
        <f aca="false">Breakout!$C$49/12</f>
        <v>437891.68</v>
      </c>
      <c r="Z18" s="770" t="n">
        <f aca="false">Breakout!$C$50/12</f>
        <v>387894.31527551</v>
      </c>
      <c r="AA18" s="770" t="n">
        <v>407456.021211913</v>
      </c>
      <c r="AB18" s="769" t="n">
        <f aca="false">Breakout!$C$60/12</f>
        <v>402893.53201088</v>
      </c>
      <c r="AC18" s="770" t="n">
        <f aca="false">Breakout!$C$61/12</f>
        <v>384290.911047063</v>
      </c>
      <c r="AD18" s="770" t="n">
        <v>396273.255712227</v>
      </c>
      <c r="AE18" s="769" t="n">
        <f aca="false">Breakout!$C$71/12</f>
        <v>305682.99904</v>
      </c>
      <c r="AF18" s="770" t="n">
        <f aca="false">Breakout!$C$72/12</f>
        <v>316520.666666667</v>
      </c>
      <c r="AG18" s="770" t="n">
        <v>316520.666666667</v>
      </c>
      <c r="AH18" s="769" t="n">
        <f aca="false">Breakout!$C$82/12</f>
        <v>20120</v>
      </c>
      <c r="AI18" s="770" t="n">
        <f aca="false">Breakout!$C$83/12</f>
        <v>0</v>
      </c>
      <c r="AJ18" s="770" t="n">
        <v>0</v>
      </c>
      <c r="AK18" s="773" t="n">
        <f aca="false">Breakout!$C$91/12</f>
        <v>270528.567091457</v>
      </c>
      <c r="AL18" s="773" t="n">
        <v>270528.567091457</v>
      </c>
      <c r="AM18" s="773" t="n">
        <f aca="false">(Breakout!$C$107/12)*-1</f>
        <v>55221.25</v>
      </c>
      <c r="AN18" s="773" t="n">
        <v>55221.25</v>
      </c>
      <c r="AO18" s="774" t="n">
        <f aca="false">(P18+S18+V18)+Y18+AB18+AE18+AH18</f>
        <v>4721953.17105088</v>
      </c>
      <c r="AP18" s="774" t="n">
        <f aca="false">Q18+T18+W18+AA18+AD18+AG18+AJ18+AL18+AN18</f>
        <v>4896903.21990797</v>
      </c>
      <c r="AQ18" s="775" t="n">
        <f aca="false">P18+S18+V18+Y18+AB18+AE18+AH18-Q18-T18-W18-Z18-AC18-AF18-AI18-AK18-AM18-DH18-DL18-CN18</f>
        <v>-143405.998255519</v>
      </c>
      <c r="AS18" s="776" t="n">
        <f aca="false">P18+S18+V18+Y18+AB18+AE18+AH18-R18-U18-X18-AA18-AD18-AG18-AJ18-AL18-AN18-O18-L18-CN18</f>
        <v>-248383.503807272</v>
      </c>
      <c r="AU18" s="770" t="n">
        <f aca="false">'wholesale services'!$D$110/12</f>
        <v>48545138.8888889</v>
      </c>
      <c r="AV18" s="770" t="n">
        <f aca="false">'wholesale services'!$D$113/12</f>
        <v>24766.6666666667</v>
      </c>
      <c r="AX18" s="851" t="n">
        <f aca="false">IF(A18&lt;$AX$6,0,-$R$5/12)</f>
        <v>0</v>
      </c>
      <c r="AY18" s="417" t="n">
        <f aca="false">IF(A18&lt;$AX$6,0,-$S$5/12)</f>
        <v>0</v>
      </c>
      <c r="BA18" s="772" t="n">
        <f aca="false">P18-IF($BL$4="mid",Q18,R18)-$BL$9*(IF($BL$4="mid",N18,O18)+IF($BL$4="mid",DL18,L18))</f>
        <v>124990.140000001</v>
      </c>
      <c r="BB18" s="772" t="n">
        <f aca="false">S18-IF($BL$4="mid",T18,U18)-$BM$9*(IF($BL$4="mid",N18,O18)+IF($BL$4="mid",DL18,L18))</f>
        <v>-22757.6792257039</v>
      </c>
      <c r="BC18" s="772" t="n">
        <f aca="false">V18-IF($BL$4="mid",W18,X18)-$BN$9*(IF($BL$4="mid",N18,O18)+IF($BL$4="mid",DL18,L18))</f>
        <v>2229.04</v>
      </c>
      <c r="BD18" s="772" t="n">
        <f aca="false">Y18-IF($BL$4="mid",Z18,AA18)</f>
        <v>49997.36472449</v>
      </c>
      <c r="BE18" s="772" t="n">
        <f aca="false">AB18-IF($BL$4="mid",AC18,AD18)</f>
        <v>18602.6209638173</v>
      </c>
      <c r="BF18" s="772" t="n">
        <f aca="false">AE18-IF($BL$4="mid",AF18,AG18)</f>
        <v>-10837.6676266667</v>
      </c>
      <c r="BG18" s="772" t="n">
        <f aca="false">AH18-IF($BL$4="mid",AI18,AJ18)</f>
        <v>20120</v>
      </c>
      <c r="BH18" s="772" t="n">
        <f aca="false">-IF($BL$4="mid",AK18,AL18)</f>
        <v>-270528.567091457</v>
      </c>
      <c r="BI18" s="772" t="n">
        <f aca="false">-IF($BL$4="mid",AM18,AN18)</f>
        <v>-55221.25</v>
      </c>
      <c r="BL18" s="772" t="n">
        <f aca="false">BW18-IF($BL$4="mid",Q18,R18)-$BL$9*(IF($BL$4="mid",N18,O18)+IF($BL$4="mid",DL18,L18))</f>
        <v>265639</v>
      </c>
      <c r="BM18" s="772" t="n">
        <f aca="false">BX18-IF($BL$4="mid",T18,U18)-$BM$9*(IF($BL$4="mid",N18,O18)+IF($BL$4="mid",DL18,L18))</f>
        <v>-17774.6258923705</v>
      </c>
      <c r="BN18" s="772" t="n">
        <f aca="false">BY18-IF($BL$4="mid",W18,X18)-$BN$9*(IF($BL$4="mid",N18,O18)+IF($BL$4="mid",DL18,L18))</f>
        <v>4737.33333333334</v>
      </c>
      <c r="BO18" s="772" t="n">
        <f aca="false">BZ18-IF($BL$4="mid",Z18,AA18)</f>
        <v>68242.8513911567</v>
      </c>
      <c r="BP18" s="772" t="n">
        <f aca="false">CA18-IF($BL$4="mid",AC18,AD18)</f>
        <v>35389.8514642707</v>
      </c>
      <c r="BQ18" s="772" t="n">
        <f aca="false">CB18-IF($BL$4="mid",AF18,AG18)</f>
        <v>1899.12399999995</v>
      </c>
      <c r="BR18" s="772" t="n">
        <f aca="false">CC18-IF($BL$4="mid",AI18,AJ18)</f>
        <v>20958.3333333333</v>
      </c>
      <c r="BS18" s="772" t="n">
        <f aca="false">-IF($BL$4="mid",AK18,AL18)</f>
        <v>-270528.567091457</v>
      </c>
      <c r="BT18" s="772" t="n">
        <f aca="false">-IF($BL$4="mid",AM18,AN18)</f>
        <v>-55221.25</v>
      </c>
      <c r="BW18" s="769" t="n">
        <f aca="false">Breakout!$C$15/12</f>
        <v>3516221.5</v>
      </c>
      <c r="BX18" s="769" t="n">
        <f aca="false">Breakout!$C$26/12</f>
        <v>124576.333333333</v>
      </c>
      <c r="BY18" s="769" t="n">
        <f aca="false">Breakout!$C$37/12</f>
        <v>62707.3333333333</v>
      </c>
      <c r="BZ18" s="769" t="n">
        <f aca="false">Breakout!$C$48/12</f>
        <v>456137.166666667</v>
      </c>
      <c r="CA18" s="769" t="n">
        <f aca="false">Breakout!$C$59/12</f>
        <v>419680.762511333</v>
      </c>
      <c r="CB18" s="769" t="n">
        <f aca="false">Breakout!$C$70/12</f>
        <v>318419.790666667</v>
      </c>
      <c r="CC18" s="769" t="n">
        <f aca="false">Breakout!$C$81/12</f>
        <v>20958.3333333333</v>
      </c>
      <c r="CE18" s="852" t="n">
        <f aca="false">P18/0.96</f>
        <v>3516221.5</v>
      </c>
      <c r="CF18" s="852" t="n">
        <f aca="false">S18/0.96</f>
        <v>124576.333333333</v>
      </c>
      <c r="CG18" s="852" t="n">
        <f aca="false">V18/0.96</f>
        <v>62707.3333333333</v>
      </c>
      <c r="CI18" s="852" t="n">
        <f aca="false">N18</f>
        <v>0</v>
      </c>
      <c r="CJ18" s="852" t="n">
        <f aca="false">O18</f>
        <v>0</v>
      </c>
      <c r="CL18" s="772" t="n">
        <f aca="false">'account mgt'!$C$23/12</f>
        <v>-50916.6666666667</v>
      </c>
      <c r="CN18" s="772" t="n">
        <v>0</v>
      </c>
      <c r="CP18" s="772" t="n">
        <f aca="false">M18</f>
        <v>2369920</v>
      </c>
      <c r="CQ18" s="772" t="n">
        <f aca="false">CP18+CS17</f>
        <v>17040715.9998145</v>
      </c>
      <c r="CR18" s="772" t="n">
        <f aca="false">CQ18*$L$2</f>
        <v>152230.396265009</v>
      </c>
      <c r="CS18" s="772" t="n">
        <f aca="false">CQ18+CR18</f>
        <v>17192946.3960795</v>
      </c>
      <c r="CX18" s="772" t="n">
        <f aca="false">CS18</f>
        <v>17192946.3960795</v>
      </c>
      <c r="DE18" s="772" t="n">
        <f aca="false">CX18</f>
        <v>17192946.3960795</v>
      </c>
      <c r="DH18" s="417" t="n">
        <v>0</v>
      </c>
      <c r="DI18" s="417" t="n">
        <v>0</v>
      </c>
      <c r="DJ18" s="417"/>
      <c r="DK18" s="417" t="n">
        <f aca="false">I18*(1+$J$2)^($A$25-A18+1)</f>
        <v>-2527915.79786955</v>
      </c>
      <c r="DL18" s="417" t="n">
        <v>0</v>
      </c>
      <c r="DN18" s="417" t="n">
        <f aca="false">IF($BL$4="mid",DH18,DI18)</f>
        <v>0</v>
      </c>
      <c r="DO18" s="417" t="n">
        <f aca="false">IF($BL$4="mid",DL18,L18)</f>
        <v>0</v>
      </c>
      <c r="DQ18" s="772" t="n">
        <f aca="false">BW18-IF($BL$4="mid",Q18,R18)</f>
        <v>265639</v>
      </c>
      <c r="DR18" s="772" t="n">
        <f aca="false">BX18-IF($BL$4="mid",T18,U18)</f>
        <v>-17774.6258923705</v>
      </c>
      <c r="DS18" s="772"/>
      <c r="DT18" s="772"/>
      <c r="DU18" s="772"/>
      <c r="DV18" s="772"/>
      <c r="DW18" s="772"/>
      <c r="DX18" s="772"/>
    </row>
    <row r="19" customFormat="false" ht="12.75" hidden="false" customHeight="false" outlineLevel="0" collapsed="false">
      <c r="A19" s="767" t="n">
        <v>8</v>
      </c>
      <c r="B19" s="854" t="n">
        <v>36739</v>
      </c>
      <c r="C19" s="417" t="n">
        <v>-2369920</v>
      </c>
      <c r="D19" s="417" t="n">
        <v>0</v>
      </c>
      <c r="E19" s="417" t="n">
        <v>0</v>
      </c>
      <c r="F19" s="417" t="n">
        <v>0</v>
      </c>
      <c r="G19" s="417" t="n">
        <v>0</v>
      </c>
      <c r="H19" s="417" t="n">
        <v>0</v>
      </c>
      <c r="I19" s="416" t="n">
        <v>-2369920</v>
      </c>
      <c r="J19" s="417" t="n">
        <f aca="false">I19</f>
        <v>-2369920</v>
      </c>
      <c r="K19" s="417" t="n">
        <f aca="false">I19*(1+$L$2)^($A$25-A19+1)</f>
        <v>-2522150.39626501</v>
      </c>
      <c r="L19" s="417" t="n">
        <v>0</v>
      </c>
      <c r="M19" s="417" t="n">
        <f aca="false">-J19</f>
        <v>2369920</v>
      </c>
      <c r="N19" s="850" t="n">
        <f aca="false">IF(A19&lt;$B$8,0,-$R$5/12)</f>
        <v>0</v>
      </c>
      <c r="O19" s="850" t="n">
        <f aca="false">IF(A19&lt;$B$8,0,-$S$5/12)</f>
        <v>0</v>
      </c>
      <c r="P19" s="769" t="n">
        <f aca="false">Breakout!$C$16/12</f>
        <v>3375572.64</v>
      </c>
      <c r="Q19" s="770" t="n">
        <f aca="false">'wholesale services'!$D$110*'wholesale services'!$D$111/12</f>
        <v>3250582.5</v>
      </c>
      <c r="R19" s="770" t="n">
        <v>3320487.5</v>
      </c>
      <c r="S19" s="769" t="n">
        <f aca="false">Breakout!$C$27/12</f>
        <v>119593.28</v>
      </c>
      <c r="T19" s="770" t="n">
        <f aca="false">'wholesale services'!$D$113*'wholesale services'!$D$114/12</f>
        <v>142350.959225704</v>
      </c>
      <c r="U19" s="770" t="n">
        <v>145256.080842555</v>
      </c>
      <c r="V19" s="769" t="n">
        <f aca="false">Breakout!$C$38/12</f>
        <v>60199.04</v>
      </c>
      <c r="W19" s="772" t="n">
        <f aca="false">Breakout!$C$39/12</f>
        <v>57970</v>
      </c>
      <c r="X19" s="772" t="n">
        <v>58593.3333333333</v>
      </c>
      <c r="Y19" s="769" t="n">
        <f aca="false">Breakout!$C$49/12</f>
        <v>437891.68</v>
      </c>
      <c r="Z19" s="770" t="n">
        <f aca="false">Breakout!$C$50/12</f>
        <v>387894.31527551</v>
      </c>
      <c r="AA19" s="770" t="n">
        <v>407456.021211913</v>
      </c>
      <c r="AB19" s="769" t="n">
        <f aca="false">Breakout!$C$60/12</f>
        <v>402893.53201088</v>
      </c>
      <c r="AC19" s="770" t="n">
        <f aca="false">Breakout!$C$61/12</f>
        <v>384290.911047063</v>
      </c>
      <c r="AD19" s="770" t="n">
        <v>396273.255712227</v>
      </c>
      <c r="AE19" s="769" t="n">
        <f aca="false">Breakout!$C$71/12</f>
        <v>305682.99904</v>
      </c>
      <c r="AF19" s="770" t="n">
        <f aca="false">Breakout!$C$72/12</f>
        <v>316520.666666667</v>
      </c>
      <c r="AG19" s="770" t="n">
        <v>316520.666666667</v>
      </c>
      <c r="AH19" s="769" t="n">
        <f aca="false">Breakout!$C$82/12</f>
        <v>20120</v>
      </c>
      <c r="AI19" s="770" t="n">
        <f aca="false">Breakout!$C$83/12</f>
        <v>0</v>
      </c>
      <c r="AJ19" s="770" t="n">
        <v>0</v>
      </c>
      <c r="AK19" s="773" t="n">
        <f aca="false">Breakout!$C$91/12</f>
        <v>270528.567091457</v>
      </c>
      <c r="AL19" s="773" t="n">
        <v>270528.567091457</v>
      </c>
      <c r="AM19" s="773" t="n">
        <f aca="false">(Breakout!$C$107/12)*-1</f>
        <v>55221.25</v>
      </c>
      <c r="AN19" s="773" t="n">
        <v>55221.25</v>
      </c>
      <c r="AO19" s="774" t="n">
        <f aca="false">(P19+S19+V19)+Y19+AB19+AE19+AH19</f>
        <v>4721953.17105088</v>
      </c>
      <c r="AP19" s="774" t="n">
        <f aca="false">Q19+T19+W19+AA19+AD19+AG19+AJ19+AL19+AN19</f>
        <v>4896903.21990797</v>
      </c>
      <c r="AQ19" s="775" t="n">
        <f aca="false">P19+S19+V19+Y19+AB19+AE19+AH19-Q19-T19-W19-Z19-AC19-AF19-AI19-AK19-AM19-DH19-DL19-CN19</f>
        <v>-143405.998255519</v>
      </c>
      <c r="AS19" s="776" t="n">
        <f aca="false">P19+S19+V19+Y19+AB19+AE19+AH19-R19-U19-X19-AA19-AD19-AG19-AJ19-AL19-AN19-O19-L19-CN19</f>
        <v>-248383.503807272</v>
      </c>
      <c r="AU19" s="770" t="n">
        <f aca="false">'wholesale services'!$D$110/12</f>
        <v>48545138.8888889</v>
      </c>
      <c r="AV19" s="770" t="n">
        <f aca="false">'wholesale services'!$D$113/12</f>
        <v>24766.6666666667</v>
      </c>
      <c r="AX19" s="851" t="n">
        <f aca="false">IF(A19&lt;$AX$6,0,-$R$5/12)</f>
        <v>0</v>
      </c>
      <c r="AY19" s="417" t="n">
        <f aca="false">IF(A19&lt;$AX$6,0,-$S$5/12)</f>
        <v>0</v>
      </c>
      <c r="BA19" s="772" t="n">
        <f aca="false">P19-IF($BL$4="mid",Q19,R19)-$BL$9*(IF($BL$4="mid",N19,O19)+IF($BL$4="mid",DL19,L19))</f>
        <v>124990.140000001</v>
      </c>
      <c r="BB19" s="772" t="n">
        <f aca="false">S19-IF($BL$4="mid",T19,U19)-$BM$9*(IF($BL$4="mid",N19,O19)+IF($BL$4="mid",DL19,L19))</f>
        <v>-22757.6792257039</v>
      </c>
      <c r="BC19" s="772" t="n">
        <f aca="false">V19-IF($BL$4="mid",W19,X19)-$BN$9*(IF($BL$4="mid",N19,O19)+IF($BL$4="mid",DL19,L19))</f>
        <v>2229.04</v>
      </c>
      <c r="BD19" s="772" t="n">
        <f aca="false">Y19-IF($BL$4="mid",Z19,AA19)</f>
        <v>49997.36472449</v>
      </c>
      <c r="BE19" s="772" t="n">
        <f aca="false">AB19-IF($BL$4="mid",AC19,AD19)</f>
        <v>18602.6209638173</v>
      </c>
      <c r="BF19" s="772" t="n">
        <f aca="false">AE19-IF($BL$4="mid",AF19,AG19)</f>
        <v>-10837.6676266667</v>
      </c>
      <c r="BG19" s="772" t="n">
        <f aca="false">AH19-IF($BL$4="mid",AI19,AJ19)</f>
        <v>20120</v>
      </c>
      <c r="BH19" s="772" t="n">
        <f aca="false">-IF($BL$4="mid",AK19,AL19)</f>
        <v>-270528.567091457</v>
      </c>
      <c r="BI19" s="772" t="n">
        <f aca="false">-IF($BL$4="mid",AM19,AN19)</f>
        <v>-55221.25</v>
      </c>
      <c r="BL19" s="772" t="n">
        <f aca="false">BW19-IF($BL$4="mid",Q19,R19)-$BL$9*(IF($BL$4="mid",N19,O19)+IF($BL$4="mid",DL19,L19))</f>
        <v>265639</v>
      </c>
      <c r="BM19" s="772" t="n">
        <f aca="false">BX19-IF($BL$4="mid",T19,U19)-$BM$9*(IF($BL$4="mid",N19,O19)+IF($BL$4="mid",DL19,L19))</f>
        <v>-17774.6258923705</v>
      </c>
      <c r="BN19" s="772" t="n">
        <f aca="false">BY19-IF($BL$4="mid",W19,X19)-$BN$9*(IF($BL$4="mid",N19,O19)+IF($BL$4="mid",DL19,L19))</f>
        <v>4737.33333333334</v>
      </c>
      <c r="BO19" s="772" t="n">
        <f aca="false">BZ19-IF($BL$4="mid",Z19,AA19)</f>
        <v>68242.8513911567</v>
      </c>
      <c r="BP19" s="772" t="n">
        <f aca="false">CA19-IF($BL$4="mid",AC19,AD19)</f>
        <v>35389.8514642707</v>
      </c>
      <c r="BQ19" s="772" t="n">
        <f aca="false">CB19-IF($BL$4="mid",AF19,AG19)</f>
        <v>1899.12399999995</v>
      </c>
      <c r="BR19" s="772" t="n">
        <f aca="false">CC19-IF($BL$4="mid",AI19,AJ19)</f>
        <v>20958.3333333333</v>
      </c>
      <c r="BS19" s="772" t="n">
        <f aca="false">-IF($BL$4="mid",AK19,AL19)</f>
        <v>-270528.567091457</v>
      </c>
      <c r="BT19" s="772" t="n">
        <f aca="false">-IF($BL$4="mid",AM19,AN19)</f>
        <v>-55221.25</v>
      </c>
      <c r="BW19" s="769" t="n">
        <f aca="false">Breakout!$C$15/12</f>
        <v>3516221.5</v>
      </c>
      <c r="BX19" s="769" t="n">
        <f aca="false">Breakout!$C$26/12</f>
        <v>124576.333333333</v>
      </c>
      <c r="BY19" s="769" t="n">
        <f aca="false">Breakout!$C$37/12</f>
        <v>62707.3333333333</v>
      </c>
      <c r="BZ19" s="769" t="n">
        <f aca="false">Breakout!$C$48/12</f>
        <v>456137.166666667</v>
      </c>
      <c r="CA19" s="769" t="n">
        <f aca="false">Breakout!$C$59/12</f>
        <v>419680.762511333</v>
      </c>
      <c r="CB19" s="769" t="n">
        <f aca="false">Breakout!$C$70/12</f>
        <v>318419.790666667</v>
      </c>
      <c r="CC19" s="769" t="n">
        <f aca="false">Breakout!$C$81/12</f>
        <v>20958.3333333333</v>
      </c>
      <c r="CE19" s="852" t="n">
        <f aca="false">P19/0.96</f>
        <v>3516221.5</v>
      </c>
      <c r="CF19" s="852" t="n">
        <f aca="false">S19/0.96</f>
        <v>124576.333333333</v>
      </c>
      <c r="CG19" s="852" t="n">
        <f aca="false">V19/0.96</f>
        <v>62707.3333333333</v>
      </c>
      <c r="CI19" s="852" t="n">
        <f aca="false">N19</f>
        <v>0</v>
      </c>
      <c r="CJ19" s="852" t="n">
        <f aca="false">O19</f>
        <v>0</v>
      </c>
      <c r="CL19" s="772" t="n">
        <f aca="false">'account mgt'!$C$23/12</f>
        <v>-50916.6666666667</v>
      </c>
      <c r="CN19" s="772" t="n">
        <v>0</v>
      </c>
      <c r="CP19" s="772" t="n">
        <f aca="false">M19</f>
        <v>2369920</v>
      </c>
      <c r="CQ19" s="772" t="n">
        <f aca="false">CP19+CS18</f>
        <v>19562866.3960795</v>
      </c>
      <c r="CR19" s="772" t="n">
        <f aca="false">CQ19*$L$2</f>
        <v>174761.606471643</v>
      </c>
      <c r="CS19" s="772" t="n">
        <f aca="false">CQ19+CR19</f>
        <v>19737628.0025511</v>
      </c>
      <c r="CX19" s="772" t="n">
        <f aca="false">CS19</f>
        <v>19737628.0025511</v>
      </c>
      <c r="DE19" s="772" t="n">
        <f aca="false">CX19</f>
        <v>19737628.0025511</v>
      </c>
      <c r="DH19" s="417" t="n">
        <v>0</v>
      </c>
      <c r="DI19" s="417" t="n">
        <v>0</v>
      </c>
      <c r="DJ19" s="417"/>
      <c r="DK19" s="417" t="n">
        <f aca="false">I19*(1+$J$2)^($A$25-A19+1)</f>
        <v>-2507604.20381862</v>
      </c>
      <c r="DL19" s="417" t="n">
        <v>0</v>
      </c>
      <c r="DN19" s="417" t="n">
        <f aca="false">IF($BL$4="mid",DH19,DI19)</f>
        <v>0</v>
      </c>
      <c r="DO19" s="417" t="n">
        <f aca="false">IF($BL$4="mid",DL19,L19)</f>
        <v>0</v>
      </c>
      <c r="DQ19" s="772" t="n">
        <f aca="false">BW19-IF($BL$4="mid",Q19,R19)</f>
        <v>265639</v>
      </c>
      <c r="DR19" s="772" t="n">
        <f aca="false">BX19-IF($BL$4="mid",T19,U19)</f>
        <v>-17774.6258923705</v>
      </c>
      <c r="DS19" s="772"/>
      <c r="DT19" s="772"/>
      <c r="DU19" s="772"/>
      <c r="DV19" s="772"/>
      <c r="DW19" s="772"/>
      <c r="DX19" s="772"/>
    </row>
    <row r="20" customFormat="false" ht="12.75" hidden="false" customHeight="false" outlineLevel="0" collapsed="false">
      <c r="A20" s="767" t="n">
        <v>9</v>
      </c>
      <c r="B20" s="854" t="n">
        <v>36770</v>
      </c>
      <c r="C20" s="417" t="n">
        <v>-2369920</v>
      </c>
      <c r="D20" s="417" t="n">
        <v>0</v>
      </c>
      <c r="E20" s="417" t="n">
        <v>0</v>
      </c>
      <c r="F20" s="417" t="n">
        <v>0</v>
      </c>
      <c r="G20" s="417" t="n">
        <v>0</v>
      </c>
      <c r="H20" s="417" t="n">
        <v>0</v>
      </c>
      <c r="I20" s="416" t="n">
        <v>-2369920</v>
      </c>
      <c r="J20" s="417" t="n">
        <f aca="false">I20</f>
        <v>-2369920</v>
      </c>
      <c r="K20" s="417" t="n">
        <f aca="false">I20*(1+$L$2)^($A$25-A20+1)</f>
        <v>-2499818.68269956</v>
      </c>
      <c r="L20" s="417" t="n">
        <v>0</v>
      </c>
      <c r="M20" s="417" t="n">
        <f aca="false">-J20</f>
        <v>2369920</v>
      </c>
      <c r="N20" s="850" t="n">
        <f aca="false">IF(A20&lt;$B$8,0,-$R$5/12)</f>
        <v>0</v>
      </c>
      <c r="O20" s="850" t="n">
        <f aca="false">IF(A20&lt;$B$8,0,-$S$5/12)</f>
        <v>0</v>
      </c>
      <c r="P20" s="769" t="n">
        <f aca="false">Breakout!$C$16/12</f>
        <v>3375572.64</v>
      </c>
      <c r="Q20" s="770" t="n">
        <f aca="false">'wholesale services'!$D$110*'wholesale services'!$D$111/12</f>
        <v>3250582.5</v>
      </c>
      <c r="R20" s="770" t="n">
        <v>3320487.5</v>
      </c>
      <c r="S20" s="769" t="n">
        <f aca="false">Breakout!$C$27/12</f>
        <v>119593.28</v>
      </c>
      <c r="T20" s="770" t="n">
        <f aca="false">'wholesale services'!$D$113*'wholesale services'!$D$114/12</f>
        <v>142350.959225704</v>
      </c>
      <c r="U20" s="770" t="n">
        <v>145256.080842555</v>
      </c>
      <c r="V20" s="769" t="n">
        <f aca="false">Breakout!$C$38/12</f>
        <v>60199.04</v>
      </c>
      <c r="W20" s="772" t="n">
        <f aca="false">Breakout!$C$39/12</f>
        <v>57970</v>
      </c>
      <c r="X20" s="772" t="n">
        <v>58593.3333333333</v>
      </c>
      <c r="Y20" s="769" t="n">
        <f aca="false">Breakout!$C$49/12</f>
        <v>437891.68</v>
      </c>
      <c r="Z20" s="770" t="n">
        <f aca="false">Breakout!$C$50/12</f>
        <v>387894.31527551</v>
      </c>
      <c r="AA20" s="770" t="n">
        <v>407456.021211913</v>
      </c>
      <c r="AB20" s="769" t="n">
        <f aca="false">Breakout!$C$60/12</f>
        <v>402893.53201088</v>
      </c>
      <c r="AC20" s="770" t="n">
        <f aca="false">Breakout!$C$61/12</f>
        <v>384290.911047063</v>
      </c>
      <c r="AD20" s="770" t="n">
        <v>396273.255712227</v>
      </c>
      <c r="AE20" s="769" t="n">
        <f aca="false">Breakout!$C$71/12</f>
        <v>305682.99904</v>
      </c>
      <c r="AF20" s="770" t="n">
        <f aca="false">Breakout!$C$72/12</f>
        <v>316520.666666667</v>
      </c>
      <c r="AG20" s="770" t="n">
        <v>316520.666666667</v>
      </c>
      <c r="AH20" s="769" t="n">
        <f aca="false">Breakout!$C$82/12</f>
        <v>20120</v>
      </c>
      <c r="AI20" s="770" t="n">
        <f aca="false">Breakout!$C$83/12</f>
        <v>0</v>
      </c>
      <c r="AJ20" s="770" t="n">
        <v>0</v>
      </c>
      <c r="AK20" s="773" t="n">
        <f aca="false">Breakout!$C$91/12</f>
        <v>270528.567091457</v>
      </c>
      <c r="AL20" s="773" t="n">
        <v>270528.567091457</v>
      </c>
      <c r="AM20" s="773" t="n">
        <f aca="false">(Breakout!$C$107/12)*-1</f>
        <v>55221.25</v>
      </c>
      <c r="AN20" s="773" t="n">
        <v>55221.25</v>
      </c>
      <c r="AO20" s="774" t="n">
        <f aca="false">(P20+S20+V20)+Y20+AB20+AE20+AH20</f>
        <v>4721953.17105088</v>
      </c>
      <c r="AP20" s="774" t="n">
        <f aca="false">Q20+T20+W20+AA20+AD20+AG20+AJ20+AL20+AN20</f>
        <v>4896903.21990797</v>
      </c>
      <c r="AQ20" s="775" t="n">
        <f aca="false">P20+S20+V20+Y20+AB20+AE20+AH20-Q20-T20-W20-Z20-AC20-AF20-AI20-AK20-AM20-DH20-DL20-CN20</f>
        <v>-143405.998255519</v>
      </c>
      <c r="AS20" s="776" t="n">
        <f aca="false">P20+S20+V20+Y20+AB20+AE20+AH20-R20-U20-X20-AA20-AD20-AG20-AJ20-AL20-AN20-O20-L20-CN20</f>
        <v>-248383.503807272</v>
      </c>
      <c r="AU20" s="770" t="n">
        <f aca="false">'wholesale services'!$D$110/12</f>
        <v>48545138.8888889</v>
      </c>
      <c r="AV20" s="770" t="n">
        <f aca="false">'wholesale services'!$D$113/12</f>
        <v>24766.6666666667</v>
      </c>
      <c r="AX20" s="851" t="n">
        <f aca="false">IF(A20&lt;$AX$6,0,-$R$5/12)</f>
        <v>0</v>
      </c>
      <c r="AY20" s="417" t="n">
        <f aca="false">IF(A20&lt;$AX$6,0,-$S$5/12)</f>
        <v>0</v>
      </c>
      <c r="BA20" s="772" t="n">
        <f aca="false">P20-IF($BL$4="mid",Q20,R20)-$BL$9*(IF($BL$4="mid",N20,O20)+IF($BL$4="mid",DL20,L20))</f>
        <v>124990.140000001</v>
      </c>
      <c r="BB20" s="772" t="n">
        <f aca="false">S20-IF($BL$4="mid",T20,U20)-$BM$9*(IF($BL$4="mid",N20,O20)+IF($BL$4="mid",DL20,L20))</f>
        <v>-22757.6792257039</v>
      </c>
      <c r="BC20" s="772" t="n">
        <f aca="false">V20-IF($BL$4="mid",W20,X20)-$BN$9*(IF($BL$4="mid",N20,O20)+IF($BL$4="mid",DL20,L20))</f>
        <v>2229.04</v>
      </c>
      <c r="BD20" s="772" t="n">
        <f aca="false">Y20-IF($BL$4="mid",Z20,AA20)</f>
        <v>49997.36472449</v>
      </c>
      <c r="BE20" s="772" t="n">
        <f aca="false">AB20-IF($BL$4="mid",AC20,AD20)</f>
        <v>18602.6209638173</v>
      </c>
      <c r="BF20" s="772" t="n">
        <f aca="false">AE20-IF($BL$4="mid",AF20,AG20)</f>
        <v>-10837.6676266667</v>
      </c>
      <c r="BG20" s="772" t="n">
        <f aca="false">AH20-IF($BL$4="mid",AI20,AJ20)</f>
        <v>20120</v>
      </c>
      <c r="BH20" s="772" t="n">
        <f aca="false">-IF($BL$4="mid",AK20,AL20)</f>
        <v>-270528.567091457</v>
      </c>
      <c r="BI20" s="772" t="n">
        <f aca="false">-IF($BL$4="mid",AM20,AN20)</f>
        <v>-55221.25</v>
      </c>
      <c r="BL20" s="772" t="n">
        <f aca="false">BW20-IF($BL$4="mid",Q20,R20)-$BL$9*(IF($BL$4="mid",N20,O20)+IF($BL$4="mid",DL20,L20))</f>
        <v>265639</v>
      </c>
      <c r="BM20" s="772" t="n">
        <f aca="false">BX20-IF($BL$4="mid",T20,U20)-$BM$9*(IF($BL$4="mid",N20,O20)+IF($BL$4="mid",DL20,L20))</f>
        <v>-17774.6258923705</v>
      </c>
      <c r="BN20" s="772" t="n">
        <f aca="false">BY20-IF($BL$4="mid",W20,X20)-$BN$9*(IF($BL$4="mid",N20,O20)+IF($BL$4="mid",DL20,L20))</f>
        <v>4737.33333333334</v>
      </c>
      <c r="BO20" s="772" t="n">
        <f aca="false">BZ20-IF($BL$4="mid",Z20,AA20)</f>
        <v>68242.8513911567</v>
      </c>
      <c r="BP20" s="772" t="n">
        <f aca="false">CA20-IF($BL$4="mid",AC20,AD20)</f>
        <v>35389.8514642707</v>
      </c>
      <c r="BQ20" s="772" t="n">
        <f aca="false">CB20-IF($BL$4="mid",AF20,AG20)</f>
        <v>1899.12399999995</v>
      </c>
      <c r="BR20" s="772" t="n">
        <f aca="false">CC20-IF($BL$4="mid",AI20,AJ20)</f>
        <v>20958.3333333333</v>
      </c>
      <c r="BS20" s="772" t="n">
        <f aca="false">-IF($BL$4="mid",AK20,AL20)</f>
        <v>-270528.567091457</v>
      </c>
      <c r="BT20" s="772" t="n">
        <f aca="false">-IF($BL$4="mid",AM20,AN20)</f>
        <v>-55221.25</v>
      </c>
      <c r="BW20" s="769" t="n">
        <f aca="false">Breakout!$C$15/12</f>
        <v>3516221.5</v>
      </c>
      <c r="BX20" s="769" t="n">
        <f aca="false">Breakout!$C$26/12</f>
        <v>124576.333333333</v>
      </c>
      <c r="BY20" s="769" t="n">
        <f aca="false">Breakout!$C$37/12</f>
        <v>62707.3333333333</v>
      </c>
      <c r="BZ20" s="769" t="n">
        <f aca="false">Breakout!$C$48/12</f>
        <v>456137.166666667</v>
      </c>
      <c r="CA20" s="769" t="n">
        <f aca="false">Breakout!$C$59/12</f>
        <v>419680.762511333</v>
      </c>
      <c r="CB20" s="769" t="n">
        <f aca="false">Breakout!$C$70/12</f>
        <v>318419.790666667</v>
      </c>
      <c r="CC20" s="769" t="n">
        <f aca="false">Breakout!$C$81/12</f>
        <v>20958.3333333333</v>
      </c>
      <c r="CE20" s="852" t="n">
        <f aca="false">P20/0.96</f>
        <v>3516221.5</v>
      </c>
      <c r="CF20" s="852" t="n">
        <f aca="false">S20/0.96</f>
        <v>124576.333333333</v>
      </c>
      <c r="CG20" s="852" t="n">
        <f aca="false">V20/0.96</f>
        <v>62707.3333333333</v>
      </c>
      <c r="CI20" s="852" t="n">
        <f aca="false">N20</f>
        <v>0</v>
      </c>
      <c r="CJ20" s="852" t="n">
        <f aca="false">O20</f>
        <v>0</v>
      </c>
      <c r="CL20" s="772" t="n">
        <f aca="false">'account mgt'!$C$23/12</f>
        <v>-50916.6666666667</v>
      </c>
      <c r="CN20" s="772" t="n">
        <v>0</v>
      </c>
      <c r="CP20" s="772" t="n">
        <f aca="false">M20</f>
        <v>2369920</v>
      </c>
      <c r="CQ20" s="772" t="n">
        <f aca="false">CP20+CS19</f>
        <v>22107548.0025511</v>
      </c>
      <c r="CR20" s="772" t="n">
        <f aca="false">CQ20*$L$2</f>
        <v>197494.095489457</v>
      </c>
      <c r="CS20" s="772" t="n">
        <f aca="false">CQ20+CR20</f>
        <v>22305042.0980406</v>
      </c>
      <c r="CX20" s="772" t="n">
        <f aca="false">CS20</f>
        <v>22305042.0980406</v>
      </c>
      <c r="DE20" s="772" t="n">
        <f aca="false">CX20</f>
        <v>22305042.0980406</v>
      </c>
      <c r="DH20" s="417" t="n">
        <v>0</v>
      </c>
      <c r="DI20" s="417" t="n">
        <v>0</v>
      </c>
      <c r="DJ20" s="417"/>
      <c r="DK20" s="417" t="n">
        <f aca="false">I20*(1+$J$2)^($A$25-A20+1)</f>
        <v>-2487455.8117435</v>
      </c>
      <c r="DL20" s="417" t="n">
        <v>0</v>
      </c>
      <c r="DN20" s="417" t="n">
        <f aca="false">IF($BL$4="mid",DH20,DI20)</f>
        <v>0</v>
      </c>
      <c r="DO20" s="417" t="n">
        <f aca="false">IF($BL$4="mid",DL20,L20)</f>
        <v>0</v>
      </c>
      <c r="DQ20" s="772" t="n">
        <f aca="false">BW20-IF($BL$4="mid",Q20,R20)</f>
        <v>265639</v>
      </c>
      <c r="DR20" s="772" t="n">
        <f aca="false">BX20-IF($BL$4="mid",T20,U20)</f>
        <v>-17774.6258923705</v>
      </c>
      <c r="DS20" s="772"/>
      <c r="DT20" s="772"/>
      <c r="DU20" s="772"/>
      <c r="DV20" s="772"/>
      <c r="DW20" s="772"/>
      <c r="DX20" s="772"/>
    </row>
    <row r="21" customFormat="false" ht="12.75" hidden="false" customHeight="false" outlineLevel="0" collapsed="false">
      <c r="A21" s="767" t="n">
        <v>10</v>
      </c>
      <c r="B21" s="854" t="n">
        <v>36800</v>
      </c>
      <c r="C21" s="417" t="n">
        <v>-2369920</v>
      </c>
      <c r="D21" s="417" t="n">
        <v>0</v>
      </c>
      <c r="E21" s="417" t="n">
        <v>0</v>
      </c>
      <c r="F21" s="417" t="n">
        <v>0</v>
      </c>
      <c r="G21" s="417" t="n">
        <v>0</v>
      </c>
      <c r="H21" s="417" t="n">
        <v>0</v>
      </c>
      <c r="I21" s="416" t="n">
        <v>-2369920</v>
      </c>
      <c r="J21" s="417" t="n">
        <f aca="false">I21</f>
        <v>-2369920</v>
      </c>
      <c r="K21" s="417" t="n">
        <f aca="false">I21*(1+$L$2)^($A$25-A21+1)</f>
        <v>-2477684.69938505</v>
      </c>
      <c r="L21" s="417" t="n">
        <v>0</v>
      </c>
      <c r="M21" s="417" t="n">
        <f aca="false">-J21</f>
        <v>2369920</v>
      </c>
      <c r="N21" s="850" t="n">
        <f aca="false">IF(A21&lt;$B$8,0,-$R$5/12)</f>
        <v>0</v>
      </c>
      <c r="O21" s="850" t="n">
        <f aca="false">IF(A21&lt;$B$8,0,-$S$5/12)</f>
        <v>0</v>
      </c>
      <c r="P21" s="769" t="n">
        <f aca="false">Breakout!$C$16/12</f>
        <v>3375572.64</v>
      </c>
      <c r="Q21" s="770" t="n">
        <f aca="false">'wholesale services'!$D$110*'wholesale services'!$D$111/12</f>
        <v>3250582.5</v>
      </c>
      <c r="R21" s="770" t="n">
        <v>3320487.5</v>
      </c>
      <c r="S21" s="769" t="n">
        <f aca="false">Breakout!$C$27/12</f>
        <v>119593.28</v>
      </c>
      <c r="T21" s="770" t="n">
        <f aca="false">'wholesale services'!$D$113*'wholesale services'!$D$114/12</f>
        <v>142350.959225704</v>
      </c>
      <c r="U21" s="770" t="n">
        <v>145256.080842555</v>
      </c>
      <c r="V21" s="769" t="n">
        <f aca="false">Breakout!$C$38/12</f>
        <v>60199.04</v>
      </c>
      <c r="W21" s="772" t="n">
        <f aca="false">Breakout!$C$39/12</f>
        <v>57970</v>
      </c>
      <c r="X21" s="772" t="n">
        <v>58593.3333333333</v>
      </c>
      <c r="Y21" s="769" t="n">
        <f aca="false">Breakout!$C$49/12</f>
        <v>437891.68</v>
      </c>
      <c r="Z21" s="770" t="n">
        <f aca="false">Breakout!$C$50/12</f>
        <v>387894.31527551</v>
      </c>
      <c r="AA21" s="770" t="n">
        <v>407456.021211913</v>
      </c>
      <c r="AB21" s="769" t="n">
        <f aca="false">Breakout!$C$60/12</f>
        <v>402893.53201088</v>
      </c>
      <c r="AC21" s="770" t="n">
        <f aca="false">Breakout!$C$61/12</f>
        <v>384290.911047063</v>
      </c>
      <c r="AD21" s="770" t="n">
        <v>396273.255712227</v>
      </c>
      <c r="AE21" s="769" t="n">
        <f aca="false">Breakout!$C$71/12</f>
        <v>305682.99904</v>
      </c>
      <c r="AF21" s="770" t="n">
        <f aca="false">Breakout!$C$72/12</f>
        <v>316520.666666667</v>
      </c>
      <c r="AG21" s="770" t="n">
        <v>316520.666666667</v>
      </c>
      <c r="AH21" s="769" t="n">
        <f aca="false">Breakout!$C$82/12</f>
        <v>20120</v>
      </c>
      <c r="AI21" s="770" t="n">
        <f aca="false">Breakout!$C$83/12</f>
        <v>0</v>
      </c>
      <c r="AJ21" s="770" t="n">
        <v>0</v>
      </c>
      <c r="AK21" s="773" t="n">
        <f aca="false">Breakout!$C$91/12</f>
        <v>270528.567091457</v>
      </c>
      <c r="AL21" s="773" t="n">
        <v>270528.567091457</v>
      </c>
      <c r="AM21" s="773" t="n">
        <f aca="false">(Breakout!$C$107/12)*-1</f>
        <v>55221.25</v>
      </c>
      <c r="AN21" s="773" t="n">
        <v>55221.25</v>
      </c>
      <c r="AO21" s="774" t="n">
        <f aca="false">(P21+S21+V21)+Y21+AB21+AE21+AH21</f>
        <v>4721953.17105088</v>
      </c>
      <c r="AP21" s="774" t="n">
        <f aca="false">Q21+T21+W21+AA21+AD21+AG21+AJ21+AL21+AN21</f>
        <v>4896903.21990797</v>
      </c>
      <c r="AQ21" s="775" t="n">
        <f aca="false">P21+S21+V21+Y21+AB21+AE21+AH21-Q21-T21-W21-Z21-AC21-AF21-AI21-AK21-AM21-DH21-DL21-CN21</f>
        <v>-143405.998255519</v>
      </c>
      <c r="AS21" s="776" t="n">
        <f aca="false">P21+S21+V21+Y21+AB21+AE21+AH21-R21-U21-X21-AA21-AD21-AG21-AJ21-AL21-AN21-O21-L21-CN21</f>
        <v>-248383.503807272</v>
      </c>
      <c r="AU21" s="770" t="n">
        <f aca="false">'wholesale services'!$D$110/12</f>
        <v>48545138.8888889</v>
      </c>
      <c r="AV21" s="770" t="n">
        <f aca="false">'wholesale services'!$D$113/12</f>
        <v>24766.6666666667</v>
      </c>
      <c r="AX21" s="851" t="n">
        <f aca="false">IF(A21&lt;$AX$6,0,-$R$5/12)</f>
        <v>0</v>
      </c>
      <c r="AY21" s="417" t="n">
        <f aca="false">IF(A21&lt;$AX$6,0,-$S$5/12)</f>
        <v>0</v>
      </c>
      <c r="BA21" s="772" t="n">
        <f aca="false">P21-IF($BL$4="mid",Q21,R21)-$BL$9*(IF($BL$4="mid",N21,O21)+IF($BL$4="mid",DL21,L21))</f>
        <v>124990.140000001</v>
      </c>
      <c r="BB21" s="772" t="n">
        <f aca="false">S21-IF($BL$4="mid",T21,U21)-$BM$9*(IF($BL$4="mid",N21,O21)+IF($BL$4="mid",DL21,L21))</f>
        <v>-22757.6792257039</v>
      </c>
      <c r="BC21" s="772" t="n">
        <f aca="false">V21-IF($BL$4="mid",W21,X21)-$BN$9*(IF($BL$4="mid",N21,O21)+IF($BL$4="mid",DL21,L21))</f>
        <v>2229.04</v>
      </c>
      <c r="BD21" s="772" t="n">
        <f aca="false">Y21-IF($BL$4="mid",Z21,AA21)</f>
        <v>49997.36472449</v>
      </c>
      <c r="BE21" s="772" t="n">
        <f aca="false">AB21-IF($BL$4="mid",AC21,AD21)</f>
        <v>18602.6209638173</v>
      </c>
      <c r="BF21" s="772" t="n">
        <f aca="false">AE21-IF($BL$4="mid",AF21,AG21)</f>
        <v>-10837.6676266667</v>
      </c>
      <c r="BG21" s="772" t="n">
        <f aca="false">AH21-IF($BL$4="mid",AI21,AJ21)</f>
        <v>20120</v>
      </c>
      <c r="BH21" s="772" t="n">
        <f aca="false">-IF($BL$4="mid",AK21,AL21)</f>
        <v>-270528.567091457</v>
      </c>
      <c r="BI21" s="772" t="n">
        <f aca="false">-IF($BL$4="mid",AM21,AN21)</f>
        <v>-55221.25</v>
      </c>
      <c r="BL21" s="772" t="n">
        <f aca="false">BW21-IF($BL$4="mid",Q21,R21)-$BL$9*(IF($BL$4="mid",N21,O21)+IF($BL$4="mid",DL21,L21))</f>
        <v>265639</v>
      </c>
      <c r="BM21" s="772" t="n">
        <f aca="false">BX21-IF($BL$4="mid",T21,U21)-$BM$9*(IF($BL$4="mid",N21,O21)+IF($BL$4="mid",DL21,L21))</f>
        <v>-17774.6258923705</v>
      </c>
      <c r="BN21" s="772" t="n">
        <f aca="false">BY21-IF($BL$4="mid",W21,X21)-$BN$9*(IF($BL$4="mid",N21,O21)+IF($BL$4="mid",DL21,L21))</f>
        <v>4737.33333333334</v>
      </c>
      <c r="BO21" s="772" t="n">
        <f aca="false">BZ21-IF($BL$4="mid",Z21,AA21)</f>
        <v>68242.8513911567</v>
      </c>
      <c r="BP21" s="772" t="n">
        <f aca="false">CA21-IF($BL$4="mid",AC21,AD21)</f>
        <v>35389.8514642707</v>
      </c>
      <c r="BQ21" s="772" t="n">
        <f aca="false">CB21-IF($BL$4="mid",AF21,AG21)</f>
        <v>1899.12399999995</v>
      </c>
      <c r="BR21" s="772" t="n">
        <f aca="false">CC21-IF($BL$4="mid",AI21,AJ21)</f>
        <v>20958.3333333333</v>
      </c>
      <c r="BS21" s="772" t="n">
        <f aca="false">-IF($BL$4="mid",AK21,AL21)</f>
        <v>-270528.567091457</v>
      </c>
      <c r="BT21" s="772" t="n">
        <f aca="false">-IF($BL$4="mid",AM21,AN21)</f>
        <v>-55221.25</v>
      </c>
      <c r="BW21" s="769" t="n">
        <f aca="false">Breakout!$C$15/12</f>
        <v>3516221.5</v>
      </c>
      <c r="BX21" s="769" t="n">
        <f aca="false">Breakout!$C$26/12</f>
        <v>124576.333333333</v>
      </c>
      <c r="BY21" s="769" t="n">
        <f aca="false">Breakout!$C$37/12</f>
        <v>62707.3333333333</v>
      </c>
      <c r="BZ21" s="769" t="n">
        <f aca="false">Breakout!$C$48/12</f>
        <v>456137.166666667</v>
      </c>
      <c r="CA21" s="769" t="n">
        <f aca="false">Breakout!$C$59/12</f>
        <v>419680.762511333</v>
      </c>
      <c r="CB21" s="769" t="n">
        <f aca="false">Breakout!$C$70/12</f>
        <v>318419.790666667</v>
      </c>
      <c r="CC21" s="769" t="n">
        <f aca="false">Breakout!$C$81/12</f>
        <v>20958.3333333333</v>
      </c>
      <c r="CE21" s="852" t="n">
        <f aca="false">P21/0.96</f>
        <v>3516221.5</v>
      </c>
      <c r="CF21" s="852" t="n">
        <f aca="false">S21/0.96</f>
        <v>124576.333333333</v>
      </c>
      <c r="CG21" s="852" t="n">
        <f aca="false">V21/0.96</f>
        <v>62707.3333333333</v>
      </c>
      <c r="CI21" s="852" t="n">
        <f aca="false">N21</f>
        <v>0</v>
      </c>
      <c r="CJ21" s="852" t="n">
        <f aca="false">O21</f>
        <v>0</v>
      </c>
      <c r="CL21" s="772" t="n">
        <f aca="false">'account mgt'!$C$23/12</f>
        <v>-50916.6666666667</v>
      </c>
      <c r="CN21" s="772" t="n">
        <v>0</v>
      </c>
      <c r="CP21" s="772" t="n">
        <f aca="false">M21</f>
        <v>2369920</v>
      </c>
      <c r="CQ21" s="772" t="n">
        <f aca="false">CP21+CS20</f>
        <v>24674962.0980406</v>
      </c>
      <c r="CR21" s="772" t="n">
        <f aca="false">CQ21*$L$2</f>
        <v>220429.661409163</v>
      </c>
      <c r="CS21" s="772" t="n">
        <f aca="false">CQ21+CR21</f>
        <v>24895391.7594497</v>
      </c>
      <c r="CX21" s="772" t="n">
        <f aca="false">CS21</f>
        <v>24895391.7594497</v>
      </c>
      <c r="DE21" s="772" t="n">
        <f aca="false">CX21</f>
        <v>24895391.7594497</v>
      </c>
      <c r="DH21" s="417" t="n">
        <v>0</v>
      </c>
      <c r="DI21" s="417" t="n">
        <v>0</v>
      </c>
      <c r="DJ21" s="417"/>
      <c r="DK21" s="417" t="n">
        <f aca="false">I21*(1+$J$2)^($A$25-A21+1)</f>
        <v>-2467469.31032982</v>
      </c>
      <c r="DL21" s="417" t="n">
        <v>0</v>
      </c>
      <c r="DN21" s="417" t="n">
        <f aca="false">IF($BL$4="mid",DH21,DI21)</f>
        <v>0</v>
      </c>
      <c r="DO21" s="417" t="n">
        <f aca="false">IF($BL$4="mid",DL21,L21)</f>
        <v>0</v>
      </c>
      <c r="DQ21" s="772" t="n">
        <f aca="false">BW21-IF($BL$4="mid",Q21,R21)</f>
        <v>265639</v>
      </c>
      <c r="DR21" s="772" t="n">
        <f aca="false">BX21-IF($BL$4="mid",T21,U21)</f>
        <v>-17774.6258923705</v>
      </c>
      <c r="DS21" s="772"/>
      <c r="DT21" s="772"/>
      <c r="DU21" s="772"/>
      <c r="DV21" s="772"/>
      <c r="DW21" s="772"/>
      <c r="DX21" s="772"/>
    </row>
    <row r="22" customFormat="false" ht="12.75" hidden="false" customHeight="false" outlineLevel="0" collapsed="false">
      <c r="A22" s="767" t="n">
        <v>11</v>
      </c>
      <c r="B22" s="854" t="n">
        <v>36831</v>
      </c>
      <c r="C22" s="417" t="n">
        <v>-2369920</v>
      </c>
      <c r="D22" s="417" t="n">
        <v>0</v>
      </c>
      <c r="E22" s="417" t="n">
        <v>0</v>
      </c>
      <c r="F22" s="417" t="n">
        <v>0</v>
      </c>
      <c r="G22" s="417" t="n">
        <v>0</v>
      </c>
      <c r="H22" s="417" t="n">
        <v>0</v>
      </c>
      <c r="I22" s="416" t="n">
        <v>-2369920</v>
      </c>
      <c r="J22" s="417" t="n">
        <f aca="false">I22</f>
        <v>-2369920</v>
      </c>
      <c r="K22" s="417" t="n">
        <f aca="false">I22*(1+$L$2)^($A$25-A22+1)</f>
        <v>-2455746.69557128</v>
      </c>
      <c r="L22" s="417" t="n">
        <v>0</v>
      </c>
      <c r="M22" s="417" t="n">
        <f aca="false">-J22</f>
        <v>2369920</v>
      </c>
      <c r="N22" s="850" t="n">
        <f aca="false">IF(A22&lt;$B$8,0,-$R$5/12)</f>
        <v>0</v>
      </c>
      <c r="O22" s="850" t="n">
        <f aca="false">IF(A22&lt;$B$8,0,-$S$5/12)</f>
        <v>0</v>
      </c>
      <c r="P22" s="769" t="n">
        <f aca="false">Breakout!$C$16/12</f>
        <v>3375572.64</v>
      </c>
      <c r="Q22" s="770" t="n">
        <f aca="false">'wholesale services'!$D$110*'wholesale services'!$D$111/12</f>
        <v>3250582.5</v>
      </c>
      <c r="R22" s="770" t="n">
        <v>3320487.5</v>
      </c>
      <c r="S22" s="769" t="n">
        <f aca="false">Breakout!$C$27/12</f>
        <v>119593.28</v>
      </c>
      <c r="T22" s="770" t="n">
        <f aca="false">'wholesale services'!$D$113*'wholesale services'!$D$114/12</f>
        <v>142350.959225704</v>
      </c>
      <c r="U22" s="770" t="n">
        <v>145256.080842555</v>
      </c>
      <c r="V22" s="769" t="n">
        <f aca="false">Breakout!$C$38/12</f>
        <v>60199.04</v>
      </c>
      <c r="W22" s="772" t="n">
        <f aca="false">Breakout!$C$39/12</f>
        <v>57970</v>
      </c>
      <c r="X22" s="772" t="n">
        <v>58593.3333333333</v>
      </c>
      <c r="Y22" s="769" t="n">
        <f aca="false">Breakout!$C$49/12</f>
        <v>437891.68</v>
      </c>
      <c r="Z22" s="770" t="n">
        <f aca="false">Breakout!$C$50/12</f>
        <v>387894.31527551</v>
      </c>
      <c r="AA22" s="770" t="n">
        <v>407456.021211913</v>
      </c>
      <c r="AB22" s="769" t="n">
        <f aca="false">Breakout!$C$60/12</f>
        <v>402893.53201088</v>
      </c>
      <c r="AC22" s="770" t="n">
        <f aca="false">Breakout!$C$61/12</f>
        <v>384290.911047063</v>
      </c>
      <c r="AD22" s="770" t="n">
        <v>396273.255712227</v>
      </c>
      <c r="AE22" s="769" t="n">
        <f aca="false">Breakout!$C$71/12</f>
        <v>305682.99904</v>
      </c>
      <c r="AF22" s="770" t="n">
        <f aca="false">Breakout!$C$72/12</f>
        <v>316520.666666667</v>
      </c>
      <c r="AG22" s="770" t="n">
        <v>316520.666666667</v>
      </c>
      <c r="AH22" s="769" t="n">
        <f aca="false">Breakout!$C$82/12</f>
        <v>20120</v>
      </c>
      <c r="AI22" s="770" t="n">
        <f aca="false">Breakout!$C$83/12</f>
        <v>0</v>
      </c>
      <c r="AJ22" s="770" t="n">
        <v>0</v>
      </c>
      <c r="AK22" s="773" t="n">
        <f aca="false">Breakout!$C$91/12</f>
        <v>270528.567091457</v>
      </c>
      <c r="AL22" s="773" t="n">
        <v>270528.567091457</v>
      </c>
      <c r="AM22" s="773" t="n">
        <f aca="false">(Breakout!$C$107/12)*-1</f>
        <v>55221.25</v>
      </c>
      <c r="AN22" s="773" t="n">
        <v>55221.25</v>
      </c>
      <c r="AO22" s="774" t="n">
        <f aca="false">(P22+S22+V22)+Y22+AB22+AE22+AH22</f>
        <v>4721953.17105088</v>
      </c>
      <c r="AP22" s="774" t="n">
        <f aca="false">Q22+T22+W22+AA22+AD22+AG22+AJ22+AL22+AN22</f>
        <v>4896903.21990797</v>
      </c>
      <c r="AQ22" s="775" t="n">
        <f aca="false">P22+S22+V22+Y22+AB22+AE22+AH22-Q22-T22-W22-Z22-AC22-AF22-AI22-AK22-AM22-DH22-DL22-CN22</f>
        <v>-143405.998255519</v>
      </c>
      <c r="AS22" s="776" t="n">
        <f aca="false">P22+S22+V22+Y22+AB22+AE22+AH22-R22-U22-X22-AA22-AD22-AG22-AJ22-AL22-AN22-O22-L22-CN22</f>
        <v>-248383.503807272</v>
      </c>
      <c r="AU22" s="770" t="n">
        <f aca="false">'wholesale services'!$D$110/12</f>
        <v>48545138.8888889</v>
      </c>
      <c r="AV22" s="770" t="n">
        <f aca="false">'wholesale services'!$D$113/12</f>
        <v>24766.6666666667</v>
      </c>
      <c r="AX22" s="851" t="n">
        <f aca="false">IF(A22&lt;$AX$6,0,-$R$5/12)</f>
        <v>0</v>
      </c>
      <c r="AY22" s="417" t="n">
        <f aca="false">IF(A22&lt;$AX$6,0,-$S$5/12)</f>
        <v>0</v>
      </c>
      <c r="BA22" s="772" t="n">
        <f aca="false">P22-IF($BL$4="mid",Q22,R22)-$BL$9*(IF($BL$4="mid",N22,O22)+IF($BL$4="mid",DL22,L22))</f>
        <v>124990.140000001</v>
      </c>
      <c r="BB22" s="772" t="n">
        <f aca="false">S22-IF($BL$4="mid",T22,U22)-$BM$9*(IF($BL$4="mid",N22,O22)+IF($BL$4="mid",DL22,L22))</f>
        <v>-22757.6792257039</v>
      </c>
      <c r="BC22" s="772" t="n">
        <f aca="false">V22-IF($BL$4="mid",W22,X22)-$BN$9*(IF($BL$4="mid",N22,O22)+IF($BL$4="mid",DL22,L22))</f>
        <v>2229.04</v>
      </c>
      <c r="BD22" s="772" t="n">
        <f aca="false">Y22-IF($BL$4="mid",Z22,AA22)</f>
        <v>49997.36472449</v>
      </c>
      <c r="BE22" s="772" t="n">
        <f aca="false">AB22-IF($BL$4="mid",AC22,AD22)</f>
        <v>18602.6209638173</v>
      </c>
      <c r="BF22" s="772" t="n">
        <f aca="false">AE22-IF($BL$4="mid",AF22,AG22)</f>
        <v>-10837.6676266667</v>
      </c>
      <c r="BG22" s="772" t="n">
        <f aca="false">AH22-IF($BL$4="mid",AI22,AJ22)</f>
        <v>20120</v>
      </c>
      <c r="BH22" s="772" t="n">
        <f aca="false">-IF($BL$4="mid",AK22,AL22)</f>
        <v>-270528.567091457</v>
      </c>
      <c r="BI22" s="772" t="n">
        <f aca="false">-IF($BL$4="mid",AM22,AN22)</f>
        <v>-55221.25</v>
      </c>
      <c r="BL22" s="772" t="n">
        <f aca="false">BW22-IF($BL$4="mid",Q22,R22)-$BL$9*(IF($BL$4="mid",N22,O22)+IF($BL$4="mid",DL22,L22))</f>
        <v>265639</v>
      </c>
      <c r="BM22" s="772" t="n">
        <f aca="false">BX22-IF($BL$4="mid",T22,U22)-$BM$9*(IF($BL$4="mid",N22,O22)+IF($BL$4="mid",DL22,L22))</f>
        <v>-17774.6258923705</v>
      </c>
      <c r="BN22" s="772" t="n">
        <f aca="false">BY22-IF($BL$4="mid",W22,X22)-$BN$9*(IF($BL$4="mid",N22,O22)+IF($BL$4="mid",DL22,L22))</f>
        <v>4737.33333333334</v>
      </c>
      <c r="BO22" s="772" t="n">
        <f aca="false">BZ22-IF($BL$4="mid",Z22,AA22)</f>
        <v>68242.8513911567</v>
      </c>
      <c r="BP22" s="772" t="n">
        <f aca="false">CA22-IF($BL$4="mid",AC22,AD22)</f>
        <v>35389.8514642707</v>
      </c>
      <c r="BQ22" s="772" t="n">
        <f aca="false">CB22-IF($BL$4="mid",AF22,AG22)</f>
        <v>1899.12399999995</v>
      </c>
      <c r="BR22" s="772" t="n">
        <f aca="false">CC22-IF($BL$4="mid",AI22,AJ22)</f>
        <v>20958.3333333333</v>
      </c>
      <c r="BS22" s="772" t="n">
        <f aca="false">-IF($BL$4="mid",AK22,AL22)</f>
        <v>-270528.567091457</v>
      </c>
      <c r="BT22" s="772" t="n">
        <f aca="false">-IF($BL$4="mid",AM22,AN22)</f>
        <v>-55221.25</v>
      </c>
      <c r="BW22" s="769" t="n">
        <f aca="false">Breakout!$C$15/12</f>
        <v>3516221.5</v>
      </c>
      <c r="BX22" s="769" t="n">
        <f aca="false">Breakout!$C$26/12</f>
        <v>124576.333333333</v>
      </c>
      <c r="BY22" s="769" t="n">
        <f aca="false">Breakout!$C$37/12</f>
        <v>62707.3333333333</v>
      </c>
      <c r="BZ22" s="769" t="n">
        <f aca="false">Breakout!$C$48/12</f>
        <v>456137.166666667</v>
      </c>
      <c r="CA22" s="769" t="n">
        <f aca="false">Breakout!$C$59/12</f>
        <v>419680.762511333</v>
      </c>
      <c r="CB22" s="769" t="n">
        <f aca="false">Breakout!$C$70/12</f>
        <v>318419.790666667</v>
      </c>
      <c r="CC22" s="769" t="n">
        <f aca="false">Breakout!$C$81/12</f>
        <v>20958.3333333333</v>
      </c>
      <c r="CE22" s="852" t="n">
        <f aca="false">P22/0.96</f>
        <v>3516221.5</v>
      </c>
      <c r="CF22" s="852" t="n">
        <f aca="false">S22/0.96</f>
        <v>124576.333333333</v>
      </c>
      <c r="CG22" s="852" t="n">
        <f aca="false">V22/0.96</f>
        <v>62707.3333333333</v>
      </c>
      <c r="CI22" s="852" t="n">
        <f aca="false">N22</f>
        <v>0</v>
      </c>
      <c r="CJ22" s="852" t="n">
        <f aca="false">O22</f>
        <v>0</v>
      </c>
      <c r="CL22" s="772" t="n">
        <f aca="false">'account mgt'!$C$23/12</f>
        <v>-50916.6666666667</v>
      </c>
      <c r="CN22" s="772" t="n">
        <v>0</v>
      </c>
      <c r="CP22" s="772" t="n">
        <f aca="false">M22</f>
        <v>2369920</v>
      </c>
      <c r="CQ22" s="772" t="n">
        <f aca="false">CP22+CS21</f>
        <v>27265311.7594497</v>
      </c>
      <c r="CR22" s="772" t="n">
        <f aca="false">CQ22*$L$2</f>
        <v>243570.118384418</v>
      </c>
      <c r="CS22" s="772" t="n">
        <f aca="false">CQ22+CR22</f>
        <v>27508881.8778342</v>
      </c>
      <c r="CX22" s="772" t="n">
        <f aca="false">CS22</f>
        <v>27508881.8778342</v>
      </c>
      <c r="DE22" s="772" t="n">
        <f aca="false">CX22</f>
        <v>27508881.8778342</v>
      </c>
      <c r="DH22" s="417" t="n">
        <v>0</v>
      </c>
      <c r="DI22" s="417" t="n">
        <v>0</v>
      </c>
      <c r="DJ22" s="417"/>
      <c r="DK22" s="417" t="n">
        <f aca="false">I22*(1+$J$2)^($A$25-A22+1)</f>
        <v>-2447643.39879955</v>
      </c>
      <c r="DL22" s="417" t="n">
        <v>0</v>
      </c>
      <c r="DN22" s="417" t="n">
        <f aca="false">IF($BL$4="mid",DH22,DI22)</f>
        <v>0</v>
      </c>
      <c r="DO22" s="417" t="n">
        <f aca="false">IF($BL$4="mid",DL22,L22)</f>
        <v>0</v>
      </c>
      <c r="DQ22" s="772" t="n">
        <f aca="false">BW22-IF($BL$4="mid",Q22,R22)</f>
        <v>265639</v>
      </c>
      <c r="DR22" s="772" t="n">
        <f aca="false">BX22-IF($BL$4="mid",T22,U22)</f>
        <v>-17774.6258923705</v>
      </c>
      <c r="DS22" s="772"/>
      <c r="DT22" s="772"/>
      <c r="DU22" s="772"/>
      <c r="DV22" s="772"/>
      <c r="DW22" s="772"/>
      <c r="DX22" s="772"/>
    </row>
    <row r="23" customFormat="false" ht="12.75" hidden="false" customHeight="false" outlineLevel="0" collapsed="false">
      <c r="A23" s="855" t="n">
        <v>12</v>
      </c>
      <c r="B23" s="856" t="n">
        <v>36861</v>
      </c>
      <c r="C23" s="857" t="n">
        <v>-2369920</v>
      </c>
      <c r="D23" s="857" t="n">
        <v>0</v>
      </c>
      <c r="E23" s="857" t="n">
        <v>0</v>
      </c>
      <c r="F23" s="857" t="n">
        <v>0</v>
      </c>
      <c r="G23" s="857" t="n">
        <v>0</v>
      </c>
      <c r="H23" s="857" t="n">
        <v>0</v>
      </c>
      <c r="I23" s="858" t="n">
        <v>-2369920</v>
      </c>
      <c r="J23" s="857" t="n">
        <f aca="false">I23</f>
        <v>-2369920</v>
      </c>
      <c r="K23" s="857" t="n">
        <f aca="false">I23*(1+$L$2)^($A$25-A23+1)</f>
        <v>-2434002.9360096</v>
      </c>
      <c r="L23" s="857" t="n">
        <v>0</v>
      </c>
      <c r="M23" s="857" t="n">
        <f aca="false">-J23</f>
        <v>2369920</v>
      </c>
      <c r="N23" s="850" t="n">
        <f aca="false">IF(A23&lt;$B$8,0,-$R$5/12)</f>
        <v>0</v>
      </c>
      <c r="O23" s="850" t="n">
        <f aca="false">IF(A23&lt;$B$8,0,-$S$5/12)</f>
        <v>0</v>
      </c>
      <c r="P23" s="859" t="n">
        <f aca="false">Breakout!$C$16/12</f>
        <v>3375572.64</v>
      </c>
      <c r="Q23" s="860" t="n">
        <f aca="false">'wholesale services'!$D$110*'wholesale services'!$D$111/12</f>
        <v>3250582.5</v>
      </c>
      <c r="R23" s="860" t="n">
        <v>3320487.5</v>
      </c>
      <c r="S23" s="859" t="n">
        <f aca="false">Breakout!$C$27/12</f>
        <v>119593.28</v>
      </c>
      <c r="T23" s="860" t="n">
        <f aca="false">'wholesale services'!$D$113*'wholesale services'!$D$114/12</f>
        <v>142350.959225704</v>
      </c>
      <c r="U23" s="860" t="n">
        <v>145256.080842555</v>
      </c>
      <c r="V23" s="859" t="n">
        <f aca="false">Breakout!$C$38/12</f>
        <v>60199.04</v>
      </c>
      <c r="W23" s="861" t="n">
        <f aca="false">Breakout!$C$39/12</f>
        <v>57970</v>
      </c>
      <c r="X23" s="861" t="n">
        <v>58593.3333333333</v>
      </c>
      <c r="Y23" s="859" t="n">
        <f aca="false">Breakout!$C$49/12</f>
        <v>437891.68</v>
      </c>
      <c r="Z23" s="860" t="n">
        <f aca="false">Breakout!$C$50/12</f>
        <v>387894.31527551</v>
      </c>
      <c r="AA23" s="860" t="n">
        <v>407456.021211913</v>
      </c>
      <c r="AB23" s="859" t="n">
        <f aca="false">Breakout!$C$60/12</f>
        <v>402893.53201088</v>
      </c>
      <c r="AC23" s="860" t="n">
        <f aca="false">Breakout!$C$61/12</f>
        <v>384290.911047063</v>
      </c>
      <c r="AD23" s="860" t="n">
        <v>396273.255712227</v>
      </c>
      <c r="AE23" s="859" t="n">
        <f aca="false">Breakout!$C$71/12</f>
        <v>305682.99904</v>
      </c>
      <c r="AF23" s="860" t="n">
        <f aca="false">Breakout!$C$72/12</f>
        <v>316520.666666667</v>
      </c>
      <c r="AG23" s="860" t="n">
        <v>316520.666666667</v>
      </c>
      <c r="AH23" s="859" t="n">
        <f aca="false">Breakout!$C$82/12</f>
        <v>20120</v>
      </c>
      <c r="AI23" s="860" t="n">
        <f aca="false">Breakout!$C$83/12</f>
        <v>0</v>
      </c>
      <c r="AJ23" s="860" t="n">
        <v>0</v>
      </c>
      <c r="AK23" s="862" t="n">
        <f aca="false">Breakout!$C$91/12</f>
        <v>270528.567091457</v>
      </c>
      <c r="AL23" s="862" t="n">
        <v>270528.567091457</v>
      </c>
      <c r="AM23" s="862" t="n">
        <f aca="false">(Breakout!$C$107/12)*-1</f>
        <v>55221.25</v>
      </c>
      <c r="AN23" s="862" t="n">
        <v>55221.25</v>
      </c>
      <c r="AO23" s="863" t="n">
        <f aca="false">(P23+S23+V23)+Y23+AB23+AE23+AH23</f>
        <v>4721953.17105088</v>
      </c>
      <c r="AP23" s="863" t="n">
        <f aca="false">Q23+T23+W23+AA23+AD23+AG23+AJ23+AL23+AN23</f>
        <v>4896903.21990797</v>
      </c>
      <c r="AQ23" s="775" t="n">
        <f aca="false">P23+S23+V23+Y23+AB23+AE23+AH23-Q23-T23-W23-Z23-AC23-AF23-AI23-AK23-AM23-DH23-DL23-CN23</f>
        <v>-143405.998255519</v>
      </c>
      <c r="AR23" s="861" t="n">
        <f aca="false">SUM(AQ12:AQ23)</f>
        <v>-1720871.97906623</v>
      </c>
      <c r="AS23" s="776" t="n">
        <f aca="false">P23+S23+V23+Y23+AB23+AE23+AH23-R23-U23-X23-AA23-AD23-AG23-AJ23-AL23-AN23-O23-L23-CN23</f>
        <v>-248383.503807272</v>
      </c>
      <c r="AT23" s="861" t="n">
        <f aca="false">SUM(AS12:AS23)</f>
        <v>-2980602.04568726</v>
      </c>
      <c r="AU23" s="860" t="n">
        <f aca="false">'wholesale services'!$D$110/12</f>
        <v>48545138.8888889</v>
      </c>
      <c r="AV23" s="860" t="n">
        <f aca="false">'wholesale services'!$D$113/12</f>
        <v>24766.6666666667</v>
      </c>
      <c r="AW23" s="861"/>
      <c r="AX23" s="851" t="n">
        <f aca="false">IF(A23&lt;$AX$6,0,-$R$5/12)</f>
        <v>0</v>
      </c>
      <c r="AY23" s="417" t="n">
        <f aca="false">IF(A23&lt;$AX$6,0,-$S$5/12)</f>
        <v>0</v>
      </c>
      <c r="AZ23" s="861"/>
      <c r="BA23" s="772" t="n">
        <f aca="false">P23-IF($BL$4="mid",Q23,R23)-$BL$9*(IF($BL$4="mid",N23,O23)+IF($BL$4="mid",DL23,L23))</f>
        <v>124990.140000001</v>
      </c>
      <c r="BB23" s="772" t="n">
        <f aca="false">S23-IF($BL$4="mid",T23,U23)-$BM$9*(IF($BL$4="mid",N23,O23)+IF($BL$4="mid",DL23,L23))</f>
        <v>-22757.6792257039</v>
      </c>
      <c r="BC23" s="772" t="n">
        <f aca="false">V23-IF($BL$4="mid",W23,X23)-$BN$9*(IF($BL$4="mid",N23,O23)+IF($BL$4="mid",DL23,L23))</f>
        <v>2229.04</v>
      </c>
      <c r="BD23" s="772" t="n">
        <f aca="false">Y23-IF($BL$4="mid",Z23,AA23)</f>
        <v>49997.36472449</v>
      </c>
      <c r="BE23" s="772" t="n">
        <f aca="false">AB23-IF($BL$4="mid",AC23,AD23)</f>
        <v>18602.6209638173</v>
      </c>
      <c r="BF23" s="772" t="n">
        <f aca="false">AE23-IF($BL$4="mid",AF23,AG23)</f>
        <v>-10837.6676266667</v>
      </c>
      <c r="BG23" s="772" t="n">
        <f aca="false">AH23-IF($BL$4="mid",AI23,AJ23)</f>
        <v>20120</v>
      </c>
      <c r="BH23" s="772" t="n">
        <f aca="false">-IF($BL$4="mid",AK23,AL23)</f>
        <v>-270528.567091457</v>
      </c>
      <c r="BI23" s="772" t="n">
        <f aca="false">-IF($BL$4="mid",AM23,AN23)</f>
        <v>-55221.25</v>
      </c>
      <c r="BJ23" s="861"/>
      <c r="BK23" s="431"/>
      <c r="BL23" s="772" t="n">
        <f aca="false">BW23-IF($BL$4="mid",Q23,R23)-$BL$9*(IF($BL$4="mid",N23,O23)+IF($BL$4="mid",DL23,L23))</f>
        <v>265639</v>
      </c>
      <c r="BM23" s="772" t="n">
        <f aca="false">BX23-IF($BL$4="mid",T23,U23)-$BM$9*(IF($BL$4="mid",N23,O23)+IF($BL$4="mid",DL23,L23))</f>
        <v>-17774.6258923705</v>
      </c>
      <c r="BN23" s="772" t="n">
        <f aca="false">BY23-IF($BL$4="mid",W23,X23)-$BN$9*(IF($BL$4="mid",N23,O23)+IF($BL$4="mid",DL23,L23))</f>
        <v>4737.33333333334</v>
      </c>
      <c r="BO23" s="772" t="n">
        <f aca="false">BZ23-IF($BL$4="mid",Z23,AA23)</f>
        <v>68242.8513911567</v>
      </c>
      <c r="BP23" s="772" t="n">
        <f aca="false">CA23-IF($BL$4="mid",AC23,AD23)</f>
        <v>35389.8514642707</v>
      </c>
      <c r="BQ23" s="772" t="n">
        <f aca="false">CB23-IF($BL$4="mid",AF23,AG23)</f>
        <v>1899.12399999995</v>
      </c>
      <c r="BR23" s="772" t="n">
        <f aca="false">CC23-IF($BL$4="mid",AI23,AJ23)</f>
        <v>20958.3333333333</v>
      </c>
      <c r="BS23" s="772" t="n">
        <f aca="false">-IF($BL$4="mid",AK23,AL23)</f>
        <v>-270528.567091457</v>
      </c>
      <c r="BT23" s="772" t="n">
        <f aca="false">-IF($BL$4="mid",AM23,AN23)</f>
        <v>-55221.25</v>
      </c>
      <c r="BU23" s="861"/>
      <c r="BV23" s="861"/>
      <c r="BW23" s="859" t="n">
        <f aca="false">Breakout!$C$15/12</f>
        <v>3516221.5</v>
      </c>
      <c r="BX23" s="859" t="n">
        <f aca="false">Breakout!$C$26/12</f>
        <v>124576.333333333</v>
      </c>
      <c r="BY23" s="859" t="n">
        <f aca="false">Breakout!$C$37/12</f>
        <v>62707.3333333333</v>
      </c>
      <c r="BZ23" s="859" t="n">
        <f aca="false">Breakout!$C$48/12</f>
        <v>456137.166666667</v>
      </c>
      <c r="CA23" s="859" t="n">
        <f aca="false">Breakout!$C$59/12</f>
        <v>419680.762511333</v>
      </c>
      <c r="CB23" s="859" t="n">
        <f aca="false">Breakout!$C$70/12</f>
        <v>318419.790666667</v>
      </c>
      <c r="CC23" s="859" t="n">
        <f aca="false">Breakout!$C$81/12</f>
        <v>20958.3333333333</v>
      </c>
      <c r="CD23" s="861"/>
      <c r="CE23" s="864" t="n">
        <f aca="false">P23/0.96</f>
        <v>3516221.5</v>
      </c>
      <c r="CF23" s="864" t="n">
        <f aca="false">S23/0.96</f>
        <v>124576.333333333</v>
      </c>
      <c r="CG23" s="864" t="n">
        <f aca="false">V23/0.96</f>
        <v>62707.3333333333</v>
      </c>
      <c r="CH23" s="861"/>
      <c r="CI23" s="864" t="n">
        <f aca="false">N23</f>
        <v>0</v>
      </c>
      <c r="CJ23" s="864" t="n">
        <f aca="false">O23</f>
        <v>0</v>
      </c>
      <c r="CK23" s="861"/>
      <c r="CL23" s="861" t="n">
        <f aca="false">'account mgt'!$C$23/12</f>
        <v>-50916.6666666667</v>
      </c>
      <c r="CM23" s="861"/>
      <c r="CN23" s="772" t="n">
        <v>0</v>
      </c>
      <c r="CO23" s="861"/>
      <c r="CP23" s="772" t="n">
        <f aca="false">M23</f>
        <v>2369920</v>
      </c>
      <c r="CQ23" s="772" t="n">
        <f aca="false">CP23+CS22</f>
        <v>29878801.8778342</v>
      </c>
      <c r="CR23" s="772" t="n">
        <f aca="false">CQ23*$L$2</f>
        <v>266917.296775319</v>
      </c>
      <c r="CS23" s="772" t="n">
        <f aca="false">CQ23+CR23</f>
        <v>30145719.1746095</v>
      </c>
      <c r="CW23" s="861"/>
      <c r="CX23" s="772" t="n">
        <f aca="false">CS23</f>
        <v>30145719.1746095</v>
      </c>
      <c r="CY23" s="772" t="n">
        <f aca="false">CX23</f>
        <v>30145719.1746095</v>
      </c>
      <c r="CZ23" s="861"/>
      <c r="DD23" s="861"/>
      <c r="DE23" s="772" t="n">
        <f aca="false">CX23</f>
        <v>30145719.1746095</v>
      </c>
      <c r="DF23" s="772" t="n">
        <f aca="false">DE23</f>
        <v>30145719.1746095</v>
      </c>
      <c r="DG23" s="861"/>
      <c r="DH23" s="417" t="n">
        <v>0</v>
      </c>
      <c r="DI23" s="417" t="n">
        <v>0</v>
      </c>
      <c r="DJ23" s="417"/>
      <c r="DK23" s="417" t="n">
        <f aca="false">I23*(1+$J$2)^($A$25-A23+1)</f>
        <v>-2427976.78682626</v>
      </c>
      <c r="DL23" s="857" t="n">
        <v>0</v>
      </c>
      <c r="DM23" s="861"/>
      <c r="DN23" s="417" t="n">
        <f aca="false">IF($BL$4="mid",DH23,DI23)</f>
        <v>0</v>
      </c>
      <c r="DO23" s="417" t="n">
        <f aca="false">IF($BL$4="mid",DL23,L23)</f>
        <v>0</v>
      </c>
      <c r="DP23" s="861"/>
      <c r="DQ23" s="772" t="n">
        <f aca="false">BW23-IF($BL$4="mid",Q23,R23)</f>
        <v>265639</v>
      </c>
      <c r="DR23" s="772" t="n">
        <f aca="false">BX23-IF($BL$4="mid",T23,U23)</f>
        <v>-17774.6258923705</v>
      </c>
      <c r="DS23" s="861"/>
      <c r="DT23" s="861"/>
      <c r="DU23" s="861"/>
      <c r="DV23" s="861"/>
      <c r="DW23" s="861"/>
      <c r="DX23" s="861"/>
    </row>
    <row r="24" customFormat="false" ht="12.75" hidden="false" customHeight="false" outlineLevel="0" collapsed="false">
      <c r="A24" s="767" t="n">
        <v>13</v>
      </c>
      <c r="B24" s="854" t="n">
        <v>36892</v>
      </c>
      <c r="C24" s="865" t="n">
        <v>-2369920</v>
      </c>
      <c r="D24" s="417" t="n">
        <v>0</v>
      </c>
      <c r="E24" s="417" t="n">
        <v>0</v>
      </c>
      <c r="F24" s="417" t="n">
        <v>0</v>
      </c>
      <c r="G24" s="417" t="n">
        <v>0</v>
      </c>
      <c r="H24" s="417" t="n">
        <v>0</v>
      </c>
      <c r="I24" s="416" t="n">
        <v>-2369920</v>
      </c>
      <c r="J24" s="417" t="n">
        <f aca="false">I24</f>
        <v>-2369920</v>
      </c>
      <c r="K24" s="417" t="n">
        <f aca="false">I24*(1+$L$2)^($A$25-A24+1)</f>
        <v>-2412451.70081564</v>
      </c>
      <c r="L24" s="417" t="n">
        <v>0</v>
      </c>
      <c r="M24" s="417" t="n">
        <f aca="false">-J24</f>
        <v>2369920</v>
      </c>
      <c r="N24" s="850" t="n">
        <f aca="false">IF(A24&lt;$B$8,0,-$R$5/12)</f>
        <v>0</v>
      </c>
      <c r="O24" s="850" t="n">
        <f aca="false">IF(A24&lt;$B$8,0,-$S$5/12)</f>
        <v>0</v>
      </c>
      <c r="P24" s="769" t="n">
        <f aca="false">Breakout!$D$16/12</f>
        <v>3411024.41742273</v>
      </c>
      <c r="Q24" s="770" t="n">
        <f aca="false">'wholesale services'!$D$110*'wholesale services'!$E$111/12</f>
        <v>3250582.5</v>
      </c>
      <c r="R24" s="770" t="n">
        <v>3320487.5</v>
      </c>
      <c r="S24" s="769" t="n">
        <f aca="false">Breakout!$D$27/12</f>
        <v>120849.302250439</v>
      </c>
      <c r="T24" s="770" t="n">
        <f aca="false">'wholesale services'!$D$113*'wholesale services'!$E$114/12</f>
        <v>142811.250228505</v>
      </c>
      <c r="U24" s="770" t="n">
        <v>145725.765539291</v>
      </c>
      <c r="V24" s="769" t="n">
        <f aca="false">Breakout!$D$38/12</f>
        <v>60831.2773104499</v>
      </c>
      <c r="W24" s="772" t="n">
        <f aca="false">Breakout!$D$39/12</f>
        <v>59709.1</v>
      </c>
      <c r="X24" s="772" t="n">
        <v>60351.1333333333</v>
      </c>
      <c r="Y24" s="769" t="n">
        <f aca="false">Breakout!$D$49/12</f>
        <v>442490.614767591</v>
      </c>
      <c r="Z24" s="770" t="n">
        <f aca="false">Breakout!$D$50/12</f>
        <v>396350.411348516</v>
      </c>
      <c r="AA24" s="770" t="n">
        <v>416338.562474333</v>
      </c>
      <c r="AB24" s="769" t="n">
        <f aca="false">Breakout!$D$60/12</f>
        <v>407124.900535631</v>
      </c>
      <c r="AC24" s="770" t="n">
        <f aca="false">Breakout!$D$61/12</f>
        <v>392668.452907889</v>
      </c>
      <c r="AD24" s="770" t="n">
        <v>404912.012686754</v>
      </c>
      <c r="AE24" s="769" t="n">
        <f aca="false">Breakout!$D$71/12</f>
        <v>308893.418959708</v>
      </c>
      <c r="AF24" s="770" t="n">
        <f aca="false">Breakout!$D$72/12</f>
        <v>316520.666666667</v>
      </c>
      <c r="AG24" s="770" t="n">
        <v>316520.666666667</v>
      </c>
      <c r="AH24" s="769" t="n">
        <f aca="false">Breakout!$D$82/12</f>
        <v>20331.309261514</v>
      </c>
      <c r="AI24" s="770" t="n">
        <f aca="false">Breakout!$D$83/12</f>
        <v>0</v>
      </c>
      <c r="AJ24" s="770" t="n">
        <v>0</v>
      </c>
      <c r="AK24" s="773" t="n">
        <f aca="false">Breakout!$D$91/12</f>
        <v>273369.779404107</v>
      </c>
      <c r="AL24" s="773" t="n">
        <v>273369.779404107</v>
      </c>
      <c r="AM24" s="773" t="n">
        <f aca="false">(Breakout!$D$107/12)*-1</f>
        <v>55221.25</v>
      </c>
      <c r="AN24" s="773" t="n">
        <v>55221.25</v>
      </c>
      <c r="AO24" s="774" t="n">
        <f aca="false">(P24+S24+V24)+Y24+AB24+AE24+AH24</f>
        <v>4771545.24050806</v>
      </c>
      <c r="AP24" s="774" t="n">
        <f aca="false">Q24+T24+W24+AA24+AD24+AG24+AJ24+AL24+AN24</f>
        <v>4919465.12146037</v>
      </c>
      <c r="AQ24" s="775" t="n">
        <f aca="false">P24+S24+V24+Y24+AB24+AE24+AH24-Q24-T24-W24-Z24-AC24-AF24-AI24-AK24-AM24-DH24-DL24-CN24</f>
        <v>-115688.170047626</v>
      </c>
      <c r="AS24" s="776" t="n">
        <f aca="false">P24+S24+V24+Y24+AB24+AE24+AH24-R24-U24-X24-AA24-AD24-AG24-AJ24-AL24-AN24-O24-L24-CN24</f>
        <v>-221381.429596427</v>
      </c>
      <c r="AU24" s="770" t="n">
        <f aca="false">'wholesale services'!$E$110/12</f>
        <v>40679698.7364969</v>
      </c>
      <c r="AV24" s="770" t="n">
        <f aca="false">'wholesale services'!$E$113/12</f>
        <v>18805.4909722222</v>
      </c>
      <c r="AX24" s="851" t="n">
        <f aca="false">IF(A24&lt;$AX$6,0,-$R$5/12)</f>
        <v>0</v>
      </c>
      <c r="AY24" s="417" t="n">
        <f aca="false">IF(A24&lt;$AX$6,0,-$S$5/12)</f>
        <v>0</v>
      </c>
      <c r="BA24" s="772" t="n">
        <f aca="false">P24-IF($BL$4="mid",Q24,R24)-$BL$9*(IF($BL$4="mid",N24,O24)+IF($BL$4="mid",DL24,L24))</f>
        <v>160441.917422726</v>
      </c>
      <c r="BB24" s="772" t="n">
        <f aca="false">S24-IF($BL$4="mid",T24,U24)-$BM$9*(IF($BL$4="mid",N24,O24)+IF($BL$4="mid",DL24,L24))</f>
        <v>-21961.9479780662</v>
      </c>
      <c r="BC24" s="772" t="n">
        <f aca="false">V24-IF($BL$4="mid",W24,X24)-$BN$9*(IF($BL$4="mid",N24,O24)+IF($BL$4="mid",DL24,L24))</f>
        <v>1122.17731044986</v>
      </c>
      <c r="BD24" s="772" t="n">
        <f aca="false">Y24-IF($BL$4="mid",Z24,AA24)</f>
        <v>46140.2034190744</v>
      </c>
      <c r="BE24" s="772" t="n">
        <f aca="false">AB24-IF($BL$4="mid",AC24,AD24)</f>
        <v>14456.447627742</v>
      </c>
      <c r="BF24" s="772" t="n">
        <f aca="false">AE24-IF($BL$4="mid",AF24,AG24)</f>
        <v>-7627.24770695873</v>
      </c>
      <c r="BG24" s="772" t="n">
        <f aca="false">AH24-IF($BL$4="mid",AI24,AJ24)</f>
        <v>20331.309261514</v>
      </c>
      <c r="BH24" s="772" t="n">
        <f aca="false">-IF($BL$4="mid",AK24,AL24)</f>
        <v>-273369.779404107</v>
      </c>
      <c r="BI24" s="772" t="n">
        <f aca="false">-IF($BL$4="mid",AM24,AN24)</f>
        <v>-55221.25</v>
      </c>
      <c r="BL24" s="772" t="n">
        <f aca="false">BW24-IF($BL$4="mid",Q24,R24)-$BL$9*(IF($BL$4="mid",N24,O24)+IF($BL$4="mid",DL24,L24))</f>
        <v>302708.239312726</v>
      </c>
      <c r="BM24" s="772" t="n">
        <f aca="false">BX24-IF($BL$4="mid",T24,U24)-$BM$9*(IF($BL$4="mid",N24,O24)+IF($BL$4="mid",DL24,L24))</f>
        <v>-16921.5895313996</v>
      </c>
      <c r="BN24" s="772" t="n">
        <f aca="false">BY24-IF($BL$4="mid",W24,X24)-$BN$9*(IF($BL$4="mid",N24,O24)+IF($BL$4="mid",DL24,L24))</f>
        <v>3659.31601711653</v>
      </c>
      <c r="BO24" s="772" t="n">
        <f aca="false">BZ24-IF($BL$4="mid",Z24,AA24)</f>
        <v>64595.5131824077</v>
      </c>
      <c r="BP24" s="772" t="n">
        <f aca="false">CA24-IF($BL$4="mid",AC24,AD24)</f>
        <v>31436.7312789506</v>
      </c>
      <c r="BQ24" s="772" t="n">
        <f aca="false">CB24-IF($BL$4="mid",AF24,AG24)</f>
        <v>5256.01702341461</v>
      </c>
      <c r="BR24" s="772" t="n">
        <f aca="false">CC24-IF($BL$4="mid",AI24,AJ24)</f>
        <v>21179.2834281807</v>
      </c>
      <c r="BS24" s="772" t="n">
        <f aca="false">-IF($BL$4="mid",AK24,AL24)</f>
        <v>-273369.779404107</v>
      </c>
      <c r="BT24" s="772" t="n">
        <f aca="false">-IF($BL$4="mid",AM24,AN24)</f>
        <v>-55221.25</v>
      </c>
      <c r="BW24" s="769" t="n">
        <f aca="false">Breakout!$D$15/12</f>
        <v>3553290.73931273</v>
      </c>
      <c r="BX24" s="769" t="n">
        <f aca="false">Breakout!$D$26/12</f>
        <v>125889.660697106</v>
      </c>
      <c r="BY24" s="769" t="n">
        <f aca="false">Breakout!$D$37/12</f>
        <v>63368.4160171165</v>
      </c>
      <c r="BZ24" s="769" t="n">
        <f aca="false">Breakout!$D$48/12</f>
        <v>460945.924530924</v>
      </c>
      <c r="CA24" s="769" t="n">
        <f aca="false">Breakout!$D$59/12</f>
        <v>424105.184186839</v>
      </c>
      <c r="CB24" s="769" t="n">
        <f aca="false">Breakout!$D$70/12</f>
        <v>321776.683690081</v>
      </c>
      <c r="CC24" s="769" t="n">
        <f aca="false">Breakout!$D$81/12</f>
        <v>21179.2834281807</v>
      </c>
      <c r="CE24" s="852" t="n">
        <f aca="false">P24/0.96</f>
        <v>3553150.43481534</v>
      </c>
      <c r="CF24" s="852" t="n">
        <f aca="false">S24/0.96</f>
        <v>125884.689844207</v>
      </c>
      <c r="CG24" s="852" t="n">
        <f aca="false">V24/0.96</f>
        <v>63365.9138650519</v>
      </c>
      <c r="CI24" s="852" t="n">
        <f aca="false">N24</f>
        <v>0</v>
      </c>
      <c r="CJ24" s="852" t="n">
        <f aca="false">O24</f>
        <v>0</v>
      </c>
      <c r="CL24" s="772" t="n">
        <f aca="false">'account mgt'!$D$23/12</f>
        <v>-50235</v>
      </c>
      <c r="CN24" s="772" t="n">
        <v>0</v>
      </c>
      <c r="CP24" s="772" t="n">
        <f aca="false">M24</f>
        <v>2369920</v>
      </c>
      <c r="CQ24" s="772" t="n">
        <f aca="false">CP24+CS23</f>
        <v>32515639.1746095</v>
      </c>
      <c r="CR24" s="772" t="n">
        <f aca="false">CQ24*$L$2</f>
        <v>290473.043293178</v>
      </c>
      <c r="CS24" s="772" t="n">
        <f aca="false">CQ24+CR24</f>
        <v>32806112.2179027</v>
      </c>
      <c r="CX24" s="772" t="n">
        <f aca="false">CS24</f>
        <v>32806112.2179027</v>
      </c>
      <c r="DE24" s="772" t="n">
        <f aca="false">CX24</f>
        <v>32806112.2179027</v>
      </c>
      <c r="DH24" s="417" t="n">
        <v>0</v>
      </c>
      <c r="DI24" s="417" t="n">
        <v>0</v>
      </c>
      <c r="DJ24" s="417"/>
      <c r="DK24" s="417" t="n">
        <f aca="false">I24*(1+$J$2)^($A$25-A24+1)</f>
        <v>-2408468.1944512</v>
      </c>
      <c r="DL24" s="417" t="n">
        <v>0</v>
      </c>
      <c r="DN24" s="417" t="n">
        <f aca="false">IF($BL$4="mid",DH24,DI24)</f>
        <v>0</v>
      </c>
      <c r="DO24" s="417" t="n">
        <f aca="false">IF($BL$4="mid",DL24,L24)</f>
        <v>0</v>
      </c>
      <c r="DQ24" s="772" t="n">
        <f aca="false">BW24-IF($BL$4="mid",Q24,R24)</f>
        <v>302708.239312726</v>
      </c>
      <c r="DR24" s="772" t="n">
        <f aca="false">BX24-IF($BL$4="mid",T24,U24)</f>
        <v>-16921.5895313996</v>
      </c>
      <c r="DS24" s="772"/>
      <c r="DT24" s="772"/>
      <c r="DU24" s="772"/>
      <c r="DV24" s="772"/>
      <c r="DW24" s="772"/>
      <c r="DX24" s="772"/>
    </row>
    <row r="25" customFormat="false" ht="12.75" hidden="false" customHeight="false" outlineLevel="0" collapsed="false">
      <c r="A25" s="853" t="n">
        <v>14</v>
      </c>
      <c r="B25" s="854" t="n">
        <v>36923</v>
      </c>
      <c r="C25" s="865" t="n">
        <v>-2369920</v>
      </c>
      <c r="D25" s="417" t="n">
        <v>0</v>
      </c>
      <c r="E25" s="417" t="n">
        <v>0</v>
      </c>
      <c r="F25" s="417" t="n">
        <v>0</v>
      </c>
      <c r="G25" s="417" t="n">
        <v>0</v>
      </c>
      <c r="H25" s="417" t="n">
        <v>0</v>
      </c>
      <c r="I25" s="416" t="n">
        <v>-2369920</v>
      </c>
      <c r="J25" s="417" t="n">
        <f aca="false">I25</f>
        <v>-2369920</v>
      </c>
      <c r="K25" s="417" t="n">
        <f aca="false">I25*(1+$L$2)^($A$25-A25+1)</f>
        <v>-2391091.28533333</v>
      </c>
      <c r="L25" s="417" t="n">
        <v>0</v>
      </c>
      <c r="M25" s="417" t="n">
        <f aca="false">-J25</f>
        <v>2369920</v>
      </c>
      <c r="N25" s="850" t="n">
        <f aca="false">IF(A25&lt;$B$8,0,-$R$5/12)</f>
        <v>0</v>
      </c>
      <c r="O25" s="850" t="n">
        <f aca="false">IF(A25&lt;$B$8,0,-$S$5/12)</f>
        <v>0</v>
      </c>
      <c r="P25" s="769" t="n">
        <f aca="false">Breakout!$D$16/12</f>
        <v>3411024.41742273</v>
      </c>
      <c r="Q25" s="770" t="n">
        <f aca="false">'wholesale services'!$D$110*'wholesale services'!$E$111/12</f>
        <v>3250582.5</v>
      </c>
      <c r="R25" s="770" t="n">
        <v>3320487.5</v>
      </c>
      <c r="S25" s="769" t="n">
        <f aca="false">Breakout!$D$27/12</f>
        <v>120849.302250439</v>
      </c>
      <c r="T25" s="770" t="n">
        <f aca="false">'wholesale services'!$D$113*'wholesale services'!$E$114/12</f>
        <v>142811.250228505</v>
      </c>
      <c r="U25" s="770" t="n">
        <v>145725.765539291</v>
      </c>
      <c r="V25" s="769" t="n">
        <f aca="false">Breakout!$D$38/12</f>
        <v>60831.2773104499</v>
      </c>
      <c r="W25" s="772" t="n">
        <f aca="false">Breakout!$D$39/12</f>
        <v>59709.1</v>
      </c>
      <c r="X25" s="772" t="n">
        <v>60351.1333333333</v>
      </c>
      <c r="Y25" s="769" t="n">
        <f aca="false">Breakout!$D$49/12</f>
        <v>442490.614767591</v>
      </c>
      <c r="Z25" s="770" t="n">
        <f aca="false">Breakout!$D$50/12</f>
        <v>396350.411348516</v>
      </c>
      <c r="AA25" s="770" t="n">
        <v>416338.562474333</v>
      </c>
      <c r="AB25" s="769" t="n">
        <f aca="false">Breakout!$D$60/12</f>
        <v>407124.900535631</v>
      </c>
      <c r="AC25" s="770" t="n">
        <f aca="false">Breakout!$D$61/12</f>
        <v>392668.452907889</v>
      </c>
      <c r="AD25" s="770" t="n">
        <v>404912.012686754</v>
      </c>
      <c r="AE25" s="769" t="n">
        <f aca="false">Breakout!$D$71/12</f>
        <v>308893.418959708</v>
      </c>
      <c r="AF25" s="770" t="n">
        <f aca="false">Breakout!$D$72/12</f>
        <v>316520.666666667</v>
      </c>
      <c r="AG25" s="770" t="n">
        <v>316520.666666667</v>
      </c>
      <c r="AH25" s="769" t="n">
        <f aca="false">Breakout!$D$82/12</f>
        <v>20331.309261514</v>
      </c>
      <c r="AI25" s="770" t="n">
        <f aca="false">Breakout!$D$83/12</f>
        <v>0</v>
      </c>
      <c r="AJ25" s="770" t="n">
        <v>0</v>
      </c>
      <c r="AK25" s="773" t="n">
        <f aca="false">Breakout!$D$91/12</f>
        <v>273369.779404107</v>
      </c>
      <c r="AL25" s="773" t="n">
        <v>273369.779404107</v>
      </c>
      <c r="AM25" s="773" t="n">
        <f aca="false">(Breakout!$D$107/12)*-1</f>
        <v>55221.25</v>
      </c>
      <c r="AN25" s="773" t="n">
        <v>55221.25</v>
      </c>
      <c r="AO25" s="774" t="n">
        <f aca="false">(P25+S25+V25)+Y25+AB25+AE25+AH25</f>
        <v>4771545.24050806</v>
      </c>
      <c r="AP25" s="774" t="n">
        <f aca="false">Q25+T25+W25+AA25+AD25+AG25+AJ25+AL25+AN25</f>
        <v>4919465.12146037</v>
      </c>
      <c r="AQ25" s="775" t="n">
        <f aca="false">P25+S25+V25+Y25+AB25+AE25+AH25-Q25-T25-W25-Z25-AC25-AF25-AI25-AK25-AM25-DH25-DL25-CN25</f>
        <v>-115688.170047626</v>
      </c>
      <c r="AS25" s="776" t="n">
        <f aca="false">P25+S25+V25+Y25+AB25+AE25+AH25-R25-U25-X25-AA25-AD25-AG25-AJ25-AL25-AN25-O25-L25-CN25</f>
        <v>-221381.429596427</v>
      </c>
      <c r="AU25" s="770" t="n">
        <f aca="false">'wholesale services'!$E$110/12</f>
        <v>40679698.7364969</v>
      </c>
      <c r="AV25" s="770" t="n">
        <f aca="false">'wholesale services'!$E$113/12</f>
        <v>18805.4909722222</v>
      </c>
      <c r="AX25" s="851" t="n">
        <f aca="false">IF(A25&lt;$AX$6,0,-$R$5/12)</f>
        <v>0</v>
      </c>
      <c r="AY25" s="417" t="n">
        <f aca="false">IF(A25&lt;$AX$6,0,-$S$5/12)</f>
        <v>0</v>
      </c>
      <c r="BA25" s="772" t="n">
        <f aca="false">P25-IF($BL$4="mid",Q25,R25)-$BL$9*(IF($BL$4="mid",N25,O25)+IF($BL$4="mid",DL25,L25))</f>
        <v>160441.917422726</v>
      </c>
      <c r="BB25" s="772" t="n">
        <f aca="false">S25-IF($BL$4="mid",T25,U25)-$BM$9*(IF($BL$4="mid",N25,O25)+IF($BL$4="mid",DL25,L25))</f>
        <v>-21961.9479780662</v>
      </c>
      <c r="BC25" s="772" t="n">
        <f aca="false">V25-IF($BL$4="mid",W25,X25)-$BN$9*(IF($BL$4="mid",N25,O25)+IF($BL$4="mid",DL25,L25))</f>
        <v>1122.17731044986</v>
      </c>
      <c r="BD25" s="772" t="n">
        <f aca="false">Y25-IF($BL$4="mid",Z25,AA25)</f>
        <v>46140.2034190744</v>
      </c>
      <c r="BE25" s="772" t="n">
        <f aca="false">AB25-IF($BL$4="mid",AC25,AD25)</f>
        <v>14456.447627742</v>
      </c>
      <c r="BF25" s="772" t="n">
        <f aca="false">AE25-IF($BL$4="mid",AF25,AG25)</f>
        <v>-7627.24770695873</v>
      </c>
      <c r="BG25" s="772" t="n">
        <f aca="false">AH25-IF($BL$4="mid",AI25,AJ25)</f>
        <v>20331.309261514</v>
      </c>
      <c r="BH25" s="772" t="n">
        <f aca="false">-IF($BL$4="mid",AK25,AL25)</f>
        <v>-273369.779404107</v>
      </c>
      <c r="BI25" s="772" t="n">
        <f aca="false">-IF($BL$4="mid",AM25,AN25)</f>
        <v>-55221.25</v>
      </c>
      <c r="BL25" s="772" t="n">
        <f aca="false">BW25-IF($BL$4="mid",Q25,R25)-$BL$9*(IF($BL$4="mid",N25,O25)+IF($BL$4="mid",DL25,L25))</f>
        <v>302708.239312726</v>
      </c>
      <c r="BM25" s="772" t="n">
        <f aca="false">BX25-IF($BL$4="mid",T25,U25)-$BM$9*(IF($BL$4="mid",N25,O25)+IF($BL$4="mid",DL25,L25))</f>
        <v>-16921.5895313996</v>
      </c>
      <c r="BN25" s="772" t="n">
        <f aca="false">BY25-IF($BL$4="mid",W25,X25)-$BN$9*(IF($BL$4="mid",N25,O25)+IF($BL$4="mid",DL25,L25))</f>
        <v>3659.31601711653</v>
      </c>
      <c r="BO25" s="772" t="n">
        <f aca="false">BZ25-IF($BL$4="mid",Z25,AA25)</f>
        <v>64595.5131824077</v>
      </c>
      <c r="BP25" s="772" t="n">
        <f aca="false">CA25-IF($BL$4="mid",AC25,AD25)</f>
        <v>31436.7312789506</v>
      </c>
      <c r="BQ25" s="772" t="n">
        <f aca="false">CB25-IF($BL$4="mid",AF25,AG25)</f>
        <v>5256.01702341461</v>
      </c>
      <c r="BR25" s="772" t="n">
        <f aca="false">CC25-IF($BL$4="mid",AI25,AJ25)</f>
        <v>21179.2834281807</v>
      </c>
      <c r="BS25" s="772" t="n">
        <f aca="false">-IF($BL$4="mid",AK25,AL25)</f>
        <v>-273369.779404107</v>
      </c>
      <c r="BT25" s="772" t="n">
        <f aca="false">-IF($BL$4="mid",AM25,AN25)</f>
        <v>-55221.25</v>
      </c>
      <c r="BW25" s="769" t="n">
        <f aca="false">Breakout!$D$15/12</f>
        <v>3553290.73931273</v>
      </c>
      <c r="BX25" s="769" t="n">
        <f aca="false">Breakout!$D$26/12</f>
        <v>125889.660697106</v>
      </c>
      <c r="BY25" s="769" t="n">
        <f aca="false">Breakout!$D$37/12</f>
        <v>63368.4160171165</v>
      </c>
      <c r="BZ25" s="769" t="n">
        <f aca="false">Breakout!$D$48/12</f>
        <v>460945.924530924</v>
      </c>
      <c r="CA25" s="769" t="n">
        <f aca="false">Breakout!$D$59/12</f>
        <v>424105.184186839</v>
      </c>
      <c r="CB25" s="769" t="n">
        <f aca="false">Breakout!$D$70/12</f>
        <v>321776.683690081</v>
      </c>
      <c r="CC25" s="769" t="n">
        <f aca="false">Breakout!$D$81/12</f>
        <v>21179.2834281807</v>
      </c>
      <c r="CE25" s="852" t="n">
        <f aca="false">P25/0.96</f>
        <v>3553150.43481534</v>
      </c>
      <c r="CF25" s="852" t="n">
        <f aca="false">S25/0.96</f>
        <v>125884.689844207</v>
      </c>
      <c r="CG25" s="852" t="n">
        <f aca="false">V25/0.96</f>
        <v>63365.9138650519</v>
      </c>
      <c r="CI25" s="852" t="n">
        <f aca="false">N25</f>
        <v>0</v>
      </c>
      <c r="CJ25" s="852" t="n">
        <f aca="false">O25</f>
        <v>0</v>
      </c>
      <c r="CL25" s="772" t="n">
        <f aca="false">'account mgt'!$D$23/12</f>
        <v>-50235</v>
      </c>
      <c r="CN25" s="772" t="n">
        <v>0</v>
      </c>
      <c r="CP25" s="772" t="n">
        <f aca="false">M25</f>
        <v>2369920</v>
      </c>
      <c r="CQ25" s="772" t="n">
        <f aca="false">CP25+CS24</f>
        <v>35176032.2179027</v>
      </c>
      <c r="CR25" s="772" t="n">
        <f aca="false">CQ25*$L$2</f>
        <v>314239.221146597</v>
      </c>
      <c r="CS25" s="772" t="n">
        <f aca="false">CQ25+CR25</f>
        <v>35490271.4390493</v>
      </c>
      <c r="CX25" s="772" t="n">
        <f aca="false">CS25</f>
        <v>35490271.4390493</v>
      </c>
      <c r="DE25" s="772" t="n">
        <f aca="false">CX25</f>
        <v>35490271.4390493</v>
      </c>
      <c r="DH25" s="417" t="n">
        <v>0</v>
      </c>
      <c r="DI25" s="417" t="n">
        <v>0</v>
      </c>
      <c r="DJ25" s="417"/>
      <c r="DK25" s="417" t="n">
        <f aca="false">I25*(1+$J$2)^($A$25-A25+1)</f>
        <v>-2389116.352</v>
      </c>
      <c r="DL25" s="417" t="n">
        <v>0</v>
      </c>
      <c r="DN25" s="417" t="n">
        <f aca="false">IF($BL$4="mid",DH25,DI25)</f>
        <v>0</v>
      </c>
      <c r="DO25" s="417" t="n">
        <f aca="false">IF($BL$4="mid",DL25,L25)</f>
        <v>0</v>
      </c>
      <c r="DQ25" s="772" t="n">
        <f aca="false">BW25-IF($BL$4="mid",Q25,R25)</f>
        <v>302708.239312726</v>
      </c>
      <c r="DR25" s="772" t="n">
        <f aca="false">BX25-IF($BL$4="mid",T25,U25)</f>
        <v>-16921.5895313996</v>
      </c>
      <c r="DS25" s="772"/>
      <c r="DT25" s="772"/>
      <c r="DU25" s="772"/>
      <c r="DV25" s="772"/>
      <c r="DW25" s="772"/>
      <c r="DX25" s="772"/>
    </row>
    <row r="26" customFormat="false" ht="12.75" hidden="false" customHeight="false" outlineLevel="0" collapsed="false">
      <c r="A26" s="767" t="n">
        <v>15</v>
      </c>
      <c r="B26" s="854" t="n">
        <v>36951</v>
      </c>
      <c r="C26" s="417" t="n">
        <v>0</v>
      </c>
      <c r="D26" s="417" t="n">
        <v>0</v>
      </c>
      <c r="E26" s="417" t="n">
        <v>0</v>
      </c>
      <c r="F26" s="417" t="n">
        <v>0</v>
      </c>
      <c r="G26" s="417" t="n">
        <v>491519.166251284</v>
      </c>
      <c r="H26" s="417" t="n">
        <v>0</v>
      </c>
      <c r="I26" s="417" t="n">
        <v>491519.166251284</v>
      </c>
      <c r="J26" s="417"/>
      <c r="L26" s="417" t="n">
        <f aca="false">PMT($L$3,106,$K$5,,1)</f>
        <v>491519.166251281</v>
      </c>
      <c r="M26" s="417"/>
      <c r="N26" s="850" t="n">
        <f aca="false">IF(A26&lt;$B$8,0,-$R$5/12)</f>
        <v>-715341.083333333</v>
      </c>
      <c r="O26" s="850" t="n">
        <f aca="false">IF(A26&lt;$B$8,0,-$S$5/12)</f>
        <v>-705333.333333333</v>
      </c>
      <c r="P26" s="769" t="n">
        <f aca="false">Breakout!$D$16/12</f>
        <v>3411024.41742273</v>
      </c>
      <c r="Q26" s="770" t="n">
        <f aca="false">'wholesale services'!$D$110*'wholesale services'!$E$111/12</f>
        <v>3250582.5</v>
      </c>
      <c r="R26" s="770" t="n">
        <v>3320487.5</v>
      </c>
      <c r="S26" s="769" t="n">
        <f aca="false">Breakout!$D$27/12</f>
        <v>120849.302250439</v>
      </c>
      <c r="T26" s="770" t="n">
        <f aca="false">'wholesale services'!$D$113*'wholesale services'!$E$114/12</f>
        <v>142811.250228505</v>
      </c>
      <c r="U26" s="770" t="n">
        <v>145725.765539291</v>
      </c>
      <c r="V26" s="769" t="n">
        <f aca="false">Breakout!$D$38/12</f>
        <v>60831.2773104499</v>
      </c>
      <c r="W26" s="772" t="n">
        <f aca="false">Breakout!$D$39/12</f>
        <v>59709.1</v>
      </c>
      <c r="X26" s="772" t="n">
        <v>60351.1333333333</v>
      </c>
      <c r="Y26" s="769" t="n">
        <f aca="false">Breakout!$D$49/12</f>
        <v>442490.614767591</v>
      </c>
      <c r="Z26" s="770" t="n">
        <f aca="false">Breakout!$D$50/12</f>
        <v>396350.411348516</v>
      </c>
      <c r="AA26" s="770" t="n">
        <v>416338.562474333</v>
      </c>
      <c r="AB26" s="769" t="n">
        <f aca="false">Breakout!$D$60/12</f>
        <v>407124.900535631</v>
      </c>
      <c r="AC26" s="770" t="n">
        <f aca="false">Breakout!$D$61/12</f>
        <v>392668.452907889</v>
      </c>
      <c r="AD26" s="770" t="n">
        <v>404912.012686754</v>
      </c>
      <c r="AE26" s="769" t="n">
        <f aca="false">Breakout!$D$71/12</f>
        <v>308893.418959708</v>
      </c>
      <c r="AF26" s="770" t="n">
        <f aca="false">Breakout!$D$72/12</f>
        <v>316520.666666667</v>
      </c>
      <c r="AG26" s="770" t="n">
        <v>316520.666666667</v>
      </c>
      <c r="AH26" s="769" t="n">
        <f aca="false">Breakout!$D$82/12</f>
        <v>20331.309261514</v>
      </c>
      <c r="AI26" s="770" t="n">
        <f aca="false">Breakout!$D$83/12</f>
        <v>0</v>
      </c>
      <c r="AJ26" s="770" t="n">
        <v>0</v>
      </c>
      <c r="AK26" s="773" t="n">
        <f aca="false">Breakout!$D$91/12</f>
        <v>273369.779404107</v>
      </c>
      <c r="AL26" s="773" t="n">
        <v>273369.779404107</v>
      </c>
      <c r="AM26" s="773" t="n">
        <f aca="false">(Breakout!$D$107/12)*-1</f>
        <v>55221.25</v>
      </c>
      <c r="AN26" s="773" t="n">
        <v>55221.25</v>
      </c>
      <c r="AO26" s="774" t="n">
        <f aca="false">(P26+S26+V26)+Y26+AB26+AE26+AH26</f>
        <v>4771545.24050806</v>
      </c>
      <c r="AP26" s="774" t="n">
        <f aca="false">Q26+T26+W26+AA26+AD26+AG26+AJ26+AL26+AN26</f>
        <v>4919465.12146037</v>
      </c>
      <c r="AQ26" s="775" t="n">
        <f aca="false">P26+S26+V26+Y26+AB26+AE26+AH26-Q26-T26-W26-Z26-AC26-AF26-AI26-AK26-AM26-DH26-DL26-CN26</f>
        <v>124819.986276458</v>
      </c>
      <c r="AS26" s="776" t="n">
        <f aca="false">P26+S26+V26+Y26+AB26+AE26+AH26-R26-U26-X26-AA26-AD26-AG26-AJ26-AL26-AN26-O26-L26-CN26</f>
        <v>-7567.26251437474</v>
      </c>
      <c r="AU26" s="770" t="n">
        <f aca="false">'wholesale services'!$E$110/12</f>
        <v>40679698.7364969</v>
      </c>
      <c r="AV26" s="770" t="n">
        <f aca="false">'wholesale services'!$E$113/12</f>
        <v>18805.4909722222</v>
      </c>
      <c r="AX26" s="851" t="n">
        <f aca="false">IF(A26&lt;$AX$6,0,-$R$5/12)</f>
        <v>-715341.083333333</v>
      </c>
      <c r="AY26" s="417" t="n">
        <f aca="false">IF(A26&lt;$AX$6,0,-$S$5/12)</f>
        <v>-705333.333333333</v>
      </c>
      <c r="BA26" s="772" t="n">
        <f aca="false">P26-IF($BL$4="mid",Q26,R26)-$BL$9*(IF($BL$4="mid",N26,O26)+IF($BL$4="mid",DL26,L26))</f>
        <v>388924.665930605</v>
      </c>
      <c r="BB26" s="772" t="n">
        <f aca="false">S26-IF($BL$4="mid",T26,U26)-$BM$9*(IF($BL$4="mid",N26,O26)+IF($BL$4="mid",DL26,L26))</f>
        <v>-9936.54016186204</v>
      </c>
      <c r="BC26" s="772" t="n">
        <f aca="false">V26-IF($BL$4="mid",W26,X26)-$BN$9*(IF($BL$4="mid",N26,O26)+IF($BL$4="mid",DL26,L26))</f>
        <v>1122.17731044986</v>
      </c>
      <c r="BD26" s="772" t="n">
        <f aca="false">Y26-IF($BL$4="mid",Z26,AA26)</f>
        <v>46140.2034190744</v>
      </c>
      <c r="BE26" s="772" t="n">
        <f aca="false">AB26-IF($BL$4="mid",AC26,AD26)</f>
        <v>14456.447627742</v>
      </c>
      <c r="BF26" s="772" t="n">
        <f aca="false">AE26-IF($BL$4="mid",AF26,AG26)</f>
        <v>-7627.24770695873</v>
      </c>
      <c r="BG26" s="772" t="n">
        <f aca="false">AH26-IF($BL$4="mid",AI26,AJ26)</f>
        <v>20331.309261514</v>
      </c>
      <c r="BH26" s="772" t="n">
        <f aca="false">-IF($BL$4="mid",AK26,AL26)</f>
        <v>-273369.779404107</v>
      </c>
      <c r="BI26" s="772" t="n">
        <f aca="false">-IF($BL$4="mid",AM26,AN26)</f>
        <v>-55221.25</v>
      </c>
      <c r="BL26" s="772" t="n">
        <f aca="false">BW26-IF($BL$4="mid",Q26,R26)-$BL$9*(IF($BL$4="mid",N26,O26)+IF($BL$4="mid",DL26,L26))</f>
        <v>531190.987820605</v>
      </c>
      <c r="BM26" s="772" t="n">
        <f aca="false">BX26-IF($BL$4="mid",T26,U26)-$BM$9*(IF($BL$4="mid",N26,O26)+IF($BL$4="mid",DL26,L26))</f>
        <v>-4896.18171519539</v>
      </c>
      <c r="BN26" s="772" t="n">
        <f aca="false">BY26-IF($BL$4="mid",W26,X26)-$BN$9*(IF($BL$4="mid",N26,O26)+IF($BL$4="mid",DL26,L26))</f>
        <v>3659.31601711653</v>
      </c>
      <c r="BO26" s="772" t="n">
        <f aca="false">BZ26-IF($BL$4="mid",Z26,AA26)</f>
        <v>64595.5131824077</v>
      </c>
      <c r="BP26" s="772" t="n">
        <f aca="false">CA26-IF($BL$4="mid",AC26,AD26)</f>
        <v>31436.7312789506</v>
      </c>
      <c r="BQ26" s="772" t="n">
        <f aca="false">CB26-IF($BL$4="mid",AF26,AG26)</f>
        <v>5256.01702341461</v>
      </c>
      <c r="BR26" s="772" t="n">
        <f aca="false">CC26-IF($BL$4="mid",AI26,AJ26)</f>
        <v>21179.2834281807</v>
      </c>
      <c r="BS26" s="772" t="n">
        <f aca="false">-IF($BL$4="mid",AK26,AL26)</f>
        <v>-273369.779404107</v>
      </c>
      <c r="BT26" s="772" t="n">
        <f aca="false">-IF($BL$4="mid",AM26,AN26)</f>
        <v>-55221.25</v>
      </c>
      <c r="BW26" s="769" t="n">
        <f aca="false">Breakout!$D$15/12</f>
        <v>3553290.73931273</v>
      </c>
      <c r="BX26" s="769" t="n">
        <f aca="false">Breakout!$D$26/12</f>
        <v>125889.660697106</v>
      </c>
      <c r="BY26" s="769" t="n">
        <f aca="false">Breakout!$D$37/12</f>
        <v>63368.4160171165</v>
      </c>
      <c r="BZ26" s="769" t="n">
        <f aca="false">Breakout!$D$48/12</f>
        <v>460945.924530924</v>
      </c>
      <c r="CA26" s="769" t="n">
        <f aca="false">Breakout!$D$59/12</f>
        <v>424105.184186839</v>
      </c>
      <c r="CB26" s="769" t="n">
        <f aca="false">Breakout!$D$70/12</f>
        <v>321776.683690081</v>
      </c>
      <c r="CC26" s="769" t="n">
        <f aca="false">Breakout!$D$81/12</f>
        <v>21179.2834281807</v>
      </c>
      <c r="CE26" s="852" t="n">
        <f aca="false">P26/0.96</f>
        <v>3553150.43481534</v>
      </c>
      <c r="CF26" s="852" t="n">
        <f aca="false">S26/0.96</f>
        <v>125884.689844207</v>
      </c>
      <c r="CG26" s="852" t="n">
        <f aca="false">V26/0.96</f>
        <v>63365.9138650519</v>
      </c>
      <c r="CI26" s="852" t="n">
        <f aca="false">N26</f>
        <v>-715341.083333333</v>
      </c>
      <c r="CJ26" s="852" t="n">
        <f aca="false">O26</f>
        <v>-705333.333333333</v>
      </c>
      <c r="CL26" s="772" t="n">
        <f aca="false">'account mgt'!$D$23/12</f>
        <v>-50235</v>
      </c>
      <c r="CN26" s="772" t="n">
        <v>0</v>
      </c>
      <c r="CT26" s="772" t="n">
        <f aca="false">CS25</f>
        <v>35490271.4390493</v>
      </c>
      <c r="CU26" s="772" t="n">
        <f aca="false">IF(CT26&lt;0.1,0,CT26*$L$3)</f>
        <v>280077.392106497</v>
      </c>
      <c r="CV26" s="772" t="n">
        <f aca="false">IF(CT26&lt;0.1,0,PPMT($L$3,A26-14,unwinds!$B$8*12,$K$5))</f>
        <v>487481.4853961</v>
      </c>
      <c r="CW26" s="772" t="n">
        <f aca="false">IF(CT26-CV26&lt;0,0,CT26-CV26)</f>
        <v>35002789.9536532</v>
      </c>
      <c r="CX26" s="772" t="n">
        <f aca="false">IF(CX25-CV26&lt;0,0,CX25-CV26)</f>
        <v>35002789.9536532</v>
      </c>
      <c r="DA26" s="772" t="n">
        <f aca="false">CS25</f>
        <v>35490271.4390493</v>
      </c>
      <c r="DB26" s="772" t="n">
        <f aca="false">DA26*$L$3</f>
        <v>280077.392106497</v>
      </c>
      <c r="DC26" s="772" t="n">
        <f aca="false">PPMT($L$3,A26-14,106,$K$5)</f>
        <v>215320.679565117</v>
      </c>
      <c r="DD26" s="772" t="n">
        <f aca="false">DA26-DC26</f>
        <v>35274950.7594841</v>
      </c>
      <c r="DE26" s="772" t="n">
        <f aca="false">DE25-DC26</f>
        <v>35274950.7594841</v>
      </c>
      <c r="DH26" s="417" t="n">
        <v>-715341.083333333</v>
      </c>
      <c r="DI26" s="417" t="n">
        <v>-705333.333333333</v>
      </c>
      <c r="DJ26" s="417"/>
      <c r="DL26" s="417" t="n">
        <f aca="false">PMT($J$3,106,$I$5,,1)</f>
        <v>474832.92700925</v>
      </c>
      <c r="DN26" s="417" t="n">
        <f aca="false">IF($BL$4="mid",DH26,DI26)</f>
        <v>-715341.083333333</v>
      </c>
      <c r="DO26" s="417" t="n">
        <f aca="false">IF($BL$4="mid",DL26,L26)</f>
        <v>474832.92700925</v>
      </c>
      <c r="DQ26" s="772" t="n">
        <f aca="false">BW26-IF($BL$4="mid",Q26,R26)</f>
        <v>302708.239312726</v>
      </c>
      <c r="DR26" s="772" t="n">
        <f aca="false">BX26-IF($BL$4="mid",T26,U26)</f>
        <v>-16921.5895313996</v>
      </c>
      <c r="DS26" s="772"/>
      <c r="DT26" s="772"/>
      <c r="DU26" s="772"/>
      <c r="DV26" s="772"/>
      <c r="DW26" s="772"/>
      <c r="DX26" s="772"/>
    </row>
    <row r="27" customFormat="false" ht="12.75" hidden="false" customHeight="false" outlineLevel="0" collapsed="false">
      <c r="A27" s="767" t="n">
        <v>16</v>
      </c>
      <c r="B27" s="854" t="n">
        <v>36982</v>
      </c>
      <c r="C27" s="417" t="n">
        <v>0</v>
      </c>
      <c r="D27" s="417" t="n">
        <v>0</v>
      </c>
      <c r="E27" s="417" t="n">
        <v>0</v>
      </c>
      <c r="F27" s="417" t="n">
        <v>276198.486686164</v>
      </c>
      <c r="G27" s="417" t="n">
        <v>215320.67956512</v>
      </c>
      <c r="H27" s="417" t="n">
        <v>0</v>
      </c>
      <c r="I27" s="417" t="n">
        <v>491519.166251284</v>
      </c>
      <c r="J27" s="417"/>
      <c r="K27" s="417"/>
      <c r="L27" s="417" t="n">
        <f aca="false">PMT($L$3,106,$K$5,,1)</f>
        <v>491519.166251281</v>
      </c>
      <c r="M27" s="417"/>
      <c r="N27" s="850" t="n">
        <f aca="false">IF(A27&lt;$B$8,0,-$R$5/12)</f>
        <v>-715341.083333333</v>
      </c>
      <c r="O27" s="850" t="n">
        <f aca="false">IF(A27&lt;$B$8,0,-$S$5/12)</f>
        <v>-705333.333333333</v>
      </c>
      <c r="P27" s="769" t="n">
        <f aca="false">Breakout!$D$16/12</f>
        <v>3411024.41742273</v>
      </c>
      <c r="Q27" s="770" t="n">
        <f aca="false">'wholesale services'!$D$110*'wholesale services'!$E$111/12</f>
        <v>3250582.5</v>
      </c>
      <c r="R27" s="770" t="n">
        <v>3320487.5</v>
      </c>
      <c r="S27" s="769" t="n">
        <f aca="false">Breakout!$D$27/12</f>
        <v>120849.302250439</v>
      </c>
      <c r="T27" s="770" t="n">
        <f aca="false">'wholesale services'!$D$113*'wholesale services'!$E$114/12</f>
        <v>142811.250228505</v>
      </c>
      <c r="U27" s="770" t="n">
        <v>145725.765539291</v>
      </c>
      <c r="V27" s="769" t="n">
        <f aca="false">Breakout!$D$38/12</f>
        <v>60831.2773104499</v>
      </c>
      <c r="W27" s="772" t="n">
        <f aca="false">Breakout!$D$39/12</f>
        <v>59709.1</v>
      </c>
      <c r="X27" s="772" t="n">
        <v>60351.1333333333</v>
      </c>
      <c r="Y27" s="769" t="n">
        <f aca="false">Breakout!$D$49/12</f>
        <v>442490.614767591</v>
      </c>
      <c r="Z27" s="770" t="n">
        <f aca="false">Breakout!$D$50/12</f>
        <v>396350.411348516</v>
      </c>
      <c r="AA27" s="770" t="n">
        <v>416338.562474333</v>
      </c>
      <c r="AB27" s="769" t="n">
        <f aca="false">Breakout!$D$60/12</f>
        <v>407124.900535631</v>
      </c>
      <c r="AC27" s="770" t="n">
        <f aca="false">Breakout!$D$61/12</f>
        <v>392668.452907889</v>
      </c>
      <c r="AD27" s="770" t="n">
        <v>404912.012686754</v>
      </c>
      <c r="AE27" s="769" t="n">
        <f aca="false">Breakout!$D$71/12</f>
        <v>308893.418959708</v>
      </c>
      <c r="AF27" s="770" t="n">
        <f aca="false">Breakout!$D$72/12</f>
        <v>316520.666666667</v>
      </c>
      <c r="AG27" s="770" t="n">
        <v>316520.666666667</v>
      </c>
      <c r="AH27" s="769" t="n">
        <f aca="false">Breakout!$D$82/12</f>
        <v>20331.309261514</v>
      </c>
      <c r="AI27" s="770" t="n">
        <f aca="false">Breakout!$D$83/12</f>
        <v>0</v>
      </c>
      <c r="AJ27" s="770" t="n">
        <v>0</v>
      </c>
      <c r="AK27" s="773" t="n">
        <f aca="false">Breakout!$D$91/12</f>
        <v>273369.779404107</v>
      </c>
      <c r="AL27" s="773" t="n">
        <v>273369.779404107</v>
      </c>
      <c r="AM27" s="773" t="n">
        <f aca="false">(Breakout!$D$107/12)*-1</f>
        <v>55221.25</v>
      </c>
      <c r="AN27" s="773" t="n">
        <v>55221.25</v>
      </c>
      <c r="AO27" s="774" t="n">
        <f aca="false">(P27+S27+V27)+Y27+AB27+AE27+AH27</f>
        <v>4771545.24050806</v>
      </c>
      <c r="AP27" s="774" t="n">
        <f aca="false">Q27+T27+W27+AA27+AD27+AG27+AJ27+AL27+AN27</f>
        <v>4919465.12146037</v>
      </c>
      <c r="AQ27" s="775" t="n">
        <f aca="false">P27+S27+V27+Y27+AB27+AE27+AH27-Q27-T27-W27-Z27-AC27-AF27-AI27-AK27-AM27-DH27-DL27-CN27</f>
        <v>124819.986276458</v>
      </c>
      <c r="AS27" s="776" t="n">
        <f aca="false">P27+S27+V27+Y27+AB27+AE27+AH27-R27-U27-X27-AA27-AD27-AG27-AJ27-AL27-AN27-O27-L27-CN27</f>
        <v>-7567.26251437474</v>
      </c>
      <c r="AU27" s="770" t="n">
        <f aca="false">'wholesale services'!$E$110/12</f>
        <v>40679698.7364969</v>
      </c>
      <c r="AV27" s="770" t="n">
        <f aca="false">'wholesale services'!$E$113/12</f>
        <v>18805.4909722222</v>
      </c>
      <c r="AX27" s="851" t="n">
        <f aca="false">IF(A27&lt;$AX$6,0,-$R$5/12)</f>
        <v>-715341.083333333</v>
      </c>
      <c r="AY27" s="417" t="n">
        <f aca="false">IF(A27&lt;$AX$6,0,-$S$5/12)</f>
        <v>-705333.333333333</v>
      </c>
      <c r="BA27" s="772" t="n">
        <f aca="false">P27-IF($BL$4="mid",Q27,R27)-$BL$9*(IF($BL$4="mid",N27,O27)+IF($BL$4="mid",DL27,L27))</f>
        <v>388924.665930605</v>
      </c>
      <c r="BB27" s="772" t="n">
        <f aca="false">S27-IF($BL$4="mid",T27,U27)-$BM$9*(IF($BL$4="mid",N27,O27)+IF($BL$4="mid",DL27,L27))</f>
        <v>-9936.54016186204</v>
      </c>
      <c r="BC27" s="772" t="n">
        <f aca="false">V27-IF($BL$4="mid",W27,X27)-$BN$9*(IF($BL$4="mid",N27,O27)+IF($BL$4="mid",DL27,L27))</f>
        <v>1122.17731044986</v>
      </c>
      <c r="BD27" s="772" t="n">
        <f aca="false">Y27-IF($BL$4="mid",Z27,AA27)</f>
        <v>46140.2034190744</v>
      </c>
      <c r="BE27" s="772" t="n">
        <f aca="false">AB27-IF($BL$4="mid",AC27,AD27)</f>
        <v>14456.447627742</v>
      </c>
      <c r="BF27" s="772" t="n">
        <f aca="false">AE27-IF($BL$4="mid",AF27,AG27)</f>
        <v>-7627.24770695873</v>
      </c>
      <c r="BG27" s="772" t="n">
        <f aca="false">AH27-IF($BL$4="mid",AI27,AJ27)</f>
        <v>20331.309261514</v>
      </c>
      <c r="BH27" s="772" t="n">
        <f aca="false">-IF($BL$4="mid",AK27,AL27)</f>
        <v>-273369.779404107</v>
      </c>
      <c r="BI27" s="772" t="n">
        <f aca="false">-IF($BL$4="mid",AM27,AN27)</f>
        <v>-55221.25</v>
      </c>
      <c r="BL27" s="772" t="n">
        <f aca="false">BW27-IF($BL$4="mid",Q27,R27)-$BL$9*(IF($BL$4="mid",N27,O27)+IF($BL$4="mid",DL27,L27))</f>
        <v>531190.987820605</v>
      </c>
      <c r="BM27" s="772" t="n">
        <f aca="false">BX27-IF($BL$4="mid",T27,U27)-$BM$9*(IF($BL$4="mid",N27,O27)+IF($BL$4="mid",DL27,L27))</f>
        <v>-4896.18171519539</v>
      </c>
      <c r="BN27" s="772" t="n">
        <f aca="false">BY27-IF($BL$4="mid",W27,X27)-$BN$9*(IF($BL$4="mid",N27,O27)+IF($BL$4="mid",DL27,L27))</f>
        <v>3659.31601711653</v>
      </c>
      <c r="BO27" s="772" t="n">
        <f aca="false">BZ27-IF($BL$4="mid",Z27,AA27)</f>
        <v>64595.5131824077</v>
      </c>
      <c r="BP27" s="772" t="n">
        <f aca="false">CA27-IF($BL$4="mid",AC27,AD27)</f>
        <v>31436.7312789506</v>
      </c>
      <c r="BQ27" s="772" t="n">
        <f aca="false">CB27-IF($BL$4="mid",AF27,AG27)</f>
        <v>5256.01702341461</v>
      </c>
      <c r="BR27" s="772" t="n">
        <f aca="false">CC27-IF($BL$4="mid",AI27,AJ27)</f>
        <v>21179.2834281807</v>
      </c>
      <c r="BS27" s="772" t="n">
        <f aca="false">-IF($BL$4="mid",AK27,AL27)</f>
        <v>-273369.779404107</v>
      </c>
      <c r="BT27" s="772" t="n">
        <f aca="false">-IF($BL$4="mid",AM27,AN27)</f>
        <v>-55221.25</v>
      </c>
      <c r="BW27" s="769" t="n">
        <f aca="false">Breakout!$D$15/12</f>
        <v>3553290.73931273</v>
      </c>
      <c r="BX27" s="769" t="n">
        <f aca="false">Breakout!$D$26/12</f>
        <v>125889.660697106</v>
      </c>
      <c r="BY27" s="769" t="n">
        <f aca="false">Breakout!$D$37/12</f>
        <v>63368.4160171165</v>
      </c>
      <c r="BZ27" s="769" t="n">
        <f aca="false">Breakout!$D$48/12</f>
        <v>460945.924530924</v>
      </c>
      <c r="CA27" s="769" t="n">
        <f aca="false">Breakout!$D$59/12</f>
        <v>424105.184186839</v>
      </c>
      <c r="CB27" s="769" t="n">
        <f aca="false">Breakout!$D$70/12</f>
        <v>321776.683690081</v>
      </c>
      <c r="CC27" s="769" t="n">
        <f aca="false">Breakout!$D$81/12</f>
        <v>21179.2834281807</v>
      </c>
      <c r="CE27" s="852" t="n">
        <f aca="false">P27/0.96</f>
        <v>3553150.43481534</v>
      </c>
      <c r="CF27" s="852" t="n">
        <f aca="false">S27/0.96</f>
        <v>125884.689844207</v>
      </c>
      <c r="CG27" s="852" t="n">
        <f aca="false">V27/0.96</f>
        <v>63365.9138650519</v>
      </c>
      <c r="CI27" s="852" t="n">
        <f aca="false">N27</f>
        <v>-715341.083333333</v>
      </c>
      <c r="CJ27" s="852" t="n">
        <f aca="false">O27</f>
        <v>-705333.333333333</v>
      </c>
      <c r="CL27" s="772" t="n">
        <f aca="false">'account mgt'!$D$23/12</f>
        <v>-50235</v>
      </c>
      <c r="CN27" s="772" t="n">
        <v>0</v>
      </c>
      <c r="CT27" s="772" t="n">
        <f aca="false">CW26</f>
        <v>35002789.9536532</v>
      </c>
      <c r="CU27" s="772" t="n">
        <f aca="false">IF(CT27&lt;0.1,0,CT27*$L$3)</f>
        <v>276230.35071758</v>
      </c>
      <c r="CV27" s="772" t="n">
        <f aca="false">IF(CT27&lt;0.1,0,PPMT($L$3,A27-14,unwinds!$B$8*12,$K$5))</f>
        <v>491328.526785017</v>
      </c>
      <c r="CW27" s="772" t="n">
        <f aca="false">IF(CT27-CV27&lt;0,0,CT27-CV27)</f>
        <v>34511461.4268681</v>
      </c>
      <c r="CX27" s="772" t="n">
        <f aca="false">IF(CX26-CV27&lt;0,0,CX26-CV27)</f>
        <v>34511461.4268681</v>
      </c>
      <c r="DA27" s="772" t="n">
        <f aca="false">DD26</f>
        <v>35274950.7594841</v>
      </c>
      <c r="DB27" s="772" t="n">
        <f aca="false">DA27*$L$3</f>
        <v>278378.153076929</v>
      </c>
      <c r="DC27" s="772" t="n">
        <f aca="false">PPMT($L$3,A27-14,106,$K$5)</f>
        <v>217019.918594685</v>
      </c>
      <c r="DD27" s="772" t="n">
        <f aca="false">DA27-DC27</f>
        <v>35057930.8408895</v>
      </c>
      <c r="DE27" s="772" t="n">
        <f aca="false">DE26-DC27</f>
        <v>35057930.8408895</v>
      </c>
      <c r="DH27" s="417" t="n">
        <v>-715341.083333333</v>
      </c>
      <c r="DI27" s="417" t="n">
        <v>-705333.333333333</v>
      </c>
      <c r="DJ27" s="417"/>
      <c r="DL27" s="417" t="n">
        <f aca="false">PMT($J$3,106,$I$5,,1)</f>
        <v>474832.92700925</v>
      </c>
      <c r="DN27" s="417" t="n">
        <f aca="false">IF($BL$4="mid",DH27,DI27)</f>
        <v>-715341.083333333</v>
      </c>
      <c r="DO27" s="417" t="n">
        <f aca="false">IF($BL$4="mid",DL27,L27)</f>
        <v>474832.92700925</v>
      </c>
      <c r="DQ27" s="772" t="n">
        <f aca="false">BW27-IF($BL$4="mid",Q27,R27)</f>
        <v>302708.239312726</v>
      </c>
      <c r="DR27" s="772" t="n">
        <f aca="false">BX27-IF($BL$4="mid",T27,U27)</f>
        <v>-16921.5895313996</v>
      </c>
      <c r="DS27" s="772"/>
      <c r="DT27" s="772"/>
      <c r="DU27" s="772"/>
      <c r="DV27" s="772"/>
      <c r="DW27" s="772"/>
      <c r="DX27" s="772"/>
    </row>
    <row r="28" customFormat="false" ht="12.75" hidden="false" customHeight="false" outlineLevel="0" collapsed="false">
      <c r="A28" s="767" t="n">
        <v>17</v>
      </c>
      <c r="B28" s="854" t="n">
        <v>37012</v>
      </c>
      <c r="C28" s="417" t="n">
        <v>0</v>
      </c>
      <c r="D28" s="417" t="n">
        <v>0</v>
      </c>
      <c r="E28" s="417" t="n">
        <v>0</v>
      </c>
      <c r="F28" s="417" t="n">
        <v>274499.247656596</v>
      </c>
      <c r="G28" s="417" t="n">
        <v>217019.918594688</v>
      </c>
      <c r="H28" s="417" t="n">
        <v>0</v>
      </c>
      <c r="I28" s="417" t="n">
        <v>491519.166251284</v>
      </c>
      <c r="J28" s="417"/>
      <c r="K28" s="417"/>
      <c r="L28" s="417" t="n">
        <f aca="false">PMT($L$3,106,$K$5,,1)</f>
        <v>491519.166251281</v>
      </c>
      <c r="M28" s="417"/>
      <c r="N28" s="850" t="n">
        <f aca="false">IF(A28&lt;$B$8,0,-$R$5/12)</f>
        <v>-715341.083333333</v>
      </c>
      <c r="O28" s="850" t="n">
        <f aca="false">IF(A28&lt;$B$8,0,-$S$5/12)</f>
        <v>-705333.333333333</v>
      </c>
      <c r="P28" s="769" t="n">
        <f aca="false">Breakout!$D$16/12</f>
        <v>3411024.41742273</v>
      </c>
      <c r="Q28" s="770" t="n">
        <f aca="false">'wholesale services'!$D$110*'wholesale services'!$E$111/12</f>
        <v>3250582.5</v>
      </c>
      <c r="R28" s="770" t="n">
        <v>3320487.5</v>
      </c>
      <c r="S28" s="769" t="n">
        <f aca="false">Breakout!$D$27/12</f>
        <v>120849.302250439</v>
      </c>
      <c r="T28" s="770" t="n">
        <f aca="false">'wholesale services'!$D$113*'wholesale services'!$E$114/12</f>
        <v>142811.250228505</v>
      </c>
      <c r="U28" s="770" t="n">
        <v>145725.765539291</v>
      </c>
      <c r="V28" s="769" t="n">
        <f aca="false">Breakout!$D$38/12</f>
        <v>60831.2773104499</v>
      </c>
      <c r="W28" s="772" t="n">
        <f aca="false">Breakout!$D$39/12</f>
        <v>59709.1</v>
      </c>
      <c r="X28" s="772" t="n">
        <v>60351.1333333333</v>
      </c>
      <c r="Y28" s="769" t="n">
        <f aca="false">Breakout!$D$49/12</f>
        <v>442490.614767591</v>
      </c>
      <c r="Z28" s="770" t="n">
        <f aca="false">Breakout!$D$50/12</f>
        <v>396350.411348516</v>
      </c>
      <c r="AA28" s="770" t="n">
        <v>416338.562474333</v>
      </c>
      <c r="AB28" s="769" t="n">
        <f aca="false">Breakout!$D$60/12</f>
        <v>407124.900535631</v>
      </c>
      <c r="AC28" s="770" t="n">
        <f aca="false">Breakout!$D$61/12</f>
        <v>392668.452907889</v>
      </c>
      <c r="AD28" s="770" t="n">
        <v>404912.012686754</v>
      </c>
      <c r="AE28" s="769" t="n">
        <f aca="false">Breakout!$D$71/12</f>
        <v>308893.418959708</v>
      </c>
      <c r="AF28" s="770" t="n">
        <f aca="false">Breakout!$D$72/12</f>
        <v>316520.666666667</v>
      </c>
      <c r="AG28" s="770" t="n">
        <v>316520.666666667</v>
      </c>
      <c r="AH28" s="769" t="n">
        <f aca="false">Breakout!$D$82/12</f>
        <v>20331.309261514</v>
      </c>
      <c r="AI28" s="770" t="n">
        <f aca="false">Breakout!$D$83/12</f>
        <v>0</v>
      </c>
      <c r="AJ28" s="770" t="n">
        <v>0</v>
      </c>
      <c r="AK28" s="773" t="n">
        <f aca="false">Breakout!$D$91/12</f>
        <v>273369.779404107</v>
      </c>
      <c r="AL28" s="773" t="n">
        <v>273369.779404107</v>
      </c>
      <c r="AM28" s="773" t="n">
        <f aca="false">(Breakout!$D$107/12)*-1</f>
        <v>55221.25</v>
      </c>
      <c r="AN28" s="773" t="n">
        <v>55221.25</v>
      </c>
      <c r="AO28" s="774" t="n">
        <f aca="false">(P28+S28+V28)+Y28+AB28+AE28+AH28</f>
        <v>4771545.24050806</v>
      </c>
      <c r="AP28" s="774" t="n">
        <f aca="false">Q28+T28+W28+AA28+AD28+AG28+AJ28+AL28+AN28</f>
        <v>4919465.12146037</v>
      </c>
      <c r="AQ28" s="775" t="n">
        <f aca="false">P28+S28+V28+Y28+AB28+AE28+AH28-Q28-T28-W28-Z28-AC28-AF28-AI28-AK28-AM28-DH28-DL28-CN28</f>
        <v>124819.986276458</v>
      </c>
      <c r="AS28" s="776" t="n">
        <f aca="false">P28+S28+V28+Y28+AB28+AE28+AH28-R28-U28-X28-AA28-AD28-AG28-AJ28-AL28-AN28-O28-L28-CN28</f>
        <v>-7567.26251437474</v>
      </c>
      <c r="AU28" s="770" t="n">
        <f aca="false">'wholesale services'!$E$110/12</f>
        <v>40679698.7364969</v>
      </c>
      <c r="AV28" s="770" t="n">
        <f aca="false">'wholesale services'!$E$113/12</f>
        <v>18805.4909722222</v>
      </c>
      <c r="AX28" s="851" t="n">
        <f aca="false">IF(A28&lt;$AX$6,0,-$R$5/12)</f>
        <v>-715341.083333333</v>
      </c>
      <c r="AY28" s="417" t="n">
        <f aca="false">IF(A28&lt;$AX$6,0,-$S$5/12)</f>
        <v>-705333.333333333</v>
      </c>
      <c r="BA28" s="772" t="n">
        <f aca="false">P28-IF($BL$4="mid",Q28,R28)-$BL$9*(IF($BL$4="mid",N28,O28)+IF($BL$4="mid",DL28,L28))</f>
        <v>388924.665930605</v>
      </c>
      <c r="BB28" s="772" t="n">
        <f aca="false">S28-IF($BL$4="mid",T28,U28)-$BM$9*(IF($BL$4="mid",N28,O28)+IF($BL$4="mid",DL28,L28))</f>
        <v>-9936.54016186204</v>
      </c>
      <c r="BC28" s="772" t="n">
        <f aca="false">V28-IF($BL$4="mid",W28,X28)-$BN$9*(IF($BL$4="mid",N28,O28)+IF($BL$4="mid",DL28,L28))</f>
        <v>1122.17731044986</v>
      </c>
      <c r="BD28" s="772" t="n">
        <f aca="false">Y28-IF($BL$4="mid",Z28,AA28)</f>
        <v>46140.2034190744</v>
      </c>
      <c r="BE28" s="772" t="n">
        <f aca="false">AB28-IF($BL$4="mid",AC28,AD28)</f>
        <v>14456.447627742</v>
      </c>
      <c r="BF28" s="772" t="n">
        <f aca="false">AE28-IF($BL$4="mid",AF28,AG28)</f>
        <v>-7627.24770695873</v>
      </c>
      <c r="BG28" s="772" t="n">
        <f aca="false">AH28-IF($BL$4="mid",AI28,AJ28)</f>
        <v>20331.309261514</v>
      </c>
      <c r="BH28" s="772" t="n">
        <f aca="false">-IF($BL$4="mid",AK28,AL28)</f>
        <v>-273369.779404107</v>
      </c>
      <c r="BI28" s="772" t="n">
        <f aca="false">-IF($BL$4="mid",AM28,AN28)</f>
        <v>-55221.25</v>
      </c>
      <c r="BL28" s="772" t="n">
        <f aca="false">BW28-IF($BL$4="mid",Q28,R28)-$BL$9*(IF($BL$4="mid",N28,O28)+IF($BL$4="mid",DL28,L28))</f>
        <v>531190.987820605</v>
      </c>
      <c r="BM28" s="772" t="n">
        <f aca="false">BX28-IF($BL$4="mid",T28,U28)-$BM$9*(IF($BL$4="mid",N28,O28)+IF($BL$4="mid",DL28,L28))</f>
        <v>-4896.18171519539</v>
      </c>
      <c r="BN28" s="772" t="n">
        <f aca="false">BY28-IF($BL$4="mid",W28,X28)-$BN$9*(IF($BL$4="mid",N28,O28)+IF($BL$4="mid",DL28,L28))</f>
        <v>3659.31601711653</v>
      </c>
      <c r="BO28" s="772" t="n">
        <f aca="false">BZ28-IF($BL$4="mid",Z28,AA28)</f>
        <v>64595.5131824077</v>
      </c>
      <c r="BP28" s="772" t="n">
        <f aca="false">CA28-IF($BL$4="mid",AC28,AD28)</f>
        <v>31436.7312789506</v>
      </c>
      <c r="BQ28" s="772" t="n">
        <f aca="false">CB28-IF($BL$4="mid",AF28,AG28)</f>
        <v>5256.01702341461</v>
      </c>
      <c r="BR28" s="772" t="n">
        <f aca="false">CC28-IF($BL$4="mid",AI28,AJ28)</f>
        <v>21179.2834281807</v>
      </c>
      <c r="BS28" s="772" t="n">
        <f aca="false">-IF($BL$4="mid",AK28,AL28)</f>
        <v>-273369.779404107</v>
      </c>
      <c r="BT28" s="772" t="n">
        <f aca="false">-IF($BL$4="mid",AM28,AN28)</f>
        <v>-55221.25</v>
      </c>
      <c r="BW28" s="769" t="n">
        <f aca="false">Breakout!$D$15/12</f>
        <v>3553290.73931273</v>
      </c>
      <c r="BX28" s="769" t="n">
        <f aca="false">Breakout!$D$26/12</f>
        <v>125889.660697106</v>
      </c>
      <c r="BY28" s="769" t="n">
        <f aca="false">Breakout!$D$37/12</f>
        <v>63368.4160171165</v>
      </c>
      <c r="BZ28" s="769" t="n">
        <f aca="false">Breakout!$D$48/12</f>
        <v>460945.924530924</v>
      </c>
      <c r="CA28" s="769" t="n">
        <f aca="false">Breakout!$D$59/12</f>
        <v>424105.184186839</v>
      </c>
      <c r="CB28" s="769" t="n">
        <f aca="false">Breakout!$D$70/12</f>
        <v>321776.683690081</v>
      </c>
      <c r="CC28" s="769" t="n">
        <f aca="false">Breakout!$D$81/12</f>
        <v>21179.2834281807</v>
      </c>
      <c r="CE28" s="852" t="n">
        <f aca="false">P28/0.96</f>
        <v>3553150.43481534</v>
      </c>
      <c r="CF28" s="852" t="n">
        <f aca="false">S28/0.96</f>
        <v>125884.689844207</v>
      </c>
      <c r="CG28" s="852" t="n">
        <f aca="false">V28/0.96</f>
        <v>63365.9138650519</v>
      </c>
      <c r="CI28" s="852" t="n">
        <f aca="false">N28</f>
        <v>-715341.083333333</v>
      </c>
      <c r="CJ28" s="852" t="n">
        <f aca="false">O28</f>
        <v>-705333.333333333</v>
      </c>
      <c r="CL28" s="772" t="n">
        <f aca="false">'account mgt'!$D$23/12</f>
        <v>-50235</v>
      </c>
      <c r="CN28" s="772" t="n">
        <v>0</v>
      </c>
      <c r="CT28" s="772" t="n">
        <f aca="false">CW27</f>
        <v>34511461.4268681</v>
      </c>
      <c r="CU28" s="772" t="n">
        <f aca="false">IF(CT28&lt;0.1,0,CT28*$L$3)</f>
        <v>272352.949760368</v>
      </c>
      <c r="CV28" s="772" t="n">
        <f aca="false">IF(CT28&lt;0.1,0,PPMT($L$3,A28-14,unwinds!$B$8*12,$K$5))</f>
        <v>495205.927742229</v>
      </c>
      <c r="CW28" s="772" t="n">
        <f aca="false">IF(CT28-CV28&lt;0,0,CT28-CV28)</f>
        <v>34016255.4991259</v>
      </c>
      <c r="CX28" s="772" t="n">
        <f aca="false">IF(CX27-CV28&lt;0,0,CX27-CV28)</f>
        <v>34016255.4991259</v>
      </c>
      <c r="DA28" s="772" t="n">
        <f aca="false">DD27</f>
        <v>35057930.8408895</v>
      </c>
      <c r="DB28" s="772" t="n">
        <f aca="false">DA28*$L$3</f>
        <v>276665.504219353</v>
      </c>
      <c r="DC28" s="772" t="n">
        <f aca="false">PPMT($L$3,A28-14,106,$K$5)</f>
        <v>218732.567452261</v>
      </c>
      <c r="DD28" s="772" t="n">
        <f aca="false">DA28-DC28</f>
        <v>34839198.2734372</v>
      </c>
      <c r="DE28" s="772" t="n">
        <f aca="false">DE27-DC28</f>
        <v>34839198.2734372</v>
      </c>
      <c r="DH28" s="417" t="n">
        <v>-715341.083333333</v>
      </c>
      <c r="DI28" s="417" t="n">
        <v>-705333.333333333</v>
      </c>
      <c r="DJ28" s="417"/>
      <c r="DL28" s="417" t="n">
        <f aca="false">PMT($J$3,106,$I$5,,1)</f>
        <v>474832.92700925</v>
      </c>
      <c r="DN28" s="417" t="n">
        <f aca="false">IF($BL$4="mid",DH28,DI28)</f>
        <v>-715341.083333333</v>
      </c>
      <c r="DO28" s="417" t="n">
        <f aca="false">IF($BL$4="mid",DL28,L28)</f>
        <v>474832.92700925</v>
      </c>
      <c r="DQ28" s="772" t="n">
        <f aca="false">BW28-IF($BL$4="mid",Q28,R28)</f>
        <v>302708.239312726</v>
      </c>
      <c r="DR28" s="772" t="n">
        <f aca="false">BX28-IF($BL$4="mid",T28,U28)</f>
        <v>-16921.5895313996</v>
      </c>
      <c r="DS28" s="772"/>
      <c r="DT28" s="772"/>
      <c r="DU28" s="772"/>
      <c r="DV28" s="772"/>
      <c r="DW28" s="772"/>
      <c r="DX28" s="772"/>
    </row>
    <row r="29" customFormat="false" ht="12.75" hidden="false" customHeight="false" outlineLevel="0" collapsed="false">
      <c r="A29" s="767" t="n">
        <v>18</v>
      </c>
      <c r="B29" s="854" t="n">
        <v>37043</v>
      </c>
      <c r="C29" s="417" t="n">
        <v>0</v>
      </c>
      <c r="D29" s="417" t="n">
        <v>0</v>
      </c>
      <c r="E29" s="417" t="n">
        <v>0</v>
      </c>
      <c r="F29" s="417" t="n">
        <v>272786.59879902</v>
      </c>
      <c r="G29" s="417" t="n">
        <v>218732.567452264</v>
      </c>
      <c r="H29" s="417" t="n">
        <v>0</v>
      </c>
      <c r="I29" s="417" t="n">
        <v>491519.166251284</v>
      </c>
      <c r="J29" s="417"/>
      <c r="K29" s="417"/>
      <c r="L29" s="417" t="n">
        <f aca="false">PMT($L$3,106,$K$5,,1)</f>
        <v>491519.166251281</v>
      </c>
      <c r="M29" s="417"/>
      <c r="N29" s="850" t="n">
        <f aca="false">IF(A29&lt;$B$8,0,-$R$5/12)</f>
        <v>-715341.083333333</v>
      </c>
      <c r="O29" s="850" t="n">
        <f aca="false">IF(A29&lt;$B$8,0,-$S$5/12)</f>
        <v>-705333.333333333</v>
      </c>
      <c r="P29" s="769" t="n">
        <f aca="false">Breakout!$D$16/12</f>
        <v>3411024.41742273</v>
      </c>
      <c r="Q29" s="770" t="n">
        <f aca="false">'wholesale services'!$D$110*'wholesale services'!$E$111/12</f>
        <v>3250582.5</v>
      </c>
      <c r="R29" s="770" t="n">
        <v>3320487.5</v>
      </c>
      <c r="S29" s="769" t="n">
        <f aca="false">Breakout!$D$27/12</f>
        <v>120849.302250439</v>
      </c>
      <c r="T29" s="770" t="n">
        <f aca="false">'wholesale services'!$D$113*'wholesale services'!$E$114/12</f>
        <v>142811.250228505</v>
      </c>
      <c r="U29" s="770" t="n">
        <v>145725.765539291</v>
      </c>
      <c r="V29" s="769" t="n">
        <f aca="false">Breakout!$D$38/12</f>
        <v>60831.2773104499</v>
      </c>
      <c r="W29" s="772" t="n">
        <f aca="false">Breakout!$D$39/12</f>
        <v>59709.1</v>
      </c>
      <c r="X29" s="772" t="n">
        <v>60351.1333333333</v>
      </c>
      <c r="Y29" s="769" t="n">
        <f aca="false">Breakout!$D$49/12</f>
        <v>442490.614767591</v>
      </c>
      <c r="Z29" s="770" t="n">
        <f aca="false">Breakout!$D$50/12</f>
        <v>396350.411348516</v>
      </c>
      <c r="AA29" s="770" t="n">
        <v>416338.562474333</v>
      </c>
      <c r="AB29" s="769" t="n">
        <f aca="false">Breakout!$D$60/12</f>
        <v>407124.900535631</v>
      </c>
      <c r="AC29" s="770" t="n">
        <f aca="false">Breakout!$D$61/12</f>
        <v>392668.452907889</v>
      </c>
      <c r="AD29" s="770" t="n">
        <v>404912.012686754</v>
      </c>
      <c r="AE29" s="769" t="n">
        <f aca="false">Breakout!$D$71/12</f>
        <v>308893.418959708</v>
      </c>
      <c r="AF29" s="770" t="n">
        <f aca="false">Breakout!$D$72/12</f>
        <v>316520.666666667</v>
      </c>
      <c r="AG29" s="770" t="n">
        <v>316520.666666667</v>
      </c>
      <c r="AH29" s="769" t="n">
        <f aca="false">Breakout!$D$82/12</f>
        <v>20331.309261514</v>
      </c>
      <c r="AI29" s="770" t="n">
        <f aca="false">Breakout!$D$83/12</f>
        <v>0</v>
      </c>
      <c r="AJ29" s="770" t="n">
        <v>0</v>
      </c>
      <c r="AK29" s="773" t="n">
        <f aca="false">Breakout!$D$91/12</f>
        <v>273369.779404107</v>
      </c>
      <c r="AL29" s="773" t="n">
        <v>273369.779404107</v>
      </c>
      <c r="AM29" s="773" t="n">
        <f aca="false">(Breakout!$D$107/12)*-1</f>
        <v>55221.25</v>
      </c>
      <c r="AN29" s="773" t="n">
        <v>55221.25</v>
      </c>
      <c r="AO29" s="774" t="n">
        <f aca="false">(P29+S29+V29)+Y29+AB29+AE29+AH29</f>
        <v>4771545.24050806</v>
      </c>
      <c r="AP29" s="774" t="n">
        <f aca="false">Q29+T29+W29+AA29+AD29+AG29+AJ29+AL29+AN29</f>
        <v>4919465.12146037</v>
      </c>
      <c r="AQ29" s="775" t="n">
        <f aca="false">P29+S29+V29+Y29+AB29+AE29+AH29-Q29-T29-W29-Z29-AC29-AF29-AI29-AK29-AM29-DH29-DL29-CN29</f>
        <v>124819.986276458</v>
      </c>
      <c r="AS29" s="776" t="n">
        <f aca="false">P29+S29+V29+Y29+AB29+AE29+AH29-R29-U29-X29-AA29-AD29-AG29-AJ29-AL29-AN29-O29-L29-CN29</f>
        <v>-7567.26251437474</v>
      </c>
      <c r="AU29" s="770" t="n">
        <f aca="false">'wholesale services'!$E$110/12</f>
        <v>40679698.7364969</v>
      </c>
      <c r="AV29" s="770" t="n">
        <f aca="false">'wholesale services'!$E$113/12</f>
        <v>18805.4909722222</v>
      </c>
      <c r="AX29" s="851" t="n">
        <f aca="false">IF(A29&lt;$AX$6,0,-$R$5/12)</f>
        <v>-715341.083333333</v>
      </c>
      <c r="AY29" s="417" t="n">
        <f aca="false">IF(A29&lt;$AX$6,0,-$S$5/12)</f>
        <v>-705333.333333333</v>
      </c>
      <c r="BA29" s="772" t="n">
        <f aca="false">P29-IF($BL$4="mid",Q29,R29)-$BL$9*(IF($BL$4="mid",N29,O29)+IF($BL$4="mid",DL29,L29))</f>
        <v>388924.665930605</v>
      </c>
      <c r="BB29" s="772" t="n">
        <f aca="false">S29-IF($BL$4="mid",T29,U29)-$BM$9*(IF($BL$4="mid",N29,O29)+IF($BL$4="mid",DL29,L29))</f>
        <v>-9936.54016186204</v>
      </c>
      <c r="BC29" s="772" t="n">
        <f aca="false">V29-IF($BL$4="mid",W29,X29)-$BN$9*(IF($BL$4="mid",N29,O29)+IF($BL$4="mid",DL29,L29))</f>
        <v>1122.17731044986</v>
      </c>
      <c r="BD29" s="772" t="n">
        <f aca="false">Y29-IF($BL$4="mid",Z29,AA29)</f>
        <v>46140.2034190744</v>
      </c>
      <c r="BE29" s="772" t="n">
        <f aca="false">AB29-IF($BL$4="mid",AC29,AD29)</f>
        <v>14456.447627742</v>
      </c>
      <c r="BF29" s="772" t="n">
        <f aca="false">AE29-IF($BL$4="mid",AF29,AG29)</f>
        <v>-7627.24770695873</v>
      </c>
      <c r="BG29" s="772" t="n">
        <f aca="false">AH29-IF($BL$4="mid",AI29,AJ29)</f>
        <v>20331.309261514</v>
      </c>
      <c r="BH29" s="772" t="n">
        <f aca="false">-IF($BL$4="mid",AK29,AL29)</f>
        <v>-273369.779404107</v>
      </c>
      <c r="BI29" s="772" t="n">
        <f aca="false">-IF($BL$4="mid",AM29,AN29)</f>
        <v>-55221.25</v>
      </c>
      <c r="BL29" s="772" t="n">
        <f aca="false">BW29-IF($BL$4="mid",Q29,R29)-$BL$9*(IF($BL$4="mid",N29,O29)+IF($BL$4="mid",DL29,L29))</f>
        <v>531190.987820605</v>
      </c>
      <c r="BM29" s="772" t="n">
        <f aca="false">BX29-IF($BL$4="mid",T29,U29)-$BM$9*(IF($BL$4="mid",N29,O29)+IF($BL$4="mid",DL29,L29))</f>
        <v>-4896.18171519539</v>
      </c>
      <c r="BN29" s="772" t="n">
        <f aca="false">BY29-IF($BL$4="mid",W29,X29)-$BN$9*(IF($BL$4="mid",N29,O29)+IF($BL$4="mid",DL29,L29))</f>
        <v>3659.31601711653</v>
      </c>
      <c r="BO29" s="772" t="n">
        <f aca="false">BZ29-IF($BL$4="mid",Z29,AA29)</f>
        <v>64595.5131824077</v>
      </c>
      <c r="BP29" s="772" t="n">
        <f aca="false">CA29-IF($BL$4="mid",AC29,AD29)</f>
        <v>31436.7312789506</v>
      </c>
      <c r="BQ29" s="772" t="n">
        <f aca="false">CB29-IF($BL$4="mid",AF29,AG29)</f>
        <v>5256.01702341461</v>
      </c>
      <c r="BR29" s="772" t="n">
        <f aca="false">CC29-IF($BL$4="mid",AI29,AJ29)</f>
        <v>21179.2834281807</v>
      </c>
      <c r="BS29" s="772" t="n">
        <f aca="false">-IF($BL$4="mid",AK29,AL29)</f>
        <v>-273369.779404107</v>
      </c>
      <c r="BT29" s="772" t="n">
        <f aca="false">-IF($BL$4="mid",AM29,AN29)</f>
        <v>-55221.25</v>
      </c>
      <c r="BW29" s="769" t="n">
        <f aca="false">Breakout!$D$15/12</f>
        <v>3553290.73931273</v>
      </c>
      <c r="BX29" s="769" t="n">
        <f aca="false">Breakout!$D$26/12</f>
        <v>125889.660697106</v>
      </c>
      <c r="BY29" s="769" t="n">
        <f aca="false">Breakout!$D$37/12</f>
        <v>63368.4160171165</v>
      </c>
      <c r="BZ29" s="769" t="n">
        <f aca="false">Breakout!$D$48/12</f>
        <v>460945.924530924</v>
      </c>
      <c r="CA29" s="769" t="n">
        <f aca="false">Breakout!$D$59/12</f>
        <v>424105.184186839</v>
      </c>
      <c r="CB29" s="769" t="n">
        <f aca="false">Breakout!$D$70/12</f>
        <v>321776.683690081</v>
      </c>
      <c r="CC29" s="769" t="n">
        <f aca="false">Breakout!$D$81/12</f>
        <v>21179.2834281807</v>
      </c>
      <c r="CE29" s="852" t="n">
        <f aca="false">P29/0.96</f>
        <v>3553150.43481534</v>
      </c>
      <c r="CF29" s="852" t="n">
        <f aca="false">S29/0.96</f>
        <v>125884.689844207</v>
      </c>
      <c r="CG29" s="852" t="n">
        <f aca="false">V29/0.96</f>
        <v>63365.9138650519</v>
      </c>
      <c r="CI29" s="852" t="n">
        <f aca="false">N29</f>
        <v>-715341.083333333</v>
      </c>
      <c r="CJ29" s="852" t="n">
        <f aca="false">O29</f>
        <v>-705333.333333333</v>
      </c>
      <c r="CL29" s="772" t="n">
        <f aca="false">'account mgt'!$D$23/12</f>
        <v>-50235</v>
      </c>
      <c r="CN29" s="772" t="n">
        <v>0</v>
      </c>
      <c r="CT29" s="772" t="n">
        <f aca="false">CW28</f>
        <v>34016255.4991259</v>
      </c>
      <c r="CU29" s="772" t="n">
        <f aca="false">IF(CT29&lt;0.1,0,CT29*$L$3)</f>
        <v>268444.949647269</v>
      </c>
      <c r="CV29" s="772" t="n">
        <f aca="false">IF(CT29&lt;0.1,0,PPMT($L$3,A29-14,unwinds!$B$8*12,$K$5))</f>
        <v>499113.927855328</v>
      </c>
      <c r="CW29" s="772" t="n">
        <f aca="false">IF(CT29-CV29&lt;0,0,CT29-CV29)</f>
        <v>33517141.5712706</v>
      </c>
      <c r="CX29" s="772" t="n">
        <f aca="false">IF(CX28-CV29&lt;0,0,CX28-CV29)</f>
        <v>33517141.5712706</v>
      </c>
      <c r="DA29" s="772" t="n">
        <f aca="false">DD28</f>
        <v>34839198.2734372</v>
      </c>
      <c r="DB29" s="772" t="n">
        <f aca="false">DA29*$L$3</f>
        <v>274939.339707875</v>
      </c>
      <c r="DC29" s="772" t="n">
        <f aca="false">PPMT($L$3,A29-14,106,$K$5)</f>
        <v>220458.731963739</v>
      </c>
      <c r="DD29" s="772" t="n">
        <f aca="false">DA29-DC29</f>
        <v>34618739.5414735</v>
      </c>
      <c r="DE29" s="772" t="n">
        <f aca="false">DE28-DC29</f>
        <v>34618739.5414735</v>
      </c>
      <c r="DH29" s="417" t="n">
        <v>-715341.083333333</v>
      </c>
      <c r="DI29" s="417" t="n">
        <v>-705333.333333333</v>
      </c>
      <c r="DJ29" s="417"/>
      <c r="DL29" s="417" t="n">
        <f aca="false">PMT($J$3,106,$I$5,,1)</f>
        <v>474832.92700925</v>
      </c>
      <c r="DN29" s="417" t="n">
        <f aca="false">IF($BL$4="mid",DH29,DI29)</f>
        <v>-715341.083333333</v>
      </c>
      <c r="DO29" s="417" t="n">
        <f aca="false">IF($BL$4="mid",DL29,L29)</f>
        <v>474832.92700925</v>
      </c>
      <c r="DQ29" s="772" t="n">
        <f aca="false">BW29-IF($BL$4="mid",Q29,R29)</f>
        <v>302708.239312726</v>
      </c>
      <c r="DR29" s="772" t="n">
        <f aca="false">BX29-IF($BL$4="mid",T29,U29)</f>
        <v>-16921.5895313996</v>
      </c>
      <c r="DS29" s="772"/>
      <c r="DT29" s="772"/>
      <c r="DU29" s="772"/>
      <c r="DV29" s="772"/>
      <c r="DW29" s="772"/>
      <c r="DX29" s="772"/>
    </row>
    <row r="30" customFormat="false" ht="12.75" hidden="false" customHeight="false" outlineLevel="0" collapsed="false">
      <c r="A30" s="767" t="n">
        <v>19</v>
      </c>
      <c r="B30" s="854" t="n">
        <v>37073</v>
      </c>
      <c r="C30" s="417" t="n">
        <v>0</v>
      </c>
      <c r="D30" s="417" t="n">
        <v>0</v>
      </c>
      <c r="E30" s="417" t="n">
        <v>0</v>
      </c>
      <c r="F30" s="417" t="n">
        <v>271060.434287542</v>
      </c>
      <c r="G30" s="417" t="n">
        <v>220458.731963741</v>
      </c>
      <c r="H30" s="417" t="n">
        <v>0</v>
      </c>
      <c r="I30" s="417" t="n">
        <v>491519.166251284</v>
      </c>
      <c r="J30" s="417"/>
      <c r="K30" s="417"/>
      <c r="L30" s="417" t="n">
        <f aca="false">PMT($L$3,106,$K$5,,1)</f>
        <v>491519.166251281</v>
      </c>
      <c r="M30" s="417"/>
      <c r="N30" s="850" t="n">
        <f aca="false">IF(A30&lt;$B$8,0,-$R$5/12)</f>
        <v>-715341.083333333</v>
      </c>
      <c r="O30" s="850" t="n">
        <f aca="false">IF(A30&lt;$B$8,0,-$S$5/12)</f>
        <v>-705333.333333333</v>
      </c>
      <c r="P30" s="769" t="n">
        <f aca="false">Breakout!$D$16/12</f>
        <v>3411024.41742273</v>
      </c>
      <c r="Q30" s="770" t="n">
        <f aca="false">'wholesale services'!$D$110*'wholesale services'!$E$111/12</f>
        <v>3250582.5</v>
      </c>
      <c r="R30" s="770" t="n">
        <v>3320487.5</v>
      </c>
      <c r="S30" s="769" t="n">
        <f aca="false">Breakout!$D$27/12</f>
        <v>120849.302250439</v>
      </c>
      <c r="T30" s="770" t="n">
        <f aca="false">'wholesale services'!$D$113*'wholesale services'!$E$114/12</f>
        <v>142811.250228505</v>
      </c>
      <c r="U30" s="770" t="n">
        <v>145725.765539291</v>
      </c>
      <c r="V30" s="769" t="n">
        <f aca="false">Breakout!$D$38/12</f>
        <v>60831.2773104499</v>
      </c>
      <c r="W30" s="772" t="n">
        <f aca="false">Breakout!$D$39/12</f>
        <v>59709.1</v>
      </c>
      <c r="X30" s="772" t="n">
        <v>60351.1333333333</v>
      </c>
      <c r="Y30" s="769" t="n">
        <f aca="false">Breakout!$D$49/12</f>
        <v>442490.614767591</v>
      </c>
      <c r="Z30" s="770" t="n">
        <f aca="false">Breakout!$D$50/12</f>
        <v>396350.411348516</v>
      </c>
      <c r="AA30" s="770" t="n">
        <v>416338.562474333</v>
      </c>
      <c r="AB30" s="769" t="n">
        <f aca="false">Breakout!$D$60/12</f>
        <v>407124.900535631</v>
      </c>
      <c r="AC30" s="770" t="n">
        <f aca="false">Breakout!$D$61/12</f>
        <v>392668.452907889</v>
      </c>
      <c r="AD30" s="770" t="n">
        <v>404912.012686754</v>
      </c>
      <c r="AE30" s="769" t="n">
        <f aca="false">Breakout!$D$71/12</f>
        <v>308893.418959708</v>
      </c>
      <c r="AF30" s="770" t="n">
        <f aca="false">Breakout!$D$72/12</f>
        <v>316520.666666667</v>
      </c>
      <c r="AG30" s="770" t="n">
        <v>316520.666666667</v>
      </c>
      <c r="AH30" s="769" t="n">
        <f aca="false">Breakout!$D$82/12</f>
        <v>20331.309261514</v>
      </c>
      <c r="AI30" s="770" t="n">
        <f aca="false">Breakout!$D$83/12</f>
        <v>0</v>
      </c>
      <c r="AJ30" s="770" t="n">
        <v>0</v>
      </c>
      <c r="AK30" s="773" t="n">
        <f aca="false">Breakout!$D$91/12</f>
        <v>273369.779404107</v>
      </c>
      <c r="AL30" s="773" t="n">
        <v>273369.779404107</v>
      </c>
      <c r="AM30" s="773" t="n">
        <f aca="false">(Breakout!$D$107/12)*-1</f>
        <v>55221.25</v>
      </c>
      <c r="AN30" s="773" t="n">
        <v>55221.25</v>
      </c>
      <c r="AO30" s="774" t="n">
        <f aca="false">(P30+S30+V30)+Y30+AB30+AE30+AH30</f>
        <v>4771545.24050806</v>
      </c>
      <c r="AP30" s="774" t="n">
        <f aca="false">Q30+T30+W30+AA30+AD30+AG30+AJ30+AL30+AN30</f>
        <v>4919465.12146037</v>
      </c>
      <c r="AQ30" s="775" t="n">
        <f aca="false">P30+S30+V30+Y30+AB30+AE30+AH30-Q30-T30-W30-Z30-AC30-AF30-AI30-AK30-AM30-DH30-DL30-CN30</f>
        <v>124819.986276458</v>
      </c>
      <c r="AS30" s="776" t="n">
        <f aca="false">P30+S30+V30+Y30+AB30+AE30+AH30-R30-U30-X30-AA30-AD30-AG30-AJ30-AL30-AN30-O30-L30-CN30</f>
        <v>-7567.26251437474</v>
      </c>
      <c r="AU30" s="770" t="n">
        <f aca="false">'wholesale services'!$E$110/12</f>
        <v>40679698.7364969</v>
      </c>
      <c r="AV30" s="770" t="n">
        <f aca="false">'wholesale services'!$E$113/12</f>
        <v>18805.4909722222</v>
      </c>
      <c r="AX30" s="851" t="n">
        <f aca="false">IF(A30&lt;$AX$6,0,-$R$5/12)</f>
        <v>-715341.083333333</v>
      </c>
      <c r="AY30" s="417" t="n">
        <f aca="false">IF(A30&lt;$AX$6,0,-$S$5/12)</f>
        <v>-705333.333333333</v>
      </c>
      <c r="BA30" s="772" t="n">
        <f aca="false">P30-IF($BL$4="mid",Q30,R30)-$BL$9*(IF($BL$4="mid",N30,O30)+IF($BL$4="mid",DL30,L30))</f>
        <v>388924.665930605</v>
      </c>
      <c r="BB30" s="772" t="n">
        <f aca="false">S30-IF($BL$4="mid",T30,U30)-$BM$9*(IF($BL$4="mid",N30,O30)+IF($BL$4="mid",DL30,L30))</f>
        <v>-9936.54016186204</v>
      </c>
      <c r="BC30" s="772" t="n">
        <f aca="false">V30-IF($BL$4="mid",W30,X30)-$BN$9*(IF($BL$4="mid",N30,O30)+IF($BL$4="mid",DL30,L30))</f>
        <v>1122.17731044986</v>
      </c>
      <c r="BD30" s="772" t="n">
        <f aca="false">Y30-IF($BL$4="mid",Z30,AA30)</f>
        <v>46140.2034190744</v>
      </c>
      <c r="BE30" s="772" t="n">
        <f aca="false">AB30-IF($BL$4="mid",AC30,AD30)</f>
        <v>14456.447627742</v>
      </c>
      <c r="BF30" s="772" t="n">
        <f aca="false">AE30-IF($BL$4="mid",AF30,AG30)</f>
        <v>-7627.24770695873</v>
      </c>
      <c r="BG30" s="772" t="n">
        <f aca="false">AH30-IF($BL$4="mid",AI30,AJ30)</f>
        <v>20331.309261514</v>
      </c>
      <c r="BH30" s="772" t="n">
        <f aca="false">-IF($BL$4="mid",AK30,AL30)</f>
        <v>-273369.779404107</v>
      </c>
      <c r="BI30" s="772" t="n">
        <f aca="false">-IF($BL$4="mid",AM30,AN30)</f>
        <v>-55221.25</v>
      </c>
      <c r="BL30" s="772" t="n">
        <f aca="false">BW30-IF($BL$4="mid",Q30,R30)-$BL$9*(IF($BL$4="mid",N30,O30)+IF($BL$4="mid",DL30,L30))</f>
        <v>531190.987820605</v>
      </c>
      <c r="BM30" s="772" t="n">
        <f aca="false">BX30-IF($BL$4="mid",T30,U30)-$BM$9*(IF($BL$4="mid",N30,O30)+IF($BL$4="mid",DL30,L30))</f>
        <v>-4896.18171519539</v>
      </c>
      <c r="BN30" s="772" t="n">
        <f aca="false">BY30-IF($BL$4="mid",W30,X30)-$BN$9*(IF($BL$4="mid",N30,O30)+IF($BL$4="mid",DL30,L30))</f>
        <v>3659.31601711653</v>
      </c>
      <c r="BO30" s="772" t="n">
        <f aca="false">BZ30-IF($BL$4="mid",Z30,AA30)</f>
        <v>64595.5131824077</v>
      </c>
      <c r="BP30" s="772" t="n">
        <f aca="false">CA30-IF($BL$4="mid",AC30,AD30)</f>
        <v>31436.7312789506</v>
      </c>
      <c r="BQ30" s="772" t="n">
        <f aca="false">CB30-IF($BL$4="mid",AF30,AG30)</f>
        <v>5256.01702341461</v>
      </c>
      <c r="BR30" s="772" t="n">
        <f aca="false">CC30-IF($BL$4="mid",AI30,AJ30)</f>
        <v>21179.2834281807</v>
      </c>
      <c r="BS30" s="772" t="n">
        <f aca="false">-IF($BL$4="mid",AK30,AL30)</f>
        <v>-273369.779404107</v>
      </c>
      <c r="BT30" s="772" t="n">
        <f aca="false">-IF($BL$4="mid",AM30,AN30)</f>
        <v>-55221.25</v>
      </c>
      <c r="BW30" s="769" t="n">
        <f aca="false">Breakout!$D$15/12</f>
        <v>3553290.73931273</v>
      </c>
      <c r="BX30" s="769" t="n">
        <f aca="false">Breakout!$D$26/12</f>
        <v>125889.660697106</v>
      </c>
      <c r="BY30" s="769" t="n">
        <f aca="false">Breakout!$D$37/12</f>
        <v>63368.4160171165</v>
      </c>
      <c r="BZ30" s="769" t="n">
        <f aca="false">Breakout!$D$48/12</f>
        <v>460945.924530924</v>
      </c>
      <c r="CA30" s="769" t="n">
        <f aca="false">Breakout!$D$59/12</f>
        <v>424105.184186839</v>
      </c>
      <c r="CB30" s="769" t="n">
        <f aca="false">Breakout!$D$70/12</f>
        <v>321776.683690081</v>
      </c>
      <c r="CC30" s="769" t="n">
        <f aca="false">Breakout!$D$81/12</f>
        <v>21179.2834281807</v>
      </c>
      <c r="CE30" s="852" t="n">
        <f aca="false">P30/0.96</f>
        <v>3553150.43481534</v>
      </c>
      <c r="CF30" s="852" t="n">
        <f aca="false">S30/0.96</f>
        <v>125884.689844207</v>
      </c>
      <c r="CG30" s="852" t="n">
        <f aca="false">V30/0.96</f>
        <v>63365.9138650519</v>
      </c>
      <c r="CI30" s="852" t="n">
        <f aca="false">N30</f>
        <v>-715341.083333333</v>
      </c>
      <c r="CJ30" s="852" t="n">
        <f aca="false">O30</f>
        <v>-705333.333333333</v>
      </c>
      <c r="CL30" s="772" t="n">
        <f aca="false">'account mgt'!$D$23/12</f>
        <v>-50235</v>
      </c>
      <c r="CN30" s="772" t="n">
        <v>0</v>
      </c>
      <c r="CT30" s="772" t="n">
        <f aca="false">CW29</f>
        <v>33517141.5712706</v>
      </c>
      <c r="CU30" s="772" t="n">
        <f aca="false">IF(CT30&lt;0.1,0,CT30*$L$3)</f>
        <v>264506.108899944</v>
      </c>
      <c r="CV30" s="772" t="n">
        <f aca="false">IF(CT30&lt;0.1,0,PPMT($L$3,A30-14,unwinds!$B$8*12,$K$5))</f>
        <v>503052.768602653</v>
      </c>
      <c r="CW30" s="772" t="n">
        <f aca="false">IF(CT30-CV30&lt;0,0,CT30-CV30)</f>
        <v>33014088.8026679</v>
      </c>
      <c r="CX30" s="772" t="n">
        <f aca="false">IF(CX29-CV30&lt;0,0,CX29-CV30)</f>
        <v>33014088.8026679</v>
      </c>
      <c r="DA30" s="772" t="n">
        <f aca="false">DD29</f>
        <v>34618739.5414735</v>
      </c>
      <c r="DB30" s="772" t="n">
        <f aca="false">DA30*$L$3</f>
        <v>273199.552881461</v>
      </c>
      <c r="DC30" s="772" t="n">
        <f aca="false">PPMT($L$3,A30-14,106,$K$5)</f>
        <v>222198.518790153</v>
      </c>
      <c r="DD30" s="772" t="n">
        <f aca="false">DA30-DC30</f>
        <v>34396541.0226833</v>
      </c>
      <c r="DE30" s="772" t="n">
        <f aca="false">DE29-DC30</f>
        <v>34396541.0226833</v>
      </c>
      <c r="DH30" s="417" t="n">
        <v>-715341.083333333</v>
      </c>
      <c r="DI30" s="417" t="n">
        <v>-705333.333333333</v>
      </c>
      <c r="DJ30" s="417"/>
      <c r="DL30" s="417" t="n">
        <f aca="false">PMT($J$3,106,$I$5,,1)</f>
        <v>474832.92700925</v>
      </c>
      <c r="DN30" s="417" t="n">
        <f aca="false">IF($BL$4="mid",DH30,DI30)</f>
        <v>-715341.083333333</v>
      </c>
      <c r="DO30" s="417" t="n">
        <f aca="false">IF($BL$4="mid",DL30,L30)</f>
        <v>474832.92700925</v>
      </c>
      <c r="DQ30" s="772" t="n">
        <f aca="false">BW30-IF($BL$4="mid",Q30,R30)</f>
        <v>302708.239312726</v>
      </c>
      <c r="DR30" s="772" t="n">
        <f aca="false">BX30-IF($BL$4="mid",T30,U30)</f>
        <v>-16921.5895313996</v>
      </c>
      <c r="DS30" s="772"/>
      <c r="DT30" s="772"/>
      <c r="DU30" s="772"/>
      <c r="DV30" s="772"/>
      <c r="DW30" s="772"/>
      <c r="DX30" s="772"/>
    </row>
    <row r="31" customFormat="false" ht="12.75" hidden="false" customHeight="false" outlineLevel="0" collapsed="false">
      <c r="A31" s="767" t="n">
        <v>20</v>
      </c>
      <c r="B31" s="854" t="n">
        <v>37104</v>
      </c>
      <c r="C31" s="417" t="n">
        <v>0</v>
      </c>
      <c r="D31" s="417" t="n">
        <v>0</v>
      </c>
      <c r="E31" s="417" t="n">
        <v>0</v>
      </c>
      <c r="F31" s="417" t="n">
        <v>269320.647461128</v>
      </c>
      <c r="G31" s="417" t="n">
        <v>222198.518790155</v>
      </c>
      <c r="H31" s="417" t="n">
        <v>0</v>
      </c>
      <c r="I31" s="417" t="n">
        <v>491519.166251284</v>
      </c>
      <c r="J31" s="417"/>
      <c r="K31" s="417"/>
      <c r="L31" s="417" t="n">
        <f aca="false">PMT($L$3,106,$K$5,,1)</f>
        <v>491519.166251281</v>
      </c>
      <c r="M31" s="417"/>
      <c r="N31" s="850" t="n">
        <f aca="false">IF(A31&lt;$B$8,0,-$R$5/12)</f>
        <v>-715341.083333333</v>
      </c>
      <c r="O31" s="850" t="n">
        <f aca="false">IF(A31&lt;$B$8,0,-$S$5/12)</f>
        <v>-705333.333333333</v>
      </c>
      <c r="P31" s="769" t="n">
        <f aca="false">Breakout!$D$16/12</f>
        <v>3411024.41742273</v>
      </c>
      <c r="Q31" s="770" t="n">
        <f aca="false">'wholesale services'!$D$110*'wholesale services'!$E$111/12</f>
        <v>3250582.5</v>
      </c>
      <c r="R31" s="770" t="n">
        <v>3320487.5</v>
      </c>
      <c r="S31" s="769" t="n">
        <f aca="false">Breakout!$D$27/12</f>
        <v>120849.302250439</v>
      </c>
      <c r="T31" s="770" t="n">
        <f aca="false">'wholesale services'!$D$113*'wholesale services'!$E$114/12</f>
        <v>142811.250228505</v>
      </c>
      <c r="U31" s="770" t="n">
        <v>145725.765539291</v>
      </c>
      <c r="V31" s="769" t="n">
        <f aca="false">Breakout!$D$38/12</f>
        <v>60831.2773104499</v>
      </c>
      <c r="W31" s="772" t="n">
        <f aca="false">Breakout!$D$39/12</f>
        <v>59709.1</v>
      </c>
      <c r="X31" s="772" t="n">
        <v>60351.1333333333</v>
      </c>
      <c r="Y31" s="769" t="n">
        <f aca="false">Breakout!$D$49/12</f>
        <v>442490.614767591</v>
      </c>
      <c r="Z31" s="770" t="n">
        <f aca="false">Breakout!$D$50/12</f>
        <v>396350.411348516</v>
      </c>
      <c r="AA31" s="770" t="n">
        <v>416338.562474333</v>
      </c>
      <c r="AB31" s="769" t="n">
        <f aca="false">Breakout!$D$60/12</f>
        <v>407124.900535631</v>
      </c>
      <c r="AC31" s="770" t="n">
        <f aca="false">Breakout!$D$61/12</f>
        <v>392668.452907889</v>
      </c>
      <c r="AD31" s="770" t="n">
        <v>404912.012686754</v>
      </c>
      <c r="AE31" s="769" t="n">
        <f aca="false">Breakout!$D$71/12</f>
        <v>308893.418959708</v>
      </c>
      <c r="AF31" s="770" t="n">
        <f aca="false">Breakout!$D$72/12</f>
        <v>316520.666666667</v>
      </c>
      <c r="AG31" s="770" t="n">
        <v>316520.666666667</v>
      </c>
      <c r="AH31" s="769" t="n">
        <f aca="false">Breakout!$D$82/12</f>
        <v>20331.309261514</v>
      </c>
      <c r="AI31" s="770" t="n">
        <f aca="false">Breakout!$D$83/12</f>
        <v>0</v>
      </c>
      <c r="AJ31" s="770" t="n">
        <v>0</v>
      </c>
      <c r="AK31" s="773" t="n">
        <f aca="false">Breakout!$D$91/12</f>
        <v>273369.779404107</v>
      </c>
      <c r="AL31" s="773" t="n">
        <v>273369.779404107</v>
      </c>
      <c r="AM31" s="773" t="n">
        <f aca="false">(Breakout!$D$107/12)*-1</f>
        <v>55221.25</v>
      </c>
      <c r="AN31" s="773" t="n">
        <v>55221.25</v>
      </c>
      <c r="AO31" s="774" t="n">
        <f aca="false">(P31+S31+V31)+Y31+AB31+AE31+AH31</f>
        <v>4771545.24050806</v>
      </c>
      <c r="AP31" s="774" t="n">
        <f aca="false">Q31+T31+W31+AA31+AD31+AG31+AJ31+AL31+AN31</f>
        <v>4919465.12146037</v>
      </c>
      <c r="AQ31" s="775" t="n">
        <f aca="false">P31+S31+V31+Y31+AB31+AE31+AH31-Q31-T31-W31-Z31-AC31-AF31-AI31-AK31-AM31-DH31-DL31-CN31</f>
        <v>124819.986276458</v>
      </c>
      <c r="AS31" s="776" t="n">
        <f aca="false">P31+S31+V31+Y31+AB31+AE31+AH31-R31-U31-X31-AA31-AD31-AG31-AJ31-AL31-AN31-O31-L31-CN31</f>
        <v>-7567.26251437474</v>
      </c>
      <c r="AU31" s="770" t="n">
        <f aca="false">'wholesale services'!$E$110/12</f>
        <v>40679698.7364969</v>
      </c>
      <c r="AV31" s="770" t="n">
        <f aca="false">'wholesale services'!$E$113/12</f>
        <v>18805.4909722222</v>
      </c>
      <c r="AX31" s="851" t="n">
        <f aca="false">IF(A31&lt;$AX$6,0,-$R$5/12)</f>
        <v>-715341.083333333</v>
      </c>
      <c r="AY31" s="417" t="n">
        <f aca="false">IF(A31&lt;$AX$6,0,-$S$5/12)</f>
        <v>-705333.333333333</v>
      </c>
      <c r="BA31" s="772" t="n">
        <f aca="false">P31-IF($BL$4="mid",Q31,R31)-$BL$9*(IF($BL$4="mid",N31,O31)+IF($BL$4="mid",DL31,L31))</f>
        <v>388924.665930605</v>
      </c>
      <c r="BB31" s="772" t="n">
        <f aca="false">S31-IF($BL$4="mid",T31,U31)-$BM$9*(IF($BL$4="mid",N31,O31)+IF($BL$4="mid",DL31,L31))</f>
        <v>-9936.54016186204</v>
      </c>
      <c r="BC31" s="772" t="n">
        <f aca="false">V31-IF($BL$4="mid",W31,X31)-$BN$9*(IF($BL$4="mid",N31,O31)+IF($BL$4="mid",DL31,L31))</f>
        <v>1122.17731044986</v>
      </c>
      <c r="BD31" s="772" t="n">
        <f aca="false">Y31-IF($BL$4="mid",Z31,AA31)</f>
        <v>46140.2034190744</v>
      </c>
      <c r="BE31" s="772" t="n">
        <f aca="false">AB31-IF($BL$4="mid",AC31,AD31)</f>
        <v>14456.447627742</v>
      </c>
      <c r="BF31" s="772" t="n">
        <f aca="false">AE31-IF($BL$4="mid",AF31,AG31)</f>
        <v>-7627.24770695873</v>
      </c>
      <c r="BG31" s="772" t="n">
        <f aca="false">AH31-IF($BL$4="mid",AI31,AJ31)</f>
        <v>20331.309261514</v>
      </c>
      <c r="BH31" s="772" t="n">
        <f aca="false">-IF($BL$4="mid",AK31,AL31)</f>
        <v>-273369.779404107</v>
      </c>
      <c r="BI31" s="772" t="n">
        <f aca="false">-IF($BL$4="mid",AM31,AN31)</f>
        <v>-55221.25</v>
      </c>
      <c r="BL31" s="772" t="n">
        <f aca="false">BW31-IF($BL$4="mid",Q31,R31)-$BL$9*(IF($BL$4="mid",N31,O31)+IF($BL$4="mid",DL31,L31))</f>
        <v>531190.987820605</v>
      </c>
      <c r="BM31" s="772" t="n">
        <f aca="false">BX31-IF($BL$4="mid",T31,U31)-$BM$9*(IF($BL$4="mid",N31,O31)+IF($BL$4="mid",DL31,L31))</f>
        <v>-4896.18171519539</v>
      </c>
      <c r="BN31" s="772" t="n">
        <f aca="false">BY31-IF($BL$4="mid",W31,X31)-$BN$9*(IF($BL$4="mid",N31,O31)+IF($BL$4="mid",DL31,L31))</f>
        <v>3659.31601711653</v>
      </c>
      <c r="BO31" s="772" t="n">
        <f aca="false">BZ31-IF($BL$4="mid",Z31,AA31)</f>
        <v>64595.5131824077</v>
      </c>
      <c r="BP31" s="772" t="n">
        <f aca="false">CA31-IF($BL$4="mid",AC31,AD31)</f>
        <v>31436.7312789506</v>
      </c>
      <c r="BQ31" s="772" t="n">
        <f aca="false">CB31-IF($BL$4="mid",AF31,AG31)</f>
        <v>5256.01702341461</v>
      </c>
      <c r="BR31" s="772" t="n">
        <f aca="false">CC31-IF($BL$4="mid",AI31,AJ31)</f>
        <v>21179.2834281807</v>
      </c>
      <c r="BS31" s="772" t="n">
        <f aca="false">-IF($BL$4="mid",AK31,AL31)</f>
        <v>-273369.779404107</v>
      </c>
      <c r="BT31" s="772" t="n">
        <f aca="false">-IF($BL$4="mid",AM31,AN31)</f>
        <v>-55221.25</v>
      </c>
      <c r="BW31" s="769" t="n">
        <f aca="false">Breakout!$D$15/12</f>
        <v>3553290.73931273</v>
      </c>
      <c r="BX31" s="769" t="n">
        <f aca="false">Breakout!$D$26/12</f>
        <v>125889.660697106</v>
      </c>
      <c r="BY31" s="769" t="n">
        <f aca="false">Breakout!$D$37/12</f>
        <v>63368.4160171165</v>
      </c>
      <c r="BZ31" s="769" t="n">
        <f aca="false">Breakout!$D$48/12</f>
        <v>460945.924530924</v>
      </c>
      <c r="CA31" s="769" t="n">
        <f aca="false">Breakout!$D$59/12</f>
        <v>424105.184186839</v>
      </c>
      <c r="CB31" s="769" t="n">
        <f aca="false">Breakout!$D$70/12</f>
        <v>321776.683690081</v>
      </c>
      <c r="CC31" s="769" t="n">
        <f aca="false">Breakout!$D$81/12</f>
        <v>21179.2834281807</v>
      </c>
      <c r="CE31" s="852" t="n">
        <f aca="false">P31/0.96</f>
        <v>3553150.43481534</v>
      </c>
      <c r="CF31" s="852" t="n">
        <f aca="false">S31/0.96</f>
        <v>125884.689844207</v>
      </c>
      <c r="CG31" s="852" t="n">
        <f aca="false">V31/0.96</f>
        <v>63365.9138650519</v>
      </c>
      <c r="CI31" s="852" t="n">
        <f aca="false">N31</f>
        <v>-715341.083333333</v>
      </c>
      <c r="CJ31" s="852" t="n">
        <f aca="false">O31</f>
        <v>-705333.333333333</v>
      </c>
      <c r="CL31" s="772" t="n">
        <f aca="false">'account mgt'!$D$23/12</f>
        <v>-50235</v>
      </c>
      <c r="CN31" s="772" t="n">
        <v>0</v>
      </c>
      <c r="CT31" s="772" t="n">
        <f aca="false">CW30</f>
        <v>33014088.8026679</v>
      </c>
      <c r="CU31" s="772" t="n">
        <f aca="false">IF(CT31&lt;0.1,0,CT31*$L$3)</f>
        <v>260536.184134388</v>
      </c>
      <c r="CV31" s="772" t="n">
        <f aca="false">IF(CT31&lt;0.1,0,PPMT($L$3,A31-14,unwinds!$B$8*12,$K$5))</f>
        <v>507022.693368209</v>
      </c>
      <c r="CW31" s="772" t="n">
        <f aca="false">IF(CT31-CV31&lt;0,0,CT31-CV31)</f>
        <v>32507066.1092997</v>
      </c>
      <c r="CX31" s="772" t="n">
        <f aca="false">IF(CX30-CV31&lt;0,0,CX30-CV31)</f>
        <v>32507066.1092997</v>
      </c>
      <c r="DA31" s="772" t="n">
        <f aca="false">DD30</f>
        <v>34396541.0226833</v>
      </c>
      <c r="DB31" s="772" t="n">
        <f aca="false">DA31*$L$3</f>
        <v>271446.036237342</v>
      </c>
      <c r="DC31" s="772" t="n">
        <f aca="false">PPMT($L$3,A31-14,106,$K$5)</f>
        <v>223952.035434272</v>
      </c>
      <c r="DD31" s="772" t="n">
        <f aca="false">DA31-DC31</f>
        <v>34172588.987249</v>
      </c>
      <c r="DE31" s="772" t="n">
        <f aca="false">DE30-DC31</f>
        <v>34172588.987249</v>
      </c>
      <c r="DH31" s="417" t="n">
        <v>-715341.083333333</v>
      </c>
      <c r="DI31" s="417" t="n">
        <v>-705333.333333333</v>
      </c>
      <c r="DJ31" s="417"/>
      <c r="DL31" s="417" t="n">
        <f aca="false">PMT($J$3,106,$I$5,,1)</f>
        <v>474832.92700925</v>
      </c>
      <c r="DN31" s="417" t="n">
        <f aca="false">IF($BL$4="mid",DH31,DI31)</f>
        <v>-715341.083333333</v>
      </c>
      <c r="DO31" s="417" t="n">
        <f aca="false">IF($BL$4="mid",DL31,L31)</f>
        <v>474832.92700925</v>
      </c>
      <c r="DQ31" s="772" t="n">
        <f aca="false">BW31-IF($BL$4="mid",Q31,R31)</f>
        <v>302708.239312726</v>
      </c>
      <c r="DR31" s="772" t="n">
        <f aca="false">BX31-IF($BL$4="mid",T31,U31)</f>
        <v>-16921.5895313996</v>
      </c>
      <c r="DS31" s="772"/>
      <c r="DT31" s="772"/>
      <c r="DU31" s="772"/>
      <c r="DV31" s="772"/>
      <c r="DW31" s="772"/>
      <c r="DX31" s="772"/>
    </row>
    <row r="32" customFormat="false" ht="12.75" hidden="false" customHeight="false" outlineLevel="0" collapsed="false">
      <c r="A32" s="767" t="n">
        <v>21</v>
      </c>
      <c r="B32" s="854" t="n">
        <v>37135</v>
      </c>
      <c r="C32" s="417" t="n">
        <v>0</v>
      </c>
      <c r="D32" s="417" t="n">
        <v>0</v>
      </c>
      <c r="E32" s="417" t="n">
        <v>0</v>
      </c>
      <c r="F32" s="417" t="n">
        <v>267567.130817009</v>
      </c>
      <c r="G32" s="417" t="n">
        <v>223952.035434274</v>
      </c>
      <c r="H32" s="417" t="n">
        <v>0</v>
      </c>
      <c r="I32" s="417" t="n">
        <v>491519.166251284</v>
      </c>
      <c r="J32" s="417"/>
      <c r="K32" s="417"/>
      <c r="L32" s="417" t="n">
        <f aca="false">PMT($L$3,106,$K$5,,1)</f>
        <v>491519.166251281</v>
      </c>
      <c r="M32" s="417"/>
      <c r="N32" s="850" t="n">
        <f aca="false">IF(A32&lt;$B$8,0,-$R$5/12)</f>
        <v>-715341.083333333</v>
      </c>
      <c r="O32" s="850" t="n">
        <f aca="false">IF(A32&lt;$B$8,0,-$S$5/12)</f>
        <v>-705333.333333333</v>
      </c>
      <c r="P32" s="769" t="n">
        <f aca="false">Breakout!$D$16/12</f>
        <v>3411024.41742273</v>
      </c>
      <c r="Q32" s="770" t="n">
        <f aca="false">'wholesale services'!$D$110*'wholesale services'!$E$111/12</f>
        <v>3250582.5</v>
      </c>
      <c r="R32" s="770" t="n">
        <v>3320487.5</v>
      </c>
      <c r="S32" s="769" t="n">
        <f aca="false">Breakout!$D$27/12</f>
        <v>120849.302250439</v>
      </c>
      <c r="T32" s="770" t="n">
        <f aca="false">'wholesale services'!$D$113*'wholesale services'!$E$114/12</f>
        <v>142811.250228505</v>
      </c>
      <c r="U32" s="770" t="n">
        <v>145725.765539291</v>
      </c>
      <c r="V32" s="769" t="n">
        <f aca="false">Breakout!$D$38/12</f>
        <v>60831.2773104499</v>
      </c>
      <c r="W32" s="772" t="n">
        <f aca="false">Breakout!$D$39/12</f>
        <v>59709.1</v>
      </c>
      <c r="X32" s="772" t="n">
        <v>60351.1333333333</v>
      </c>
      <c r="Y32" s="769" t="n">
        <f aca="false">Breakout!$D$49/12</f>
        <v>442490.614767591</v>
      </c>
      <c r="Z32" s="770" t="n">
        <f aca="false">Breakout!$D$50/12</f>
        <v>396350.411348516</v>
      </c>
      <c r="AA32" s="770" t="n">
        <v>416338.562474333</v>
      </c>
      <c r="AB32" s="769" t="n">
        <f aca="false">Breakout!$D$60/12</f>
        <v>407124.900535631</v>
      </c>
      <c r="AC32" s="770" t="n">
        <f aca="false">Breakout!$D$61/12</f>
        <v>392668.452907889</v>
      </c>
      <c r="AD32" s="770" t="n">
        <v>404912.012686754</v>
      </c>
      <c r="AE32" s="769" t="n">
        <f aca="false">Breakout!$D$71/12</f>
        <v>308893.418959708</v>
      </c>
      <c r="AF32" s="770" t="n">
        <f aca="false">Breakout!$D$72/12</f>
        <v>316520.666666667</v>
      </c>
      <c r="AG32" s="770" t="n">
        <v>316520.666666667</v>
      </c>
      <c r="AH32" s="769" t="n">
        <f aca="false">Breakout!$D$82/12</f>
        <v>20331.309261514</v>
      </c>
      <c r="AI32" s="770" t="n">
        <f aca="false">Breakout!$D$83/12</f>
        <v>0</v>
      </c>
      <c r="AJ32" s="770" t="n">
        <v>0</v>
      </c>
      <c r="AK32" s="773" t="n">
        <f aca="false">Breakout!$D$91/12</f>
        <v>273369.779404107</v>
      </c>
      <c r="AL32" s="773" t="n">
        <v>273369.779404107</v>
      </c>
      <c r="AM32" s="773" t="n">
        <f aca="false">(Breakout!$D$107/12)*-1</f>
        <v>55221.25</v>
      </c>
      <c r="AN32" s="773" t="n">
        <v>55221.25</v>
      </c>
      <c r="AO32" s="774" t="n">
        <f aca="false">(P32+S32+V32)+Y32+AB32+AE32+AH32</f>
        <v>4771545.24050806</v>
      </c>
      <c r="AP32" s="774" t="n">
        <f aca="false">Q32+T32+W32+AA32+AD32+AG32+AJ32+AL32+AN32</f>
        <v>4919465.12146037</v>
      </c>
      <c r="AQ32" s="775" t="n">
        <f aca="false">P32+S32+V32+Y32+AB32+AE32+AH32-Q32-T32-W32-Z32-AC32-AF32-AI32-AK32-AM32-DH32-DL32-CN32</f>
        <v>124819.986276458</v>
      </c>
      <c r="AS32" s="776" t="n">
        <f aca="false">P32+S32+V32+Y32+AB32+AE32+AH32-R32-U32-X32-AA32-AD32-AG32-AJ32-AL32-AN32-O32-L32-CN32</f>
        <v>-7567.26251437474</v>
      </c>
      <c r="AU32" s="770" t="n">
        <f aca="false">'wholesale services'!$E$110/12</f>
        <v>40679698.7364969</v>
      </c>
      <c r="AV32" s="770" t="n">
        <f aca="false">'wholesale services'!$E$113/12</f>
        <v>18805.4909722222</v>
      </c>
      <c r="AX32" s="851" t="n">
        <f aca="false">IF(A32&lt;$AX$6,0,-$R$5/12)</f>
        <v>-715341.083333333</v>
      </c>
      <c r="AY32" s="417" t="n">
        <f aca="false">IF(A32&lt;$AX$6,0,-$S$5/12)</f>
        <v>-705333.333333333</v>
      </c>
      <c r="BA32" s="772" t="n">
        <f aca="false">P32-IF($BL$4="mid",Q32,R32)-$BL$9*(IF($BL$4="mid",N32,O32)+IF($BL$4="mid",DL32,L32))</f>
        <v>388924.665930605</v>
      </c>
      <c r="BB32" s="772" t="n">
        <f aca="false">S32-IF($BL$4="mid",T32,U32)-$BM$9*(IF($BL$4="mid",N32,O32)+IF($BL$4="mid",DL32,L32))</f>
        <v>-9936.54016186204</v>
      </c>
      <c r="BC32" s="772" t="n">
        <f aca="false">V32-IF($BL$4="mid",W32,X32)-$BN$9*(IF($BL$4="mid",N32,O32)+IF($BL$4="mid",DL32,L32))</f>
        <v>1122.17731044986</v>
      </c>
      <c r="BD32" s="772" t="n">
        <f aca="false">Y32-IF($BL$4="mid",Z32,AA32)</f>
        <v>46140.2034190744</v>
      </c>
      <c r="BE32" s="772" t="n">
        <f aca="false">AB32-IF($BL$4="mid",AC32,AD32)</f>
        <v>14456.447627742</v>
      </c>
      <c r="BF32" s="772" t="n">
        <f aca="false">AE32-IF($BL$4="mid",AF32,AG32)</f>
        <v>-7627.24770695873</v>
      </c>
      <c r="BG32" s="772" t="n">
        <f aca="false">AH32-IF($BL$4="mid",AI32,AJ32)</f>
        <v>20331.309261514</v>
      </c>
      <c r="BH32" s="772" t="n">
        <f aca="false">-IF($BL$4="mid",AK32,AL32)</f>
        <v>-273369.779404107</v>
      </c>
      <c r="BI32" s="772" t="n">
        <f aca="false">-IF($BL$4="mid",AM32,AN32)</f>
        <v>-55221.25</v>
      </c>
      <c r="BL32" s="772" t="n">
        <f aca="false">BW32-IF($BL$4="mid",Q32,R32)-$BL$9*(IF($BL$4="mid",N32,O32)+IF($BL$4="mid",DL32,L32))</f>
        <v>531190.987820605</v>
      </c>
      <c r="BM32" s="772" t="n">
        <f aca="false">BX32-IF($BL$4="mid",T32,U32)-$BM$9*(IF($BL$4="mid",N32,O32)+IF($BL$4="mid",DL32,L32))</f>
        <v>-4896.18171519539</v>
      </c>
      <c r="BN32" s="772" t="n">
        <f aca="false">BY32-IF($BL$4="mid",W32,X32)-$BN$9*(IF($BL$4="mid",N32,O32)+IF($BL$4="mid",DL32,L32))</f>
        <v>3659.31601711653</v>
      </c>
      <c r="BO32" s="772" t="n">
        <f aca="false">BZ32-IF($BL$4="mid",Z32,AA32)</f>
        <v>64595.5131824077</v>
      </c>
      <c r="BP32" s="772" t="n">
        <f aca="false">CA32-IF($BL$4="mid",AC32,AD32)</f>
        <v>31436.7312789506</v>
      </c>
      <c r="BQ32" s="772" t="n">
        <f aca="false">CB32-IF($BL$4="mid",AF32,AG32)</f>
        <v>5256.01702341461</v>
      </c>
      <c r="BR32" s="772" t="n">
        <f aca="false">CC32-IF($BL$4="mid",AI32,AJ32)</f>
        <v>21179.2834281807</v>
      </c>
      <c r="BS32" s="772" t="n">
        <f aca="false">-IF($BL$4="mid",AK32,AL32)</f>
        <v>-273369.779404107</v>
      </c>
      <c r="BT32" s="772" t="n">
        <f aca="false">-IF($BL$4="mid",AM32,AN32)</f>
        <v>-55221.25</v>
      </c>
      <c r="BW32" s="769" t="n">
        <f aca="false">Breakout!$D$15/12</f>
        <v>3553290.73931273</v>
      </c>
      <c r="BX32" s="769" t="n">
        <f aca="false">Breakout!$D$26/12</f>
        <v>125889.660697106</v>
      </c>
      <c r="BY32" s="769" t="n">
        <f aca="false">Breakout!$D$37/12</f>
        <v>63368.4160171165</v>
      </c>
      <c r="BZ32" s="769" t="n">
        <f aca="false">Breakout!$D$48/12</f>
        <v>460945.924530924</v>
      </c>
      <c r="CA32" s="769" t="n">
        <f aca="false">Breakout!$D$59/12</f>
        <v>424105.184186839</v>
      </c>
      <c r="CB32" s="769" t="n">
        <f aca="false">Breakout!$D$70/12</f>
        <v>321776.683690081</v>
      </c>
      <c r="CC32" s="769" t="n">
        <f aca="false">Breakout!$D$81/12</f>
        <v>21179.2834281807</v>
      </c>
      <c r="CE32" s="852" t="n">
        <f aca="false">P32/0.96</f>
        <v>3553150.43481534</v>
      </c>
      <c r="CF32" s="852" t="n">
        <f aca="false">S32/0.96</f>
        <v>125884.689844207</v>
      </c>
      <c r="CG32" s="852" t="n">
        <f aca="false">V32/0.96</f>
        <v>63365.9138650519</v>
      </c>
      <c r="CI32" s="852" t="n">
        <f aca="false">N32</f>
        <v>-715341.083333333</v>
      </c>
      <c r="CJ32" s="852" t="n">
        <f aca="false">O32</f>
        <v>-705333.333333333</v>
      </c>
      <c r="CL32" s="772" t="n">
        <f aca="false">'account mgt'!$D$23/12</f>
        <v>-50235</v>
      </c>
      <c r="CN32" s="772" t="n">
        <v>0</v>
      </c>
      <c r="CT32" s="772" t="n">
        <f aca="false">CW31</f>
        <v>32507066.1092997</v>
      </c>
      <c r="CU32" s="772" t="n">
        <f aca="false">IF(CT32&lt;0.1,0,CT32*$L$3)</f>
        <v>256534.93004589</v>
      </c>
      <c r="CV32" s="772" t="n">
        <f aca="false">IF(CT32&lt;0.1,0,PPMT($L$3,A32-14,unwinds!$B$8*12,$K$5))</f>
        <v>511023.947456706</v>
      </c>
      <c r="CW32" s="772" t="n">
        <f aca="false">IF(CT32-CV32&lt;0,0,CT32-CV32)</f>
        <v>31996042.161843</v>
      </c>
      <c r="CX32" s="772" t="n">
        <f aca="false">IF(CX31-CV32&lt;0,0,CX31-CV32)</f>
        <v>31996042.161843</v>
      </c>
      <c r="DA32" s="772" t="n">
        <f aca="false">DD31</f>
        <v>34172588.987249</v>
      </c>
      <c r="DB32" s="772" t="n">
        <f aca="false">DA32*$L$3</f>
        <v>269678.681424374</v>
      </c>
      <c r="DC32" s="772" t="n">
        <f aca="false">PPMT($L$3,A32-14,106,$K$5)</f>
        <v>225719.390247241</v>
      </c>
      <c r="DD32" s="772" t="n">
        <f aca="false">DA32-DC32</f>
        <v>33946869.5970018</v>
      </c>
      <c r="DE32" s="772" t="n">
        <f aca="false">DE31-DC32</f>
        <v>33946869.5970018</v>
      </c>
      <c r="DH32" s="417" t="n">
        <v>-715341.083333333</v>
      </c>
      <c r="DI32" s="417" t="n">
        <v>-705333.333333333</v>
      </c>
      <c r="DJ32" s="417"/>
      <c r="DL32" s="417" t="n">
        <f aca="false">PMT($J$3,106,$I$5,,1)</f>
        <v>474832.92700925</v>
      </c>
      <c r="DN32" s="417" t="n">
        <f aca="false">IF($BL$4="mid",DH32,DI32)</f>
        <v>-715341.083333333</v>
      </c>
      <c r="DO32" s="417" t="n">
        <f aca="false">IF($BL$4="mid",DL32,L32)</f>
        <v>474832.92700925</v>
      </c>
      <c r="DQ32" s="772" t="n">
        <f aca="false">BW32-IF($BL$4="mid",Q32,R32)</f>
        <v>302708.239312726</v>
      </c>
      <c r="DR32" s="772" t="n">
        <f aca="false">BX32-IF($BL$4="mid",T32,U32)</f>
        <v>-16921.5895313996</v>
      </c>
      <c r="DS32" s="772"/>
      <c r="DT32" s="772"/>
      <c r="DU32" s="772"/>
      <c r="DV32" s="772"/>
      <c r="DW32" s="772"/>
      <c r="DX32" s="772"/>
    </row>
    <row r="33" customFormat="false" ht="12.75" hidden="false" customHeight="false" outlineLevel="0" collapsed="false">
      <c r="A33" s="767" t="n">
        <v>22</v>
      </c>
      <c r="B33" s="854" t="n">
        <v>37165</v>
      </c>
      <c r="C33" s="417" t="n">
        <v>0</v>
      </c>
      <c r="D33" s="417" t="n">
        <v>0</v>
      </c>
      <c r="E33" s="417" t="n">
        <v>0</v>
      </c>
      <c r="F33" s="417" t="n">
        <v>265799.776004041</v>
      </c>
      <c r="G33" s="417" t="n">
        <v>225719.390247243</v>
      </c>
      <c r="H33" s="417" t="n">
        <v>0</v>
      </c>
      <c r="I33" s="417" t="n">
        <v>491519.166251284</v>
      </c>
      <c r="J33" s="417"/>
      <c r="K33" s="417"/>
      <c r="L33" s="417" t="n">
        <f aca="false">PMT($L$3,106,$K$5,,1)</f>
        <v>491519.166251281</v>
      </c>
      <c r="M33" s="417"/>
      <c r="N33" s="850" t="n">
        <f aca="false">IF(A33&lt;$B$8,0,-$R$5/12)</f>
        <v>-715341.083333333</v>
      </c>
      <c r="O33" s="850" t="n">
        <f aca="false">IF(A33&lt;$B$8,0,-$S$5/12)</f>
        <v>-705333.333333333</v>
      </c>
      <c r="P33" s="769" t="n">
        <f aca="false">Breakout!$D$16/12</f>
        <v>3411024.41742273</v>
      </c>
      <c r="Q33" s="770" t="n">
        <f aca="false">'wholesale services'!$D$110*'wholesale services'!$E$111/12</f>
        <v>3250582.5</v>
      </c>
      <c r="R33" s="770" t="n">
        <v>3320487.5</v>
      </c>
      <c r="S33" s="769" t="n">
        <f aca="false">Breakout!$D$27/12</f>
        <v>120849.302250439</v>
      </c>
      <c r="T33" s="770" t="n">
        <f aca="false">'wholesale services'!$D$113*'wholesale services'!$E$114/12</f>
        <v>142811.250228505</v>
      </c>
      <c r="U33" s="770" t="n">
        <v>145725.765539291</v>
      </c>
      <c r="V33" s="769" t="n">
        <f aca="false">Breakout!$D$38/12</f>
        <v>60831.2773104499</v>
      </c>
      <c r="W33" s="772" t="n">
        <f aca="false">Breakout!$D$39/12</f>
        <v>59709.1</v>
      </c>
      <c r="X33" s="772" t="n">
        <v>60351.1333333333</v>
      </c>
      <c r="Y33" s="769" t="n">
        <f aca="false">Breakout!$D$49/12</f>
        <v>442490.614767591</v>
      </c>
      <c r="Z33" s="770" t="n">
        <f aca="false">Breakout!$D$50/12</f>
        <v>396350.411348516</v>
      </c>
      <c r="AA33" s="770" t="n">
        <v>416338.562474333</v>
      </c>
      <c r="AB33" s="769" t="n">
        <f aca="false">Breakout!$D$60/12</f>
        <v>407124.900535631</v>
      </c>
      <c r="AC33" s="770" t="n">
        <f aca="false">Breakout!$D$61/12</f>
        <v>392668.452907889</v>
      </c>
      <c r="AD33" s="770" t="n">
        <v>404912.012686754</v>
      </c>
      <c r="AE33" s="769" t="n">
        <f aca="false">Breakout!$D$71/12</f>
        <v>308893.418959708</v>
      </c>
      <c r="AF33" s="770" t="n">
        <f aca="false">Breakout!$D$72/12</f>
        <v>316520.666666667</v>
      </c>
      <c r="AG33" s="770" t="n">
        <v>316520.666666667</v>
      </c>
      <c r="AH33" s="769" t="n">
        <f aca="false">Breakout!$D$82/12</f>
        <v>20331.309261514</v>
      </c>
      <c r="AI33" s="770" t="n">
        <f aca="false">Breakout!$D$83/12</f>
        <v>0</v>
      </c>
      <c r="AJ33" s="770" t="n">
        <v>0</v>
      </c>
      <c r="AK33" s="773" t="n">
        <f aca="false">Breakout!$D$91/12</f>
        <v>273369.779404107</v>
      </c>
      <c r="AL33" s="773" t="n">
        <v>273369.779404107</v>
      </c>
      <c r="AM33" s="773" t="n">
        <f aca="false">(Breakout!$D$107/12)*-1</f>
        <v>55221.25</v>
      </c>
      <c r="AN33" s="773" t="n">
        <v>55221.25</v>
      </c>
      <c r="AO33" s="774" t="n">
        <f aca="false">(P33+S33+V33)+Y33+AB33+AE33+AH33</f>
        <v>4771545.24050806</v>
      </c>
      <c r="AP33" s="774" t="n">
        <f aca="false">Q33+T33+W33+AA33+AD33+AG33+AJ33+AL33+AN33</f>
        <v>4919465.12146037</v>
      </c>
      <c r="AQ33" s="775" t="n">
        <f aca="false">P33+S33+V33+Y33+AB33+AE33+AH33-Q33-T33-W33-Z33-AC33-AF33-AI33-AK33-AM33-DH33-DL33-CN33</f>
        <v>124819.986276458</v>
      </c>
      <c r="AS33" s="776" t="n">
        <f aca="false">P33+S33+V33+Y33+AB33+AE33+AH33-R33-U33-X33-AA33-AD33-AG33-AJ33-AL33-AN33-O33-L33-CN33</f>
        <v>-7567.26251437474</v>
      </c>
      <c r="AU33" s="770" t="n">
        <f aca="false">'wholesale services'!$E$110/12</f>
        <v>40679698.7364969</v>
      </c>
      <c r="AV33" s="770" t="n">
        <f aca="false">'wholesale services'!$E$113/12</f>
        <v>18805.4909722222</v>
      </c>
      <c r="AX33" s="851" t="n">
        <f aca="false">IF(A33&lt;$AX$6,0,-$R$5/12)</f>
        <v>-715341.083333333</v>
      </c>
      <c r="AY33" s="417" t="n">
        <f aca="false">IF(A33&lt;$AX$6,0,-$S$5/12)</f>
        <v>-705333.333333333</v>
      </c>
      <c r="BA33" s="772" t="n">
        <f aca="false">P33-IF($BL$4="mid",Q33,R33)-$BL$9*(IF($BL$4="mid",N33,O33)+IF($BL$4="mid",DL33,L33))</f>
        <v>388924.665930605</v>
      </c>
      <c r="BB33" s="772" t="n">
        <f aca="false">S33-IF($BL$4="mid",T33,U33)-$BM$9*(IF($BL$4="mid",N33,O33)+IF($BL$4="mid",DL33,L33))</f>
        <v>-9936.54016186204</v>
      </c>
      <c r="BC33" s="772" t="n">
        <f aca="false">V33-IF($BL$4="mid",W33,X33)-$BN$9*(IF($BL$4="mid",N33,O33)+IF($BL$4="mid",DL33,L33))</f>
        <v>1122.17731044986</v>
      </c>
      <c r="BD33" s="772" t="n">
        <f aca="false">Y33-IF($BL$4="mid",Z33,AA33)</f>
        <v>46140.2034190744</v>
      </c>
      <c r="BE33" s="772" t="n">
        <f aca="false">AB33-IF($BL$4="mid",AC33,AD33)</f>
        <v>14456.447627742</v>
      </c>
      <c r="BF33" s="772" t="n">
        <f aca="false">AE33-IF($BL$4="mid",AF33,AG33)</f>
        <v>-7627.24770695873</v>
      </c>
      <c r="BG33" s="772" t="n">
        <f aca="false">AH33-IF($BL$4="mid",AI33,AJ33)</f>
        <v>20331.309261514</v>
      </c>
      <c r="BH33" s="772" t="n">
        <f aca="false">-IF($BL$4="mid",AK33,AL33)</f>
        <v>-273369.779404107</v>
      </c>
      <c r="BI33" s="772" t="n">
        <f aca="false">-IF($BL$4="mid",AM33,AN33)</f>
        <v>-55221.25</v>
      </c>
      <c r="BL33" s="772" t="n">
        <f aca="false">BW33-IF($BL$4="mid",Q33,R33)-$BL$9*(IF($BL$4="mid",N33,O33)+IF($BL$4="mid",DL33,L33))</f>
        <v>531190.987820605</v>
      </c>
      <c r="BM33" s="772" t="n">
        <f aca="false">BX33-IF($BL$4="mid",T33,U33)-$BM$9*(IF($BL$4="mid",N33,O33)+IF($BL$4="mid",DL33,L33))</f>
        <v>-4896.18171519539</v>
      </c>
      <c r="BN33" s="772" t="n">
        <f aca="false">BY33-IF($BL$4="mid",W33,X33)-$BN$9*(IF($BL$4="mid",N33,O33)+IF($BL$4="mid",DL33,L33))</f>
        <v>3659.31601711653</v>
      </c>
      <c r="BO33" s="772" t="n">
        <f aca="false">BZ33-IF($BL$4="mid",Z33,AA33)</f>
        <v>64595.5131824077</v>
      </c>
      <c r="BP33" s="772" t="n">
        <f aca="false">CA33-IF($BL$4="mid",AC33,AD33)</f>
        <v>31436.7312789506</v>
      </c>
      <c r="BQ33" s="772" t="n">
        <f aca="false">CB33-IF($BL$4="mid",AF33,AG33)</f>
        <v>5256.01702341461</v>
      </c>
      <c r="BR33" s="772" t="n">
        <f aca="false">CC33-IF($BL$4="mid",AI33,AJ33)</f>
        <v>21179.2834281807</v>
      </c>
      <c r="BS33" s="772" t="n">
        <f aca="false">-IF($BL$4="mid",AK33,AL33)</f>
        <v>-273369.779404107</v>
      </c>
      <c r="BT33" s="772" t="n">
        <f aca="false">-IF($BL$4="mid",AM33,AN33)</f>
        <v>-55221.25</v>
      </c>
      <c r="BW33" s="769" t="n">
        <f aca="false">Breakout!$D$15/12</f>
        <v>3553290.73931273</v>
      </c>
      <c r="BX33" s="769" t="n">
        <f aca="false">Breakout!$D$26/12</f>
        <v>125889.660697106</v>
      </c>
      <c r="BY33" s="769" t="n">
        <f aca="false">Breakout!$D$37/12</f>
        <v>63368.4160171165</v>
      </c>
      <c r="BZ33" s="769" t="n">
        <f aca="false">Breakout!$D$48/12</f>
        <v>460945.924530924</v>
      </c>
      <c r="CA33" s="769" t="n">
        <f aca="false">Breakout!$D$59/12</f>
        <v>424105.184186839</v>
      </c>
      <c r="CB33" s="769" t="n">
        <f aca="false">Breakout!$D$70/12</f>
        <v>321776.683690081</v>
      </c>
      <c r="CC33" s="769" t="n">
        <f aca="false">Breakout!$D$81/12</f>
        <v>21179.2834281807</v>
      </c>
      <c r="CE33" s="852" t="n">
        <f aca="false">P33/0.96</f>
        <v>3553150.43481534</v>
      </c>
      <c r="CF33" s="852" t="n">
        <f aca="false">S33/0.96</f>
        <v>125884.689844207</v>
      </c>
      <c r="CG33" s="852" t="n">
        <f aca="false">V33/0.96</f>
        <v>63365.9138650519</v>
      </c>
      <c r="CI33" s="852" t="n">
        <f aca="false">N33</f>
        <v>-715341.083333333</v>
      </c>
      <c r="CJ33" s="852" t="n">
        <f aca="false">O33</f>
        <v>-705333.333333333</v>
      </c>
      <c r="CL33" s="772" t="n">
        <f aca="false">'account mgt'!$D$23/12</f>
        <v>-50235</v>
      </c>
      <c r="CN33" s="772" t="n">
        <v>0</v>
      </c>
      <c r="CT33" s="772" t="n">
        <f aca="false">CW32</f>
        <v>31996042.161843</v>
      </c>
      <c r="CU33" s="772" t="n">
        <f aca="false">IF(CT33&lt;0.1,0,CT33*$L$3)</f>
        <v>252502.099393878</v>
      </c>
      <c r="CV33" s="772" t="n">
        <f aca="false">IF(CT33&lt;0.1,0,PPMT($L$3,A33-14,unwinds!$B$8*12,$K$5))</f>
        <v>515056.778108719</v>
      </c>
      <c r="CW33" s="772" t="n">
        <f aca="false">IF(CT33-CV33&lt;0,0,CT33-CV33)</f>
        <v>31480985.3837343</v>
      </c>
      <c r="CX33" s="772" t="n">
        <f aca="false">IF(CX32-CV33&lt;0,0,CX32-CV33)</f>
        <v>31480985.3837343</v>
      </c>
      <c r="DA33" s="772" t="n">
        <f aca="false">DD32</f>
        <v>33946869.5970018</v>
      </c>
      <c r="DB33" s="772" t="n">
        <f aca="false">DA33*$L$3</f>
        <v>267897.379236339</v>
      </c>
      <c r="DC33" s="772" t="n">
        <f aca="false">PPMT($L$3,A33-14,106,$K$5)</f>
        <v>227500.692435275</v>
      </c>
      <c r="DD33" s="772" t="n">
        <f aca="false">DA33-DC33</f>
        <v>33719368.9045665</v>
      </c>
      <c r="DE33" s="772" t="n">
        <f aca="false">DE32-DC33</f>
        <v>33719368.9045665</v>
      </c>
      <c r="DH33" s="417" t="n">
        <v>-715341.083333333</v>
      </c>
      <c r="DI33" s="417" t="n">
        <v>-705333.333333333</v>
      </c>
      <c r="DJ33" s="417"/>
      <c r="DL33" s="417" t="n">
        <f aca="false">PMT($J$3,106,$I$5,,1)</f>
        <v>474832.92700925</v>
      </c>
      <c r="DN33" s="417" t="n">
        <f aca="false">IF($BL$4="mid",DH33,DI33)</f>
        <v>-715341.083333333</v>
      </c>
      <c r="DO33" s="417" t="n">
        <f aca="false">IF($BL$4="mid",DL33,L33)</f>
        <v>474832.92700925</v>
      </c>
      <c r="DQ33" s="772" t="n">
        <f aca="false">BW33-IF($BL$4="mid",Q33,R33)</f>
        <v>302708.239312726</v>
      </c>
      <c r="DR33" s="772" t="n">
        <f aca="false">BX33-IF($BL$4="mid",T33,U33)</f>
        <v>-16921.5895313996</v>
      </c>
      <c r="DS33" s="772"/>
      <c r="DT33" s="772"/>
      <c r="DU33" s="772"/>
      <c r="DV33" s="772"/>
      <c r="DW33" s="772"/>
      <c r="DX33" s="772"/>
    </row>
    <row r="34" customFormat="false" ht="12.75" hidden="false" customHeight="false" outlineLevel="0" collapsed="false">
      <c r="A34" s="767" t="n">
        <v>23</v>
      </c>
      <c r="B34" s="854" t="n">
        <v>37196</v>
      </c>
      <c r="C34" s="417" t="n">
        <v>0</v>
      </c>
      <c r="D34" s="417" t="n">
        <v>0</v>
      </c>
      <c r="E34" s="417" t="n">
        <v>0</v>
      </c>
      <c r="F34" s="417" t="n">
        <v>264018.473816006</v>
      </c>
      <c r="G34" s="417" t="n">
        <v>227500.692435278</v>
      </c>
      <c r="H34" s="417" t="n">
        <v>0</v>
      </c>
      <c r="I34" s="417" t="n">
        <v>491519.166251284</v>
      </c>
      <c r="J34" s="417"/>
      <c r="K34" s="417"/>
      <c r="L34" s="417" t="n">
        <f aca="false">PMT($L$3,106,$K$5,,1)</f>
        <v>491519.166251281</v>
      </c>
      <c r="M34" s="417"/>
      <c r="N34" s="850" t="n">
        <f aca="false">IF(A34&lt;$B$8,0,-$R$5/12)</f>
        <v>-715341.083333333</v>
      </c>
      <c r="O34" s="850" t="n">
        <f aca="false">IF(A34&lt;$B$8,0,-$S$5/12)</f>
        <v>-705333.333333333</v>
      </c>
      <c r="P34" s="769" t="n">
        <f aca="false">Breakout!$D$16/12</f>
        <v>3411024.41742273</v>
      </c>
      <c r="Q34" s="770" t="n">
        <f aca="false">'wholesale services'!$D$110*'wholesale services'!$E$111/12</f>
        <v>3250582.5</v>
      </c>
      <c r="R34" s="770" t="n">
        <v>3320487.5</v>
      </c>
      <c r="S34" s="769" t="n">
        <f aca="false">Breakout!$D$27/12</f>
        <v>120849.302250439</v>
      </c>
      <c r="T34" s="770" t="n">
        <f aca="false">'wholesale services'!$D$113*'wholesale services'!$E$114/12</f>
        <v>142811.250228505</v>
      </c>
      <c r="U34" s="770" t="n">
        <v>145725.765539291</v>
      </c>
      <c r="V34" s="769" t="n">
        <f aca="false">Breakout!$D$38/12</f>
        <v>60831.2773104499</v>
      </c>
      <c r="W34" s="772" t="n">
        <f aca="false">Breakout!$D$39/12</f>
        <v>59709.1</v>
      </c>
      <c r="X34" s="772" t="n">
        <v>60351.1333333333</v>
      </c>
      <c r="Y34" s="769" t="n">
        <f aca="false">Breakout!$D$49/12</f>
        <v>442490.614767591</v>
      </c>
      <c r="Z34" s="770" t="n">
        <f aca="false">Breakout!$D$50/12</f>
        <v>396350.411348516</v>
      </c>
      <c r="AA34" s="770" t="n">
        <v>416338.562474333</v>
      </c>
      <c r="AB34" s="769" t="n">
        <f aca="false">Breakout!$D$60/12</f>
        <v>407124.900535631</v>
      </c>
      <c r="AC34" s="770" t="n">
        <f aca="false">Breakout!$D$61/12</f>
        <v>392668.452907889</v>
      </c>
      <c r="AD34" s="770" t="n">
        <v>404912.012686754</v>
      </c>
      <c r="AE34" s="769" t="n">
        <f aca="false">Breakout!$D$71/12</f>
        <v>308893.418959708</v>
      </c>
      <c r="AF34" s="770" t="n">
        <f aca="false">Breakout!$D$72/12</f>
        <v>316520.666666667</v>
      </c>
      <c r="AG34" s="770" t="n">
        <v>316520.666666667</v>
      </c>
      <c r="AH34" s="769" t="n">
        <f aca="false">Breakout!$D$82/12</f>
        <v>20331.309261514</v>
      </c>
      <c r="AI34" s="770" t="n">
        <f aca="false">Breakout!$D$83/12</f>
        <v>0</v>
      </c>
      <c r="AJ34" s="770" t="n">
        <v>0</v>
      </c>
      <c r="AK34" s="773" t="n">
        <f aca="false">Breakout!$D$91/12</f>
        <v>273369.779404107</v>
      </c>
      <c r="AL34" s="773" t="n">
        <v>273369.779404107</v>
      </c>
      <c r="AM34" s="773" t="n">
        <f aca="false">(Breakout!$D$107/12)*-1</f>
        <v>55221.25</v>
      </c>
      <c r="AN34" s="773" t="n">
        <v>55221.25</v>
      </c>
      <c r="AO34" s="774" t="n">
        <f aca="false">(P34+S34+V34)+Y34+AB34+AE34+AH34</f>
        <v>4771545.24050806</v>
      </c>
      <c r="AP34" s="774" t="n">
        <f aca="false">Q34+T34+W34+AA34+AD34+AG34+AJ34+AL34+AN34</f>
        <v>4919465.12146037</v>
      </c>
      <c r="AQ34" s="775" t="n">
        <f aca="false">P34+S34+V34+Y34+AB34+AE34+AH34-Q34-T34-W34-Z34-AC34-AF34-AI34-AK34-AM34-DH34-DL34-CN34</f>
        <v>124819.986276458</v>
      </c>
      <c r="AS34" s="776" t="n">
        <f aca="false">P34+S34+V34+Y34+AB34+AE34+AH34-R34-U34-X34-AA34-AD34-AG34-AJ34-AL34-AN34-O34-L34-CN34</f>
        <v>-7567.26251437474</v>
      </c>
      <c r="AU34" s="770" t="n">
        <f aca="false">'wholesale services'!$E$110/12</f>
        <v>40679698.7364969</v>
      </c>
      <c r="AV34" s="770" t="n">
        <f aca="false">'wholesale services'!$E$113/12</f>
        <v>18805.4909722222</v>
      </c>
      <c r="AX34" s="851" t="n">
        <f aca="false">IF(A34&lt;$AX$6,0,-$R$5/12)</f>
        <v>-715341.083333333</v>
      </c>
      <c r="AY34" s="417" t="n">
        <f aca="false">IF(A34&lt;$AX$6,0,-$S$5/12)</f>
        <v>-705333.333333333</v>
      </c>
      <c r="BA34" s="772" t="n">
        <f aca="false">P34-IF($BL$4="mid",Q34,R34)-$BL$9*(IF($BL$4="mid",N34,O34)+IF($BL$4="mid",DL34,L34))</f>
        <v>388924.665930605</v>
      </c>
      <c r="BB34" s="772" t="n">
        <f aca="false">S34-IF($BL$4="mid",T34,U34)-$BM$9*(IF($BL$4="mid",N34,O34)+IF($BL$4="mid",DL34,L34))</f>
        <v>-9936.54016186204</v>
      </c>
      <c r="BC34" s="772" t="n">
        <f aca="false">V34-IF($BL$4="mid",W34,X34)-$BN$9*(IF($BL$4="mid",N34,O34)+IF($BL$4="mid",DL34,L34))</f>
        <v>1122.17731044986</v>
      </c>
      <c r="BD34" s="772" t="n">
        <f aca="false">Y34-IF($BL$4="mid",Z34,AA34)</f>
        <v>46140.2034190744</v>
      </c>
      <c r="BE34" s="772" t="n">
        <f aca="false">AB34-IF($BL$4="mid",AC34,AD34)</f>
        <v>14456.447627742</v>
      </c>
      <c r="BF34" s="772" t="n">
        <f aca="false">AE34-IF($BL$4="mid",AF34,AG34)</f>
        <v>-7627.24770695873</v>
      </c>
      <c r="BG34" s="772" t="n">
        <f aca="false">AH34-IF($BL$4="mid",AI34,AJ34)</f>
        <v>20331.309261514</v>
      </c>
      <c r="BH34" s="772" t="n">
        <f aca="false">-IF($BL$4="mid",AK34,AL34)</f>
        <v>-273369.779404107</v>
      </c>
      <c r="BI34" s="772" t="n">
        <f aca="false">-IF($BL$4="mid",AM34,AN34)</f>
        <v>-55221.25</v>
      </c>
      <c r="BL34" s="772" t="n">
        <f aca="false">BW34-IF($BL$4="mid",Q34,R34)-$BL$9*(IF($BL$4="mid",N34,O34)+IF($BL$4="mid",DL34,L34))</f>
        <v>531190.987820605</v>
      </c>
      <c r="BM34" s="772" t="n">
        <f aca="false">BX34-IF($BL$4="mid",T34,U34)-$BM$9*(IF($BL$4="mid",N34,O34)+IF($BL$4="mid",DL34,L34))</f>
        <v>-4896.18171519539</v>
      </c>
      <c r="BN34" s="772" t="n">
        <f aca="false">BY34-IF($BL$4="mid",W34,X34)-$BN$9*(IF($BL$4="mid",N34,O34)+IF($BL$4="mid",DL34,L34))</f>
        <v>3659.31601711653</v>
      </c>
      <c r="BO34" s="772" t="n">
        <f aca="false">BZ34-IF($BL$4="mid",Z34,AA34)</f>
        <v>64595.5131824077</v>
      </c>
      <c r="BP34" s="772" t="n">
        <f aca="false">CA34-IF($BL$4="mid",AC34,AD34)</f>
        <v>31436.7312789506</v>
      </c>
      <c r="BQ34" s="772" t="n">
        <f aca="false">CB34-IF($BL$4="mid",AF34,AG34)</f>
        <v>5256.01702341461</v>
      </c>
      <c r="BR34" s="772" t="n">
        <f aca="false">CC34-IF($BL$4="mid",AI34,AJ34)</f>
        <v>21179.2834281807</v>
      </c>
      <c r="BS34" s="772" t="n">
        <f aca="false">-IF($BL$4="mid",AK34,AL34)</f>
        <v>-273369.779404107</v>
      </c>
      <c r="BT34" s="772" t="n">
        <f aca="false">-IF($BL$4="mid",AM34,AN34)</f>
        <v>-55221.25</v>
      </c>
      <c r="BW34" s="769" t="n">
        <f aca="false">Breakout!$D$15/12</f>
        <v>3553290.73931273</v>
      </c>
      <c r="BX34" s="769" t="n">
        <f aca="false">Breakout!$D$26/12</f>
        <v>125889.660697106</v>
      </c>
      <c r="BY34" s="769" t="n">
        <f aca="false">Breakout!$D$37/12</f>
        <v>63368.4160171165</v>
      </c>
      <c r="BZ34" s="769" t="n">
        <f aca="false">Breakout!$D$48/12</f>
        <v>460945.924530924</v>
      </c>
      <c r="CA34" s="769" t="n">
        <f aca="false">Breakout!$D$59/12</f>
        <v>424105.184186839</v>
      </c>
      <c r="CB34" s="769" t="n">
        <f aca="false">Breakout!$D$70/12</f>
        <v>321776.683690081</v>
      </c>
      <c r="CC34" s="769" t="n">
        <f aca="false">Breakout!$D$81/12</f>
        <v>21179.2834281807</v>
      </c>
      <c r="CE34" s="852" t="n">
        <f aca="false">P34/0.96</f>
        <v>3553150.43481534</v>
      </c>
      <c r="CF34" s="852" t="n">
        <f aca="false">S34/0.96</f>
        <v>125884.689844207</v>
      </c>
      <c r="CG34" s="852" t="n">
        <f aca="false">V34/0.96</f>
        <v>63365.9138650519</v>
      </c>
      <c r="CI34" s="852" t="n">
        <f aca="false">N34</f>
        <v>-715341.083333333</v>
      </c>
      <c r="CJ34" s="852" t="n">
        <f aca="false">O34</f>
        <v>-705333.333333333</v>
      </c>
      <c r="CL34" s="772" t="n">
        <f aca="false">'account mgt'!$D$23/12</f>
        <v>-50235</v>
      </c>
      <c r="CN34" s="772" t="n">
        <v>0</v>
      </c>
      <c r="CT34" s="772" t="n">
        <f aca="false">CW33</f>
        <v>31480985.3837343</v>
      </c>
      <c r="CU34" s="772" t="n">
        <f aca="false">IF(CT34&lt;0.1,0,CT34*$L$3)</f>
        <v>248437.442986636</v>
      </c>
      <c r="CV34" s="772" t="n">
        <f aca="false">IF(CT34&lt;0.1,0,PPMT($L$3,A34-14,unwinds!$B$8*12,$K$5))</f>
        <v>519121.43451596</v>
      </c>
      <c r="CW34" s="772" t="n">
        <f aca="false">IF(CT34-CV34&lt;0,0,CT34-CV34)</f>
        <v>30961863.9492183</v>
      </c>
      <c r="CX34" s="772" t="n">
        <f aca="false">IF(CX33-CV34&lt;0,0,CX33-CV34)</f>
        <v>30961863.9492183</v>
      </c>
      <c r="DA34" s="772" t="n">
        <f aca="false">DD33</f>
        <v>33719368.9045665</v>
      </c>
      <c r="DB34" s="772" t="n">
        <f aca="false">DA34*$L$3</f>
        <v>266102.019605204</v>
      </c>
      <c r="DC34" s="772" t="n">
        <f aca="false">PPMT($L$3,A34-14,106,$K$5)</f>
        <v>229296.05206641</v>
      </c>
      <c r="DD34" s="772" t="n">
        <f aca="false">DA34-DC34</f>
        <v>33490072.8525001</v>
      </c>
      <c r="DE34" s="772" t="n">
        <f aca="false">DE33-DC34</f>
        <v>33490072.8525001</v>
      </c>
      <c r="DH34" s="417" t="n">
        <v>-715341.083333333</v>
      </c>
      <c r="DI34" s="417" t="n">
        <v>-705333.333333333</v>
      </c>
      <c r="DJ34" s="417"/>
      <c r="DL34" s="417" t="n">
        <f aca="false">PMT($J$3,106,$I$5,,1)</f>
        <v>474832.92700925</v>
      </c>
      <c r="DN34" s="417" t="n">
        <f aca="false">IF($BL$4="mid",DH34,DI34)</f>
        <v>-715341.083333333</v>
      </c>
      <c r="DO34" s="417" t="n">
        <f aca="false">IF($BL$4="mid",DL34,L34)</f>
        <v>474832.92700925</v>
      </c>
      <c r="DQ34" s="772" t="n">
        <f aca="false">BW34-IF($BL$4="mid",Q34,R34)</f>
        <v>302708.239312726</v>
      </c>
      <c r="DR34" s="772" t="n">
        <f aca="false">BX34-IF($BL$4="mid",T34,U34)</f>
        <v>-16921.5895313996</v>
      </c>
      <c r="DS34" s="772"/>
      <c r="DT34" s="772"/>
      <c r="DU34" s="772"/>
      <c r="DV34" s="772"/>
      <c r="DW34" s="772"/>
      <c r="DX34" s="772"/>
    </row>
    <row r="35" customFormat="false" ht="12.75" hidden="false" customHeight="false" outlineLevel="0" collapsed="false">
      <c r="A35" s="855" t="n">
        <v>24</v>
      </c>
      <c r="B35" s="856" t="n">
        <v>37226</v>
      </c>
      <c r="C35" s="857" t="n">
        <v>0</v>
      </c>
      <c r="D35" s="857" t="n">
        <v>0</v>
      </c>
      <c r="E35" s="857" t="n">
        <v>0</v>
      </c>
      <c r="F35" s="417" t="n">
        <v>262223.114184871</v>
      </c>
      <c r="G35" s="417" t="n">
        <v>229296.052066413</v>
      </c>
      <c r="H35" s="417" t="n">
        <v>0</v>
      </c>
      <c r="I35" s="417" t="n">
        <v>491519.166251284</v>
      </c>
      <c r="J35" s="857"/>
      <c r="K35" s="857"/>
      <c r="L35" s="417" t="n">
        <f aca="false">PMT($L$3,106,$K$5,,1)</f>
        <v>491519.166251281</v>
      </c>
      <c r="M35" s="857"/>
      <c r="N35" s="850" t="n">
        <f aca="false">IF(A35&lt;$B$8,0,-$R$5/12)</f>
        <v>-715341.083333333</v>
      </c>
      <c r="O35" s="850" t="n">
        <f aca="false">IF(A35&lt;$B$8,0,-$S$5/12)</f>
        <v>-705333.333333333</v>
      </c>
      <c r="P35" s="859" t="n">
        <f aca="false">Breakout!$D$16/12</f>
        <v>3411024.41742273</v>
      </c>
      <c r="Q35" s="860" t="n">
        <f aca="false">'wholesale services'!$D$110*'wholesale services'!$E$111/12</f>
        <v>3250582.5</v>
      </c>
      <c r="R35" s="860" t="n">
        <v>3320487.5</v>
      </c>
      <c r="S35" s="859" t="n">
        <f aca="false">Breakout!$D$27/12</f>
        <v>120849.302250439</v>
      </c>
      <c r="T35" s="860" t="n">
        <f aca="false">'wholesale services'!$D$113*'wholesale services'!$E$114/12</f>
        <v>142811.250228505</v>
      </c>
      <c r="U35" s="860" t="n">
        <v>145725.765539291</v>
      </c>
      <c r="V35" s="859" t="n">
        <f aca="false">Breakout!$D$38/12</f>
        <v>60831.2773104499</v>
      </c>
      <c r="W35" s="861" t="n">
        <f aca="false">Breakout!$D$39/12</f>
        <v>59709.1</v>
      </c>
      <c r="X35" s="861" t="n">
        <v>60351.1333333333</v>
      </c>
      <c r="Y35" s="859" t="n">
        <f aca="false">Breakout!$D$49/12</f>
        <v>442490.614767591</v>
      </c>
      <c r="Z35" s="860" t="n">
        <f aca="false">Breakout!$D$50/12</f>
        <v>396350.411348516</v>
      </c>
      <c r="AA35" s="860" t="n">
        <v>416338.562474333</v>
      </c>
      <c r="AB35" s="859" t="n">
        <f aca="false">Breakout!$D$60/12</f>
        <v>407124.900535631</v>
      </c>
      <c r="AC35" s="860" t="n">
        <f aca="false">Breakout!$D$61/12</f>
        <v>392668.452907889</v>
      </c>
      <c r="AD35" s="860" t="n">
        <v>404912.012686754</v>
      </c>
      <c r="AE35" s="859" t="n">
        <f aca="false">Breakout!$D$71/12</f>
        <v>308893.418959708</v>
      </c>
      <c r="AF35" s="860" t="n">
        <f aca="false">Breakout!$D$72/12</f>
        <v>316520.666666667</v>
      </c>
      <c r="AG35" s="860" t="n">
        <v>316520.666666667</v>
      </c>
      <c r="AH35" s="859" t="n">
        <f aca="false">Breakout!$D$82/12</f>
        <v>20331.309261514</v>
      </c>
      <c r="AI35" s="860" t="n">
        <f aca="false">Breakout!$D$83/12</f>
        <v>0</v>
      </c>
      <c r="AJ35" s="860" t="n">
        <v>0</v>
      </c>
      <c r="AK35" s="862" t="n">
        <f aca="false">Breakout!$D$91/12</f>
        <v>273369.779404107</v>
      </c>
      <c r="AL35" s="862" t="n">
        <v>273369.779404107</v>
      </c>
      <c r="AM35" s="862" t="n">
        <f aca="false">(Breakout!$D$107/12)*-1</f>
        <v>55221.25</v>
      </c>
      <c r="AN35" s="862" t="n">
        <v>55221.25</v>
      </c>
      <c r="AO35" s="863" t="n">
        <f aca="false">(P35+S35+V35)+Y35+AB35+AE35+AH35</f>
        <v>4771545.24050806</v>
      </c>
      <c r="AP35" s="863" t="n">
        <f aca="false">Q35+T35+W35+AA35+AD35+AG35+AJ35+AL35+AN35</f>
        <v>4919465.12146037</v>
      </c>
      <c r="AQ35" s="775" t="n">
        <f aca="false">P35+S35+V35+Y35+AB35+AE35+AH35-Q35-T35-W35-Z35-AC35-AF35-AI35-AK35-AM35-DH35-DL35-CN35</f>
        <v>124819.986276458</v>
      </c>
      <c r="AR35" s="861" t="n">
        <f aca="false">SUM(AQ24:AQ35)</f>
        <v>1016823.52266933</v>
      </c>
      <c r="AS35" s="776" t="n">
        <f aca="false">P35+S35+V35+Y35+AB35+AE35+AH35-R35-U35-X35-AA35-AD35-AG35-AJ35-AL35-AN35-O35-L35-CN35</f>
        <v>-7567.26251437474</v>
      </c>
      <c r="AT35" s="861" t="n">
        <f aca="false">SUM(AS24:AS35)</f>
        <v>-518435.484336602</v>
      </c>
      <c r="AU35" s="860" t="n">
        <f aca="false">'wholesale services'!$E$110/12</f>
        <v>40679698.7364969</v>
      </c>
      <c r="AV35" s="860" t="n">
        <f aca="false">'wholesale services'!$E$113/12</f>
        <v>18805.4909722222</v>
      </c>
      <c r="AW35" s="861"/>
      <c r="AX35" s="851" t="n">
        <f aca="false">IF(A35&lt;$AX$6,0,-$R$5/12)</f>
        <v>-715341.083333333</v>
      </c>
      <c r="AY35" s="417" t="n">
        <f aca="false">IF(A35&lt;$AX$6,0,-$S$5/12)</f>
        <v>-705333.333333333</v>
      </c>
      <c r="AZ35" s="861"/>
      <c r="BA35" s="772" t="n">
        <f aca="false">P35-IF($BL$4="mid",Q35,R35)-$BL$9*(IF($BL$4="mid",N35,O35)+IF($BL$4="mid",DL35,L35))</f>
        <v>388924.665930605</v>
      </c>
      <c r="BB35" s="772" t="n">
        <f aca="false">S35-IF($BL$4="mid",T35,U35)-$BM$9*(IF($BL$4="mid",N35,O35)+IF($BL$4="mid",DL35,L35))</f>
        <v>-9936.54016186204</v>
      </c>
      <c r="BC35" s="772" t="n">
        <f aca="false">V35-IF($BL$4="mid",W35,X35)-$BN$9*(IF($BL$4="mid",N35,O35)+IF($BL$4="mid",DL35,L35))</f>
        <v>1122.17731044986</v>
      </c>
      <c r="BD35" s="772" t="n">
        <f aca="false">Y35-IF($BL$4="mid",Z35,AA35)</f>
        <v>46140.2034190744</v>
      </c>
      <c r="BE35" s="772" t="n">
        <f aca="false">AB35-IF($BL$4="mid",AC35,AD35)</f>
        <v>14456.447627742</v>
      </c>
      <c r="BF35" s="772" t="n">
        <f aca="false">AE35-IF($BL$4="mid",AF35,AG35)</f>
        <v>-7627.24770695873</v>
      </c>
      <c r="BG35" s="772" t="n">
        <f aca="false">AH35-IF($BL$4="mid",AI35,AJ35)</f>
        <v>20331.309261514</v>
      </c>
      <c r="BH35" s="772" t="n">
        <f aca="false">-IF($BL$4="mid",AK35,AL35)</f>
        <v>-273369.779404107</v>
      </c>
      <c r="BI35" s="772" t="n">
        <f aca="false">-IF($BL$4="mid",AM35,AN35)</f>
        <v>-55221.25</v>
      </c>
      <c r="BJ35" s="861"/>
      <c r="BK35" s="431"/>
      <c r="BL35" s="772" t="n">
        <f aca="false">BW35-IF($BL$4="mid",Q35,R35)-$BL$9*(IF($BL$4="mid",N35,O35)+IF($BL$4="mid",DL35,L35))</f>
        <v>531190.987820605</v>
      </c>
      <c r="BM35" s="772" t="n">
        <f aca="false">BX35-IF($BL$4="mid",T35,U35)-$BM$9*(IF($BL$4="mid",N35,O35)+IF($BL$4="mid",DL35,L35))</f>
        <v>-4896.18171519539</v>
      </c>
      <c r="BN35" s="772" t="n">
        <f aca="false">BY35-IF($BL$4="mid",W35,X35)-$BN$9*(IF($BL$4="mid",N35,O35)+IF($BL$4="mid",DL35,L35))</f>
        <v>3659.31601711653</v>
      </c>
      <c r="BO35" s="772" t="n">
        <f aca="false">BZ35-IF($BL$4="mid",Z35,AA35)</f>
        <v>64595.5131824077</v>
      </c>
      <c r="BP35" s="772" t="n">
        <f aca="false">CA35-IF($BL$4="mid",AC35,AD35)</f>
        <v>31436.7312789506</v>
      </c>
      <c r="BQ35" s="772" t="n">
        <f aca="false">CB35-IF($BL$4="mid",AF35,AG35)</f>
        <v>5256.01702341461</v>
      </c>
      <c r="BR35" s="772" t="n">
        <f aca="false">CC35-IF($BL$4="mid",AI35,AJ35)</f>
        <v>21179.2834281807</v>
      </c>
      <c r="BS35" s="772" t="n">
        <f aca="false">-IF($BL$4="mid",AK35,AL35)</f>
        <v>-273369.779404107</v>
      </c>
      <c r="BT35" s="772" t="n">
        <f aca="false">-IF($BL$4="mid",AM35,AN35)</f>
        <v>-55221.25</v>
      </c>
      <c r="BU35" s="861"/>
      <c r="BV35" s="861"/>
      <c r="BW35" s="859" t="n">
        <f aca="false">Breakout!$D$15/12</f>
        <v>3553290.73931273</v>
      </c>
      <c r="BX35" s="859" t="n">
        <f aca="false">Breakout!$D$26/12</f>
        <v>125889.660697106</v>
      </c>
      <c r="BY35" s="859" t="n">
        <f aca="false">Breakout!$D$37/12</f>
        <v>63368.4160171165</v>
      </c>
      <c r="BZ35" s="859" t="n">
        <f aca="false">Breakout!$D$48/12</f>
        <v>460945.924530924</v>
      </c>
      <c r="CA35" s="859" t="n">
        <f aca="false">Breakout!$D$59/12</f>
        <v>424105.184186839</v>
      </c>
      <c r="CB35" s="859" t="n">
        <f aca="false">Breakout!$D$70/12</f>
        <v>321776.683690081</v>
      </c>
      <c r="CC35" s="859" t="n">
        <f aca="false">Breakout!$D$81/12</f>
        <v>21179.2834281807</v>
      </c>
      <c r="CD35" s="861"/>
      <c r="CE35" s="864" t="n">
        <f aca="false">P35/0.96</f>
        <v>3553150.43481534</v>
      </c>
      <c r="CF35" s="864" t="n">
        <f aca="false">S35/0.96</f>
        <v>125884.689844207</v>
      </c>
      <c r="CG35" s="864" t="n">
        <f aca="false">V35/0.96</f>
        <v>63365.9138650519</v>
      </c>
      <c r="CH35" s="861"/>
      <c r="CI35" s="864" t="n">
        <f aca="false">N35</f>
        <v>-715341.083333333</v>
      </c>
      <c r="CJ35" s="864" t="n">
        <f aca="false">O35</f>
        <v>-705333.333333333</v>
      </c>
      <c r="CK35" s="861"/>
      <c r="CL35" s="861" t="n">
        <f aca="false">'account mgt'!$D$23/12</f>
        <v>-50235</v>
      </c>
      <c r="CM35" s="861"/>
      <c r="CN35" s="772" t="n">
        <v>0</v>
      </c>
      <c r="CO35" s="861"/>
      <c r="CP35" s="861"/>
      <c r="CQ35" s="431"/>
      <c r="CR35" s="431"/>
      <c r="CS35" s="431"/>
      <c r="CT35" s="772" t="n">
        <f aca="false">CW34</f>
        <v>30961863.9492183</v>
      </c>
      <c r="CU35" s="772" t="n">
        <f aca="false">IF(CT35&lt;0.1,0,CT35*$L$3)</f>
        <v>244340.709665915</v>
      </c>
      <c r="CV35" s="772" t="n">
        <f aca="false">IF(CT35&lt;0.1,0,PPMT($L$3,A35-14,unwinds!$B$8*12,$K$5))</f>
        <v>523218.167836682</v>
      </c>
      <c r="CW35" s="772" t="n">
        <f aca="false">IF(CT35-CV35&lt;0,0,CT35-CV35)</f>
        <v>30438645.7813817</v>
      </c>
      <c r="CX35" s="772" t="n">
        <f aca="false">IF(CX34-CV35&lt;0,0,CX34-CV35)</f>
        <v>30438645.7813817</v>
      </c>
      <c r="CY35" s="861" t="n">
        <f aca="false">CX35</f>
        <v>30438645.7813817</v>
      </c>
      <c r="DA35" s="772" t="n">
        <f aca="false">DD34</f>
        <v>33490072.8525001</v>
      </c>
      <c r="DB35" s="772" t="n">
        <f aca="false">DA35*$L$3</f>
        <v>264292.491594313</v>
      </c>
      <c r="DC35" s="772" t="n">
        <f aca="false">PPMT($L$3,A35-14,106,$K$5)</f>
        <v>231105.580077301</v>
      </c>
      <c r="DD35" s="772" t="n">
        <f aca="false">DA35-DC35</f>
        <v>33258967.2724228</v>
      </c>
      <c r="DE35" s="772" t="n">
        <f aca="false">DE34-DC35</f>
        <v>33258967.2724228</v>
      </c>
      <c r="DF35" s="861" t="n">
        <f aca="false">DE35</f>
        <v>33258967.2724228</v>
      </c>
      <c r="DG35" s="861"/>
      <c r="DH35" s="417" t="n">
        <v>-715341.083333333</v>
      </c>
      <c r="DI35" s="417" t="n">
        <v>-705333.333333333</v>
      </c>
      <c r="DJ35" s="417"/>
      <c r="DK35" s="861"/>
      <c r="DL35" s="417" t="n">
        <f aca="false">PMT($J$3,106,$I$5,,1)</f>
        <v>474832.92700925</v>
      </c>
      <c r="DM35" s="861"/>
      <c r="DN35" s="417" t="n">
        <f aca="false">IF($BL$4="mid",DH35,DI35)</f>
        <v>-715341.083333333</v>
      </c>
      <c r="DO35" s="417" t="n">
        <f aca="false">IF($BL$4="mid",DL35,L35)</f>
        <v>474832.92700925</v>
      </c>
      <c r="DP35" s="861"/>
      <c r="DQ35" s="772" t="n">
        <f aca="false">BW35-IF($BL$4="mid",Q35,R35)</f>
        <v>302708.239312726</v>
      </c>
      <c r="DR35" s="772" t="n">
        <f aca="false">BX35-IF($BL$4="mid",T35,U35)</f>
        <v>-16921.5895313996</v>
      </c>
      <c r="DS35" s="861"/>
      <c r="DT35" s="861"/>
      <c r="DU35" s="861"/>
      <c r="DV35" s="861"/>
      <c r="DW35" s="861"/>
      <c r="DX35" s="861"/>
    </row>
    <row r="36" customFormat="false" ht="12.75" hidden="false" customHeight="false" outlineLevel="0" collapsed="false">
      <c r="A36" s="866" t="n">
        <v>25</v>
      </c>
      <c r="B36" s="867" t="n">
        <v>37257</v>
      </c>
      <c r="C36" s="417" t="n">
        <v>0</v>
      </c>
      <c r="D36" s="417" t="n">
        <v>0</v>
      </c>
      <c r="E36" s="417" t="n">
        <v>0</v>
      </c>
      <c r="F36" s="417" t="n">
        <v>260413.58617398</v>
      </c>
      <c r="G36" s="417" t="n">
        <v>231105.580077303</v>
      </c>
      <c r="H36" s="417" t="n">
        <v>0</v>
      </c>
      <c r="I36" s="417" t="n">
        <v>491519.166251284</v>
      </c>
      <c r="J36" s="417"/>
      <c r="K36" s="417"/>
      <c r="L36" s="416" t="n">
        <f aca="false">PMT($L$3,106,$K$5,,1)</f>
        <v>491519.166251281</v>
      </c>
      <c r="M36" s="417"/>
      <c r="N36" s="850" t="n">
        <f aca="false">IF(A36&lt;$B$8,0,-$R$5/12)</f>
        <v>-715341.083333333</v>
      </c>
      <c r="O36" s="850" t="n">
        <f aca="false">IF(A36&lt;$B$8,0,-$S$5/12)</f>
        <v>-705333.333333333</v>
      </c>
      <c r="P36" s="868" t="n">
        <f aca="false">Breakout!$E$16/12</f>
        <v>3446210.42869836</v>
      </c>
      <c r="Q36" s="770" t="n">
        <f aca="false">'wholesale services'!$D$110*'wholesale services'!$F$111/12</f>
        <v>3250582.5</v>
      </c>
      <c r="R36" s="770" t="n">
        <v>3320487.5</v>
      </c>
      <c r="S36" s="868" t="n">
        <f aca="false">Breakout!$E$27/12</f>
        <v>122095.908662846</v>
      </c>
      <c r="T36" s="770" t="n">
        <f aca="false">'wholesale services'!$D$113*'wholesale services'!$F$114/12</f>
        <v>144397.962524062</v>
      </c>
      <c r="U36" s="770" t="n">
        <v>147344.859718431</v>
      </c>
      <c r="V36" s="868" t="n">
        <f aca="false">Breakout!$E$38/12</f>
        <v>61458.7750200599</v>
      </c>
      <c r="W36" s="869" t="n">
        <f aca="false">Breakout!$E$39/12</f>
        <v>61500.373</v>
      </c>
      <c r="X36" s="869" t="n">
        <v>62161.6673333333</v>
      </c>
      <c r="Y36" s="868" t="n">
        <f aca="false">Breakout!$E$49/12</f>
        <v>447055.073374526</v>
      </c>
      <c r="Z36" s="870" t="n">
        <f aca="false">Breakout!$E$50/12</f>
        <v>404634.1349457</v>
      </c>
      <c r="AA36" s="870" t="n">
        <v>425040.038430047</v>
      </c>
      <c r="AB36" s="868" t="n">
        <f aca="false">Breakout!$E$60/12</f>
        <v>411324.548379741</v>
      </c>
      <c r="AC36" s="870" t="n">
        <f aca="false">Breakout!$E$61/12</f>
        <v>400875.223573663</v>
      </c>
      <c r="AD36" s="870" t="n">
        <v>413374.673751907</v>
      </c>
      <c r="AE36" s="868" t="n">
        <f aca="false">Breakout!$E$71/12</f>
        <v>312079.771794642</v>
      </c>
      <c r="AF36" s="870" t="n">
        <f aca="false">Breakout!$E$72/12</f>
        <v>316520.666666667</v>
      </c>
      <c r="AG36" s="870" t="n">
        <v>316520.666666667</v>
      </c>
      <c r="AH36" s="868" t="n">
        <f aca="false">Breakout!$E$82/12</f>
        <v>20541.0344318382</v>
      </c>
      <c r="AI36" s="870" t="n">
        <f aca="false">Breakout!$E$83/12</f>
        <v>0</v>
      </c>
      <c r="AJ36" s="870" t="n">
        <v>0</v>
      </c>
      <c r="AK36" s="871" t="n">
        <f aca="false">Breakout!$E$91/12</f>
        <v>276189.692416573</v>
      </c>
      <c r="AL36" s="871" t="n">
        <v>276189.692416573</v>
      </c>
      <c r="AM36" s="773" t="n">
        <f aca="false">(Breakout!$E$107/12)*-1</f>
        <v>55221.25</v>
      </c>
      <c r="AN36" s="773" t="n">
        <v>55221.25</v>
      </c>
      <c r="AO36" s="774" t="n">
        <f aca="false">(P36+S36+V36)+Y36+AB36+AE36+AH36</f>
        <v>4820765.54036201</v>
      </c>
      <c r="AP36" s="774" t="n">
        <f aca="false">Q36+T36+W36+AA36+AD36+AG36+AJ36+AL36+AN36</f>
        <v>4942827.15678926</v>
      </c>
      <c r="AQ36" s="775" t="n">
        <f aca="false">P36+S36+V36+Y36+AB36+AE36+AH36-Q36-T36-W36-Z36-AC36-AF36-AI36-AK36-AM36-DH36-DL36-CN36</f>
        <v>151351.89355943</v>
      </c>
      <c r="AR36" s="869"/>
      <c r="AS36" s="776" t="n">
        <f aca="false">P36+S36+V36+Y36+AB36+AE36+AH36-R36-U36-X36-AA36-AD36-AG36-AJ36-AL36-AN36-O36-L36-CN36</f>
        <v>18239.3591271066</v>
      </c>
      <c r="AT36" s="869"/>
      <c r="AU36" s="770" t="n">
        <f aca="false">'wholesale services'!$F$110/12</f>
        <v>39106610.7060185</v>
      </c>
      <c r="AV36" s="770" t="n">
        <f aca="false">'wholesale services'!$F$113/12</f>
        <v>17613.2558333333</v>
      </c>
      <c r="AW36" s="869"/>
      <c r="AX36" s="851" t="n">
        <f aca="false">IF(A36&lt;$AX$6,0,-$R$5/12)</f>
        <v>-715341.083333333</v>
      </c>
      <c r="AY36" s="417" t="n">
        <f aca="false">IF(A36&lt;$AX$6,0,-$S$5/12)</f>
        <v>-705333.333333333</v>
      </c>
      <c r="AZ36" s="431"/>
      <c r="BA36" s="772" t="n">
        <f aca="false">P36-IF($BL$4="mid",Q36,R36)-$BL$9*(IF($BL$4="mid",N36,O36)+IF($BL$4="mid",DL36,L36))</f>
        <v>424110.677206237</v>
      </c>
      <c r="BB36" s="772" t="n">
        <f aca="false">S36-IF($BL$4="mid",T36,U36)-$BM$9*(IF($BL$4="mid",N36,O36)+IF($BL$4="mid",DL36,L36))</f>
        <v>-10276.6460450118</v>
      </c>
      <c r="BC36" s="772" t="n">
        <f aca="false">V36-IF($BL$4="mid",W36,X36)-$BN$9*(IF($BL$4="mid",N36,O36)+IF($BL$4="mid",DL36,L36))</f>
        <v>-41.5979799401321</v>
      </c>
      <c r="BD36" s="772" t="n">
        <f aca="false">Y36-IF($BL$4="mid",Z36,AA36)</f>
        <v>42420.9384288263</v>
      </c>
      <c r="BE36" s="772" t="n">
        <f aca="false">AB36-IF($BL$4="mid",AC36,AD36)</f>
        <v>10449.3248060776</v>
      </c>
      <c r="BF36" s="772" t="n">
        <f aca="false">AE36-IF($BL$4="mid",AF36,AG36)</f>
        <v>-4440.89487202454</v>
      </c>
      <c r="BG36" s="772" t="n">
        <f aca="false">AH36-IF($BL$4="mid",AI36,AJ36)</f>
        <v>20541.0344318382</v>
      </c>
      <c r="BH36" s="772" t="n">
        <f aca="false">-IF($BL$4="mid",AK36,AL36)</f>
        <v>-276189.692416573</v>
      </c>
      <c r="BI36" s="772" t="n">
        <f aca="false">-IF($BL$4="mid",AM36,AN36)</f>
        <v>-55221.25</v>
      </c>
      <c r="BJ36" s="869"/>
      <c r="BK36" s="431"/>
      <c r="BL36" s="772" t="n">
        <f aca="false">BW36-IF($BL$4="mid",Q36,R36)-$BL$9*(IF($BL$4="mid",N36,O36)+IF($BL$4="mid",DL36,L36))</f>
        <v>568013.061797971</v>
      </c>
      <c r="BM36" s="772" t="n">
        <f aca="false">BX36-IF($BL$4="mid",T36,U36)-$BM$9*(IF($BL$4="mid",N36,O36)+IF($BL$4="mid",DL36,L36))</f>
        <v>-5178.32347620849</v>
      </c>
      <c r="BN36" s="772" t="n">
        <f aca="false">BY36-IF($BL$4="mid",W36,X36)-$BN$9*(IF($BL$4="mid",N36,O36)+IF($BL$4="mid",DL36,L36))</f>
        <v>2524.71782185321</v>
      </c>
      <c r="BO36" s="772" t="n">
        <f aca="false">BZ36-IF($BL$4="mid",Z36,AA36)</f>
        <v>61088.484254438</v>
      </c>
      <c r="BP36" s="772" t="n">
        <f aca="false">CA36-IF($BL$4="mid",AC36,AD36)</f>
        <v>27624.8817192751</v>
      </c>
      <c r="BQ36" s="772" t="n">
        <f aca="false">CB36-IF($BL$4="mid",AF36,AG36)</f>
        <v>8590.52740274812</v>
      </c>
      <c r="BR36" s="772" t="n">
        <f aca="false">CC36-IF($BL$4="mid",AI36,AJ36)</f>
        <v>21398.7603014215</v>
      </c>
      <c r="BS36" s="772" t="n">
        <f aca="false">-IF($BL$4="mid",AK36,AL36)</f>
        <v>-276189.692416573</v>
      </c>
      <c r="BT36" s="772" t="n">
        <f aca="false">-IF($BL$4="mid",AM36,AN36)</f>
        <v>-55221.25</v>
      </c>
      <c r="BU36" s="869"/>
      <c r="BV36" s="869"/>
      <c r="BW36" s="868" t="n">
        <f aca="false">Breakout!$E$15/12</f>
        <v>3590112.81329009</v>
      </c>
      <c r="BX36" s="868" t="n">
        <f aca="false">Breakout!$E$26/12</f>
        <v>127194.23123165</v>
      </c>
      <c r="BY36" s="868" t="n">
        <f aca="false">Breakout!$E$37/12</f>
        <v>64025.0908218532</v>
      </c>
      <c r="BZ36" s="868" t="n">
        <f aca="false">Breakout!$E$48/12</f>
        <v>465722.619200138</v>
      </c>
      <c r="CA36" s="868" t="n">
        <f aca="false">Breakout!$E$59/12</f>
        <v>428500.105292938</v>
      </c>
      <c r="CB36" s="868" t="n">
        <f aca="false">Breakout!$E$70/12</f>
        <v>325111.194069415</v>
      </c>
      <c r="CC36" s="868" t="n">
        <f aca="false">Breakout!$E$81/12</f>
        <v>21398.7603014215</v>
      </c>
      <c r="CD36" s="869"/>
      <c r="CE36" s="852" t="n">
        <f aca="false">P36/0.96</f>
        <v>3589802.52989412</v>
      </c>
      <c r="CF36" s="852" t="n">
        <f aca="false">S36/0.96</f>
        <v>127183.238190465</v>
      </c>
      <c r="CG36" s="852" t="n">
        <f aca="false">V36/0.96</f>
        <v>64019.5573125624</v>
      </c>
      <c r="CH36" s="869"/>
      <c r="CI36" s="852" t="n">
        <f aca="false">N36</f>
        <v>-715341.083333333</v>
      </c>
      <c r="CJ36" s="852" t="n">
        <f aca="false">O36</f>
        <v>-705333.333333333</v>
      </c>
      <c r="CK36" s="869"/>
      <c r="CL36" s="772" t="n">
        <f aca="false">'account mgt'!$E$23/12</f>
        <v>-51239.7</v>
      </c>
      <c r="CM36" s="869"/>
      <c r="CN36" s="772" t="n">
        <v>0</v>
      </c>
      <c r="CO36" s="869"/>
      <c r="CP36" s="869"/>
      <c r="CQ36" s="431"/>
      <c r="CR36" s="431"/>
      <c r="CS36" s="431"/>
      <c r="CT36" s="772" t="n">
        <f aca="false">CW35</f>
        <v>30438645.7813817</v>
      </c>
      <c r="CU36" s="772" t="n">
        <f aca="false">IF(CT36&lt;0.1,0,CT36*$L$3)</f>
        <v>240211.646291404</v>
      </c>
      <c r="CV36" s="772" t="n">
        <f aca="false">IF(CT36&lt;0.1,0,PPMT($L$3,A36-14,unwinds!$B$8*12,$K$5))</f>
        <v>527347.231211193</v>
      </c>
      <c r="CW36" s="772" t="n">
        <f aca="false">IF(CT36-CV36&lt;0,0,CT36-CV36)</f>
        <v>29911298.5501705</v>
      </c>
      <c r="CX36" s="772" t="n">
        <f aca="false">IF(CX35-CV36&lt;0,0,CX35-CV36)</f>
        <v>29911298.5501705</v>
      </c>
      <c r="CY36" s="869"/>
      <c r="DA36" s="772" t="n">
        <f aca="false">DD35</f>
        <v>33258967.2724228</v>
      </c>
      <c r="DB36" s="772" t="n">
        <f aca="false">DA36*$L$3</f>
        <v>262468.683391537</v>
      </c>
      <c r="DC36" s="772" t="n">
        <f aca="false">PPMT($L$3,A36-14,106,$K$5)</f>
        <v>232929.388280077</v>
      </c>
      <c r="DD36" s="772" t="n">
        <f aca="false">DA36-DC36</f>
        <v>33026037.8841427</v>
      </c>
      <c r="DE36" s="772" t="n">
        <f aca="false">DE35-DC36</f>
        <v>33026037.8841427</v>
      </c>
      <c r="DF36" s="869"/>
      <c r="DG36" s="869"/>
      <c r="DH36" s="417" t="n">
        <v>-715341.083333333</v>
      </c>
      <c r="DI36" s="417" t="n">
        <v>-705333.333333333</v>
      </c>
      <c r="DJ36" s="417"/>
      <c r="DK36" s="869"/>
      <c r="DL36" s="417" t="n">
        <f aca="false">PMT($J$3,106,$I$5,,1)</f>
        <v>474832.92700925</v>
      </c>
      <c r="DM36" s="869"/>
      <c r="DN36" s="417" t="n">
        <f aca="false">IF($BL$4="mid",DH36,DI36)</f>
        <v>-715341.083333333</v>
      </c>
      <c r="DO36" s="417" t="n">
        <f aca="false">IF($BL$4="mid",DL36,L36)</f>
        <v>474832.92700925</v>
      </c>
      <c r="DP36" s="869"/>
      <c r="DQ36" s="772" t="n">
        <f aca="false">BW36-IF($BL$4="mid",Q36,R36)</f>
        <v>339530.313290092</v>
      </c>
      <c r="DR36" s="772" t="n">
        <f aca="false">BX36-IF($BL$4="mid",T36,U36)</f>
        <v>-17203.7312924127</v>
      </c>
      <c r="DS36" s="869"/>
      <c r="DT36" s="869"/>
      <c r="DU36" s="869"/>
      <c r="DV36" s="869"/>
      <c r="DW36" s="869"/>
      <c r="DX36" s="869"/>
    </row>
    <row r="37" customFormat="false" ht="12.75" hidden="false" customHeight="false" outlineLevel="0" collapsed="false">
      <c r="A37" s="767" t="n">
        <v>26</v>
      </c>
      <c r="B37" s="854" t="n">
        <v>37288</v>
      </c>
      <c r="C37" s="417" t="n">
        <v>0</v>
      </c>
      <c r="D37" s="417" t="n">
        <v>0</v>
      </c>
      <c r="E37" s="417" t="n">
        <v>0</v>
      </c>
      <c r="F37" s="417" t="n">
        <v>258589.777971204</v>
      </c>
      <c r="G37" s="417" t="n">
        <v>232929.38828008</v>
      </c>
      <c r="H37" s="417" t="n">
        <v>0</v>
      </c>
      <c r="I37" s="417" t="n">
        <v>491519.166251284</v>
      </c>
      <c r="J37" s="417"/>
      <c r="K37" s="417"/>
      <c r="L37" s="417" t="n">
        <f aca="false">PMT($L$3,106,$K$5,,1)</f>
        <v>491519.166251281</v>
      </c>
      <c r="M37" s="417"/>
      <c r="N37" s="850" t="n">
        <f aca="false">IF(A37&lt;$B$8,0,-$R$5/12)</f>
        <v>-715341.083333333</v>
      </c>
      <c r="O37" s="850" t="n">
        <f aca="false">IF(A37&lt;$B$8,0,-$S$5/12)</f>
        <v>-705333.333333333</v>
      </c>
      <c r="P37" s="872" t="n">
        <f aca="false">Breakout!$E$16/12</f>
        <v>3446210.42869836</v>
      </c>
      <c r="Q37" s="770" t="n">
        <f aca="false">'wholesale services'!$D$110*'wholesale services'!$F$111/12</f>
        <v>3250582.5</v>
      </c>
      <c r="R37" s="770" t="n">
        <v>3320487.5</v>
      </c>
      <c r="S37" s="872" t="n">
        <f aca="false">Breakout!$E$27/12</f>
        <v>122095.908662846</v>
      </c>
      <c r="T37" s="770" t="n">
        <f aca="false">'wholesale services'!$D$113*'wholesale services'!$F$114/12</f>
        <v>144397.962524062</v>
      </c>
      <c r="U37" s="770" t="n">
        <v>147344.859718431</v>
      </c>
      <c r="V37" s="872" t="n">
        <f aca="false">Breakout!$E$38/12</f>
        <v>61458.7750200599</v>
      </c>
      <c r="W37" s="431" t="n">
        <f aca="false">Breakout!$E$39/12</f>
        <v>61500.373</v>
      </c>
      <c r="X37" s="431" t="n">
        <v>62161.6673333333</v>
      </c>
      <c r="Y37" s="872" t="n">
        <f aca="false">Breakout!$E$49/12</f>
        <v>447055.073374526</v>
      </c>
      <c r="Z37" s="873" t="n">
        <f aca="false">Breakout!$E$50/12</f>
        <v>404634.1349457</v>
      </c>
      <c r="AA37" s="873" t="n">
        <v>425040.038430047</v>
      </c>
      <c r="AB37" s="872" t="n">
        <f aca="false">Breakout!$E$60/12</f>
        <v>411324.548379741</v>
      </c>
      <c r="AC37" s="873" t="n">
        <f aca="false">Breakout!$E$61/12</f>
        <v>400875.223573663</v>
      </c>
      <c r="AD37" s="873" t="n">
        <v>413374.673751907</v>
      </c>
      <c r="AE37" s="872" t="n">
        <f aca="false">Breakout!$E$71/12</f>
        <v>312079.771794642</v>
      </c>
      <c r="AF37" s="873" t="n">
        <f aca="false">Breakout!$E$72/12</f>
        <v>316520.666666667</v>
      </c>
      <c r="AG37" s="873" t="n">
        <v>316520.666666667</v>
      </c>
      <c r="AH37" s="872" t="n">
        <f aca="false">Breakout!$E$82/12</f>
        <v>20541.0344318382</v>
      </c>
      <c r="AI37" s="873" t="n">
        <f aca="false">Breakout!$E$83/12</f>
        <v>0</v>
      </c>
      <c r="AJ37" s="873" t="n">
        <v>0</v>
      </c>
      <c r="AK37" s="874" t="n">
        <f aca="false">Breakout!$E$91/12</f>
        <v>276189.692416573</v>
      </c>
      <c r="AL37" s="874" t="n">
        <v>276189.692416573</v>
      </c>
      <c r="AM37" s="773" t="n">
        <f aca="false">(Breakout!$E$107/12)*-1</f>
        <v>55221.25</v>
      </c>
      <c r="AN37" s="773" t="n">
        <v>55221.25</v>
      </c>
      <c r="AO37" s="774" t="n">
        <f aca="false">(P37+S37+V37)+Y37+AB37+AE37+AH37</f>
        <v>4820765.54036201</v>
      </c>
      <c r="AP37" s="774" t="n">
        <f aca="false">Q37+T37+W37+AA37+AD37+AG37+AJ37+AL37+AN37</f>
        <v>4942827.15678926</v>
      </c>
      <c r="AQ37" s="775" t="n">
        <f aca="false">P37+S37+V37+Y37+AB37+AE37+AH37-Q37-T37-W37-Z37-AC37-AF37-AI37-AK37-AM37-DH37-DL37-CN37</f>
        <v>151351.89355943</v>
      </c>
      <c r="AR37" s="431"/>
      <c r="AS37" s="776" t="n">
        <f aca="false">P37+S37+V37+Y37+AB37+AE37+AH37-R37-U37-X37-AA37-AD37-AG37-AJ37-AL37-AN37-O37-L37-CN37</f>
        <v>18239.3591271066</v>
      </c>
      <c r="AT37" s="431"/>
      <c r="AU37" s="770" t="n">
        <f aca="false">'wholesale services'!$F$110/12</f>
        <v>39106610.7060185</v>
      </c>
      <c r="AV37" s="770" t="n">
        <f aca="false">'wholesale services'!$F$113/12</f>
        <v>17613.2558333333</v>
      </c>
      <c r="AW37" s="431"/>
      <c r="AX37" s="851" t="n">
        <f aca="false">IF(A37&lt;$AX$6,0,-$R$5/12)</f>
        <v>-715341.083333333</v>
      </c>
      <c r="AY37" s="417" t="n">
        <f aca="false">IF(A37&lt;$AX$6,0,-$S$5/12)</f>
        <v>-705333.333333333</v>
      </c>
      <c r="AZ37" s="431"/>
      <c r="BA37" s="772" t="n">
        <f aca="false">P37-IF($BL$4="mid",Q37,R37)-$BL$9*(IF($BL$4="mid",N37,O37)+IF($BL$4="mid",DL37,L37))</f>
        <v>424110.677206237</v>
      </c>
      <c r="BB37" s="772" t="n">
        <f aca="false">S37-IF($BL$4="mid",T37,U37)-$BM$9*(IF($BL$4="mid",N37,O37)+IF($BL$4="mid",DL37,L37))</f>
        <v>-10276.6460450118</v>
      </c>
      <c r="BC37" s="772" t="n">
        <f aca="false">V37-IF($BL$4="mid",W37,X37)-$BN$9*(IF($BL$4="mid",N37,O37)+IF($BL$4="mid",DL37,L37))</f>
        <v>-41.5979799401321</v>
      </c>
      <c r="BD37" s="772" t="n">
        <f aca="false">Y37-IF($BL$4="mid",Z37,AA37)</f>
        <v>42420.9384288263</v>
      </c>
      <c r="BE37" s="772" t="n">
        <f aca="false">AB37-IF($BL$4="mid",AC37,AD37)</f>
        <v>10449.3248060776</v>
      </c>
      <c r="BF37" s="772" t="n">
        <f aca="false">AE37-IF($BL$4="mid",AF37,AG37)</f>
        <v>-4440.89487202454</v>
      </c>
      <c r="BG37" s="772" t="n">
        <f aca="false">AH37-IF($BL$4="mid",AI37,AJ37)</f>
        <v>20541.0344318382</v>
      </c>
      <c r="BH37" s="772" t="n">
        <f aca="false">-IF($BL$4="mid",AK37,AL37)</f>
        <v>-276189.692416573</v>
      </c>
      <c r="BI37" s="772" t="n">
        <f aca="false">-IF($BL$4="mid",AM37,AN37)</f>
        <v>-55221.25</v>
      </c>
      <c r="BL37" s="772" t="n">
        <f aca="false">BW37-IF($BL$4="mid",Q37,R37)-$BL$9*(IF($BL$4="mid",N37,O37)+IF($BL$4="mid",DL37,L37))</f>
        <v>568013.061797971</v>
      </c>
      <c r="BM37" s="772" t="n">
        <f aca="false">BX37-IF($BL$4="mid",T37,U37)-$BM$9*(IF($BL$4="mid",N37,O37)+IF($BL$4="mid",DL37,L37))</f>
        <v>-5178.32347620849</v>
      </c>
      <c r="BN37" s="772" t="n">
        <f aca="false">BY37-IF($BL$4="mid",W37,X37)-$BN$9*(IF($BL$4="mid",N37,O37)+IF($BL$4="mid",DL37,L37))</f>
        <v>2524.71782185321</v>
      </c>
      <c r="BO37" s="772" t="n">
        <f aca="false">BZ37-IF($BL$4="mid",Z37,AA37)</f>
        <v>61088.484254438</v>
      </c>
      <c r="BP37" s="772" t="n">
        <f aca="false">CA37-IF($BL$4="mid",AC37,AD37)</f>
        <v>27624.8817192751</v>
      </c>
      <c r="BQ37" s="772" t="n">
        <f aca="false">CB37-IF($BL$4="mid",AF37,AG37)</f>
        <v>8590.52740274812</v>
      </c>
      <c r="BR37" s="772" t="n">
        <f aca="false">CC37-IF($BL$4="mid",AI37,AJ37)</f>
        <v>21398.7603014215</v>
      </c>
      <c r="BS37" s="772" t="n">
        <f aca="false">-IF($BL$4="mid",AK37,AL37)</f>
        <v>-276189.692416573</v>
      </c>
      <c r="BT37" s="772" t="n">
        <f aca="false">-IF($BL$4="mid",AM37,AN37)</f>
        <v>-55221.25</v>
      </c>
      <c r="BW37" s="872" t="n">
        <f aca="false">Breakout!$E$15/12</f>
        <v>3590112.81329009</v>
      </c>
      <c r="BX37" s="872" t="n">
        <f aca="false">Breakout!$E$26/12</f>
        <v>127194.23123165</v>
      </c>
      <c r="BY37" s="872" t="n">
        <f aca="false">Breakout!$E$37/12</f>
        <v>64025.0908218532</v>
      </c>
      <c r="BZ37" s="872" t="n">
        <f aca="false">Breakout!$E$48/12</f>
        <v>465722.619200138</v>
      </c>
      <c r="CA37" s="872" t="n">
        <f aca="false">Breakout!$E$59/12</f>
        <v>428500.105292938</v>
      </c>
      <c r="CB37" s="872" t="n">
        <f aca="false">Breakout!$E$70/12</f>
        <v>325111.194069415</v>
      </c>
      <c r="CC37" s="872" t="n">
        <f aca="false">Breakout!$E$81/12</f>
        <v>21398.7603014215</v>
      </c>
      <c r="CE37" s="852" t="n">
        <f aca="false">P37/0.96</f>
        <v>3589802.52989412</v>
      </c>
      <c r="CF37" s="852" t="n">
        <f aca="false">S37/0.96</f>
        <v>127183.238190465</v>
      </c>
      <c r="CG37" s="852" t="n">
        <f aca="false">V37/0.96</f>
        <v>64019.5573125624</v>
      </c>
      <c r="CI37" s="852" t="n">
        <f aca="false">N37</f>
        <v>-715341.083333333</v>
      </c>
      <c r="CJ37" s="852" t="n">
        <f aca="false">O37</f>
        <v>-705333.333333333</v>
      </c>
      <c r="CL37" s="772" t="n">
        <f aca="false">'account mgt'!$E$23/12</f>
        <v>-51239.7</v>
      </c>
      <c r="CN37" s="772" t="n">
        <v>0</v>
      </c>
      <c r="CT37" s="772" t="n">
        <f aca="false">CW36</f>
        <v>29911298.5501705</v>
      </c>
      <c r="CU37" s="772" t="n">
        <f aca="false">IF(CT37&lt;0.1,0,CT37*$L$3)</f>
        <v>236049.997725095</v>
      </c>
      <c r="CV37" s="772" t="n">
        <f aca="false">IF(CT37&lt;0.1,0,PPMT($L$3,A37-14,unwinds!$B$8*12,$K$5))</f>
        <v>531508.879777501</v>
      </c>
      <c r="CW37" s="772" t="n">
        <f aca="false">IF(CT37-CV37&lt;0,0,CT37-CV37)</f>
        <v>29379789.670393</v>
      </c>
      <c r="CX37" s="772" t="n">
        <f aca="false">IF(CX36-CV37&lt;0,0,CX36-CV37)</f>
        <v>29379789.670393</v>
      </c>
      <c r="DA37" s="772" t="n">
        <f aca="false">DD36</f>
        <v>33026037.8841427</v>
      </c>
      <c r="DB37" s="772" t="n">
        <f aca="false">DA37*$L$3</f>
        <v>260630.48230236</v>
      </c>
      <c r="DC37" s="772" t="n">
        <f aca="false">PPMT($L$3,A37-14,106,$K$5)</f>
        <v>234767.589369254</v>
      </c>
      <c r="DD37" s="772" t="n">
        <f aca="false">DA37-DC37</f>
        <v>32791270.2947735</v>
      </c>
      <c r="DE37" s="772" t="n">
        <f aca="false">DE36-DC37</f>
        <v>32791270.2947735</v>
      </c>
      <c r="DH37" s="417" t="n">
        <v>-715341.083333333</v>
      </c>
      <c r="DI37" s="417" t="n">
        <v>-705333.333333333</v>
      </c>
      <c r="DJ37" s="417"/>
      <c r="DL37" s="417" t="n">
        <f aca="false">PMT($J$3,106,$I$5,,1)</f>
        <v>474832.92700925</v>
      </c>
      <c r="DN37" s="417" t="n">
        <f aca="false">IF($BL$4="mid",DH37,DI37)</f>
        <v>-715341.083333333</v>
      </c>
      <c r="DO37" s="417" t="n">
        <f aca="false">IF($BL$4="mid",DL37,L37)</f>
        <v>474832.92700925</v>
      </c>
      <c r="DQ37" s="772" t="n">
        <f aca="false">BW37-IF($BL$4="mid",Q37,R37)</f>
        <v>339530.313290092</v>
      </c>
      <c r="DR37" s="772" t="n">
        <f aca="false">BX37-IF($BL$4="mid",T37,U37)</f>
        <v>-17203.7312924127</v>
      </c>
      <c r="DS37" s="772"/>
      <c r="DT37" s="772"/>
      <c r="DU37" s="772"/>
      <c r="DV37" s="772"/>
      <c r="DW37" s="772"/>
      <c r="DX37" s="772"/>
    </row>
    <row r="38" customFormat="false" ht="12.75" hidden="false" customHeight="false" outlineLevel="0" collapsed="false">
      <c r="A38" s="767" t="n">
        <v>27</v>
      </c>
      <c r="B38" s="854" t="n">
        <v>37316</v>
      </c>
      <c r="C38" s="417" t="n">
        <v>0</v>
      </c>
      <c r="D38" s="417" t="n">
        <v>0</v>
      </c>
      <c r="E38" s="417" t="n">
        <v>0</v>
      </c>
      <c r="F38" s="417" t="n">
        <v>256751.576882027</v>
      </c>
      <c r="G38" s="417" t="n">
        <v>234767.589369257</v>
      </c>
      <c r="H38" s="417" t="n">
        <v>0</v>
      </c>
      <c r="I38" s="417" t="n">
        <v>491519.166251284</v>
      </c>
      <c r="J38" s="417"/>
      <c r="K38" s="417"/>
      <c r="L38" s="417" t="n">
        <f aca="false">PMT($L$3,106,$K$5,,1)</f>
        <v>491519.166251281</v>
      </c>
      <c r="M38" s="417"/>
      <c r="N38" s="850" t="n">
        <f aca="false">IF(A38&lt;$B$8,0,-$R$5/12)</f>
        <v>-715341.083333333</v>
      </c>
      <c r="O38" s="850" t="n">
        <f aca="false">IF(A38&lt;$B$8,0,-$S$5/12)</f>
        <v>-705333.333333333</v>
      </c>
      <c r="P38" s="872" t="n">
        <f aca="false">Breakout!$E$16/12</f>
        <v>3446210.42869836</v>
      </c>
      <c r="Q38" s="770" t="n">
        <f aca="false">'wholesale services'!$D$110*'wholesale services'!$F$111/12</f>
        <v>3250582.5</v>
      </c>
      <c r="R38" s="770" t="n">
        <v>3320487.5</v>
      </c>
      <c r="S38" s="872" t="n">
        <f aca="false">Breakout!$E$27/12</f>
        <v>122095.908662846</v>
      </c>
      <c r="T38" s="770" t="n">
        <f aca="false">'wholesale services'!$D$113*'wholesale services'!$F$114/12</f>
        <v>144397.962524062</v>
      </c>
      <c r="U38" s="770" t="n">
        <v>147344.859718431</v>
      </c>
      <c r="V38" s="872" t="n">
        <f aca="false">Breakout!$E$38/12</f>
        <v>61458.7750200599</v>
      </c>
      <c r="W38" s="431" t="n">
        <f aca="false">Breakout!$E$39/12</f>
        <v>61500.373</v>
      </c>
      <c r="X38" s="431" t="n">
        <v>62161.6673333333</v>
      </c>
      <c r="Y38" s="872" t="n">
        <f aca="false">Breakout!$E$49/12</f>
        <v>447055.073374526</v>
      </c>
      <c r="Z38" s="873" t="n">
        <f aca="false">Breakout!$E$50/12</f>
        <v>404634.1349457</v>
      </c>
      <c r="AA38" s="873" t="n">
        <v>425040.038430047</v>
      </c>
      <c r="AB38" s="872" t="n">
        <f aca="false">Breakout!$E$60/12</f>
        <v>411324.548379741</v>
      </c>
      <c r="AC38" s="873" t="n">
        <f aca="false">Breakout!$E$61/12</f>
        <v>400875.223573663</v>
      </c>
      <c r="AD38" s="873" t="n">
        <v>413374.673751907</v>
      </c>
      <c r="AE38" s="872" t="n">
        <f aca="false">Breakout!$E$71/12</f>
        <v>312079.771794642</v>
      </c>
      <c r="AF38" s="873" t="n">
        <f aca="false">Breakout!$E$72/12</f>
        <v>316520.666666667</v>
      </c>
      <c r="AG38" s="873" t="n">
        <v>316520.666666667</v>
      </c>
      <c r="AH38" s="872" t="n">
        <f aca="false">Breakout!$E$82/12</f>
        <v>20541.0344318382</v>
      </c>
      <c r="AI38" s="873" t="n">
        <f aca="false">Breakout!$E$83/12</f>
        <v>0</v>
      </c>
      <c r="AJ38" s="873" t="n">
        <v>0</v>
      </c>
      <c r="AK38" s="874" t="n">
        <f aca="false">Breakout!$E$91/12</f>
        <v>276189.692416573</v>
      </c>
      <c r="AL38" s="874" t="n">
        <v>276189.692416573</v>
      </c>
      <c r="AM38" s="773" t="n">
        <f aca="false">(Breakout!$E$107/12)*-1</f>
        <v>55221.25</v>
      </c>
      <c r="AN38" s="773" t="n">
        <v>55221.25</v>
      </c>
      <c r="AO38" s="774" t="n">
        <f aca="false">(P38+S38+V38)+Y38+AB38+AE38+AH38</f>
        <v>4820765.54036201</v>
      </c>
      <c r="AP38" s="774" t="n">
        <f aca="false">Q38+T38+W38+AA38+AD38+AG38+AJ38+AL38+AN38</f>
        <v>4942827.15678926</v>
      </c>
      <c r="AQ38" s="775" t="n">
        <f aca="false">P38+S38+V38+Y38+AB38+AE38+AH38-Q38-T38-W38-Z38-AC38-AF38-AI38-AK38-AM38-DH38-DL38-CN38</f>
        <v>151351.89355943</v>
      </c>
      <c r="AR38" s="431"/>
      <c r="AS38" s="776" t="n">
        <f aca="false">P38+S38+V38+Y38+AB38+AE38+AH38-R38-U38-X38-AA38-AD38-AG38-AJ38-AL38-AN38-O38-L38-CN38</f>
        <v>18239.3591271066</v>
      </c>
      <c r="AT38" s="431"/>
      <c r="AU38" s="770" t="n">
        <f aca="false">'wholesale services'!$F$110/12</f>
        <v>39106610.7060185</v>
      </c>
      <c r="AV38" s="770" t="n">
        <f aca="false">'wholesale services'!$F$113/12</f>
        <v>17613.2558333333</v>
      </c>
      <c r="AW38" s="431"/>
      <c r="AX38" s="851" t="n">
        <f aca="false">IF(A38&lt;$AX$6,0,-$R$5/12)</f>
        <v>-715341.083333333</v>
      </c>
      <c r="AY38" s="417" t="n">
        <f aca="false">IF(A38&lt;$AX$6,0,-$S$5/12)</f>
        <v>-705333.333333333</v>
      </c>
      <c r="AZ38" s="431"/>
      <c r="BA38" s="772" t="n">
        <f aca="false">P38-IF($BL$4="mid",Q38,R38)-$BL$9*(IF($BL$4="mid",N38,O38)+IF($BL$4="mid",DL38,L38))</f>
        <v>424110.677206237</v>
      </c>
      <c r="BB38" s="772" t="n">
        <f aca="false">S38-IF($BL$4="mid",T38,U38)-$BM$9*(IF($BL$4="mid",N38,O38)+IF($BL$4="mid",DL38,L38))</f>
        <v>-10276.6460450118</v>
      </c>
      <c r="BC38" s="772" t="n">
        <f aca="false">V38-IF($BL$4="mid",W38,X38)-$BN$9*(IF($BL$4="mid",N38,O38)+IF($BL$4="mid",DL38,L38))</f>
        <v>-41.5979799401321</v>
      </c>
      <c r="BD38" s="772" t="n">
        <f aca="false">Y38-IF($BL$4="mid",Z38,AA38)</f>
        <v>42420.9384288263</v>
      </c>
      <c r="BE38" s="772" t="n">
        <f aca="false">AB38-IF($BL$4="mid",AC38,AD38)</f>
        <v>10449.3248060776</v>
      </c>
      <c r="BF38" s="772" t="n">
        <f aca="false">AE38-IF($BL$4="mid",AF38,AG38)</f>
        <v>-4440.89487202454</v>
      </c>
      <c r="BG38" s="772" t="n">
        <f aca="false">AH38-IF($BL$4="mid",AI38,AJ38)</f>
        <v>20541.0344318382</v>
      </c>
      <c r="BH38" s="772" t="n">
        <f aca="false">-IF($BL$4="mid",AK38,AL38)</f>
        <v>-276189.692416573</v>
      </c>
      <c r="BI38" s="772" t="n">
        <f aca="false">-IF($BL$4="mid",AM38,AN38)</f>
        <v>-55221.25</v>
      </c>
      <c r="BL38" s="772" t="n">
        <f aca="false">BW38-IF($BL$4="mid",Q38,R38)-$BL$9*(IF($BL$4="mid",N38,O38)+IF($BL$4="mid",DL38,L38))</f>
        <v>568013.061797971</v>
      </c>
      <c r="BM38" s="772" t="n">
        <f aca="false">BX38-IF($BL$4="mid",T38,U38)-$BM$9*(IF($BL$4="mid",N38,O38)+IF($BL$4="mid",DL38,L38))</f>
        <v>-5178.32347620849</v>
      </c>
      <c r="BN38" s="772" t="n">
        <f aca="false">BY38-IF($BL$4="mid",W38,X38)-$BN$9*(IF($BL$4="mid",N38,O38)+IF($BL$4="mid",DL38,L38))</f>
        <v>2524.71782185321</v>
      </c>
      <c r="BO38" s="772" t="n">
        <f aca="false">BZ38-IF($BL$4="mid",Z38,AA38)</f>
        <v>61088.484254438</v>
      </c>
      <c r="BP38" s="772" t="n">
        <f aca="false">CA38-IF($BL$4="mid",AC38,AD38)</f>
        <v>27624.8817192751</v>
      </c>
      <c r="BQ38" s="772" t="n">
        <f aca="false">CB38-IF($BL$4="mid",AF38,AG38)</f>
        <v>8590.52740274812</v>
      </c>
      <c r="BR38" s="772" t="n">
        <f aca="false">CC38-IF($BL$4="mid",AI38,AJ38)</f>
        <v>21398.7603014215</v>
      </c>
      <c r="BS38" s="772" t="n">
        <f aca="false">-IF($BL$4="mid",AK38,AL38)</f>
        <v>-276189.692416573</v>
      </c>
      <c r="BT38" s="772" t="n">
        <f aca="false">-IF($BL$4="mid",AM38,AN38)</f>
        <v>-55221.25</v>
      </c>
      <c r="BW38" s="872" t="n">
        <f aca="false">Breakout!$E$15/12</f>
        <v>3590112.81329009</v>
      </c>
      <c r="BX38" s="872" t="n">
        <f aca="false">Breakout!$E$26/12</f>
        <v>127194.23123165</v>
      </c>
      <c r="BY38" s="872" t="n">
        <f aca="false">Breakout!$E$37/12</f>
        <v>64025.0908218532</v>
      </c>
      <c r="BZ38" s="872" t="n">
        <f aca="false">Breakout!$E$48/12</f>
        <v>465722.619200138</v>
      </c>
      <c r="CA38" s="872" t="n">
        <f aca="false">Breakout!$E$59/12</f>
        <v>428500.105292938</v>
      </c>
      <c r="CB38" s="872" t="n">
        <f aca="false">Breakout!$E$70/12</f>
        <v>325111.194069415</v>
      </c>
      <c r="CC38" s="872" t="n">
        <f aca="false">Breakout!$E$81/12</f>
        <v>21398.7603014215</v>
      </c>
      <c r="CE38" s="852" t="n">
        <f aca="false">P38/0.96</f>
        <v>3589802.52989412</v>
      </c>
      <c r="CF38" s="852" t="n">
        <f aca="false">S38/0.96</f>
        <v>127183.238190465</v>
      </c>
      <c r="CG38" s="852" t="n">
        <f aca="false">V38/0.96</f>
        <v>64019.5573125624</v>
      </c>
      <c r="CI38" s="852" t="n">
        <f aca="false">N38</f>
        <v>-715341.083333333</v>
      </c>
      <c r="CJ38" s="852" t="n">
        <f aca="false">O38</f>
        <v>-705333.333333333</v>
      </c>
      <c r="CL38" s="772" t="n">
        <f aca="false">'account mgt'!$E$23/12</f>
        <v>-51239.7</v>
      </c>
      <c r="CN38" s="772" t="n">
        <v>0</v>
      </c>
      <c r="CT38" s="772" t="n">
        <f aca="false">CW37</f>
        <v>29379789.670393</v>
      </c>
      <c r="CU38" s="772" t="n">
        <f aca="false">IF(CT38&lt;0.1,0,CT38*$L$3)</f>
        <v>231855.506815518</v>
      </c>
      <c r="CV38" s="772" t="n">
        <f aca="false">IF(CT38&lt;0.1,0,PPMT($L$3,A38-14,unwinds!$B$8*12,$K$5))</f>
        <v>535703.370687079</v>
      </c>
      <c r="CW38" s="772" t="n">
        <f aca="false">IF(CT38-CV38&lt;0,0,CT38-CV38)</f>
        <v>28844086.2997059</v>
      </c>
      <c r="CX38" s="772" t="n">
        <f aca="false">IF(CX37-CV38&lt;0,0,CX37-CV38)</f>
        <v>28844086.2997059</v>
      </c>
      <c r="DA38" s="772" t="n">
        <f aca="false">DD37</f>
        <v>32791270.2947735</v>
      </c>
      <c r="DB38" s="772" t="n">
        <f aca="false">DA38*$L$3</f>
        <v>258777.774742921</v>
      </c>
      <c r="DC38" s="772" t="n">
        <f aca="false">PPMT($L$3,A38-14,106,$K$5)</f>
        <v>236620.296928693</v>
      </c>
      <c r="DD38" s="772" t="n">
        <f aca="false">DA38-DC38</f>
        <v>32554649.9978448</v>
      </c>
      <c r="DE38" s="772" t="n">
        <f aca="false">DE37-DC38</f>
        <v>32554649.9978448</v>
      </c>
      <c r="DH38" s="417" t="n">
        <v>-715341.083333333</v>
      </c>
      <c r="DI38" s="417" t="n">
        <v>-705333.333333333</v>
      </c>
      <c r="DJ38" s="417"/>
      <c r="DL38" s="417" t="n">
        <f aca="false">PMT($J$3,106,$I$5,,1)</f>
        <v>474832.92700925</v>
      </c>
      <c r="DN38" s="417" t="n">
        <f aca="false">IF($BL$4="mid",DH38,DI38)</f>
        <v>-715341.083333333</v>
      </c>
      <c r="DO38" s="417" t="n">
        <f aca="false">IF($BL$4="mid",DL38,L38)</f>
        <v>474832.92700925</v>
      </c>
      <c r="DQ38" s="772" t="n">
        <f aca="false">BW38-IF($BL$4="mid",Q38,R38)</f>
        <v>339530.313290092</v>
      </c>
      <c r="DR38" s="772" t="n">
        <f aca="false">BX38-IF($BL$4="mid",T38,U38)</f>
        <v>-17203.7312924127</v>
      </c>
      <c r="DS38" s="772"/>
      <c r="DT38" s="772"/>
      <c r="DU38" s="772"/>
      <c r="DV38" s="772"/>
      <c r="DW38" s="772"/>
      <c r="DX38" s="772"/>
    </row>
    <row r="39" customFormat="false" ht="12.75" hidden="false" customHeight="false" outlineLevel="0" collapsed="false">
      <c r="A39" s="767" t="n">
        <v>28</v>
      </c>
      <c r="B39" s="854" t="n">
        <v>37347</v>
      </c>
      <c r="C39" s="417" t="n">
        <v>0</v>
      </c>
      <c r="D39" s="417" t="n">
        <v>0</v>
      </c>
      <c r="E39" s="417" t="n">
        <v>0</v>
      </c>
      <c r="F39" s="417" t="n">
        <v>254898.869322587</v>
      </c>
      <c r="G39" s="417" t="n">
        <v>236620.296928696</v>
      </c>
      <c r="H39" s="417" t="n">
        <v>0</v>
      </c>
      <c r="I39" s="417" t="n">
        <v>491519.166251284</v>
      </c>
      <c r="J39" s="417"/>
      <c r="K39" s="417"/>
      <c r="L39" s="417" t="n">
        <f aca="false">PMT($L$3,106,$K$5,,1)</f>
        <v>491519.166251281</v>
      </c>
      <c r="M39" s="417"/>
      <c r="N39" s="850" t="n">
        <f aca="false">IF(A39&lt;$B$8,0,-$R$5/12)</f>
        <v>-715341.083333333</v>
      </c>
      <c r="O39" s="850" t="n">
        <f aca="false">IF(A39&lt;$B$8,0,-$S$5/12)</f>
        <v>-705333.333333333</v>
      </c>
      <c r="P39" s="872" t="n">
        <f aca="false">Breakout!$E$16/12</f>
        <v>3446210.42869836</v>
      </c>
      <c r="Q39" s="770" t="n">
        <f aca="false">'wholesale services'!$D$110*'wholesale services'!$F$111/12</f>
        <v>3250582.5</v>
      </c>
      <c r="R39" s="770" t="n">
        <v>3320487.5</v>
      </c>
      <c r="S39" s="872" t="n">
        <f aca="false">Breakout!$E$27/12</f>
        <v>122095.908662846</v>
      </c>
      <c r="T39" s="770" t="n">
        <f aca="false">'wholesale services'!$D$113*'wholesale services'!$F$114/12</f>
        <v>144397.962524062</v>
      </c>
      <c r="U39" s="770" t="n">
        <v>147344.859718431</v>
      </c>
      <c r="V39" s="872" t="n">
        <f aca="false">Breakout!$E$38/12</f>
        <v>61458.7750200599</v>
      </c>
      <c r="W39" s="431" t="n">
        <f aca="false">Breakout!$E$39/12</f>
        <v>61500.373</v>
      </c>
      <c r="X39" s="431" t="n">
        <v>62161.6673333333</v>
      </c>
      <c r="Y39" s="872" t="n">
        <f aca="false">Breakout!$E$49/12</f>
        <v>447055.073374526</v>
      </c>
      <c r="Z39" s="873" t="n">
        <f aca="false">Breakout!$E$50/12</f>
        <v>404634.1349457</v>
      </c>
      <c r="AA39" s="873" t="n">
        <v>425040.038430047</v>
      </c>
      <c r="AB39" s="872" t="n">
        <f aca="false">Breakout!$E$60/12</f>
        <v>411324.548379741</v>
      </c>
      <c r="AC39" s="873" t="n">
        <f aca="false">Breakout!$E$61/12</f>
        <v>400875.223573663</v>
      </c>
      <c r="AD39" s="873" t="n">
        <v>413374.673751907</v>
      </c>
      <c r="AE39" s="872" t="n">
        <f aca="false">Breakout!$E$71/12</f>
        <v>312079.771794642</v>
      </c>
      <c r="AF39" s="873" t="n">
        <f aca="false">Breakout!$E$72/12</f>
        <v>316520.666666667</v>
      </c>
      <c r="AG39" s="873" t="n">
        <v>316520.666666667</v>
      </c>
      <c r="AH39" s="872" t="n">
        <f aca="false">Breakout!$E$82/12</f>
        <v>20541.0344318382</v>
      </c>
      <c r="AI39" s="873" t="n">
        <f aca="false">Breakout!$E$83/12</f>
        <v>0</v>
      </c>
      <c r="AJ39" s="873" t="n">
        <v>0</v>
      </c>
      <c r="AK39" s="874" t="n">
        <f aca="false">Breakout!$E$91/12</f>
        <v>276189.692416573</v>
      </c>
      <c r="AL39" s="874" t="n">
        <v>276189.692416573</v>
      </c>
      <c r="AM39" s="773" t="n">
        <f aca="false">(Breakout!$E$107/12)*-1</f>
        <v>55221.25</v>
      </c>
      <c r="AN39" s="773" t="n">
        <v>55221.25</v>
      </c>
      <c r="AO39" s="774" t="n">
        <f aca="false">(P39+S39+V39)+Y39+AB39+AE39+AH39</f>
        <v>4820765.54036201</v>
      </c>
      <c r="AP39" s="774" t="n">
        <f aca="false">Q39+T39+W39+AA39+AD39+AG39+AJ39+AL39+AN39</f>
        <v>4942827.15678926</v>
      </c>
      <c r="AQ39" s="775" t="n">
        <f aca="false">P39+S39+V39+Y39+AB39+AE39+AH39-Q39-T39-W39-Z39-AC39-AF39-AI39-AK39-AM39-DH39-DL39-CN39</f>
        <v>151351.89355943</v>
      </c>
      <c r="AR39" s="431"/>
      <c r="AS39" s="776" t="n">
        <f aca="false">P39+S39+V39+Y39+AB39+AE39+AH39-R39-U39-X39-AA39-AD39-AG39-AJ39-AL39-AN39-O39-L39-CN39</f>
        <v>18239.3591271066</v>
      </c>
      <c r="AT39" s="431"/>
      <c r="AU39" s="770" t="n">
        <f aca="false">'wholesale services'!$F$110/12</f>
        <v>39106610.7060185</v>
      </c>
      <c r="AV39" s="770" t="n">
        <f aca="false">'wholesale services'!$F$113/12</f>
        <v>17613.2558333333</v>
      </c>
      <c r="AW39" s="431"/>
      <c r="AX39" s="851" t="n">
        <f aca="false">IF(A39&lt;$AX$6,0,-$R$5/12)</f>
        <v>-715341.083333333</v>
      </c>
      <c r="AY39" s="417" t="n">
        <f aca="false">IF(A39&lt;$AX$6,0,-$S$5/12)</f>
        <v>-705333.333333333</v>
      </c>
      <c r="AZ39" s="431"/>
      <c r="BA39" s="772" t="n">
        <f aca="false">P39-IF($BL$4="mid",Q39,R39)-$BL$9*(IF($BL$4="mid",N39,O39)+IF($BL$4="mid",DL39,L39))</f>
        <v>424110.677206237</v>
      </c>
      <c r="BB39" s="772" t="n">
        <f aca="false">S39-IF($BL$4="mid",T39,U39)-$BM$9*(IF($BL$4="mid",N39,O39)+IF($BL$4="mid",DL39,L39))</f>
        <v>-10276.6460450118</v>
      </c>
      <c r="BC39" s="772" t="n">
        <f aca="false">V39-IF($BL$4="mid",W39,X39)-$BN$9*(IF($BL$4="mid",N39,O39)+IF($BL$4="mid",DL39,L39))</f>
        <v>-41.5979799401321</v>
      </c>
      <c r="BD39" s="772" t="n">
        <f aca="false">Y39-IF($BL$4="mid",Z39,AA39)</f>
        <v>42420.9384288263</v>
      </c>
      <c r="BE39" s="772" t="n">
        <f aca="false">AB39-IF($BL$4="mid",AC39,AD39)</f>
        <v>10449.3248060776</v>
      </c>
      <c r="BF39" s="772" t="n">
        <f aca="false">AE39-IF($BL$4="mid",AF39,AG39)</f>
        <v>-4440.89487202454</v>
      </c>
      <c r="BG39" s="772" t="n">
        <f aca="false">AH39-IF($BL$4="mid",AI39,AJ39)</f>
        <v>20541.0344318382</v>
      </c>
      <c r="BH39" s="772" t="n">
        <f aca="false">-IF($BL$4="mid",AK39,AL39)</f>
        <v>-276189.692416573</v>
      </c>
      <c r="BI39" s="772" t="n">
        <f aca="false">-IF($BL$4="mid",AM39,AN39)</f>
        <v>-55221.25</v>
      </c>
      <c r="BL39" s="772" t="n">
        <f aca="false">BW39-IF($BL$4="mid",Q39,R39)-$BL$9*(IF($BL$4="mid",N39,O39)+IF($BL$4="mid",DL39,L39))</f>
        <v>568013.061797971</v>
      </c>
      <c r="BM39" s="772" t="n">
        <f aca="false">BX39-IF($BL$4="mid",T39,U39)-$BM$9*(IF($BL$4="mid",N39,O39)+IF($BL$4="mid",DL39,L39))</f>
        <v>-5178.32347620849</v>
      </c>
      <c r="BN39" s="772" t="n">
        <f aca="false">BY39-IF($BL$4="mid",W39,X39)-$BN$9*(IF($BL$4="mid",N39,O39)+IF($BL$4="mid",DL39,L39))</f>
        <v>2524.71782185321</v>
      </c>
      <c r="BO39" s="772" t="n">
        <f aca="false">BZ39-IF($BL$4="mid",Z39,AA39)</f>
        <v>61088.484254438</v>
      </c>
      <c r="BP39" s="772" t="n">
        <f aca="false">CA39-IF($BL$4="mid",AC39,AD39)</f>
        <v>27624.8817192751</v>
      </c>
      <c r="BQ39" s="772" t="n">
        <f aca="false">CB39-IF($BL$4="mid",AF39,AG39)</f>
        <v>8590.52740274812</v>
      </c>
      <c r="BR39" s="772" t="n">
        <f aca="false">CC39-IF($BL$4="mid",AI39,AJ39)</f>
        <v>21398.7603014215</v>
      </c>
      <c r="BS39" s="772" t="n">
        <f aca="false">-IF($BL$4="mid",AK39,AL39)</f>
        <v>-276189.692416573</v>
      </c>
      <c r="BT39" s="772" t="n">
        <f aca="false">-IF($BL$4="mid",AM39,AN39)</f>
        <v>-55221.25</v>
      </c>
      <c r="BW39" s="872" t="n">
        <f aca="false">Breakout!$E$15/12</f>
        <v>3590112.81329009</v>
      </c>
      <c r="BX39" s="872" t="n">
        <f aca="false">Breakout!$E$26/12</f>
        <v>127194.23123165</v>
      </c>
      <c r="BY39" s="872" t="n">
        <f aca="false">Breakout!$E$37/12</f>
        <v>64025.0908218532</v>
      </c>
      <c r="BZ39" s="872" t="n">
        <f aca="false">Breakout!$E$48/12</f>
        <v>465722.619200138</v>
      </c>
      <c r="CA39" s="872" t="n">
        <f aca="false">Breakout!$E$59/12</f>
        <v>428500.105292938</v>
      </c>
      <c r="CB39" s="872" t="n">
        <f aca="false">Breakout!$E$70/12</f>
        <v>325111.194069415</v>
      </c>
      <c r="CC39" s="872" t="n">
        <f aca="false">Breakout!$E$81/12</f>
        <v>21398.7603014215</v>
      </c>
      <c r="CE39" s="852" t="n">
        <f aca="false">P39/0.96</f>
        <v>3589802.52989412</v>
      </c>
      <c r="CF39" s="852" t="n">
        <f aca="false">S39/0.96</f>
        <v>127183.238190465</v>
      </c>
      <c r="CG39" s="852" t="n">
        <f aca="false">V39/0.96</f>
        <v>64019.5573125624</v>
      </c>
      <c r="CI39" s="852" t="n">
        <f aca="false">N39</f>
        <v>-715341.083333333</v>
      </c>
      <c r="CJ39" s="852" t="n">
        <f aca="false">O39</f>
        <v>-705333.333333333</v>
      </c>
      <c r="CL39" s="772" t="n">
        <f aca="false">'account mgt'!$E$23/12</f>
        <v>-51239.7</v>
      </c>
      <c r="CN39" s="772" t="n">
        <v>0</v>
      </c>
      <c r="CT39" s="772" t="n">
        <f aca="false">CW38</f>
        <v>28844086.2997059</v>
      </c>
      <c r="CU39" s="772" t="n">
        <f aca="false">IF(CT39&lt;0.1,0,CT39*$L$3)</f>
        <v>227627.914381846</v>
      </c>
      <c r="CV39" s="772" t="n">
        <f aca="false">IF(CT39&lt;0.1,0,PPMT($L$3,A39-14,unwinds!$B$8*12,$K$5))</f>
        <v>539930.963120751</v>
      </c>
      <c r="CW39" s="772" t="n">
        <f aca="false">IF(CT39-CV39&lt;0,0,CT39-CV39)</f>
        <v>28304155.3365851</v>
      </c>
      <c r="CX39" s="772" t="n">
        <f aca="false">IF(CX38-CV39&lt;0,0,CX38-CV39)</f>
        <v>28304155.3365851</v>
      </c>
      <c r="DA39" s="772" t="n">
        <f aca="false">DD38</f>
        <v>32554649.9978448</v>
      </c>
      <c r="DB39" s="772" t="n">
        <f aca="false">DA39*$L$3</f>
        <v>256910.446232992</v>
      </c>
      <c r="DC39" s="772" t="n">
        <f aca="false">PPMT($L$3,A39-14,106,$K$5)</f>
        <v>238487.625438622</v>
      </c>
      <c r="DD39" s="772" t="n">
        <f aca="false">DA39-DC39</f>
        <v>32316162.3724062</v>
      </c>
      <c r="DE39" s="772" t="n">
        <f aca="false">DE38-DC39</f>
        <v>32316162.3724062</v>
      </c>
      <c r="DH39" s="417" t="n">
        <v>-715341.083333333</v>
      </c>
      <c r="DI39" s="417" t="n">
        <v>-705333.333333333</v>
      </c>
      <c r="DJ39" s="417"/>
      <c r="DL39" s="417" t="n">
        <f aca="false">PMT($J$3,106,$I$5,,1)</f>
        <v>474832.92700925</v>
      </c>
      <c r="DN39" s="417" t="n">
        <f aca="false">IF($BL$4="mid",DH39,DI39)</f>
        <v>-715341.083333333</v>
      </c>
      <c r="DO39" s="417" t="n">
        <f aca="false">IF($BL$4="mid",DL39,L39)</f>
        <v>474832.92700925</v>
      </c>
      <c r="DQ39" s="772" t="n">
        <f aca="false">BW39-IF($BL$4="mid",Q39,R39)</f>
        <v>339530.313290092</v>
      </c>
      <c r="DR39" s="772" t="n">
        <f aca="false">BX39-IF($BL$4="mid",T39,U39)</f>
        <v>-17203.7312924127</v>
      </c>
      <c r="DS39" s="772"/>
      <c r="DT39" s="772"/>
      <c r="DU39" s="772"/>
      <c r="DV39" s="772"/>
      <c r="DW39" s="772"/>
      <c r="DX39" s="772"/>
    </row>
    <row r="40" customFormat="false" ht="12.75" hidden="false" customHeight="false" outlineLevel="0" collapsed="false">
      <c r="A40" s="767" t="n">
        <v>29</v>
      </c>
      <c r="B40" s="854" t="n">
        <v>37377</v>
      </c>
      <c r="C40" s="417" t="n">
        <v>0</v>
      </c>
      <c r="D40" s="417" t="n">
        <v>0</v>
      </c>
      <c r="E40" s="417" t="n">
        <v>0</v>
      </c>
      <c r="F40" s="417" t="n">
        <v>253031.540812659</v>
      </c>
      <c r="G40" s="417" t="n">
        <v>238487.625438625</v>
      </c>
      <c r="H40" s="417" t="n">
        <v>0</v>
      </c>
      <c r="I40" s="417" t="n">
        <v>491519.166251284</v>
      </c>
      <c r="J40" s="417"/>
      <c r="K40" s="417"/>
      <c r="L40" s="417" t="n">
        <f aca="false">PMT($L$3,106,$K$5,,1)</f>
        <v>491519.166251281</v>
      </c>
      <c r="M40" s="417"/>
      <c r="N40" s="850" t="n">
        <f aca="false">IF(A40&lt;$B$8,0,-$R$5/12)</f>
        <v>-715341.083333333</v>
      </c>
      <c r="O40" s="850" t="n">
        <f aca="false">IF(A40&lt;$B$8,0,-$S$5/12)</f>
        <v>-705333.333333333</v>
      </c>
      <c r="P40" s="872" t="n">
        <f aca="false">Breakout!$E$16/12</f>
        <v>3446210.42869836</v>
      </c>
      <c r="Q40" s="770" t="n">
        <f aca="false">'wholesale services'!$D$110*'wholesale services'!$F$111/12</f>
        <v>3250582.5</v>
      </c>
      <c r="R40" s="770" t="n">
        <v>3320487.5</v>
      </c>
      <c r="S40" s="872" t="n">
        <f aca="false">Breakout!$E$27/12</f>
        <v>122095.908662846</v>
      </c>
      <c r="T40" s="770" t="n">
        <f aca="false">'wholesale services'!$D$113*'wholesale services'!$F$114/12</f>
        <v>144397.962524062</v>
      </c>
      <c r="U40" s="770" t="n">
        <v>147344.859718431</v>
      </c>
      <c r="V40" s="872" t="n">
        <f aca="false">Breakout!$E$38/12</f>
        <v>61458.7750200599</v>
      </c>
      <c r="W40" s="431" t="n">
        <f aca="false">Breakout!$E$39/12</f>
        <v>61500.373</v>
      </c>
      <c r="X40" s="431" t="n">
        <v>62161.6673333333</v>
      </c>
      <c r="Y40" s="872" t="n">
        <f aca="false">Breakout!$E$49/12</f>
        <v>447055.073374526</v>
      </c>
      <c r="Z40" s="873" t="n">
        <f aca="false">Breakout!$E$50/12</f>
        <v>404634.1349457</v>
      </c>
      <c r="AA40" s="873" t="n">
        <v>425040.038430047</v>
      </c>
      <c r="AB40" s="872" t="n">
        <f aca="false">Breakout!$E$60/12</f>
        <v>411324.548379741</v>
      </c>
      <c r="AC40" s="873" t="n">
        <f aca="false">Breakout!$E$61/12</f>
        <v>400875.223573663</v>
      </c>
      <c r="AD40" s="873" t="n">
        <v>413374.673751907</v>
      </c>
      <c r="AE40" s="872" t="n">
        <f aca="false">Breakout!$E$71/12</f>
        <v>312079.771794642</v>
      </c>
      <c r="AF40" s="873" t="n">
        <f aca="false">Breakout!$E$72/12</f>
        <v>316520.666666667</v>
      </c>
      <c r="AG40" s="873" t="n">
        <v>316520.666666667</v>
      </c>
      <c r="AH40" s="872" t="n">
        <f aca="false">Breakout!$E$82/12</f>
        <v>20541.0344318382</v>
      </c>
      <c r="AI40" s="873" t="n">
        <f aca="false">Breakout!$E$83/12</f>
        <v>0</v>
      </c>
      <c r="AJ40" s="873" t="n">
        <v>0</v>
      </c>
      <c r="AK40" s="874" t="n">
        <f aca="false">Breakout!$E$91/12</f>
        <v>276189.692416573</v>
      </c>
      <c r="AL40" s="874" t="n">
        <v>276189.692416573</v>
      </c>
      <c r="AM40" s="773" t="n">
        <f aca="false">(Breakout!$E$107/12)*-1</f>
        <v>55221.25</v>
      </c>
      <c r="AN40" s="773" t="n">
        <v>55221.25</v>
      </c>
      <c r="AO40" s="774" t="n">
        <f aca="false">(P40+S40+V40)+Y40+AB40+AE40+AH40</f>
        <v>4820765.54036201</v>
      </c>
      <c r="AP40" s="774" t="n">
        <f aca="false">Q40+T40+W40+AA40+AD40+AG40+AJ40+AL40+AN40</f>
        <v>4942827.15678926</v>
      </c>
      <c r="AQ40" s="775" t="n">
        <f aca="false">P40+S40+V40+Y40+AB40+AE40+AH40-Q40-T40-W40-Z40-AC40-AF40-AI40-AK40-AM40-DH40-DL40-CN40</f>
        <v>151351.89355943</v>
      </c>
      <c r="AR40" s="431"/>
      <c r="AS40" s="776" t="n">
        <f aca="false">P40+S40+V40+Y40+AB40+AE40+AH40-R40-U40-X40-AA40-AD40-AG40-AJ40-AL40-AN40-O40-L40-CN40</f>
        <v>18239.3591271066</v>
      </c>
      <c r="AT40" s="431"/>
      <c r="AU40" s="770" t="n">
        <f aca="false">'wholesale services'!$F$110/12</f>
        <v>39106610.7060185</v>
      </c>
      <c r="AV40" s="770" t="n">
        <f aca="false">'wholesale services'!$F$113/12</f>
        <v>17613.2558333333</v>
      </c>
      <c r="AW40" s="431"/>
      <c r="AX40" s="851" t="n">
        <f aca="false">IF(A40&lt;$AX$6,0,-$R$5/12)</f>
        <v>-715341.083333333</v>
      </c>
      <c r="AY40" s="417" t="n">
        <f aca="false">IF(A40&lt;$AX$6,0,-$S$5/12)</f>
        <v>-705333.333333333</v>
      </c>
      <c r="AZ40" s="431"/>
      <c r="BA40" s="772" t="n">
        <f aca="false">P40-IF($BL$4="mid",Q40,R40)-$BL$9*(IF($BL$4="mid",N40,O40)+IF($BL$4="mid",DL40,L40))</f>
        <v>424110.677206237</v>
      </c>
      <c r="BB40" s="772" t="n">
        <f aca="false">S40-IF($BL$4="mid",T40,U40)-$BM$9*(IF($BL$4="mid",N40,O40)+IF($BL$4="mid",DL40,L40))</f>
        <v>-10276.6460450118</v>
      </c>
      <c r="BC40" s="772" t="n">
        <f aca="false">V40-IF($BL$4="mid",W40,X40)-$BN$9*(IF($BL$4="mid",N40,O40)+IF($BL$4="mid",DL40,L40))</f>
        <v>-41.5979799401321</v>
      </c>
      <c r="BD40" s="772" t="n">
        <f aca="false">Y40-IF($BL$4="mid",Z40,AA40)</f>
        <v>42420.9384288263</v>
      </c>
      <c r="BE40" s="772" t="n">
        <f aca="false">AB40-IF($BL$4="mid",AC40,AD40)</f>
        <v>10449.3248060776</v>
      </c>
      <c r="BF40" s="772" t="n">
        <f aca="false">AE40-IF($BL$4="mid",AF40,AG40)</f>
        <v>-4440.89487202454</v>
      </c>
      <c r="BG40" s="772" t="n">
        <f aca="false">AH40-IF($BL$4="mid",AI40,AJ40)</f>
        <v>20541.0344318382</v>
      </c>
      <c r="BH40" s="772" t="n">
        <f aca="false">-IF($BL$4="mid",AK40,AL40)</f>
        <v>-276189.692416573</v>
      </c>
      <c r="BI40" s="772" t="n">
        <f aca="false">-IF($BL$4="mid",AM40,AN40)</f>
        <v>-55221.25</v>
      </c>
      <c r="BL40" s="772" t="n">
        <f aca="false">BW40-IF($BL$4="mid",Q40,R40)-$BL$9*(IF($BL$4="mid",N40,O40)+IF($BL$4="mid",DL40,L40))</f>
        <v>568013.061797971</v>
      </c>
      <c r="BM40" s="772" t="n">
        <f aca="false">BX40-IF($BL$4="mid",T40,U40)-$BM$9*(IF($BL$4="mid",N40,O40)+IF($BL$4="mid",DL40,L40))</f>
        <v>-5178.32347620849</v>
      </c>
      <c r="BN40" s="772" t="n">
        <f aca="false">BY40-IF($BL$4="mid",W40,X40)-$BN$9*(IF($BL$4="mid",N40,O40)+IF($BL$4="mid",DL40,L40))</f>
        <v>2524.71782185321</v>
      </c>
      <c r="BO40" s="772" t="n">
        <f aca="false">BZ40-IF($BL$4="mid",Z40,AA40)</f>
        <v>61088.484254438</v>
      </c>
      <c r="BP40" s="772" t="n">
        <f aca="false">CA40-IF($BL$4="mid",AC40,AD40)</f>
        <v>27624.8817192751</v>
      </c>
      <c r="BQ40" s="772" t="n">
        <f aca="false">CB40-IF($BL$4="mid",AF40,AG40)</f>
        <v>8590.52740274812</v>
      </c>
      <c r="BR40" s="772" t="n">
        <f aca="false">CC40-IF($BL$4="mid",AI40,AJ40)</f>
        <v>21398.7603014215</v>
      </c>
      <c r="BS40" s="772" t="n">
        <f aca="false">-IF($BL$4="mid",AK40,AL40)</f>
        <v>-276189.692416573</v>
      </c>
      <c r="BT40" s="772" t="n">
        <f aca="false">-IF($BL$4="mid",AM40,AN40)</f>
        <v>-55221.25</v>
      </c>
      <c r="BW40" s="872" t="n">
        <f aca="false">Breakout!$E$15/12</f>
        <v>3590112.81329009</v>
      </c>
      <c r="BX40" s="872" t="n">
        <f aca="false">Breakout!$E$26/12</f>
        <v>127194.23123165</v>
      </c>
      <c r="BY40" s="872" t="n">
        <f aca="false">Breakout!$E$37/12</f>
        <v>64025.0908218532</v>
      </c>
      <c r="BZ40" s="872" t="n">
        <f aca="false">Breakout!$E$48/12</f>
        <v>465722.619200138</v>
      </c>
      <c r="CA40" s="872" t="n">
        <f aca="false">Breakout!$E$59/12</f>
        <v>428500.105292938</v>
      </c>
      <c r="CB40" s="872" t="n">
        <f aca="false">Breakout!$E$70/12</f>
        <v>325111.194069415</v>
      </c>
      <c r="CC40" s="872" t="n">
        <f aca="false">Breakout!$E$81/12</f>
        <v>21398.7603014215</v>
      </c>
      <c r="CE40" s="852" t="n">
        <f aca="false">P40/0.96</f>
        <v>3589802.52989412</v>
      </c>
      <c r="CF40" s="852" t="n">
        <f aca="false">S40/0.96</f>
        <v>127183.238190465</v>
      </c>
      <c r="CG40" s="852" t="n">
        <f aca="false">V40/0.96</f>
        <v>64019.5573125624</v>
      </c>
      <c r="CI40" s="852" t="n">
        <f aca="false">N40</f>
        <v>-715341.083333333</v>
      </c>
      <c r="CJ40" s="852" t="n">
        <f aca="false">O40</f>
        <v>-705333.333333333</v>
      </c>
      <c r="CL40" s="772" t="n">
        <f aca="false">'account mgt'!$E$23/12</f>
        <v>-51239.7</v>
      </c>
      <c r="CN40" s="772" t="n">
        <v>0</v>
      </c>
      <c r="CT40" s="772" t="n">
        <f aca="false">CW39</f>
        <v>28304155.3365851</v>
      </c>
      <c r="CU40" s="772" t="n">
        <f aca="false">IF(CT40&lt;0.1,0,CT40*$L$3)</f>
        <v>223366.959197884</v>
      </c>
      <c r="CV40" s="772" t="n">
        <f aca="false">IF(CT40&lt;0.1,0,PPMT($L$3,A40-14,unwinds!$B$8*12,$K$5))</f>
        <v>544191.918304712</v>
      </c>
      <c r="CW40" s="772" t="n">
        <f aca="false">IF(CT40-CV40&lt;0,0,CT40-CV40)</f>
        <v>27759963.4182804</v>
      </c>
      <c r="CX40" s="772" t="n">
        <f aca="false">IF(CX39-CV40&lt;0,0,CX39-CV40)</f>
        <v>27759963.4182804</v>
      </c>
      <c r="DA40" s="772" t="n">
        <f aca="false">DD39</f>
        <v>32316162.3724062</v>
      </c>
      <c r="DB40" s="772" t="n">
        <f aca="false">DA40*$L$3</f>
        <v>255028.381388905</v>
      </c>
      <c r="DC40" s="772" t="n">
        <f aca="false">PPMT($L$3,A40-14,106,$K$5)</f>
        <v>240369.690282709</v>
      </c>
      <c r="DD40" s="772" t="n">
        <f aca="false">DA40-DC40</f>
        <v>32075792.6821235</v>
      </c>
      <c r="DE40" s="772" t="n">
        <f aca="false">DE39-DC40</f>
        <v>32075792.6821235</v>
      </c>
      <c r="DH40" s="417" t="n">
        <v>-715341.083333333</v>
      </c>
      <c r="DI40" s="417" t="n">
        <v>-705333.333333333</v>
      </c>
      <c r="DJ40" s="417"/>
      <c r="DL40" s="417" t="n">
        <f aca="false">PMT($J$3,106,$I$5,,1)</f>
        <v>474832.92700925</v>
      </c>
      <c r="DN40" s="417" t="n">
        <f aca="false">IF($BL$4="mid",DH40,DI40)</f>
        <v>-715341.083333333</v>
      </c>
      <c r="DO40" s="417" t="n">
        <f aca="false">IF($BL$4="mid",DL40,L40)</f>
        <v>474832.92700925</v>
      </c>
      <c r="DQ40" s="772" t="n">
        <f aca="false">BW40-IF($BL$4="mid",Q40,R40)</f>
        <v>339530.313290092</v>
      </c>
      <c r="DR40" s="772" t="n">
        <f aca="false">BX40-IF($BL$4="mid",T40,U40)</f>
        <v>-17203.7312924127</v>
      </c>
      <c r="DS40" s="772"/>
      <c r="DT40" s="772"/>
      <c r="DU40" s="772"/>
      <c r="DV40" s="772"/>
      <c r="DW40" s="772"/>
      <c r="DX40" s="772"/>
    </row>
    <row r="41" customFormat="false" ht="12.75" hidden="false" customHeight="false" outlineLevel="0" collapsed="false">
      <c r="A41" s="767" t="n">
        <v>30</v>
      </c>
      <c r="B41" s="854" t="n">
        <v>37408</v>
      </c>
      <c r="C41" s="417" t="n">
        <v>0</v>
      </c>
      <c r="D41" s="417" t="n">
        <v>0</v>
      </c>
      <c r="E41" s="417" t="n">
        <v>0</v>
      </c>
      <c r="F41" s="417" t="n">
        <v>251149.475968572</v>
      </c>
      <c r="G41" s="417" t="n">
        <v>240369.690282711</v>
      </c>
      <c r="H41" s="417" t="n">
        <v>0</v>
      </c>
      <c r="I41" s="417" t="n">
        <v>491519.166251284</v>
      </c>
      <c r="J41" s="417"/>
      <c r="K41" s="417"/>
      <c r="L41" s="417" t="n">
        <f aca="false">PMT($L$3,106,$K$5,,1)</f>
        <v>491519.166251281</v>
      </c>
      <c r="M41" s="417"/>
      <c r="N41" s="850" t="n">
        <f aca="false">IF(A41&lt;$B$8,0,-$R$5/12)</f>
        <v>-715341.083333333</v>
      </c>
      <c r="O41" s="850" t="n">
        <f aca="false">IF(A41&lt;$B$8,0,-$S$5/12)</f>
        <v>-705333.333333333</v>
      </c>
      <c r="P41" s="872" t="n">
        <f aca="false">Breakout!$E$16/12</f>
        <v>3446210.42869836</v>
      </c>
      <c r="Q41" s="770" t="n">
        <f aca="false">'wholesale services'!$D$110*'wholesale services'!$F$111/12</f>
        <v>3250582.5</v>
      </c>
      <c r="R41" s="770" t="n">
        <v>3320487.5</v>
      </c>
      <c r="S41" s="872" t="n">
        <f aca="false">Breakout!$E$27/12</f>
        <v>122095.908662846</v>
      </c>
      <c r="T41" s="770" t="n">
        <f aca="false">'wholesale services'!$D$113*'wholesale services'!$F$114/12</f>
        <v>144397.962524062</v>
      </c>
      <c r="U41" s="770" t="n">
        <v>147344.859718431</v>
      </c>
      <c r="V41" s="872" t="n">
        <f aca="false">Breakout!$E$38/12</f>
        <v>61458.7750200599</v>
      </c>
      <c r="W41" s="431" t="n">
        <f aca="false">Breakout!$E$39/12</f>
        <v>61500.373</v>
      </c>
      <c r="X41" s="431" t="n">
        <v>62161.6673333333</v>
      </c>
      <c r="Y41" s="872" t="n">
        <f aca="false">Breakout!$E$49/12</f>
        <v>447055.073374526</v>
      </c>
      <c r="Z41" s="873" t="n">
        <f aca="false">Breakout!$E$50/12</f>
        <v>404634.1349457</v>
      </c>
      <c r="AA41" s="873" t="n">
        <v>425040.038430047</v>
      </c>
      <c r="AB41" s="872" t="n">
        <f aca="false">Breakout!$E$60/12</f>
        <v>411324.548379741</v>
      </c>
      <c r="AC41" s="873" t="n">
        <f aca="false">Breakout!$E$61/12</f>
        <v>400875.223573663</v>
      </c>
      <c r="AD41" s="873" t="n">
        <v>413374.673751907</v>
      </c>
      <c r="AE41" s="872" t="n">
        <f aca="false">Breakout!$E$71/12</f>
        <v>312079.771794642</v>
      </c>
      <c r="AF41" s="873" t="n">
        <f aca="false">Breakout!$E$72/12</f>
        <v>316520.666666667</v>
      </c>
      <c r="AG41" s="873" t="n">
        <v>316520.666666667</v>
      </c>
      <c r="AH41" s="872" t="n">
        <f aca="false">Breakout!$E$82/12</f>
        <v>20541.0344318382</v>
      </c>
      <c r="AI41" s="873" t="n">
        <f aca="false">Breakout!$E$83/12</f>
        <v>0</v>
      </c>
      <c r="AJ41" s="873" t="n">
        <v>0</v>
      </c>
      <c r="AK41" s="874" t="n">
        <f aca="false">Breakout!$E$91/12</f>
        <v>276189.692416573</v>
      </c>
      <c r="AL41" s="874" t="n">
        <v>276189.692416573</v>
      </c>
      <c r="AM41" s="773" t="n">
        <f aca="false">(Breakout!$E$107/12)*-1</f>
        <v>55221.25</v>
      </c>
      <c r="AN41" s="773" t="n">
        <v>55221.25</v>
      </c>
      <c r="AO41" s="774" t="n">
        <f aca="false">(P41+S41+V41)+Y41+AB41+AE41+AH41</f>
        <v>4820765.54036201</v>
      </c>
      <c r="AP41" s="774" t="n">
        <f aca="false">Q41+T41+W41+AA41+AD41+AG41+AJ41+AL41+AN41</f>
        <v>4942827.15678926</v>
      </c>
      <c r="AQ41" s="775" t="n">
        <f aca="false">P41+S41+V41+Y41+AB41+AE41+AH41-Q41-T41-W41-Z41-AC41-AF41-AI41-AK41-AM41-DH41-DL41-CN41</f>
        <v>151351.89355943</v>
      </c>
      <c r="AR41" s="431"/>
      <c r="AS41" s="776" t="n">
        <f aca="false">P41+S41+V41+Y41+AB41+AE41+AH41-R41-U41-X41-AA41-AD41-AG41-AJ41-AL41-AN41-O41-L41-CN41</f>
        <v>18239.3591271066</v>
      </c>
      <c r="AT41" s="431"/>
      <c r="AU41" s="770" t="n">
        <f aca="false">'wholesale services'!$F$110/12</f>
        <v>39106610.7060185</v>
      </c>
      <c r="AV41" s="770" t="n">
        <f aca="false">'wholesale services'!$F$113/12</f>
        <v>17613.2558333333</v>
      </c>
      <c r="AW41" s="431"/>
      <c r="AX41" s="851" t="n">
        <f aca="false">IF(A41&lt;$AX$6,0,-$R$5/12)</f>
        <v>-715341.083333333</v>
      </c>
      <c r="AY41" s="417" t="n">
        <f aca="false">IF(A41&lt;$AX$6,0,-$S$5/12)</f>
        <v>-705333.333333333</v>
      </c>
      <c r="AZ41" s="431"/>
      <c r="BA41" s="772" t="n">
        <f aca="false">P41-IF($BL$4="mid",Q41,R41)-$BL$9*(IF($BL$4="mid",N41,O41)+IF($BL$4="mid",DL41,L41))</f>
        <v>424110.677206237</v>
      </c>
      <c r="BB41" s="772" t="n">
        <f aca="false">S41-IF($BL$4="mid",T41,U41)-$BM$9*(IF($BL$4="mid",N41,O41)+IF($BL$4="mid",DL41,L41))</f>
        <v>-10276.6460450118</v>
      </c>
      <c r="BC41" s="772" t="n">
        <f aca="false">V41-IF($BL$4="mid",W41,X41)-$BN$9*(IF($BL$4="mid",N41,O41)+IF($BL$4="mid",DL41,L41))</f>
        <v>-41.5979799401321</v>
      </c>
      <c r="BD41" s="772" t="n">
        <f aca="false">Y41-IF($BL$4="mid",Z41,AA41)</f>
        <v>42420.9384288263</v>
      </c>
      <c r="BE41" s="772" t="n">
        <f aca="false">AB41-IF($BL$4="mid",AC41,AD41)</f>
        <v>10449.3248060776</v>
      </c>
      <c r="BF41" s="772" t="n">
        <f aca="false">AE41-IF($BL$4="mid",AF41,AG41)</f>
        <v>-4440.89487202454</v>
      </c>
      <c r="BG41" s="772" t="n">
        <f aca="false">AH41-IF($BL$4="mid",AI41,AJ41)</f>
        <v>20541.0344318382</v>
      </c>
      <c r="BH41" s="772" t="n">
        <f aca="false">-IF($BL$4="mid",AK41,AL41)</f>
        <v>-276189.692416573</v>
      </c>
      <c r="BI41" s="772" t="n">
        <f aca="false">-IF($BL$4="mid",AM41,AN41)</f>
        <v>-55221.25</v>
      </c>
      <c r="BL41" s="772" t="n">
        <f aca="false">BW41-IF($BL$4="mid",Q41,R41)-$BL$9*(IF($BL$4="mid",N41,O41)+IF($BL$4="mid",DL41,L41))</f>
        <v>568013.061797971</v>
      </c>
      <c r="BM41" s="772" t="n">
        <f aca="false">BX41-IF($BL$4="mid",T41,U41)-$BM$9*(IF($BL$4="mid",N41,O41)+IF($BL$4="mid",DL41,L41))</f>
        <v>-5178.32347620849</v>
      </c>
      <c r="BN41" s="772" t="n">
        <f aca="false">BY41-IF($BL$4="mid",W41,X41)-$BN$9*(IF($BL$4="mid",N41,O41)+IF($BL$4="mid",DL41,L41))</f>
        <v>2524.71782185321</v>
      </c>
      <c r="BO41" s="772" t="n">
        <f aca="false">BZ41-IF($BL$4="mid",Z41,AA41)</f>
        <v>61088.484254438</v>
      </c>
      <c r="BP41" s="772" t="n">
        <f aca="false">CA41-IF($BL$4="mid",AC41,AD41)</f>
        <v>27624.8817192751</v>
      </c>
      <c r="BQ41" s="772" t="n">
        <f aca="false">CB41-IF($BL$4="mid",AF41,AG41)</f>
        <v>8590.52740274812</v>
      </c>
      <c r="BR41" s="772" t="n">
        <f aca="false">CC41-IF($BL$4="mid",AI41,AJ41)</f>
        <v>21398.7603014215</v>
      </c>
      <c r="BS41" s="772" t="n">
        <f aca="false">-IF($BL$4="mid",AK41,AL41)</f>
        <v>-276189.692416573</v>
      </c>
      <c r="BT41" s="772" t="n">
        <f aca="false">-IF($BL$4="mid",AM41,AN41)</f>
        <v>-55221.25</v>
      </c>
      <c r="BW41" s="872" t="n">
        <f aca="false">Breakout!$E$15/12</f>
        <v>3590112.81329009</v>
      </c>
      <c r="BX41" s="872" t="n">
        <f aca="false">Breakout!$E$26/12</f>
        <v>127194.23123165</v>
      </c>
      <c r="BY41" s="872" t="n">
        <f aca="false">Breakout!$E$37/12</f>
        <v>64025.0908218532</v>
      </c>
      <c r="BZ41" s="872" t="n">
        <f aca="false">Breakout!$E$48/12</f>
        <v>465722.619200138</v>
      </c>
      <c r="CA41" s="872" t="n">
        <f aca="false">Breakout!$E$59/12</f>
        <v>428500.105292938</v>
      </c>
      <c r="CB41" s="872" t="n">
        <f aca="false">Breakout!$E$70/12</f>
        <v>325111.194069415</v>
      </c>
      <c r="CC41" s="872" t="n">
        <f aca="false">Breakout!$E$81/12</f>
        <v>21398.7603014215</v>
      </c>
      <c r="CE41" s="852" t="n">
        <f aca="false">P41/0.96</f>
        <v>3589802.52989412</v>
      </c>
      <c r="CF41" s="852" t="n">
        <f aca="false">S41/0.96</f>
        <v>127183.238190465</v>
      </c>
      <c r="CG41" s="852" t="n">
        <f aca="false">V41/0.96</f>
        <v>64019.5573125624</v>
      </c>
      <c r="CI41" s="852" t="n">
        <f aca="false">N41</f>
        <v>-715341.083333333</v>
      </c>
      <c r="CJ41" s="852" t="n">
        <f aca="false">O41</f>
        <v>-705333.333333333</v>
      </c>
      <c r="CL41" s="772" t="n">
        <f aca="false">'account mgt'!$E$23/12</f>
        <v>-51239.7</v>
      </c>
      <c r="CN41" s="772" t="n">
        <v>0</v>
      </c>
      <c r="CT41" s="772" t="n">
        <f aca="false">CW40</f>
        <v>27759963.4182804</v>
      </c>
      <c r="CU41" s="772" t="n">
        <f aca="false">IF(CT41&lt;0.1,0,CT41*$L$3)</f>
        <v>219072.37797593</v>
      </c>
      <c r="CV41" s="772" t="n">
        <f aca="false">IF(CT41&lt;0.1,0,PPMT($L$3,A41-14,unwinds!$B$8*12,$K$5))</f>
        <v>548486.499526667</v>
      </c>
      <c r="CW41" s="772" t="n">
        <f aca="false">IF(CT41-CV41&lt;0,0,CT41-CV41)</f>
        <v>27211476.9187538</v>
      </c>
      <c r="CX41" s="772" t="n">
        <f aca="false">IF(CX40-CV41&lt;0,0,CX40-CV41)</f>
        <v>27211476.9187538</v>
      </c>
      <c r="DA41" s="772" t="n">
        <f aca="false">DD40</f>
        <v>32075792.6821235</v>
      </c>
      <c r="DB41" s="772" t="n">
        <f aca="false">DA41*$L$3</f>
        <v>253131.463916424</v>
      </c>
      <c r="DC41" s="772" t="n">
        <f aca="false">PPMT($L$3,A41-14,106,$K$5)</f>
        <v>242266.60775519</v>
      </c>
      <c r="DD41" s="772" t="n">
        <f aca="false">DA41-DC41</f>
        <v>31833526.0743683</v>
      </c>
      <c r="DE41" s="772" t="n">
        <f aca="false">DE40-DC41</f>
        <v>31833526.0743683</v>
      </c>
      <c r="DH41" s="417" t="n">
        <v>-715341.083333333</v>
      </c>
      <c r="DI41" s="417" t="n">
        <v>-705333.333333333</v>
      </c>
      <c r="DJ41" s="417"/>
      <c r="DL41" s="417" t="n">
        <f aca="false">PMT($J$3,106,$I$5,,1)</f>
        <v>474832.92700925</v>
      </c>
      <c r="DN41" s="417" t="n">
        <f aca="false">IF($BL$4="mid",DH41,DI41)</f>
        <v>-715341.083333333</v>
      </c>
      <c r="DO41" s="417" t="n">
        <f aca="false">IF($BL$4="mid",DL41,L41)</f>
        <v>474832.92700925</v>
      </c>
      <c r="DQ41" s="772" t="n">
        <f aca="false">BW41-IF($BL$4="mid",Q41,R41)</f>
        <v>339530.313290092</v>
      </c>
      <c r="DR41" s="772" t="n">
        <f aca="false">BX41-IF($BL$4="mid",T41,U41)</f>
        <v>-17203.7312924127</v>
      </c>
      <c r="DS41" s="772"/>
      <c r="DT41" s="772"/>
      <c r="DU41" s="772"/>
      <c r="DV41" s="772"/>
      <c r="DW41" s="772"/>
      <c r="DX41" s="772"/>
    </row>
    <row r="42" customFormat="false" ht="12.75" hidden="false" customHeight="false" outlineLevel="0" collapsed="false">
      <c r="A42" s="767" t="n">
        <v>31</v>
      </c>
      <c r="B42" s="854" t="n">
        <v>37438</v>
      </c>
      <c r="C42" s="417" t="n">
        <v>0</v>
      </c>
      <c r="D42" s="417" t="n">
        <v>0</v>
      </c>
      <c r="E42" s="417" t="n">
        <v>0</v>
      </c>
      <c r="F42" s="417" t="n">
        <v>249252.558496091</v>
      </c>
      <c r="G42" s="417" t="n">
        <v>242266.607755193</v>
      </c>
      <c r="H42" s="417" t="n">
        <v>0</v>
      </c>
      <c r="I42" s="417" t="n">
        <v>491519.166251284</v>
      </c>
      <c r="J42" s="417"/>
      <c r="K42" s="417"/>
      <c r="L42" s="417" t="n">
        <f aca="false">PMT($L$3,106,$K$5,,1)</f>
        <v>491519.166251281</v>
      </c>
      <c r="M42" s="417"/>
      <c r="N42" s="850" t="n">
        <f aca="false">IF(A42&lt;$B$8,0,-$R$5/12)</f>
        <v>-715341.083333333</v>
      </c>
      <c r="O42" s="850" t="n">
        <f aca="false">IF(A42&lt;$B$8,0,-$S$5/12)</f>
        <v>-705333.333333333</v>
      </c>
      <c r="P42" s="872" t="n">
        <f aca="false">Breakout!$E$16/12</f>
        <v>3446210.42869836</v>
      </c>
      <c r="Q42" s="770" t="n">
        <f aca="false">'wholesale services'!$D$110*'wholesale services'!$F$111/12</f>
        <v>3250582.5</v>
      </c>
      <c r="R42" s="770" t="n">
        <v>3320487.5</v>
      </c>
      <c r="S42" s="872" t="n">
        <f aca="false">Breakout!$E$27/12</f>
        <v>122095.908662846</v>
      </c>
      <c r="T42" s="770" t="n">
        <f aca="false">'wholesale services'!$D$113*'wholesale services'!$F$114/12</f>
        <v>144397.962524062</v>
      </c>
      <c r="U42" s="770" t="n">
        <v>147344.859718431</v>
      </c>
      <c r="V42" s="872" t="n">
        <f aca="false">Breakout!$E$38/12</f>
        <v>61458.7750200599</v>
      </c>
      <c r="W42" s="431" t="n">
        <f aca="false">Breakout!$E$39/12</f>
        <v>61500.373</v>
      </c>
      <c r="X42" s="431" t="n">
        <v>62161.6673333333</v>
      </c>
      <c r="Y42" s="872" t="n">
        <f aca="false">Breakout!$E$49/12</f>
        <v>447055.073374526</v>
      </c>
      <c r="Z42" s="873" t="n">
        <f aca="false">Breakout!$E$50/12</f>
        <v>404634.1349457</v>
      </c>
      <c r="AA42" s="873" t="n">
        <v>425040.038430047</v>
      </c>
      <c r="AB42" s="872" t="n">
        <f aca="false">Breakout!$E$60/12</f>
        <v>411324.548379741</v>
      </c>
      <c r="AC42" s="873" t="n">
        <f aca="false">Breakout!$E$61/12</f>
        <v>400875.223573663</v>
      </c>
      <c r="AD42" s="873" t="n">
        <v>413374.673751907</v>
      </c>
      <c r="AE42" s="872" t="n">
        <f aca="false">Breakout!$E$71/12</f>
        <v>312079.771794642</v>
      </c>
      <c r="AF42" s="873" t="n">
        <f aca="false">Breakout!$E$72/12</f>
        <v>316520.666666667</v>
      </c>
      <c r="AG42" s="873" t="n">
        <v>316520.666666667</v>
      </c>
      <c r="AH42" s="872" t="n">
        <f aca="false">Breakout!$E$82/12</f>
        <v>20541.0344318382</v>
      </c>
      <c r="AI42" s="873" t="n">
        <f aca="false">Breakout!$E$83/12</f>
        <v>0</v>
      </c>
      <c r="AJ42" s="873" t="n">
        <v>0</v>
      </c>
      <c r="AK42" s="874" t="n">
        <f aca="false">Breakout!$E$91/12</f>
        <v>276189.692416573</v>
      </c>
      <c r="AL42" s="874" t="n">
        <v>276189.692416573</v>
      </c>
      <c r="AM42" s="773" t="n">
        <f aca="false">(Breakout!$E$107/12)*-1</f>
        <v>55221.25</v>
      </c>
      <c r="AN42" s="773" t="n">
        <v>55221.25</v>
      </c>
      <c r="AO42" s="774" t="n">
        <f aca="false">(P42+S42+V42)+Y42+AB42+AE42+AH42</f>
        <v>4820765.54036201</v>
      </c>
      <c r="AP42" s="774" t="n">
        <f aca="false">Q42+T42+W42+AA42+AD42+AG42+AJ42+AL42+AN42</f>
        <v>4942827.15678926</v>
      </c>
      <c r="AQ42" s="775" t="n">
        <f aca="false">P42+S42+V42+Y42+AB42+AE42+AH42-Q42-T42-W42-Z42-AC42-AF42-AI42-AK42-AM42-DH42-DL42-CN42</f>
        <v>151351.89355943</v>
      </c>
      <c r="AR42" s="431"/>
      <c r="AS42" s="776" t="n">
        <f aca="false">P42+S42+V42+Y42+AB42+AE42+AH42-R42-U42-X42-AA42-AD42-AG42-AJ42-AL42-AN42-O42-L42-CN42</f>
        <v>18239.3591271066</v>
      </c>
      <c r="AT42" s="431"/>
      <c r="AU42" s="770" t="n">
        <f aca="false">'wholesale services'!$F$110/12</f>
        <v>39106610.7060185</v>
      </c>
      <c r="AV42" s="770" t="n">
        <f aca="false">'wholesale services'!$F$113/12</f>
        <v>17613.2558333333</v>
      </c>
      <c r="AW42" s="431"/>
      <c r="AX42" s="851" t="n">
        <f aca="false">IF(A42&lt;$AX$6,0,-$R$5/12)</f>
        <v>-715341.083333333</v>
      </c>
      <c r="AY42" s="417" t="n">
        <f aca="false">IF(A42&lt;$AX$6,0,-$S$5/12)</f>
        <v>-705333.333333333</v>
      </c>
      <c r="AZ42" s="431"/>
      <c r="BA42" s="772" t="n">
        <f aca="false">P42-IF($BL$4="mid",Q42,R42)-$BL$9*(IF($BL$4="mid",N42,O42)+IF($BL$4="mid",DL42,L42))</f>
        <v>424110.677206237</v>
      </c>
      <c r="BB42" s="772" t="n">
        <f aca="false">S42-IF($BL$4="mid",T42,U42)-$BM$9*(IF($BL$4="mid",N42,O42)+IF($BL$4="mid",DL42,L42))</f>
        <v>-10276.6460450118</v>
      </c>
      <c r="BC42" s="772" t="n">
        <f aca="false">V42-IF($BL$4="mid",W42,X42)-$BN$9*(IF($BL$4="mid",N42,O42)+IF($BL$4="mid",DL42,L42))</f>
        <v>-41.5979799401321</v>
      </c>
      <c r="BD42" s="772" t="n">
        <f aca="false">Y42-IF($BL$4="mid",Z42,AA42)</f>
        <v>42420.9384288263</v>
      </c>
      <c r="BE42" s="772" t="n">
        <f aca="false">AB42-IF($BL$4="mid",AC42,AD42)</f>
        <v>10449.3248060776</v>
      </c>
      <c r="BF42" s="772" t="n">
        <f aca="false">AE42-IF($BL$4="mid",AF42,AG42)</f>
        <v>-4440.89487202454</v>
      </c>
      <c r="BG42" s="772" t="n">
        <f aca="false">AH42-IF($BL$4="mid",AI42,AJ42)</f>
        <v>20541.0344318382</v>
      </c>
      <c r="BH42" s="772" t="n">
        <f aca="false">-IF($BL$4="mid",AK42,AL42)</f>
        <v>-276189.692416573</v>
      </c>
      <c r="BI42" s="772" t="n">
        <f aca="false">-IF($BL$4="mid",AM42,AN42)</f>
        <v>-55221.25</v>
      </c>
      <c r="BL42" s="772" t="n">
        <f aca="false">BW42-IF($BL$4="mid",Q42,R42)-$BL$9*(IF($BL$4="mid",N42,O42)+IF($BL$4="mid",DL42,L42))</f>
        <v>568013.061797971</v>
      </c>
      <c r="BM42" s="772" t="n">
        <f aca="false">BX42-IF($BL$4="mid",T42,U42)-$BM$9*(IF($BL$4="mid",N42,O42)+IF($BL$4="mid",DL42,L42))</f>
        <v>-5178.32347620849</v>
      </c>
      <c r="BN42" s="772" t="n">
        <f aca="false">BY42-IF($BL$4="mid",W42,X42)-$BN$9*(IF($BL$4="mid",N42,O42)+IF($BL$4="mid",DL42,L42))</f>
        <v>2524.71782185321</v>
      </c>
      <c r="BO42" s="772" t="n">
        <f aca="false">BZ42-IF($BL$4="mid",Z42,AA42)</f>
        <v>61088.484254438</v>
      </c>
      <c r="BP42" s="772" t="n">
        <f aca="false">CA42-IF($BL$4="mid",AC42,AD42)</f>
        <v>27624.8817192751</v>
      </c>
      <c r="BQ42" s="772" t="n">
        <f aca="false">CB42-IF($BL$4="mid",AF42,AG42)</f>
        <v>8590.52740274812</v>
      </c>
      <c r="BR42" s="772" t="n">
        <f aca="false">CC42-IF($BL$4="mid",AI42,AJ42)</f>
        <v>21398.7603014215</v>
      </c>
      <c r="BS42" s="772" t="n">
        <f aca="false">-IF($BL$4="mid",AK42,AL42)</f>
        <v>-276189.692416573</v>
      </c>
      <c r="BT42" s="772" t="n">
        <f aca="false">-IF($BL$4="mid",AM42,AN42)</f>
        <v>-55221.25</v>
      </c>
      <c r="BW42" s="872" t="n">
        <f aca="false">Breakout!$E$15/12</f>
        <v>3590112.81329009</v>
      </c>
      <c r="BX42" s="872" t="n">
        <f aca="false">Breakout!$E$26/12</f>
        <v>127194.23123165</v>
      </c>
      <c r="BY42" s="872" t="n">
        <f aca="false">Breakout!$E$37/12</f>
        <v>64025.0908218532</v>
      </c>
      <c r="BZ42" s="872" t="n">
        <f aca="false">Breakout!$E$48/12</f>
        <v>465722.619200138</v>
      </c>
      <c r="CA42" s="872" t="n">
        <f aca="false">Breakout!$E$59/12</f>
        <v>428500.105292938</v>
      </c>
      <c r="CB42" s="872" t="n">
        <f aca="false">Breakout!$E$70/12</f>
        <v>325111.194069415</v>
      </c>
      <c r="CC42" s="872" t="n">
        <f aca="false">Breakout!$E$81/12</f>
        <v>21398.7603014215</v>
      </c>
      <c r="CE42" s="852" t="n">
        <f aca="false">P42/0.96</f>
        <v>3589802.52989412</v>
      </c>
      <c r="CF42" s="852" t="n">
        <f aca="false">S42/0.96</f>
        <v>127183.238190465</v>
      </c>
      <c r="CG42" s="852" t="n">
        <f aca="false">V42/0.96</f>
        <v>64019.5573125624</v>
      </c>
      <c r="CI42" s="852" t="n">
        <f aca="false">N42</f>
        <v>-715341.083333333</v>
      </c>
      <c r="CJ42" s="852" t="n">
        <f aca="false">O42</f>
        <v>-705333.333333333</v>
      </c>
      <c r="CL42" s="772" t="n">
        <f aca="false">'account mgt'!$E$23/12</f>
        <v>-51239.7</v>
      </c>
      <c r="CN42" s="772" t="n">
        <v>0</v>
      </c>
      <c r="CT42" s="772" t="n">
        <f aca="false">CW41</f>
        <v>27211476.9187538</v>
      </c>
      <c r="CU42" s="772" t="n">
        <f aca="false">IF(CT42&lt;0.1,0,CT42*$L$3)</f>
        <v>214743.905350498</v>
      </c>
      <c r="CV42" s="772" t="n">
        <f aca="false">IF(CT42&lt;0.1,0,PPMT($L$3,A42-14,unwinds!$B$8*12,$K$5))</f>
        <v>552814.972152098</v>
      </c>
      <c r="CW42" s="772" t="n">
        <f aca="false">IF(CT42-CV42&lt;0,0,CT42-CV42)</f>
        <v>26658661.9466017</v>
      </c>
      <c r="CX42" s="772" t="n">
        <f aca="false">IF(CX41-CV42&lt;0,0,CX41-CV42)</f>
        <v>26658661.9466017</v>
      </c>
      <c r="DA42" s="772" t="n">
        <f aca="false">DD41</f>
        <v>31833526.0743683</v>
      </c>
      <c r="DB42" s="772" t="n">
        <f aca="false">DA42*$L$3</f>
        <v>251219.576603556</v>
      </c>
      <c r="DC42" s="772" t="n">
        <f aca="false">PPMT($L$3,A42-14,106,$K$5)</f>
        <v>244178.495068058</v>
      </c>
      <c r="DD42" s="772" t="n">
        <f aca="false">DA42-DC42</f>
        <v>31589347.5793002</v>
      </c>
      <c r="DE42" s="772" t="n">
        <f aca="false">DE41-DC42</f>
        <v>31589347.5793002</v>
      </c>
      <c r="DH42" s="417" t="n">
        <v>-715341.083333333</v>
      </c>
      <c r="DI42" s="417" t="n">
        <v>-705333.333333333</v>
      </c>
      <c r="DJ42" s="417"/>
      <c r="DL42" s="417" t="n">
        <f aca="false">PMT($J$3,106,$I$5,,1)</f>
        <v>474832.92700925</v>
      </c>
      <c r="DN42" s="417" t="n">
        <f aca="false">IF($BL$4="mid",DH42,DI42)</f>
        <v>-715341.083333333</v>
      </c>
      <c r="DO42" s="417" t="n">
        <f aca="false">IF($BL$4="mid",DL42,L42)</f>
        <v>474832.92700925</v>
      </c>
      <c r="DQ42" s="772" t="n">
        <f aca="false">BW42-IF($BL$4="mid",Q42,R42)</f>
        <v>339530.313290092</v>
      </c>
      <c r="DR42" s="772" t="n">
        <f aca="false">BX42-IF($BL$4="mid",T42,U42)</f>
        <v>-17203.7312924127</v>
      </c>
      <c r="DS42" s="772"/>
      <c r="DT42" s="772"/>
      <c r="DU42" s="772"/>
      <c r="DV42" s="772"/>
      <c r="DW42" s="772"/>
      <c r="DX42" s="772"/>
    </row>
    <row r="43" customFormat="false" ht="12.75" hidden="false" customHeight="false" outlineLevel="0" collapsed="false">
      <c r="A43" s="767" t="n">
        <v>32</v>
      </c>
      <c r="B43" s="854" t="n">
        <v>37469</v>
      </c>
      <c r="C43" s="417" t="n">
        <v>0</v>
      </c>
      <c r="D43" s="417" t="n">
        <v>0</v>
      </c>
      <c r="E43" s="417" t="n">
        <v>0</v>
      </c>
      <c r="F43" s="417" t="n">
        <v>247340.671183223</v>
      </c>
      <c r="G43" s="417" t="n">
        <v>244178.495068061</v>
      </c>
      <c r="H43" s="417" t="n">
        <v>0</v>
      </c>
      <c r="I43" s="417" t="n">
        <v>491519.166251284</v>
      </c>
      <c r="J43" s="417"/>
      <c r="K43" s="417"/>
      <c r="L43" s="417" t="n">
        <f aca="false">PMT($L$3,106,$K$5,,1)</f>
        <v>491519.166251281</v>
      </c>
      <c r="M43" s="417"/>
      <c r="N43" s="850" t="n">
        <f aca="false">IF(A43&lt;$B$8,0,-$R$5/12)</f>
        <v>-715341.083333333</v>
      </c>
      <c r="O43" s="850" t="n">
        <f aca="false">IF(A43&lt;$B$8,0,-$S$5/12)</f>
        <v>-705333.333333333</v>
      </c>
      <c r="P43" s="872" t="n">
        <f aca="false">Breakout!$E$16/12</f>
        <v>3446210.42869836</v>
      </c>
      <c r="Q43" s="770" t="n">
        <f aca="false">'wholesale services'!$D$110*'wholesale services'!$F$111/12</f>
        <v>3250582.5</v>
      </c>
      <c r="R43" s="770" t="n">
        <v>3320487.5</v>
      </c>
      <c r="S43" s="872" t="n">
        <f aca="false">Breakout!$E$27/12</f>
        <v>122095.908662846</v>
      </c>
      <c r="T43" s="770" t="n">
        <f aca="false">'wholesale services'!$D$113*'wholesale services'!$F$114/12</f>
        <v>144397.962524062</v>
      </c>
      <c r="U43" s="770" t="n">
        <v>147344.859718431</v>
      </c>
      <c r="V43" s="872" t="n">
        <f aca="false">Breakout!$E$38/12</f>
        <v>61458.7750200599</v>
      </c>
      <c r="W43" s="431" t="n">
        <f aca="false">Breakout!$E$39/12</f>
        <v>61500.373</v>
      </c>
      <c r="X43" s="431" t="n">
        <v>62161.6673333333</v>
      </c>
      <c r="Y43" s="872" t="n">
        <f aca="false">Breakout!$E$49/12</f>
        <v>447055.073374526</v>
      </c>
      <c r="Z43" s="873" t="n">
        <f aca="false">Breakout!$E$50/12</f>
        <v>404634.1349457</v>
      </c>
      <c r="AA43" s="873" t="n">
        <v>425040.038430047</v>
      </c>
      <c r="AB43" s="872" t="n">
        <f aca="false">Breakout!$E$60/12</f>
        <v>411324.548379741</v>
      </c>
      <c r="AC43" s="873" t="n">
        <f aca="false">Breakout!$E$61/12</f>
        <v>400875.223573663</v>
      </c>
      <c r="AD43" s="873" t="n">
        <v>413374.673751907</v>
      </c>
      <c r="AE43" s="872" t="n">
        <f aca="false">Breakout!$E$71/12</f>
        <v>312079.771794642</v>
      </c>
      <c r="AF43" s="873" t="n">
        <f aca="false">Breakout!$E$72/12</f>
        <v>316520.666666667</v>
      </c>
      <c r="AG43" s="873" t="n">
        <v>316520.666666667</v>
      </c>
      <c r="AH43" s="872" t="n">
        <f aca="false">Breakout!$E$82/12</f>
        <v>20541.0344318382</v>
      </c>
      <c r="AI43" s="873" t="n">
        <f aca="false">Breakout!$E$83/12</f>
        <v>0</v>
      </c>
      <c r="AJ43" s="873" t="n">
        <v>0</v>
      </c>
      <c r="AK43" s="874" t="n">
        <f aca="false">Breakout!$E$91/12</f>
        <v>276189.692416573</v>
      </c>
      <c r="AL43" s="874" t="n">
        <v>276189.692416573</v>
      </c>
      <c r="AM43" s="773" t="n">
        <f aca="false">(Breakout!$E$107/12)*-1</f>
        <v>55221.25</v>
      </c>
      <c r="AN43" s="773" t="n">
        <v>55221.25</v>
      </c>
      <c r="AO43" s="774" t="n">
        <f aca="false">(P43+S43+V43)+Y43+AB43+AE43+AH43</f>
        <v>4820765.54036201</v>
      </c>
      <c r="AP43" s="774" t="n">
        <f aca="false">Q43+T43+W43+AA43+AD43+AG43+AJ43+AL43+AN43</f>
        <v>4942827.15678926</v>
      </c>
      <c r="AQ43" s="775" t="n">
        <f aca="false">P43+S43+V43+Y43+AB43+AE43+AH43-Q43-T43-W43-Z43-AC43-AF43-AI43-AK43-AM43-DH43-DL43-CN43</f>
        <v>151351.89355943</v>
      </c>
      <c r="AR43" s="431"/>
      <c r="AS43" s="776" t="n">
        <f aca="false">P43+S43+V43+Y43+AB43+AE43+AH43-R43-U43-X43-AA43-AD43-AG43-AJ43-AL43-AN43-O43-L43-CN43</f>
        <v>18239.3591271066</v>
      </c>
      <c r="AT43" s="431"/>
      <c r="AU43" s="770" t="n">
        <f aca="false">'wholesale services'!$F$110/12</f>
        <v>39106610.7060185</v>
      </c>
      <c r="AV43" s="770" t="n">
        <f aca="false">'wholesale services'!$F$113/12</f>
        <v>17613.2558333333</v>
      </c>
      <c r="AW43" s="431"/>
      <c r="AX43" s="851" t="n">
        <f aca="false">IF(A43&lt;$AX$6,0,-$R$5/12)</f>
        <v>-715341.083333333</v>
      </c>
      <c r="AY43" s="417" t="n">
        <f aca="false">IF(A43&lt;$AX$6,0,-$S$5/12)</f>
        <v>-705333.333333333</v>
      </c>
      <c r="AZ43" s="431"/>
      <c r="BA43" s="772" t="n">
        <f aca="false">P43-IF($BL$4="mid",Q43,R43)-$BL$9*(IF($BL$4="mid",N43,O43)+IF($BL$4="mid",DL43,L43))</f>
        <v>424110.677206237</v>
      </c>
      <c r="BB43" s="772" t="n">
        <f aca="false">S43-IF($BL$4="mid",T43,U43)-$BM$9*(IF($BL$4="mid",N43,O43)+IF($BL$4="mid",DL43,L43))</f>
        <v>-10276.6460450118</v>
      </c>
      <c r="BC43" s="772" t="n">
        <f aca="false">V43-IF($BL$4="mid",W43,X43)-$BN$9*(IF($BL$4="mid",N43,O43)+IF($BL$4="mid",DL43,L43))</f>
        <v>-41.5979799401321</v>
      </c>
      <c r="BD43" s="772" t="n">
        <f aca="false">Y43-IF($BL$4="mid",Z43,AA43)</f>
        <v>42420.9384288263</v>
      </c>
      <c r="BE43" s="772" t="n">
        <f aca="false">AB43-IF($BL$4="mid",AC43,AD43)</f>
        <v>10449.3248060776</v>
      </c>
      <c r="BF43" s="772" t="n">
        <f aca="false">AE43-IF($BL$4="mid",AF43,AG43)</f>
        <v>-4440.89487202454</v>
      </c>
      <c r="BG43" s="772" t="n">
        <f aca="false">AH43-IF($BL$4="mid",AI43,AJ43)</f>
        <v>20541.0344318382</v>
      </c>
      <c r="BH43" s="772" t="n">
        <f aca="false">-IF($BL$4="mid",AK43,AL43)</f>
        <v>-276189.692416573</v>
      </c>
      <c r="BI43" s="772" t="n">
        <f aca="false">-IF($BL$4="mid",AM43,AN43)</f>
        <v>-55221.25</v>
      </c>
      <c r="BL43" s="772" t="n">
        <f aca="false">BW43-IF($BL$4="mid",Q43,R43)-$BL$9*(IF($BL$4="mid",N43,O43)+IF($BL$4="mid",DL43,L43))</f>
        <v>568013.061797971</v>
      </c>
      <c r="BM43" s="772" t="n">
        <f aca="false">BX43-IF($BL$4="mid",T43,U43)-$BM$9*(IF($BL$4="mid",N43,O43)+IF($BL$4="mid",DL43,L43))</f>
        <v>-5178.32347620849</v>
      </c>
      <c r="BN43" s="772" t="n">
        <f aca="false">BY43-IF($BL$4="mid",W43,X43)-$BN$9*(IF($BL$4="mid",N43,O43)+IF($BL$4="mid",DL43,L43))</f>
        <v>2524.71782185321</v>
      </c>
      <c r="BO43" s="772" t="n">
        <f aca="false">BZ43-IF($BL$4="mid",Z43,AA43)</f>
        <v>61088.484254438</v>
      </c>
      <c r="BP43" s="772" t="n">
        <f aca="false">CA43-IF($BL$4="mid",AC43,AD43)</f>
        <v>27624.8817192751</v>
      </c>
      <c r="BQ43" s="772" t="n">
        <f aca="false">CB43-IF($BL$4="mid",AF43,AG43)</f>
        <v>8590.52740274812</v>
      </c>
      <c r="BR43" s="772" t="n">
        <f aca="false">CC43-IF($BL$4="mid",AI43,AJ43)</f>
        <v>21398.7603014215</v>
      </c>
      <c r="BS43" s="772" t="n">
        <f aca="false">-IF($BL$4="mid",AK43,AL43)</f>
        <v>-276189.692416573</v>
      </c>
      <c r="BT43" s="772" t="n">
        <f aca="false">-IF($BL$4="mid",AM43,AN43)</f>
        <v>-55221.25</v>
      </c>
      <c r="BW43" s="872" t="n">
        <f aca="false">Breakout!$E$15/12</f>
        <v>3590112.81329009</v>
      </c>
      <c r="BX43" s="872" t="n">
        <f aca="false">Breakout!$E$26/12</f>
        <v>127194.23123165</v>
      </c>
      <c r="BY43" s="872" t="n">
        <f aca="false">Breakout!$E$37/12</f>
        <v>64025.0908218532</v>
      </c>
      <c r="BZ43" s="872" t="n">
        <f aca="false">Breakout!$E$48/12</f>
        <v>465722.619200138</v>
      </c>
      <c r="CA43" s="872" t="n">
        <f aca="false">Breakout!$E$59/12</f>
        <v>428500.105292938</v>
      </c>
      <c r="CB43" s="872" t="n">
        <f aca="false">Breakout!$E$70/12</f>
        <v>325111.194069415</v>
      </c>
      <c r="CC43" s="872" t="n">
        <f aca="false">Breakout!$E$81/12</f>
        <v>21398.7603014215</v>
      </c>
      <c r="CE43" s="852" t="n">
        <f aca="false">P43/0.96</f>
        <v>3589802.52989412</v>
      </c>
      <c r="CF43" s="852" t="n">
        <f aca="false">S43/0.96</f>
        <v>127183.238190465</v>
      </c>
      <c r="CG43" s="852" t="n">
        <f aca="false">V43/0.96</f>
        <v>64019.5573125624</v>
      </c>
      <c r="CI43" s="852" t="n">
        <f aca="false">N43</f>
        <v>-715341.083333333</v>
      </c>
      <c r="CJ43" s="852" t="n">
        <f aca="false">O43</f>
        <v>-705333.333333333</v>
      </c>
      <c r="CL43" s="772" t="n">
        <f aca="false">'account mgt'!$E$23/12</f>
        <v>-51239.7</v>
      </c>
      <c r="CN43" s="772" t="n">
        <v>0</v>
      </c>
      <c r="CT43" s="772" t="n">
        <f aca="false">CW42</f>
        <v>26658661.9466017</v>
      </c>
      <c r="CU43" s="772" t="n">
        <f aca="false">IF(CT43&lt;0.1,0,CT43*$L$3)</f>
        <v>210381.273861931</v>
      </c>
      <c r="CV43" s="772" t="n">
        <f aca="false">IF(CT43&lt;0.1,0,PPMT($L$3,A43-14,unwinds!$B$8*12,$K$5))</f>
        <v>557177.603640665</v>
      </c>
      <c r="CW43" s="772" t="n">
        <f aca="false">IF(CT43-CV43&lt;0,0,CT43-CV43)</f>
        <v>26101484.342961</v>
      </c>
      <c r="CX43" s="772" t="n">
        <f aca="false">IF(CX42-CV43&lt;0,0,CX42-CV43)</f>
        <v>26101484.342961</v>
      </c>
      <c r="DA43" s="772" t="n">
        <f aca="false">DD42</f>
        <v>31589347.5793002</v>
      </c>
      <c r="DB43" s="772" t="n">
        <f aca="false">DA43*$L$3</f>
        <v>249292.601313311</v>
      </c>
      <c r="DC43" s="772" t="n">
        <f aca="false">PPMT($L$3,A43-14,106,$K$5)</f>
        <v>246105.470358303</v>
      </c>
      <c r="DD43" s="772" t="n">
        <f aca="false">DA43-DC43</f>
        <v>31343242.1089419</v>
      </c>
      <c r="DE43" s="772" t="n">
        <f aca="false">DE42-DC43</f>
        <v>31343242.1089419</v>
      </c>
      <c r="DH43" s="417" t="n">
        <v>-715341.083333333</v>
      </c>
      <c r="DI43" s="417" t="n">
        <v>-705333.333333333</v>
      </c>
      <c r="DJ43" s="417"/>
      <c r="DL43" s="417" t="n">
        <f aca="false">PMT($J$3,106,$I$5,,1)</f>
        <v>474832.92700925</v>
      </c>
      <c r="DN43" s="417" t="n">
        <f aca="false">IF($BL$4="mid",DH43,DI43)</f>
        <v>-715341.083333333</v>
      </c>
      <c r="DO43" s="417" t="n">
        <f aca="false">IF($BL$4="mid",DL43,L43)</f>
        <v>474832.92700925</v>
      </c>
      <c r="DQ43" s="772" t="n">
        <f aca="false">BW43-IF($BL$4="mid",Q43,R43)</f>
        <v>339530.313290092</v>
      </c>
      <c r="DR43" s="772" t="n">
        <f aca="false">BX43-IF($BL$4="mid",T43,U43)</f>
        <v>-17203.7312924127</v>
      </c>
      <c r="DS43" s="772"/>
      <c r="DT43" s="772"/>
      <c r="DU43" s="772"/>
      <c r="DV43" s="772"/>
      <c r="DW43" s="772"/>
      <c r="DX43" s="772"/>
    </row>
    <row r="44" customFormat="false" ht="12.75" hidden="false" customHeight="false" outlineLevel="0" collapsed="false">
      <c r="A44" s="767" t="n">
        <v>33</v>
      </c>
      <c r="B44" s="854" t="n">
        <v>37500</v>
      </c>
      <c r="C44" s="417" t="n">
        <v>0</v>
      </c>
      <c r="D44" s="417" t="n">
        <v>0</v>
      </c>
      <c r="E44" s="417" t="n">
        <v>0</v>
      </c>
      <c r="F44" s="417" t="n">
        <v>245413.695892978</v>
      </c>
      <c r="G44" s="417" t="n">
        <v>246105.470358306</v>
      </c>
      <c r="H44" s="417" t="n">
        <v>0</v>
      </c>
      <c r="I44" s="417" t="n">
        <v>491519.166251284</v>
      </c>
      <c r="J44" s="417"/>
      <c r="K44" s="417"/>
      <c r="L44" s="417" t="n">
        <f aca="false">PMT($L$3,106,$K$5,,1)</f>
        <v>491519.166251281</v>
      </c>
      <c r="M44" s="417"/>
      <c r="N44" s="850" t="n">
        <f aca="false">IF(A44&lt;$B$8,0,-$R$5/12)</f>
        <v>-715341.083333333</v>
      </c>
      <c r="O44" s="850" t="n">
        <f aca="false">IF(A44&lt;$B$8,0,-$S$5/12)</f>
        <v>-705333.333333333</v>
      </c>
      <c r="P44" s="872" t="n">
        <f aca="false">Breakout!$E$16/12</f>
        <v>3446210.42869836</v>
      </c>
      <c r="Q44" s="770" t="n">
        <f aca="false">'wholesale services'!$D$110*'wholesale services'!$F$111/12</f>
        <v>3250582.5</v>
      </c>
      <c r="R44" s="770" t="n">
        <v>3320487.5</v>
      </c>
      <c r="S44" s="872" t="n">
        <f aca="false">Breakout!$E$27/12</f>
        <v>122095.908662846</v>
      </c>
      <c r="T44" s="770" t="n">
        <f aca="false">'wholesale services'!$D$113*'wholesale services'!$F$114/12</f>
        <v>144397.962524062</v>
      </c>
      <c r="U44" s="770" t="n">
        <v>147344.859718431</v>
      </c>
      <c r="V44" s="872" t="n">
        <f aca="false">Breakout!$E$38/12</f>
        <v>61458.7750200599</v>
      </c>
      <c r="W44" s="431" t="n">
        <f aca="false">Breakout!$E$39/12</f>
        <v>61500.373</v>
      </c>
      <c r="X44" s="431" t="n">
        <v>62161.6673333333</v>
      </c>
      <c r="Y44" s="872" t="n">
        <f aca="false">Breakout!$E$49/12</f>
        <v>447055.073374526</v>
      </c>
      <c r="Z44" s="873" t="n">
        <f aca="false">Breakout!$E$50/12</f>
        <v>404634.1349457</v>
      </c>
      <c r="AA44" s="873" t="n">
        <v>425040.038430047</v>
      </c>
      <c r="AB44" s="872" t="n">
        <f aca="false">Breakout!$E$60/12</f>
        <v>411324.548379741</v>
      </c>
      <c r="AC44" s="873" t="n">
        <f aca="false">Breakout!$E$61/12</f>
        <v>400875.223573663</v>
      </c>
      <c r="AD44" s="873" t="n">
        <v>413374.673751907</v>
      </c>
      <c r="AE44" s="872" t="n">
        <f aca="false">Breakout!$E$71/12</f>
        <v>312079.771794642</v>
      </c>
      <c r="AF44" s="873" t="n">
        <f aca="false">Breakout!$E$72/12</f>
        <v>316520.666666667</v>
      </c>
      <c r="AG44" s="873" t="n">
        <v>316520.666666667</v>
      </c>
      <c r="AH44" s="872" t="n">
        <f aca="false">Breakout!$E$82/12</f>
        <v>20541.0344318382</v>
      </c>
      <c r="AI44" s="873" t="n">
        <f aca="false">Breakout!$E$83/12</f>
        <v>0</v>
      </c>
      <c r="AJ44" s="873" t="n">
        <v>0</v>
      </c>
      <c r="AK44" s="874" t="n">
        <f aca="false">Breakout!$E$91/12</f>
        <v>276189.692416573</v>
      </c>
      <c r="AL44" s="874" t="n">
        <v>276189.692416573</v>
      </c>
      <c r="AM44" s="773" t="n">
        <f aca="false">(Breakout!$E$107/12)*-1</f>
        <v>55221.25</v>
      </c>
      <c r="AN44" s="773" t="n">
        <v>55221.25</v>
      </c>
      <c r="AO44" s="774" t="n">
        <f aca="false">(P44+S44+V44)+Y44+AB44+AE44+AH44</f>
        <v>4820765.54036201</v>
      </c>
      <c r="AP44" s="774" t="n">
        <f aca="false">Q44+T44+W44+AA44+AD44+AG44+AJ44+AL44+AN44</f>
        <v>4942827.15678926</v>
      </c>
      <c r="AQ44" s="775" t="n">
        <f aca="false">P44+S44+V44+Y44+AB44+AE44+AH44-Q44-T44-W44-Z44-AC44-AF44-AI44-AK44-AM44-DH44-DL44-CN44</f>
        <v>151351.89355943</v>
      </c>
      <c r="AR44" s="431"/>
      <c r="AS44" s="776" t="n">
        <f aca="false">P44+S44+V44+Y44+AB44+AE44+AH44-R44-U44-X44-AA44-AD44-AG44-AJ44-AL44-AN44-O44-L44-CN44</f>
        <v>18239.3591271066</v>
      </c>
      <c r="AT44" s="431"/>
      <c r="AU44" s="770" t="n">
        <f aca="false">'wholesale services'!$F$110/12</f>
        <v>39106610.7060185</v>
      </c>
      <c r="AV44" s="770" t="n">
        <f aca="false">'wholesale services'!$F$113/12</f>
        <v>17613.2558333333</v>
      </c>
      <c r="AW44" s="431"/>
      <c r="AX44" s="851" t="n">
        <f aca="false">IF(A44&lt;$AX$6,0,-$R$5/12)</f>
        <v>-715341.083333333</v>
      </c>
      <c r="AY44" s="417" t="n">
        <f aca="false">IF(A44&lt;$AX$6,0,-$S$5/12)</f>
        <v>-705333.333333333</v>
      </c>
      <c r="AZ44" s="431"/>
      <c r="BA44" s="772" t="n">
        <f aca="false">P44-IF($BL$4="mid",Q44,R44)-$BL$9*(IF($BL$4="mid",N44,O44)+IF($BL$4="mid",DL44,L44))</f>
        <v>424110.677206237</v>
      </c>
      <c r="BB44" s="772" t="n">
        <f aca="false">S44-IF($BL$4="mid",T44,U44)-$BM$9*(IF($BL$4="mid",N44,O44)+IF($BL$4="mid",DL44,L44))</f>
        <v>-10276.6460450118</v>
      </c>
      <c r="BC44" s="772" t="n">
        <f aca="false">V44-IF($BL$4="mid",W44,X44)-$BN$9*(IF($BL$4="mid",N44,O44)+IF($BL$4="mid",DL44,L44))</f>
        <v>-41.5979799401321</v>
      </c>
      <c r="BD44" s="772" t="n">
        <f aca="false">Y44-IF($BL$4="mid",Z44,AA44)</f>
        <v>42420.9384288263</v>
      </c>
      <c r="BE44" s="772" t="n">
        <f aca="false">AB44-IF($BL$4="mid",AC44,AD44)</f>
        <v>10449.3248060776</v>
      </c>
      <c r="BF44" s="772" t="n">
        <f aca="false">AE44-IF($BL$4="mid",AF44,AG44)</f>
        <v>-4440.89487202454</v>
      </c>
      <c r="BG44" s="772" t="n">
        <f aca="false">AH44-IF($BL$4="mid",AI44,AJ44)</f>
        <v>20541.0344318382</v>
      </c>
      <c r="BH44" s="772" t="n">
        <f aca="false">-IF($BL$4="mid",AK44,AL44)</f>
        <v>-276189.692416573</v>
      </c>
      <c r="BI44" s="772" t="n">
        <f aca="false">-IF($BL$4="mid",AM44,AN44)</f>
        <v>-55221.25</v>
      </c>
      <c r="BL44" s="772" t="n">
        <f aca="false">BW44-IF($BL$4="mid",Q44,R44)-$BL$9*(IF($BL$4="mid",N44,O44)+IF($BL$4="mid",DL44,L44))</f>
        <v>568013.061797971</v>
      </c>
      <c r="BM44" s="772" t="n">
        <f aca="false">BX44-IF($BL$4="mid",T44,U44)-$BM$9*(IF($BL$4="mid",N44,O44)+IF($BL$4="mid",DL44,L44))</f>
        <v>-5178.32347620849</v>
      </c>
      <c r="BN44" s="772" t="n">
        <f aca="false">BY44-IF($BL$4="mid",W44,X44)-$BN$9*(IF($BL$4="mid",N44,O44)+IF($BL$4="mid",DL44,L44))</f>
        <v>2524.71782185321</v>
      </c>
      <c r="BO44" s="772" t="n">
        <f aca="false">BZ44-IF($BL$4="mid",Z44,AA44)</f>
        <v>61088.484254438</v>
      </c>
      <c r="BP44" s="772" t="n">
        <f aca="false">CA44-IF($BL$4="mid",AC44,AD44)</f>
        <v>27624.8817192751</v>
      </c>
      <c r="BQ44" s="772" t="n">
        <f aca="false">CB44-IF($BL$4="mid",AF44,AG44)</f>
        <v>8590.52740274812</v>
      </c>
      <c r="BR44" s="772" t="n">
        <f aca="false">CC44-IF($BL$4="mid",AI44,AJ44)</f>
        <v>21398.7603014215</v>
      </c>
      <c r="BS44" s="772" t="n">
        <f aca="false">-IF($BL$4="mid",AK44,AL44)</f>
        <v>-276189.692416573</v>
      </c>
      <c r="BT44" s="772" t="n">
        <f aca="false">-IF($BL$4="mid",AM44,AN44)</f>
        <v>-55221.25</v>
      </c>
      <c r="BW44" s="872" t="n">
        <f aca="false">Breakout!$E$15/12</f>
        <v>3590112.81329009</v>
      </c>
      <c r="BX44" s="872" t="n">
        <f aca="false">Breakout!$E$26/12</f>
        <v>127194.23123165</v>
      </c>
      <c r="BY44" s="872" t="n">
        <f aca="false">Breakout!$E$37/12</f>
        <v>64025.0908218532</v>
      </c>
      <c r="BZ44" s="872" t="n">
        <f aca="false">Breakout!$E$48/12</f>
        <v>465722.619200138</v>
      </c>
      <c r="CA44" s="872" t="n">
        <f aca="false">Breakout!$E$59/12</f>
        <v>428500.105292938</v>
      </c>
      <c r="CB44" s="872" t="n">
        <f aca="false">Breakout!$E$70/12</f>
        <v>325111.194069415</v>
      </c>
      <c r="CC44" s="872" t="n">
        <f aca="false">Breakout!$E$81/12</f>
        <v>21398.7603014215</v>
      </c>
      <c r="CE44" s="852" t="n">
        <f aca="false">P44/0.96</f>
        <v>3589802.52989412</v>
      </c>
      <c r="CF44" s="852" t="n">
        <f aca="false">S44/0.96</f>
        <v>127183.238190465</v>
      </c>
      <c r="CG44" s="852" t="n">
        <f aca="false">V44/0.96</f>
        <v>64019.5573125624</v>
      </c>
      <c r="CI44" s="852" t="n">
        <f aca="false">N44</f>
        <v>-715341.083333333</v>
      </c>
      <c r="CJ44" s="852" t="n">
        <f aca="false">O44</f>
        <v>-705333.333333333</v>
      </c>
      <c r="CL44" s="772" t="n">
        <f aca="false">'account mgt'!$E$23/12</f>
        <v>-51239.7</v>
      </c>
      <c r="CN44" s="772" t="n">
        <v>0</v>
      </c>
      <c r="CT44" s="772" t="n">
        <f aca="false">CW43</f>
        <v>26101484.342961</v>
      </c>
      <c r="CU44" s="772" t="n">
        <f aca="false">IF(CT44&lt;0.1,0,CT44*$L$3)</f>
        <v>205984.213939867</v>
      </c>
      <c r="CV44" s="772" t="n">
        <f aca="false">IF(CT44&lt;0.1,0,PPMT($L$3,A44-14,unwinds!$B$8*12,$K$5))</f>
        <v>561574.663562729</v>
      </c>
      <c r="CW44" s="772" t="n">
        <f aca="false">IF(CT44-CV44&lt;0,0,CT44-CV44)</f>
        <v>25539909.6793983</v>
      </c>
      <c r="CX44" s="772" t="n">
        <f aca="false">IF(CX43-CV44&lt;0,0,CX43-CV44)</f>
        <v>25539909.6793983</v>
      </c>
      <c r="DA44" s="772" t="n">
        <f aca="false">DD43</f>
        <v>31343242.1089419</v>
      </c>
      <c r="DB44" s="772" t="n">
        <f aca="false">DA44*$L$3</f>
        <v>247350.4189764</v>
      </c>
      <c r="DC44" s="772" t="n">
        <f aca="false">PPMT($L$3,A44-14,106,$K$5)</f>
        <v>248047.652695214</v>
      </c>
      <c r="DD44" s="772" t="n">
        <f aca="false">DA44-DC44</f>
        <v>31095194.4562467</v>
      </c>
      <c r="DE44" s="772" t="n">
        <f aca="false">DE43-DC44</f>
        <v>31095194.4562467</v>
      </c>
      <c r="DH44" s="417" t="n">
        <v>-715341.083333333</v>
      </c>
      <c r="DI44" s="417" t="n">
        <v>-705333.333333333</v>
      </c>
      <c r="DJ44" s="417"/>
      <c r="DL44" s="417" t="n">
        <f aca="false">PMT($J$3,106,$I$5,,1)</f>
        <v>474832.92700925</v>
      </c>
      <c r="DN44" s="417" t="n">
        <f aca="false">IF($BL$4="mid",DH44,DI44)</f>
        <v>-715341.083333333</v>
      </c>
      <c r="DO44" s="417" t="n">
        <f aca="false">IF($BL$4="mid",DL44,L44)</f>
        <v>474832.92700925</v>
      </c>
      <c r="DQ44" s="772" t="n">
        <f aca="false">BW44-IF($BL$4="mid",Q44,R44)</f>
        <v>339530.313290092</v>
      </c>
      <c r="DR44" s="772" t="n">
        <f aca="false">BX44-IF($BL$4="mid",T44,U44)</f>
        <v>-17203.7312924127</v>
      </c>
      <c r="DS44" s="772"/>
      <c r="DT44" s="772"/>
      <c r="DU44" s="772"/>
      <c r="DV44" s="772"/>
      <c r="DW44" s="772"/>
      <c r="DX44" s="772"/>
    </row>
    <row r="45" customFormat="false" ht="12.75" hidden="false" customHeight="false" outlineLevel="0" collapsed="false">
      <c r="A45" s="767" t="n">
        <v>34</v>
      </c>
      <c r="B45" s="854" t="n">
        <v>37530</v>
      </c>
      <c r="C45" s="417" t="n">
        <v>0</v>
      </c>
      <c r="D45" s="417" t="n">
        <v>0</v>
      </c>
      <c r="E45" s="417" t="n">
        <v>0</v>
      </c>
      <c r="F45" s="417" t="n">
        <v>243471.513556067</v>
      </c>
      <c r="G45" s="417" t="n">
        <v>248047.652695217</v>
      </c>
      <c r="H45" s="417" t="n">
        <v>0</v>
      </c>
      <c r="I45" s="417" t="n">
        <v>491519.166251284</v>
      </c>
      <c r="J45" s="417"/>
      <c r="K45" s="417"/>
      <c r="L45" s="417" t="n">
        <f aca="false">PMT($L$3,106,$K$5,,1)</f>
        <v>491519.166251281</v>
      </c>
      <c r="M45" s="417"/>
      <c r="N45" s="850" t="n">
        <f aca="false">IF(A45&lt;$B$8,0,-$R$5/12)</f>
        <v>-715341.083333333</v>
      </c>
      <c r="O45" s="850" t="n">
        <f aca="false">IF(A45&lt;$B$8,0,-$S$5/12)</f>
        <v>-705333.333333333</v>
      </c>
      <c r="P45" s="872" t="n">
        <f aca="false">Breakout!$E$16/12</f>
        <v>3446210.42869836</v>
      </c>
      <c r="Q45" s="770" t="n">
        <f aca="false">'wholesale services'!$D$110*'wholesale services'!$F$111/12</f>
        <v>3250582.5</v>
      </c>
      <c r="R45" s="770" t="n">
        <v>3320487.5</v>
      </c>
      <c r="S45" s="872" t="n">
        <f aca="false">Breakout!$E$27/12</f>
        <v>122095.908662846</v>
      </c>
      <c r="T45" s="770" t="n">
        <f aca="false">'wholesale services'!$D$113*'wholesale services'!$F$114/12</f>
        <v>144397.962524062</v>
      </c>
      <c r="U45" s="770" t="n">
        <v>147344.859718431</v>
      </c>
      <c r="V45" s="872" t="n">
        <f aca="false">Breakout!$E$38/12</f>
        <v>61458.7750200599</v>
      </c>
      <c r="W45" s="431" t="n">
        <f aca="false">Breakout!$E$39/12</f>
        <v>61500.373</v>
      </c>
      <c r="X45" s="431" t="n">
        <v>62161.6673333333</v>
      </c>
      <c r="Y45" s="872" t="n">
        <f aca="false">Breakout!$E$49/12</f>
        <v>447055.073374526</v>
      </c>
      <c r="Z45" s="873" t="n">
        <f aca="false">Breakout!$E$50/12</f>
        <v>404634.1349457</v>
      </c>
      <c r="AA45" s="873" t="n">
        <v>425040.038430047</v>
      </c>
      <c r="AB45" s="872" t="n">
        <f aca="false">Breakout!$E$60/12</f>
        <v>411324.548379741</v>
      </c>
      <c r="AC45" s="873" t="n">
        <f aca="false">Breakout!$E$61/12</f>
        <v>400875.223573663</v>
      </c>
      <c r="AD45" s="873" t="n">
        <v>413374.673751907</v>
      </c>
      <c r="AE45" s="872" t="n">
        <f aca="false">Breakout!$E$71/12</f>
        <v>312079.771794642</v>
      </c>
      <c r="AF45" s="873" t="n">
        <f aca="false">Breakout!$E$72/12</f>
        <v>316520.666666667</v>
      </c>
      <c r="AG45" s="873" t="n">
        <v>316520.666666667</v>
      </c>
      <c r="AH45" s="872" t="n">
        <f aca="false">Breakout!$E$82/12</f>
        <v>20541.0344318382</v>
      </c>
      <c r="AI45" s="873" t="n">
        <f aca="false">Breakout!$E$83/12</f>
        <v>0</v>
      </c>
      <c r="AJ45" s="873" t="n">
        <v>0</v>
      </c>
      <c r="AK45" s="874" t="n">
        <f aca="false">Breakout!$E$91/12</f>
        <v>276189.692416573</v>
      </c>
      <c r="AL45" s="874" t="n">
        <v>276189.692416573</v>
      </c>
      <c r="AM45" s="773" t="n">
        <f aca="false">(Breakout!$E$107/12)*-1</f>
        <v>55221.25</v>
      </c>
      <c r="AN45" s="773" t="n">
        <v>55221.25</v>
      </c>
      <c r="AO45" s="774" t="n">
        <f aca="false">(P45+S45+V45)+Y45+AB45+AE45+AH45</f>
        <v>4820765.54036201</v>
      </c>
      <c r="AP45" s="774" t="n">
        <f aca="false">Q45+T45+W45+AA45+AD45+AG45+AJ45+AL45+AN45</f>
        <v>4942827.15678926</v>
      </c>
      <c r="AQ45" s="775" t="n">
        <f aca="false">P45+S45+V45+Y45+AB45+AE45+AH45-Q45-T45-W45-Z45-AC45-AF45-AI45-AK45-AM45-DH45-DL45-CN45</f>
        <v>151351.89355943</v>
      </c>
      <c r="AR45" s="431"/>
      <c r="AS45" s="776" t="n">
        <f aca="false">P45+S45+V45+Y45+AB45+AE45+AH45-R45-U45-X45-AA45-AD45-AG45-AJ45-AL45-AN45-O45-L45-CN45</f>
        <v>18239.3591271066</v>
      </c>
      <c r="AT45" s="431"/>
      <c r="AU45" s="770" t="n">
        <f aca="false">'wholesale services'!$F$110/12</f>
        <v>39106610.7060185</v>
      </c>
      <c r="AV45" s="770" t="n">
        <f aca="false">'wholesale services'!$F$113/12</f>
        <v>17613.2558333333</v>
      </c>
      <c r="AW45" s="431"/>
      <c r="AX45" s="851" t="n">
        <f aca="false">IF(A45&lt;$AX$6,0,-$R$5/12)</f>
        <v>-715341.083333333</v>
      </c>
      <c r="AY45" s="417" t="n">
        <f aca="false">IF(A45&lt;$AX$6,0,-$S$5/12)</f>
        <v>-705333.333333333</v>
      </c>
      <c r="AZ45" s="431"/>
      <c r="BA45" s="772" t="n">
        <f aca="false">P45-IF($BL$4="mid",Q45,R45)-$BL$9*(IF($BL$4="mid",N45,O45)+IF($BL$4="mid",DL45,L45))</f>
        <v>424110.677206237</v>
      </c>
      <c r="BB45" s="772" t="n">
        <f aca="false">S45-IF($BL$4="mid",T45,U45)-$BM$9*(IF($BL$4="mid",N45,O45)+IF($BL$4="mid",DL45,L45))</f>
        <v>-10276.6460450118</v>
      </c>
      <c r="BC45" s="772" t="n">
        <f aca="false">V45-IF($BL$4="mid",W45,X45)-$BN$9*(IF($BL$4="mid",N45,O45)+IF($BL$4="mid",DL45,L45))</f>
        <v>-41.5979799401321</v>
      </c>
      <c r="BD45" s="772" t="n">
        <f aca="false">Y45-IF($BL$4="mid",Z45,AA45)</f>
        <v>42420.9384288263</v>
      </c>
      <c r="BE45" s="772" t="n">
        <f aca="false">AB45-IF($BL$4="mid",AC45,AD45)</f>
        <v>10449.3248060776</v>
      </c>
      <c r="BF45" s="772" t="n">
        <f aca="false">AE45-IF($BL$4="mid",AF45,AG45)</f>
        <v>-4440.89487202454</v>
      </c>
      <c r="BG45" s="772" t="n">
        <f aca="false">AH45-IF($BL$4="mid",AI45,AJ45)</f>
        <v>20541.0344318382</v>
      </c>
      <c r="BH45" s="772" t="n">
        <f aca="false">-IF($BL$4="mid",AK45,AL45)</f>
        <v>-276189.692416573</v>
      </c>
      <c r="BI45" s="772" t="n">
        <f aca="false">-IF($BL$4="mid",AM45,AN45)</f>
        <v>-55221.25</v>
      </c>
      <c r="BL45" s="772" t="n">
        <f aca="false">BW45-IF($BL$4="mid",Q45,R45)-$BL$9*(IF($BL$4="mid",N45,O45)+IF($BL$4="mid",DL45,L45))</f>
        <v>568013.061797971</v>
      </c>
      <c r="BM45" s="772" t="n">
        <f aca="false">BX45-IF($BL$4="mid",T45,U45)-$BM$9*(IF($BL$4="mid",N45,O45)+IF($BL$4="mid",DL45,L45))</f>
        <v>-5178.32347620849</v>
      </c>
      <c r="BN45" s="772" t="n">
        <f aca="false">BY45-IF($BL$4="mid",W45,X45)-$BN$9*(IF($BL$4="mid",N45,O45)+IF($BL$4="mid",DL45,L45))</f>
        <v>2524.71782185321</v>
      </c>
      <c r="BO45" s="772" t="n">
        <f aca="false">BZ45-IF($BL$4="mid",Z45,AA45)</f>
        <v>61088.484254438</v>
      </c>
      <c r="BP45" s="772" t="n">
        <f aca="false">CA45-IF($BL$4="mid",AC45,AD45)</f>
        <v>27624.8817192751</v>
      </c>
      <c r="BQ45" s="772" t="n">
        <f aca="false">CB45-IF($BL$4="mid",AF45,AG45)</f>
        <v>8590.52740274812</v>
      </c>
      <c r="BR45" s="772" t="n">
        <f aca="false">CC45-IF($BL$4="mid",AI45,AJ45)</f>
        <v>21398.7603014215</v>
      </c>
      <c r="BS45" s="772" t="n">
        <f aca="false">-IF($BL$4="mid",AK45,AL45)</f>
        <v>-276189.692416573</v>
      </c>
      <c r="BT45" s="772" t="n">
        <f aca="false">-IF($BL$4="mid",AM45,AN45)</f>
        <v>-55221.25</v>
      </c>
      <c r="BW45" s="872" t="n">
        <f aca="false">Breakout!$E$15/12</f>
        <v>3590112.81329009</v>
      </c>
      <c r="BX45" s="872" t="n">
        <f aca="false">Breakout!$E$26/12</f>
        <v>127194.23123165</v>
      </c>
      <c r="BY45" s="872" t="n">
        <f aca="false">Breakout!$E$37/12</f>
        <v>64025.0908218532</v>
      </c>
      <c r="BZ45" s="872" t="n">
        <f aca="false">Breakout!$E$48/12</f>
        <v>465722.619200138</v>
      </c>
      <c r="CA45" s="872" t="n">
        <f aca="false">Breakout!$E$59/12</f>
        <v>428500.105292938</v>
      </c>
      <c r="CB45" s="872" t="n">
        <f aca="false">Breakout!$E$70/12</f>
        <v>325111.194069415</v>
      </c>
      <c r="CC45" s="872" t="n">
        <f aca="false">Breakout!$E$81/12</f>
        <v>21398.7603014215</v>
      </c>
      <c r="CE45" s="852" t="n">
        <f aca="false">P45/0.96</f>
        <v>3589802.52989412</v>
      </c>
      <c r="CF45" s="852" t="n">
        <f aca="false">S45/0.96</f>
        <v>127183.238190465</v>
      </c>
      <c r="CG45" s="852" t="n">
        <f aca="false">V45/0.96</f>
        <v>64019.5573125624</v>
      </c>
      <c r="CI45" s="852" t="n">
        <f aca="false">N45</f>
        <v>-715341.083333333</v>
      </c>
      <c r="CJ45" s="852" t="n">
        <f aca="false">O45</f>
        <v>-705333.333333333</v>
      </c>
      <c r="CL45" s="772" t="n">
        <f aca="false">'account mgt'!$E$23/12</f>
        <v>-51239.7</v>
      </c>
      <c r="CN45" s="772" t="n">
        <v>0</v>
      </c>
      <c r="CT45" s="772" t="n">
        <f aca="false">CW44</f>
        <v>25539909.6793983</v>
      </c>
      <c r="CU45" s="772" t="n">
        <f aca="false">IF(CT45&lt;0.1,0,CT45*$L$3)</f>
        <v>201552.453886585</v>
      </c>
      <c r="CV45" s="772" t="n">
        <f aca="false">IF(CT45&lt;0.1,0,PPMT($L$3,A45-14,unwinds!$B$8*12,$K$5))</f>
        <v>566006.423616012</v>
      </c>
      <c r="CW45" s="772" t="n">
        <f aca="false">IF(CT45-CV45&lt;0,0,CT45-CV45)</f>
        <v>24973903.2557822</v>
      </c>
      <c r="CX45" s="772" t="n">
        <f aca="false">IF(CX44-CV45&lt;0,0,CX44-CV45)</f>
        <v>24973903.2557822</v>
      </c>
      <c r="DA45" s="772" t="n">
        <f aca="false">DD44</f>
        <v>31095194.4562467</v>
      </c>
      <c r="DB45" s="772" t="n">
        <f aca="false">DA45*$L$3</f>
        <v>245392.90958388</v>
      </c>
      <c r="DC45" s="772" t="n">
        <f aca="false">PPMT($L$3,A45-14,106,$K$5)</f>
        <v>250005.162087734</v>
      </c>
      <c r="DD45" s="772" t="n">
        <f aca="false">DA45-DC45</f>
        <v>30845189.294159</v>
      </c>
      <c r="DE45" s="772" t="n">
        <f aca="false">DE44-DC45</f>
        <v>30845189.294159</v>
      </c>
      <c r="DH45" s="417" t="n">
        <v>-715341.083333333</v>
      </c>
      <c r="DI45" s="417" t="n">
        <v>-705333.333333333</v>
      </c>
      <c r="DJ45" s="417"/>
      <c r="DL45" s="417" t="n">
        <f aca="false">PMT($J$3,106,$I$5,,1)</f>
        <v>474832.92700925</v>
      </c>
      <c r="DN45" s="417" t="n">
        <f aca="false">IF($BL$4="mid",DH45,DI45)</f>
        <v>-715341.083333333</v>
      </c>
      <c r="DO45" s="417" t="n">
        <f aca="false">IF($BL$4="mid",DL45,L45)</f>
        <v>474832.92700925</v>
      </c>
      <c r="DQ45" s="772" t="n">
        <f aca="false">BW45-IF($BL$4="mid",Q45,R45)</f>
        <v>339530.313290092</v>
      </c>
      <c r="DR45" s="772" t="n">
        <f aca="false">BX45-IF($BL$4="mid",T45,U45)</f>
        <v>-17203.7312924127</v>
      </c>
      <c r="DS45" s="772"/>
      <c r="DT45" s="772"/>
      <c r="DU45" s="772"/>
      <c r="DV45" s="772"/>
      <c r="DW45" s="772"/>
      <c r="DX45" s="772"/>
    </row>
    <row r="46" customFormat="false" ht="12.75" hidden="false" customHeight="false" outlineLevel="0" collapsed="false">
      <c r="A46" s="767" t="n">
        <v>35</v>
      </c>
      <c r="B46" s="854" t="n">
        <v>37561</v>
      </c>
      <c r="C46" s="417" t="n">
        <v>0</v>
      </c>
      <c r="D46" s="417" t="n">
        <v>0</v>
      </c>
      <c r="E46" s="417" t="n">
        <v>0</v>
      </c>
      <c r="F46" s="417" t="n">
        <v>241514.004163547</v>
      </c>
      <c r="G46" s="417" t="n">
        <v>250005.162087737</v>
      </c>
      <c r="H46" s="417" t="n">
        <v>0</v>
      </c>
      <c r="I46" s="417" t="n">
        <v>491519.166251284</v>
      </c>
      <c r="J46" s="417"/>
      <c r="K46" s="417"/>
      <c r="L46" s="417" t="n">
        <f aca="false">PMT($L$3,106,$K$5,,1)</f>
        <v>491519.166251281</v>
      </c>
      <c r="M46" s="417"/>
      <c r="N46" s="850" t="n">
        <f aca="false">IF(A46&lt;$B$8,0,-$R$5/12)</f>
        <v>-715341.083333333</v>
      </c>
      <c r="O46" s="850" t="n">
        <f aca="false">IF(A46&lt;$B$8,0,-$S$5/12)</f>
        <v>-705333.333333333</v>
      </c>
      <c r="P46" s="872" t="n">
        <f aca="false">Breakout!$E$16/12</f>
        <v>3446210.42869836</v>
      </c>
      <c r="Q46" s="770" t="n">
        <f aca="false">'wholesale services'!$D$110*'wholesale services'!$F$111/12</f>
        <v>3250582.5</v>
      </c>
      <c r="R46" s="770" t="n">
        <v>3320487.5</v>
      </c>
      <c r="S46" s="872" t="n">
        <f aca="false">Breakout!$E$27/12</f>
        <v>122095.908662846</v>
      </c>
      <c r="T46" s="770" t="n">
        <f aca="false">'wholesale services'!$D$113*'wholesale services'!$F$114/12</f>
        <v>144397.962524062</v>
      </c>
      <c r="U46" s="770" t="n">
        <v>147344.859718431</v>
      </c>
      <c r="V46" s="872" t="n">
        <f aca="false">Breakout!$E$38/12</f>
        <v>61458.7750200599</v>
      </c>
      <c r="W46" s="431" t="n">
        <f aca="false">Breakout!$E$39/12</f>
        <v>61500.373</v>
      </c>
      <c r="X46" s="431" t="n">
        <v>62161.6673333333</v>
      </c>
      <c r="Y46" s="872" t="n">
        <f aca="false">Breakout!$E$49/12</f>
        <v>447055.073374526</v>
      </c>
      <c r="Z46" s="873" t="n">
        <f aca="false">Breakout!$E$50/12</f>
        <v>404634.1349457</v>
      </c>
      <c r="AA46" s="873" t="n">
        <v>425040.038430047</v>
      </c>
      <c r="AB46" s="872" t="n">
        <f aca="false">Breakout!$E$60/12</f>
        <v>411324.548379741</v>
      </c>
      <c r="AC46" s="873" t="n">
        <f aca="false">Breakout!$E$61/12</f>
        <v>400875.223573663</v>
      </c>
      <c r="AD46" s="873" t="n">
        <v>413374.673751907</v>
      </c>
      <c r="AE46" s="872" t="n">
        <f aca="false">Breakout!$E$71/12</f>
        <v>312079.771794642</v>
      </c>
      <c r="AF46" s="873" t="n">
        <f aca="false">Breakout!$E$72/12</f>
        <v>316520.666666667</v>
      </c>
      <c r="AG46" s="873" t="n">
        <v>316520.666666667</v>
      </c>
      <c r="AH46" s="872" t="n">
        <f aca="false">Breakout!$E$82/12</f>
        <v>20541.0344318382</v>
      </c>
      <c r="AI46" s="873" t="n">
        <f aca="false">Breakout!$E$83/12</f>
        <v>0</v>
      </c>
      <c r="AJ46" s="873" t="n">
        <v>0</v>
      </c>
      <c r="AK46" s="874" t="n">
        <f aca="false">Breakout!$E$91/12</f>
        <v>276189.692416573</v>
      </c>
      <c r="AL46" s="874" t="n">
        <v>276189.692416573</v>
      </c>
      <c r="AM46" s="773" t="n">
        <f aca="false">(Breakout!$E$107/12)*-1</f>
        <v>55221.25</v>
      </c>
      <c r="AN46" s="773" t="n">
        <v>55221.25</v>
      </c>
      <c r="AO46" s="774" t="n">
        <f aca="false">(P46+S46+V46)+Y46+AB46+AE46+AH46</f>
        <v>4820765.54036201</v>
      </c>
      <c r="AP46" s="774" t="n">
        <f aca="false">Q46+T46+W46+AA46+AD46+AG46+AJ46+AL46+AN46</f>
        <v>4942827.15678926</v>
      </c>
      <c r="AQ46" s="775" t="n">
        <f aca="false">P46+S46+V46+Y46+AB46+AE46+AH46-Q46-T46-W46-Z46-AC46-AF46-AI46-AK46-AM46-DH46-DL46-CN46</f>
        <v>151351.89355943</v>
      </c>
      <c r="AR46" s="431"/>
      <c r="AS46" s="776" t="n">
        <f aca="false">P46+S46+V46+Y46+AB46+AE46+AH46-R46-U46-X46-AA46-AD46-AG46-AJ46-AL46-AN46-O46-L46-CN46</f>
        <v>18239.3591271066</v>
      </c>
      <c r="AT46" s="431"/>
      <c r="AU46" s="770" t="n">
        <f aca="false">'wholesale services'!$F$110/12</f>
        <v>39106610.7060185</v>
      </c>
      <c r="AV46" s="770" t="n">
        <f aca="false">'wholesale services'!$F$113/12</f>
        <v>17613.2558333333</v>
      </c>
      <c r="AW46" s="431"/>
      <c r="AX46" s="851" t="n">
        <f aca="false">IF(A46&lt;$AX$6,0,-$R$5/12)</f>
        <v>-715341.083333333</v>
      </c>
      <c r="AY46" s="417" t="n">
        <f aca="false">IF(A46&lt;$AX$6,0,-$S$5/12)</f>
        <v>-705333.333333333</v>
      </c>
      <c r="AZ46" s="431"/>
      <c r="BA46" s="772" t="n">
        <f aca="false">P46-IF($BL$4="mid",Q46,R46)-$BL$9*(IF($BL$4="mid",N46,O46)+IF($BL$4="mid",DL46,L46))</f>
        <v>424110.677206237</v>
      </c>
      <c r="BB46" s="772" t="n">
        <f aca="false">S46-IF($BL$4="mid",T46,U46)-$BM$9*(IF($BL$4="mid",N46,O46)+IF($BL$4="mid",DL46,L46))</f>
        <v>-10276.6460450118</v>
      </c>
      <c r="BC46" s="772" t="n">
        <f aca="false">V46-IF($BL$4="mid",W46,X46)-$BN$9*(IF($BL$4="mid",N46,O46)+IF($BL$4="mid",DL46,L46))</f>
        <v>-41.5979799401321</v>
      </c>
      <c r="BD46" s="772" t="n">
        <f aca="false">Y46-IF($BL$4="mid",Z46,AA46)</f>
        <v>42420.9384288263</v>
      </c>
      <c r="BE46" s="772" t="n">
        <f aca="false">AB46-IF($BL$4="mid",AC46,AD46)</f>
        <v>10449.3248060776</v>
      </c>
      <c r="BF46" s="772" t="n">
        <f aca="false">AE46-IF($BL$4="mid",AF46,AG46)</f>
        <v>-4440.89487202454</v>
      </c>
      <c r="BG46" s="772" t="n">
        <f aca="false">AH46-IF($BL$4="mid",AI46,AJ46)</f>
        <v>20541.0344318382</v>
      </c>
      <c r="BH46" s="772" t="n">
        <f aca="false">-IF($BL$4="mid",AK46,AL46)</f>
        <v>-276189.692416573</v>
      </c>
      <c r="BI46" s="772" t="n">
        <f aca="false">-IF($BL$4="mid",AM46,AN46)</f>
        <v>-55221.25</v>
      </c>
      <c r="BL46" s="772" t="n">
        <f aca="false">BW46-IF($BL$4="mid",Q46,R46)-$BL$9*(IF($BL$4="mid",N46,O46)+IF($BL$4="mid",DL46,L46))</f>
        <v>568013.061797971</v>
      </c>
      <c r="BM46" s="772" t="n">
        <f aca="false">BX46-IF($BL$4="mid",T46,U46)-$BM$9*(IF($BL$4="mid",N46,O46)+IF($BL$4="mid",DL46,L46))</f>
        <v>-5178.32347620849</v>
      </c>
      <c r="BN46" s="772" t="n">
        <f aca="false">BY46-IF($BL$4="mid",W46,X46)-$BN$9*(IF($BL$4="mid",N46,O46)+IF($BL$4="mid",DL46,L46))</f>
        <v>2524.71782185321</v>
      </c>
      <c r="BO46" s="772" t="n">
        <f aca="false">BZ46-IF($BL$4="mid",Z46,AA46)</f>
        <v>61088.484254438</v>
      </c>
      <c r="BP46" s="772" t="n">
        <f aca="false">CA46-IF($BL$4="mid",AC46,AD46)</f>
        <v>27624.8817192751</v>
      </c>
      <c r="BQ46" s="772" t="n">
        <f aca="false">CB46-IF($BL$4="mid",AF46,AG46)</f>
        <v>8590.52740274812</v>
      </c>
      <c r="BR46" s="772" t="n">
        <f aca="false">CC46-IF($BL$4="mid",AI46,AJ46)</f>
        <v>21398.7603014215</v>
      </c>
      <c r="BS46" s="772" t="n">
        <f aca="false">-IF($BL$4="mid",AK46,AL46)</f>
        <v>-276189.692416573</v>
      </c>
      <c r="BT46" s="772" t="n">
        <f aca="false">-IF($BL$4="mid",AM46,AN46)</f>
        <v>-55221.25</v>
      </c>
      <c r="BW46" s="872" t="n">
        <f aca="false">Breakout!$E$15/12</f>
        <v>3590112.81329009</v>
      </c>
      <c r="BX46" s="872" t="n">
        <f aca="false">Breakout!$E$26/12</f>
        <v>127194.23123165</v>
      </c>
      <c r="BY46" s="872" t="n">
        <f aca="false">Breakout!$E$37/12</f>
        <v>64025.0908218532</v>
      </c>
      <c r="BZ46" s="872" t="n">
        <f aca="false">Breakout!$E$48/12</f>
        <v>465722.619200138</v>
      </c>
      <c r="CA46" s="872" t="n">
        <f aca="false">Breakout!$E$59/12</f>
        <v>428500.105292938</v>
      </c>
      <c r="CB46" s="872" t="n">
        <f aca="false">Breakout!$E$70/12</f>
        <v>325111.194069415</v>
      </c>
      <c r="CC46" s="872" t="n">
        <f aca="false">Breakout!$E$81/12</f>
        <v>21398.7603014215</v>
      </c>
      <c r="CE46" s="852" t="n">
        <f aca="false">P46/0.96</f>
        <v>3589802.52989412</v>
      </c>
      <c r="CF46" s="852" t="n">
        <f aca="false">S46/0.96</f>
        <v>127183.238190465</v>
      </c>
      <c r="CG46" s="852" t="n">
        <f aca="false">V46/0.96</f>
        <v>64019.5573125624</v>
      </c>
      <c r="CI46" s="852" t="n">
        <f aca="false">N46</f>
        <v>-715341.083333333</v>
      </c>
      <c r="CJ46" s="852" t="n">
        <f aca="false">O46</f>
        <v>-705333.333333333</v>
      </c>
      <c r="CL46" s="772" t="n">
        <f aca="false">'account mgt'!$E$23/12</f>
        <v>-51239.7</v>
      </c>
      <c r="CN46" s="772" t="n">
        <v>0</v>
      </c>
      <c r="CT46" s="772" t="n">
        <f aca="false">CW45</f>
        <v>24973903.2557822</v>
      </c>
      <c r="CU46" s="772" t="n">
        <f aca="false">IF(CT46&lt;0.1,0,CT46*$L$3)</f>
        <v>197085.719860215</v>
      </c>
      <c r="CV46" s="772" t="n">
        <f aca="false">IF(CT46&lt;0.1,0,PPMT($L$3,A46-14,unwinds!$B$8*12,$K$5))</f>
        <v>570473.157642382</v>
      </c>
      <c r="CW46" s="772" t="n">
        <f aca="false">IF(CT46-CV46&lt;0,0,CT46-CV46)</f>
        <v>24403430.0981399</v>
      </c>
      <c r="CX46" s="772" t="n">
        <f aca="false">IF(CX45-CV46&lt;0,0,CX45-CV46)</f>
        <v>24403430.0981399</v>
      </c>
      <c r="DA46" s="772" t="n">
        <f aca="false">DD45</f>
        <v>30845189.294159</v>
      </c>
      <c r="DB46" s="772" t="n">
        <f aca="false">DA46*$L$3</f>
        <v>243419.952179738</v>
      </c>
      <c r="DC46" s="772" t="n">
        <f aca="false">PPMT($L$3,A46-14,106,$K$5)</f>
        <v>251978.119491876</v>
      </c>
      <c r="DD46" s="772" t="n">
        <f aca="false">DA46-DC46</f>
        <v>30593211.1746671</v>
      </c>
      <c r="DE46" s="772" t="n">
        <f aca="false">DE45-DC46</f>
        <v>30593211.1746671</v>
      </c>
      <c r="DH46" s="417" t="n">
        <v>-715341.083333333</v>
      </c>
      <c r="DI46" s="417" t="n">
        <v>-705333.333333333</v>
      </c>
      <c r="DJ46" s="417"/>
      <c r="DL46" s="417" t="n">
        <f aca="false">PMT($J$3,106,$I$5,,1)</f>
        <v>474832.92700925</v>
      </c>
      <c r="DN46" s="417" t="n">
        <f aca="false">IF($BL$4="mid",DH46,DI46)</f>
        <v>-715341.083333333</v>
      </c>
      <c r="DO46" s="417" t="n">
        <f aca="false">IF($BL$4="mid",DL46,L46)</f>
        <v>474832.92700925</v>
      </c>
      <c r="DQ46" s="772" t="n">
        <f aca="false">BW46-IF($BL$4="mid",Q46,R46)</f>
        <v>339530.313290092</v>
      </c>
      <c r="DR46" s="772" t="n">
        <f aca="false">BX46-IF($BL$4="mid",T46,U46)</f>
        <v>-17203.7312924127</v>
      </c>
      <c r="DS46" s="772"/>
      <c r="DT46" s="772"/>
      <c r="DU46" s="772"/>
      <c r="DV46" s="772"/>
      <c r="DW46" s="772"/>
      <c r="DX46" s="772"/>
    </row>
    <row r="47" customFormat="false" ht="12.75" hidden="false" customHeight="false" outlineLevel="0" collapsed="false">
      <c r="A47" s="855" t="n">
        <v>36</v>
      </c>
      <c r="B47" s="856" t="n">
        <v>37591</v>
      </c>
      <c r="C47" s="857" t="n">
        <v>0</v>
      </c>
      <c r="D47" s="857" t="n">
        <v>0</v>
      </c>
      <c r="E47" s="857" t="n">
        <v>0</v>
      </c>
      <c r="F47" s="417" t="n">
        <v>239541.046759404</v>
      </c>
      <c r="G47" s="417" t="n">
        <v>251978.119491879</v>
      </c>
      <c r="H47" s="417" t="n">
        <v>0</v>
      </c>
      <c r="I47" s="417" t="n">
        <v>491519.166251284</v>
      </c>
      <c r="J47" s="857"/>
      <c r="K47" s="857"/>
      <c r="L47" s="416" t="n">
        <f aca="false">PMT($L$3,106,$K$5,,1)</f>
        <v>491519.166251281</v>
      </c>
      <c r="M47" s="857"/>
      <c r="N47" s="850" t="n">
        <f aca="false">IF(A47&lt;$B$8,0,-$R$5/12)</f>
        <v>-715341.083333333</v>
      </c>
      <c r="O47" s="850" t="n">
        <f aca="false">IF(A47&lt;$B$8,0,-$S$5/12)</f>
        <v>-705333.333333333</v>
      </c>
      <c r="P47" s="859" t="n">
        <f aca="false">Breakout!$E$16/12</f>
        <v>3446210.42869836</v>
      </c>
      <c r="Q47" s="860" t="n">
        <f aca="false">'wholesale services'!$D$110*'wholesale services'!$F$111/12</f>
        <v>3250582.5</v>
      </c>
      <c r="R47" s="860" t="n">
        <v>3320487.5</v>
      </c>
      <c r="S47" s="859" t="n">
        <f aca="false">Breakout!$E$27/12</f>
        <v>122095.908662846</v>
      </c>
      <c r="T47" s="860" t="n">
        <f aca="false">'wholesale services'!$D$113*'wholesale services'!$F$114/12</f>
        <v>144397.962524062</v>
      </c>
      <c r="U47" s="860" t="n">
        <v>147344.859718431</v>
      </c>
      <c r="V47" s="859" t="n">
        <f aca="false">Breakout!$E$38/12</f>
        <v>61458.7750200599</v>
      </c>
      <c r="W47" s="861" t="n">
        <f aca="false">Breakout!$E$39/12</f>
        <v>61500.373</v>
      </c>
      <c r="X47" s="861" t="n">
        <v>62161.6673333333</v>
      </c>
      <c r="Y47" s="859" t="n">
        <f aca="false">Breakout!$E$49/12</f>
        <v>447055.073374526</v>
      </c>
      <c r="Z47" s="860" t="n">
        <f aca="false">Breakout!$E$50/12</f>
        <v>404634.1349457</v>
      </c>
      <c r="AA47" s="860" t="n">
        <v>425040.038430047</v>
      </c>
      <c r="AB47" s="859" t="n">
        <f aca="false">Breakout!$E$60/12</f>
        <v>411324.548379741</v>
      </c>
      <c r="AC47" s="860" t="n">
        <f aca="false">Breakout!$E$61/12</f>
        <v>400875.223573663</v>
      </c>
      <c r="AD47" s="860" t="n">
        <v>413374.673751907</v>
      </c>
      <c r="AE47" s="859" t="n">
        <f aca="false">Breakout!$E$71/12</f>
        <v>312079.771794642</v>
      </c>
      <c r="AF47" s="860" t="n">
        <f aca="false">Breakout!$E$72/12</f>
        <v>316520.666666667</v>
      </c>
      <c r="AG47" s="860" t="n">
        <v>316520.666666667</v>
      </c>
      <c r="AH47" s="859" t="n">
        <f aca="false">Breakout!$E$82/12</f>
        <v>20541.0344318382</v>
      </c>
      <c r="AI47" s="860" t="n">
        <f aca="false">Breakout!$E$83/12</f>
        <v>0</v>
      </c>
      <c r="AJ47" s="860" t="n">
        <v>0</v>
      </c>
      <c r="AK47" s="862" t="n">
        <f aca="false">Breakout!$E$91/12</f>
        <v>276189.692416573</v>
      </c>
      <c r="AL47" s="862" t="n">
        <v>276189.692416573</v>
      </c>
      <c r="AM47" s="862" t="n">
        <f aca="false">(Breakout!$E$107/12)*-1</f>
        <v>55221.25</v>
      </c>
      <c r="AN47" s="862" t="n">
        <v>55221.25</v>
      </c>
      <c r="AO47" s="863" t="n">
        <f aca="false">(P47+S47+V47)+Y47+AB47+AE47+AH47</f>
        <v>4820765.54036201</v>
      </c>
      <c r="AP47" s="863" t="n">
        <f aca="false">Q47+T47+W47+AA47+AD47+AG47+AJ47+AL47+AN47</f>
        <v>4942827.15678926</v>
      </c>
      <c r="AQ47" s="775" t="n">
        <f aca="false">P47+S47+V47+Y47+AB47+AE47+AH47-Q47-T47-W47-Z47-AC47-AF47-AI47-AK47-AM47-DH47-DL47-CN47</f>
        <v>151351.89355943</v>
      </c>
      <c r="AR47" s="861" t="n">
        <f aca="false">SUM(AQ36:AQ47)</f>
        <v>1816222.72271316</v>
      </c>
      <c r="AS47" s="776" t="n">
        <f aca="false">P47+S47+V47+Y47+AB47+AE47+AH47-R47-U47-X47-AA47-AD47-AG47-AJ47-AL47-AN47-O47-L47-CN47</f>
        <v>18239.3591271066</v>
      </c>
      <c r="AT47" s="861" t="n">
        <f aca="false">SUM(AS36:AS47)</f>
        <v>218872.309525279</v>
      </c>
      <c r="AU47" s="860" t="n">
        <f aca="false">'wholesale services'!$F$110/12</f>
        <v>39106610.7060185</v>
      </c>
      <c r="AV47" s="860" t="n">
        <f aca="false">'wholesale services'!$F$113/12</f>
        <v>17613.2558333333</v>
      </c>
      <c r="AW47" s="861"/>
      <c r="AX47" s="851" t="n">
        <f aca="false">IF(A47&lt;$AX$6,0,-$R$5/12)</f>
        <v>-715341.083333333</v>
      </c>
      <c r="AY47" s="417" t="n">
        <f aca="false">IF(A47&lt;$AX$6,0,-$S$5/12)</f>
        <v>-705333.333333333</v>
      </c>
      <c r="AZ47" s="861"/>
      <c r="BA47" s="772" t="n">
        <f aca="false">P47-IF($BL$4="mid",Q47,R47)-$BL$9*(IF($BL$4="mid",N47,O47)+IF($BL$4="mid",DL47,L47))</f>
        <v>424110.677206237</v>
      </c>
      <c r="BB47" s="772" t="n">
        <f aca="false">S47-IF($BL$4="mid",T47,U47)-$BM$9*(IF($BL$4="mid",N47,O47)+IF($BL$4="mid",DL47,L47))</f>
        <v>-10276.6460450118</v>
      </c>
      <c r="BC47" s="772" t="n">
        <f aca="false">V47-IF($BL$4="mid",W47,X47)-$BN$9*(IF($BL$4="mid",N47,O47)+IF($BL$4="mid",DL47,L47))</f>
        <v>-41.5979799401321</v>
      </c>
      <c r="BD47" s="772" t="n">
        <f aca="false">Y47-IF($BL$4="mid",Z47,AA47)</f>
        <v>42420.9384288263</v>
      </c>
      <c r="BE47" s="772" t="n">
        <f aca="false">AB47-IF($BL$4="mid",AC47,AD47)</f>
        <v>10449.3248060776</v>
      </c>
      <c r="BF47" s="772" t="n">
        <f aca="false">AE47-IF($BL$4="mid",AF47,AG47)</f>
        <v>-4440.89487202454</v>
      </c>
      <c r="BG47" s="772" t="n">
        <f aca="false">AH47-IF($BL$4="mid",AI47,AJ47)</f>
        <v>20541.0344318382</v>
      </c>
      <c r="BH47" s="772" t="n">
        <f aca="false">-IF($BL$4="mid",AK47,AL47)</f>
        <v>-276189.692416573</v>
      </c>
      <c r="BI47" s="772" t="n">
        <f aca="false">-IF($BL$4="mid",AM47,AN47)</f>
        <v>-55221.25</v>
      </c>
      <c r="BJ47" s="861"/>
      <c r="BK47" s="431"/>
      <c r="BL47" s="772" t="n">
        <f aca="false">BW47-IF($BL$4="mid",Q47,R47)-$BL$9*(IF($BL$4="mid",N47,O47)+IF($BL$4="mid",DL47,L47))</f>
        <v>568013.061797971</v>
      </c>
      <c r="BM47" s="772" t="n">
        <f aca="false">BX47-IF($BL$4="mid",T47,U47)-$BM$9*(IF($BL$4="mid",N47,O47)+IF($BL$4="mid",DL47,L47))</f>
        <v>-5178.32347620849</v>
      </c>
      <c r="BN47" s="772" t="n">
        <f aca="false">BY47-IF($BL$4="mid",W47,X47)-$BN$9*(IF($BL$4="mid",N47,O47)+IF($BL$4="mid",DL47,L47))</f>
        <v>2524.71782185321</v>
      </c>
      <c r="BO47" s="772" t="n">
        <f aca="false">BZ47-IF($BL$4="mid",Z47,AA47)</f>
        <v>61088.484254438</v>
      </c>
      <c r="BP47" s="772" t="n">
        <f aca="false">CA47-IF($BL$4="mid",AC47,AD47)</f>
        <v>27624.8817192751</v>
      </c>
      <c r="BQ47" s="772" t="n">
        <f aca="false">CB47-IF($BL$4="mid",AF47,AG47)</f>
        <v>8590.52740274812</v>
      </c>
      <c r="BR47" s="772" t="n">
        <f aca="false">CC47-IF($BL$4="mid",AI47,AJ47)</f>
        <v>21398.7603014215</v>
      </c>
      <c r="BS47" s="772" t="n">
        <f aca="false">-IF($BL$4="mid",AK47,AL47)</f>
        <v>-276189.692416573</v>
      </c>
      <c r="BT47" s="772" t="n">
        <f aca="false">-IF($BL$4="mid",AM47,AN47)</f>
        <v>-55221.25</v>
      </c>
      <c r="BU47" s="861"/>
      <c r="BV47" s="861"/>
      <c r="BW47" s="859" t="n">
        <f aca="false">Breakout!$E$15/12</f>
        <v>3590112.81329009</v>
      </c>
      <c r="BX47" s="859" t="n">
        <f aca="false">Breakout!$E$26/12</f>
        <v>127194.23123165</v>
      </c>
      <c r="BY47" s="859" t="n">
        <f aca="false">Breakout!$E$37/12</f>
        <v>64025.0908218532</v>
      </c>
      <c r="BZ47" s="859" t="n">
        <f aca="false">Breakout!$E$48/12</f>
        <v>465722.619200138</v>
      </c>
      <c r="CA47" s="859" t="n">
        <f aca="false">Breakout!$E$59/12</f>
        <v>428500.105292938</v>
      </c>
      <c r="CB47" s="859" t="n">
        <f aca="false">Breakout!$E$70/12</f>
        <v>325111.194069415</v>
      </c>
      <c r="CC47" s="859" t="n">
        <f aca="false">Breakout!$E$81/12</f>
        <v>21398.7603014215</v>
      </c>
      <c r="CD47" s="861"/>
      <c r="CE47" s="864" t="n">
        <f aca="false">P47/0.96</f>
        <v>3589802.52989412</v>
      </c>
      <c r="CF47" s="864" t="n">
        <f aca="false">S47/0.96</f>
        <v>127183.238190465</v>
      </c>
      <c r="CG47" s="864" t="n">
        <f aca="false">V47/0.96</f>
        <v>64019.5573125624</v>
      </c>
      <c r="CH47" s="861"/>
      <c r="CI47" s="864" t="n">
        <f aca="false">N47</f>
        <v>-715341.083333333</v>
      </c>
      <c r="CJ47" s="864" t="n">
        <f aca="false">O47</f>
        <v>-705333.333333333</v>
      </c>
      <c r="CK47" s="861"/>
      <c r="CL47" s="861" t="n">
        <f aca="false">'account mgt'!$E$23/12</f>
        <v>-51239.7</v>
      </c>
      <c r="CM47" s="861"/>
      <c r="CN47" s="772" t="n">
        <v>0</v>
      </c>
      <c r="CO47" s="861"/>
      <c r="CP47" s="861"/>
      <c r="CQ47" s="431"/>
      <c r="CR47" s="431"/>
      <c r="CS47" s="431"/>
      <c r="CT47" s="772" t="n">
        <f aca="false">CW46</f>
        <v>24403430.0981399</v>
      </c>
      <c r="CU47" s="772" t="n">
        <f aca="false">IF(CT47&lt;0.1,0,CT47*$L$3)</f>
        <v>192583.73585782</v>
      </c>
      <c r="CV47" s="772" t="n">
        <f aca="false">IF(CT47&lt;0.1,0,PPMT($L$3,A47-14,unwinds!$B$8*12,$K$5))</f>
        <v>574975.141644776</v>
      </c>
      <c r="CW47" s="772" t="n">
        <f aca="false">IF(CT47-CV47&lt;0,0,CT47-CV47)</f>
        <v>23828454.9564951</v>
      </c>
      <c r="CX47" s="772" t="n">
        <f aca="false">IF(CX46-CV47&lt;0,0,CX46-CV47)</f>
        <v>23828454.9564951</v>
      </c>
      <c r="CY47" s="861" t="n">
        <f aca="false">CX47</f>
        <v>23828454.9564951</v>
      </c>
      <c r="DA47" s="772" t="n">
        <f aca="false">DD46</f>
        <v>30593211.1746671</v>
      </c>
      <c r="DB47" s="772" t="n">
        <f aca="false">DA47*$L$3</f>
        <v>241431.424853414</v>
      </c>
      <c r="DC47" s="772" t="n">
        <f aca="false">PPMT($L$3,A47-14,106,$K$5)</f>
        <v>253966.6468182</v>
      </c>
      <c r="DD47" s="772" t="n">
        <f aca="false">DA47-DC47</f>
        <v>30339244.5278489</v>
      </c>
      <c r="DE47" s="772" t="n">
        <f aca="false">DE46-DC47</f>
        <v>30339244.5278489</v>
      </c>
      <c r="DF47" s="861" t="n">
        <f aca="false">DE47</f>
        <v>30339244.5278489</v>
      </c>
      <c r="DG47" s="861"/>
      <c r="DH47" s="417" t="n">
        <v>-715341.083333333</v>
      </c>
      <c r="DI47" s="417" t="n">
        <v>-705333.333333333</v>
      </c>
      <c r="DJ47" s="417"/>
      <c r="DK47" s="861"/>
      <c r="DL47" s="417" t="n">
        <f aca="false">PMT($J$3,106,$I$5,,1)</f>
        <v>474832.92700925</v>
      </c>
      <c r="DM47" s="861"/>
      <c r="DN47" s="417" t="n">
        <f aca="false">IF($BL$4="mid",DH47,DI47)</f>
        <v>-715341.083333333</v>
      </c>
      <c r="DO47" s="417" t="n">
        <f aca="false">IF($BL$4="mid",DL47,L47)</f>
        <v>474832.92700925</v>
      </c>
      <c r="DP47" s="861"/>
      <c r="DQ47" s="772" t="n">
        <f aca="false">BW47-IF($BL$4="mid",Q47,R47)</f>
        <v>339530.313290092</v>
      </c>
      <c r="DR47" s="772" t="n">
        <f aca="false">BX47-IF($BL$4="mid",T47,U47)</f>
        <v>-17203.7312924127</v>
      </c>
      <c r="DS47" s="861"/>
      <c r="DT47" s="861"/>
      <c r="DU47" s="861"/>
      <c r="DV47" s="861"/>
      <c r="DW47" s="861"/>
      <c r="DX47" s="861"/>
    </row>
    <row r="48" customFormat="false" ht="12.75" hidden="false" customHeight="false" outlineLevel="0" collapsed="false">
      <c r="A48" s="866" t="n">
        <v>37</v>
      </c>
      <c r="B48" s="867" t="n">
        <v>37622</v>
      </c>
      <c r="C48" s="417" t="n">
        <v>0</v>
      </c>
      <c r="D48" s="417" t="n">
        <v>0</v>
      </c>
      <c r="E48" s="417" t="n">
        <v>0</v>
      </c>
      <c r="F48" s="417" t="n">
        <v>237552.519433081</v>
      </c>
      <c r="G48" s="417" t="n">
        <v>253966.646818202</v>
      </c>
      <c r="H48" s="417" t="n">
        <v>0</v>
      </c>
      <c r="I48" s="417" t="n">
        <v>491519.166251284</v>
      </c>
      <c r="J48" s="417"/>
      <c r="K48" s="417"/>
      <c r="L48" s="417" t="n">
        <f aca="false">PMT($L$3,106,$K$5,,1)</f>
        <v>491519.166251281</v>
      </c>
      <c r="M48" s="417"/>
      <c r="N48" s="850" t="n">
        <f aca="false">IF(A48&lt;$B$8,0,-$R$5/12)</f>
        <v>-715341.083333333</v>
      </c>
      <c r="O48" s="850" t="n">
        <f aca="false">IF(A48&lt;$B$8,0,-$S$5/12)</f>
        <v>-705333.333333333</v>
      </c>
      <c r="P48" s="868" t="n">
        <f aca="false">Breakout!$F$16/12</f>
        <v>3481801.07910366</v>
      </c>
      <c r="Q48" s="770" t="n">
        <f aca="false">'wholesale services'!$D$110*'wholesale services'!$G$111/12</f>
        <v>3250582.5</v>
      </c>
      <c r="R48" s="770" t="n">
        <v>3320487.5</v>
      </c>
      <c r="S48" s="868" t="n">
        <f aca="false">Breakout!$F$27/12</f>
        <v>123356.851048996</v>
      </c>
      <c r="T48" s="770" t="n">
        <f aca="false">'wholesale services'!$D$113*'wholesale services'!$G$114/12</f>
        <v>146872.608586066</v>
      </c>
      <c r="U48" s="770" t="n">
        <v>149870.008761292</v>
      </c>
      <c r="V48" s="868" t="n">
        <f aca="false">Breakout!$F$38/12</f>
        <v>62093.4889533304</v>
      </c>
      <c r="W48" s="869" t="n">
        <f aca="false">Breakout!$F$39/12</f>
        <v>63345.38419</v>
      </c>
      <c r="X48" s="869" t="n">
        <v>64026.5173533333</v>
      </c>
      <c r="Y48" s="868" t="n">
        <f aca="false">Breakout!$F$49/12</f>
        <v>451672.023255442</v>
      </c>
      <c r="Z48" s="870" t="n">
        <f aca="false">Breakout!$F$50/12</f>
        <v>412767.281058109</v>
      </c>
      <c r="AA48" s="870" t="n">
        <v>433583.343202491</v>
      </c>
      <c r="AB48" s="868" t="n">
        <f aca="false">Breakout!$F$60/12</f>
        <v>415572.492174059</v>
      </c>
      <c r="AC48" s="870" t="n">
        <f aca="false">Breakout!$F$61/12</f>
        <v>408932.815567494</v>
      </c>
      <c r="AD48" s="870" t="n">
        <v>421683.50469432</v>
      </c>
      <c r="AE48" s="868" t="n">
        <f aca="false">Breakout!$F$71/12</f>
        <v>315302.767687178</v>
      </c>
      <c r="AF48" s="870" t="n">
        <f aca="false">Breakout!$F$72/12</f>
        <v>316520.666666667</v>
      </c>
      <c r="AG48" s="870" t="n">
        <v>316520.666666667</v>
      </c>
      <c r="AH48" s="868" t="n">
        <f aca="false">Breakout!$F$82/12</f>
        <v>20753.1714416211</v>
      </c>
      <c r="AI48" s="870" t="n">
        <f aca="false">Breakout!$F$83/12</f>
        <v>0</v>
      </c>
      <c r="AJ48" s="870" t="n">
        <v>0</v>
      </c>
      <c r="AK48" s="871" t="n">
        <f aca="false">Breakout!$F$91/12</f>
        <v>279042.034428683</v>
      </c>
      <c r="AL48" s="871" t="n">
        <v>279042.034428683</v>
      </c>
      <c r="AM48" s="773" t="n">
        <f aca="false">(Breakout!$F$107/12)*-1</f>
        <v>55221.25</v>
      </c>
      <c r="AN48" s="773" t="n">
        <v>55221.25</v>
      </c>
      <c r="AO48" s="774" t="n">
        <f aca="false">(P48+S48+V48)+Y48+AB48+AE48+AH48</f>
        <v>4870551.87366429</v>
      </c>
      <c r="AP48" s="774" t="n">
        <f aca="false">Q48+T48+W48+AA48+AD48+AG48+AJ48+AL48+AN48</f>
        <v>4966851.29176823</v>
      </c>
      <c r="AQ48" s="775" t="n">
        <f aca="false">P48+S48+V48+Y48+AB48+AE48+AH48-Q48-T48-W48-Z48-AC48-AF48-AI48-AK48-AM48-DH48-DL48-CN48</f>
        <v>177775.489491351</v>
      </c>
      <c r="AR48" s="869"/>
      <c r="AS48" s="776" t="n">
        <f aca="false">P48+S48+V48+Y48+AB48+AE48+AH48-R48-U48-X48-AA48-AD48-AG48-AJ48-AL48-AN48-O48-L48-CN48</f>
        <v>43931.215639552</v>
      </c>
      <c r="AT48" s="869"/>
      <c r="AU48" s="770" t="n">
        <f aca="false">'wholesale services'!$G$110/12</f>
        <v>39106610.7060185</v>
      </c>
      <c r="AV48" s="770" t="n">
        <f aca="false">'wholesale services'!$G$113/12</f>
        <v>17613.2558333333</v>
      </c>
      <c r="AW48" s="869"/>
      <c r="AX48" s="851" t="n">
        <f aca="false">IF(A48&lt;$AX$6,0,-$R$5/12)</f>
        <v>-715341.083333333</v>
      </c>
      <c r="AY48" s="417" t="n">
        <f aca="false">IF(A48&lt;$AX$6,0,-$S$5/12)</f>
        <v>-705333.333333333</v>
      </c>
      <c r="AZ48" s="431"/>
      <c r="BA48" s="772" t="n">
        <f aca="false">P48-IF($BL$4="mid",Q48,R48)-$BL$9*(IF($BL$4="mid",N48,O48)+IF($BL$4="mid",DL48,L48))</f>
        <v>459701.327611538</v>
      </c>
      <c r="BB48" s="772" t="n">
        <f aca="false">S48-IF($BL$4="mid",T48,U48)-$BM$9*(IF($BL$4="mid",N48,O48)+IF($BL$4="mid",DL48,L48))</f>
        <v>-11490.3497208658</v>
      </c>
      <c r="BC48" s="772" t="n">
        <f aca="false">V48-IF($BL$4="mid",W48,X48)-$BN$9*(IF($BL$4="mid",N48,O48)+IF($BL$4="mid",DL48,L48))</f>
        <v>-1251.89523666962</v>
      </c>
      <c r="BD48" s="772" t="n">
        <f aca="false">Y48-IF($BL$4="mid",Z48,AA48)</f>
        <v>38904.7421973334</v>
      </c>
      <c r="BE48" s="772" t="n">
        <f aca="false">AB48-IF($BL$4="mid",AC48,AD48)</f>
        <v>6639.67660656455</v>
      </c>
      <c r="BF48" s="772" t="n">
        <f aca="false">AE48-IF($BL$4="mid",AF48,AG48)</f>
        <v>-1217.89897948853</v>
      </c>
      <c r="BG48" s="772" t="n">
        <f aca="false">AH48-IF($BL$4="mid",AI48,AJ48)</f>
        <v>20753.1714416211</v>
      </c>
      <c r="BH48" s="772" t="n">
        <f aca="false">-IF($BL$4="mid",AK48,AL48)</f>
        <v>-279042.034428683</v>
      </c>
      <c r="BI48" s="772" t="n">
        <f aca="false">-IF($BL$4="mid",AM48,AN48)</f>
        <v>-55221.25</v>
      </c>
      <c r="BJ48" s="869"/>
      <c r="BK48" s="431"/>
      <c r="BL48" s="772" t="n">
        <f aca="false">BW48-IF($BL$4="mid",Q48,R48)-$BL$9*(IF($BL$4="mid",N48,O48)+IF($BL$4="mid",DL48,L48))</f>
        <v>605258.589626078</v>
      </c>
      <c r="BM48" s="772" t="n">
        <f aca="false">BX48-IF($BL$4="mid",T48,U48)-$BM$9*(IF($BL$4="mid",N48,O48)+IF($BL$4="mid",DL48,L48))</f>
        <v>-6333.39644252126</v>
      </c>
      <c r="BN48" s="772" t="n">
        <f aca="false">BY48-IF($BL$4="mid",W48,X48)-$BN$9*(IF($BL$4="mid",N48,O48)+IF($BL$4="mid",DL48,L48))</f>
        <v>1343.93319684434</v>
      </c>
      <c r="BO48" s="772" t="n">
        <f aca="false">BZ48-IF($BL$4="mid",Z48,AA48)</f>
        <v>57786.9647999396</v>
      </c>
      <c r="BP48" s="772" t="n">
        <f aca="false">CA48-IF($BL$4="mid",AC48,AD48)</f>
        <v>24012.7524242639</v>
      </c>
      <c r="BQ48" s="772" t="n">
        <f aca="false">CB48-IF($BL$4="mid",AF48,AG48)</f>
        <v>11963.384651444</v>
      </c>
      <c r="BR48" s="772" t="n">
        <f aca="false">CC48-IF($BL$4="mid",AI48,AJ48)</f>
        <v>21620.7611587047</v>
      </c>
      <c r="BS48" s="772" t="n">
        <f aca="false">-IF($BL$4="mid",AK48,AL48)</f>
        <v>-279042.034428683</v>
      </c>
      <c r="BT48" s="772" t="n">
        <f aca="false">-IF($BL$4="mid",AM48,AN48)</f>
        <v>-55221.25</v>
      </c>
      <c r="BU48" s="869"/>
      <c r="BV48" s="869"/>
      <c r="BW48" s="868" t="n">
        <f aca="false">Breakout!$F$15/12</f>
        <v>3627358.3411182</v>
      </c>
      <c r="BX48" s="868" t="n">
        <f aca="false">Breakout!$F$26/12</f>
        <v>128513.804327341</v>
      </c>
      <c r="BY48" s="868" t="n">
        <f aca="false">Breakout!$F$37/12</f>
        <v>64689.3173868444</v>
      </c>
      <c r="BZ48" s="868" t="n">
        <f aca="false">Breakout!$F$48/12</f>
        <v>470554.245858048</v>
      </c>
      <c r="CA48" s="868" t="n">
        <f aca="false">Breakout!$F$59/12</f>
        <v>432945.567991758</v>
      </c>
      <c r="CB48" s="868" t="n">
        <f aca="false">Breakout!$F$70/12</f>
        <v>328484.051318111</v>
      </c>
      <c r="CC48" s="868" t="n">
        <f aca="false">Breakout!$F$81/12</f>
        <v>21620.7611587047</v>
      </c>
      <c r="CD48" s="869"/>
      <c r="CE48" s="852" t="n">
        <f aca="false">P48/0.96</f>
        <v>3626876.12406631</v>
      </c>
      <c r="CF48" s="852" t="n">
        <f aca="false">S48/0.96</f>
        <v>128496.719842704</v>
      </c>
      <c r="CG48" s="852" t="n">
        <f aca="false">V48/0.96</f>
        <v>64680.7176597192</v>
      </c>
      <c r="CH48" s="869"/>
      <c r="CI48" s="852" t="n">
        <f aca="false">N48</f>
        <v>-715341.083333333</v>
      </c>
      <c r="CJ48" s="852" t="n">
        <f aca="false">O48</f>
        <v>-705333.333333333</v>
      </c>
      <c r="CK48" s="869"/>
      <c r="CL48" s="772" t="n">
        <f aca="false">'account mgt'!$F$23/12</f>
        <v>-52264.494</v>
      </c>
      <c r="CM48" s="869"/>
      <c r="CN48" s="772" t="n">
        <v>0</v>
      </c>
      <c r="CO48" s="869"/>
      <c r="CP48" s="869"/>
      <c r="CQ48" s="431"/>
      <c r="CR48" s="431"/>
      <c r="CS48" s="431"/>
      <c r="CT48" s="772" t="n">
        <f aca="false">CW47</f>
        <v>23828454.9564951</v>
      </c>
      <c r="CU48" s="772" t="n">
        <f aca="false">IF(CT48&lt;0.1,0,CT48*$L$3)</f>
        <v>188046.22369834</v>
      </c>
      <c r="CV48" s="772" t="n">
        <f aca="false">IF(CT48&lt;0.1,0,PPMT($L$3,A48-14,unwinds!$B$8*12,$K$5))</f>
        <v>579512.653804256</v>
      </c>
      <c r="CW48" s="772" t="n">
        <f aca="false">IF(CT48-CV48&lt;0,0,CT48-CV48)</f>
        <v>23248942.3026908</v>
      </c>
      <c r="CX48" s="772" t="n">
        <f aca="false">IF(CX47-CV48&lt;0,0,CX47-CV48)</f>
        <v>23248942.3026908</v>
      </c>
      <c r="CY48" s="869"/>
      <c r="DA48" s="772" t="n">
        <f aca="false">DD47</f>
        <v>30339244.5278489</v>
      </c>
      <c r="DB48" s="772" t="n">
        <f aca="false">DA48*$L$3</f>
        <v>239427.204732274</v>
      </c>
      <c r="DC48" s="772" t="n">
        <f aca="false">PPMT($L$3,A48-14,106,$K$5)</f>
        <v>255970.86693934</v>
      </c>
      <c r="DD48" s="772" t="n">
        <f aca="false">DA48-DC48</f>
        <v>30083273.6609095</v>
      </c>
      <c r="DE48" s="772" t="n">
        <f aca="false">DE47-DC48</f>
        <v>30083273.6609095</v>
      </c>
      <c r="DF48" s="869"/>
      <c r="DG48" s="869"/>
      <c r="DH48" s="417" t="n">
        <v>-715341.083333333</v>
      </c>
      <c r="DI48" s="417" t="n">
        <v>-705333.333333333</v>
      </c>
      <c r="DJ48" s="417"/>
      <c r="DK48" s="869"/>
      <c r="DL48" s="417" t="n">
        <f aca="false">PMT($J$3,106,$I$5,,1)</f>
        <v>474832.92700925</v>
      </c>
      <c r="DM48" s="869"/>
      <c r="DN48" s="417" t="n">
        <f aca="false">IF($BL$4="mid",DH48,DI48)</f>
        <v>-715341.083333333</v>
      </c>
      <c r="DO48" s="417" t="n">
        <f aca="false">IF($BL$4="mid",DL48,L48)</f>
        <v>474832.92700925</v>
      </c>
      <c r="DP48" s="869"/>
      <c r="DQ48" s="772" t="n">
        <f aca="false">BW48-IF($BL$4="mid",Q48,R48)</f>
        <v>376775.841118198</v>
      </c>
      <c r="DR48" s="772" t="n">
        <f aca="false">BX48-IF($BL$4="mid",T48,U48)</f>
        <v>-18358.8042587254</v>
      </c>
      <c r="DS48" s="869"/>
      <c r="DT48" s="869"/>
      <c r="DU48" s="869"/>
      <c r="DV48" s="869"/>
      <c r="DW48" s="869"/>
      <c r="DX48" s="869"/>
    </row>
    <row r="49" customFormat="false" ht="12.75" hidden="false" customHeight="false" outlineLevel="0" collapsed="false">
      <c r="A49" s="767" t="n">
        <v>38</v>
      </c>
      <c r="B49" s="854" t="n">
        <v>37653</v>
      </c>
      <c r="C49" s="417" t="n">
        <v>0</v>
      </c>
      <c r="D49" s="417" t="n">
        <v>0</v>
      </c>
      <c r="E49" s="417" t="n">
        <v>0</v>
      </c>
      <c r="F49" s="417" t="n">
        <v>235548.299311941</v>
      </c>
      <c r="G49" s="417" t="n">
        <v>255970.866939343</v>
      </c>
      <c r="H49" s="417" t="n">
        <v>0</v>
      </c>
      <c r="I49" s="417" t="n">
        <v>491519.166251284</v>
      </c>
      <c r="J49" s="417"/>
      <c r="K49" s="417"/>
      <c r="L49" s="417" t="n">
        <f aca="false">PMT($L$3,106,$K$5,,1)</f>
        <v>491519.166251281</v>
      </c>
      <c r="M49" s="417"/>
      <c r="N49" s="850" t="n">
        <f aca="false">IF(A49&lt;$B$8,0,-$R$5/12)</f>
        <v>-715341.083333333</v>
      </c>
      <c r="O49" s="850" t="n">
        <f aca="false">IF(A49&lt;$B$8,0,-$S$5/12)</f>
        <v>-705333.333333333</v>
      </c>
      <c r="P49" s="872" t="n">
        <f aca="false">Breakout!$F$16/12</f>
        <v>3481801.07910366</v>
      </c>
      <c r="Q49" s="770" t="n">
        <f aca="false">'wholesale services'!$D$110*'wholesale services'!$G$111/12</f>
        <v>3250582.5</v>
      </c>
      <c r="R49" s="770" t="n">
        <v>3320487.5</v>
      </c>
      <c r="S49" s="872" t="n">
        <f aca="false">Breakout!$F$27/12</f>
        <v>123356.851048996</v>
      </c>
      <c r="T49" s="770" t="n">
        <f aca="false">'wholesale services'!$D$113*'wholesale services'!$G$114/12</f>
        <v>146872.608586066</v>
      </c>
      <c r="U49" s="770" t="n">
        <v>149870.008761292</v>
      </c>
      <c r="V49" s="872" t="n">
        <f aca="false">Breakout!$F$38/12</f>
        <v>62093.4889533304</v>
      </c>
      <c r="W49" s="431" t="n">
        <f aca="false">Breakout!$F$39/12</f>
        <v>63345.38419</v>
      </c>
      <c r="X49" s="431" t="n">
        <v>64026.5173533333</v>
      </c>
      <c r="Y49" s="872" t="n">
        <f aca="false">Breakout!$F$49/12</f>
        <v>451672.023255442</v>
      </c>
      <c r="Z49" s="873" t="n">
        <f aca="false">Breakout!$F$50/12</f>
        <v>412767.281058109</v>
      </c>
      <c r="AA49" s="873" t="n">
        <v>433583.343202491</v>
      </c>
      <c r="AB49" s="872" t="n">
        <f aca="false">Breakout!$F$60/12</f>
        <v>415572.492174059</v>
      </c>
      <c r="AC49" s="873" t="n">
        <f aca="false">Breakout!$F$61/12</f>
        <v>408932.815567494</v>
      </c>
      <c r="AD49" s="873" t="n">
        <v>421683.50469432</v>
      </c>
      <c r="AE49" s="872" t="n">
        <f aca="false">Breakout!$F$71/12</f>
        <v>315302.767687178</v>
      </c>
      <c r="AF49" s="873" t="n">
        <f aca="false">Breakout!$F$72/12</f>
        <v>316520.666666667</v>
      </c>
      <c r="AG49" s="873" t="n">
        <v>316520.666666667</v>
      </c>
      <c r="AH49" s="872" t="n">
        <f aca="false">Breakout!$F$82/12</f>
        <v>20753.1714416211</v>
      </c>
      <c r="AI49" s="873" t="n">
        <f aca="false">Breakout!$F$83/12</f>
        <v>0</v>
      </c>
      <c r="AJ49" s="873" t="n">
        <v>0</v>
      </c>
      <c r="AK49" s="874" t="n">
        <f aca="false">Breakout!$F$91/12</f>
        <v>279042.034428683</v>
      </c>
      <c r="AL49" s="874" t="n">
        <v>279042.034428683</v>
      </c>
      <c r="AM49" s="773" t="n">
        <f aca="false">(Breakout!$F$107/12)*-1</f>
        <v>55221.25</v>
      </c>
      <c r="AN49" s="773" t="n">
        <v>55221.25</v>
      </c>
      <c r="AO49" s="774" t="n">
        <f aca="false">(P49+S49+V49)+Y49+AB49+AE49+AH49</f>
        <v>4870551.87366429</v>
      </c>
      <c r="AP49" s="774" t="n">
        <f aca="false">Q49+T49+W49+AA49+AD49+AG49+AJ49+AL49+AN49</f>
        <v>4966851.29176823</v>
      </c>
      <c r="AQ49" s="775" t="n">
        <f aca="false">P49+S49+V49+Y49+AB49+AE49+AH49-Q49-T49-W49-Z49-AC49-AF49-AI49-AK49-AM49-DH49-DL49-CN49</f>
        <v>177775.489491351</v>
      </c>
      <c r="AR49" s="431"/>
      <c r="AS49" s="776" t="n">
        <f aca="false">P49+S49+V49+Y49+AB49+AE49+AH49-R49-U49-X49-AA49-AD49-AG49-AJ49-AL49-AN49-O49-L49-CN49</f>
        <v>43931.215639552</v>
      </c>
      <c r="AT49" s="431"/>
      <c r="AU49" s="770" t="n">
        <f aca="false">'wholesale services'!$G$110/12</f>
        <v>39106610.7060185</v>
      </c>
      <c r="AV49" s="770" t="n">
        <f aca="false">'wholesale services'!$G$113/12</f>
        <v>17613.2558333333</v>
      </c>
      <c r="AW49" s="431"/>
      <c r="AX49" s="851" t="n">
        <f aca="false">IF(A49&lt;$AX$6,0,-$R$5/12)</f>
        <v>-715341.083333333</v>
      </c>
      <c r="AY49" s="417" t="n">
        <f aca="false">IF(A49&lt;$AX$6,0,-$S$5/12)</f>
        <v>-705333.333333333</v>
      </c>
      <c r="AZ49" s="431"/>
      <c r="BA49" s="772" t="n">
        <f aca="false">P49-IF($BL$4="mid",Q49,R49)-$BL$9*(IF($BL$4="mid",N49,O49)+IF($BL$4="mid",DL49,L49))</f>
        <v>459701.327611538</v>
      </c>
      <c r="BB49" s="772" t="n">
        <f aca="false">S49-IF($BL$4="mid",T49,U49)-$BM$9*(IF($BL$4="mid",N49,O49)+IF($BL$4="mid",DL49,L49))</f>
        <v>-11490.3497208658</v>
      </c>
      <c r="BC49" s="772" t="n">
        <f aca="false">V49-IF($BL$4="mid",W49,X49)-$BN$9*(IF($BL$4="mid",N49,O49)+IF($BL$4="mid",DL49,L49))</f>
        <v>-1251.89523666962</v>
      </c>
      <c r="BD49" s="772" t="n">
        <f aca="false">Y49-IF($BL$4="mid",Z49,AA49)</f>
        <v>38904.7421973334</v>
      </c>
      <c r="BE49" s="772" t="n">
        <f aca="false">AB49-IF($BL$4="mid",AC49,AD49)</f>
        <v>6639.67660656455</v>
      </c>
      <c r="BF49" s="772" t="n">
        <f aca="false">AE49-IF($BL$4="mid",AF49,AG49)</f>
        <v>-1217.89897948853</v>
      </c>
      <c r="BG49" s="772" t="n">
        <f aca="false">AH49-IF($BL$4="mid",AI49,AJ49)</f>
        <v>20753.1714416211</v>
      </c>
      <c r="BH49" s="772" t="n">
        <f aca="false">-IF($BL$4="mid",AK49,AL49)</f>
        <v>-279042.034428683</v>
      </c>
      <c r="BI49" s="772" t="n">
        <f aca="false">-IF($BL$4="mid",AM49,AN49)</f>
        <v>-55221.25</v>
      </c>
      <c r="BL49" s="772" t="n">
        <f aca="false">BW49-IF($BL$4="mid",Q49,R49)-$BL$9*(IF($BL$4="mid",N49,O49)+IF($BL$4="mid",DL49,L49))</f>
        <v>605258.589626078</v>
      </c>
      <c r="BM49" s="772" t="n">
        <f aca="false">BX49-IF($BL$4="mid",T49,U49)-$BM$9*(IF($BL$4="mid",N49,O49)+IF($BL$4="mid",DL49,L49))</f>
        <v>-6333.39644252126</v>
      </c>
      <c r="BN49" s="772" t="n">
        <f aca="false">BY49-IF($BL$4="mid",W49,X49)-$BN$9*(IF($BL$4="mid",N49,O49)+IF($BL$4="mid",DL49,L49))</f>
        <v>1343.93319684434</v>
      </c>
      <c r="BO49" s="772" t="n">
        <f aca="false">BZ49-IF($BL$4="mid",Z49,AA49)</f>
        <v>57786.9647999396</v>
      </c>
      <c r="BP49" s="772" t="n">
        <f aca="false">CA49-IF($BL$4="mid",AC49,AD49)</f>
        <v>24012.7524242639</v>
      </c>
      <c r="BQ49" s="772" t="n">
        <f aca="false">CB49-IF($BL$4="mid",AF49,AG49)</f>
        <v>11963.384651444</v>
      </c>
      <c r="BR49" s="772" t="n">
        <f aca="false">CC49-IF($BL$4="mid",AI49,AJ49)</f>
        <v>21620.7611587047</v>
      </c>
      <c r="BS49" s="772" t="n">
        <f aca="false">-IF($BL$4="mid",AK49,AL49)</f>
        <v>-279042.034428683</v>
      </c>
      <c r="BT49" s="772" t="n">
        <f aca="false">-IF($BL$4="mid",AM49,AN49)</f>
        <v>-55221.25</v>
      </c>
      <c r="BW49" s="872" t="n">
        <f aca="false">Breakout!$F$15/12</f>
        <v>3627358.3411182</v>
      </c>
      <c r="BX49" s="872" t="n">
        <f aca="false">Breakout!$F$26/12</f>
        <v>128513.804327341</v>
      </c>
      <c r="BY49" s="872" t="n">
        <f aca="false">Breakout!$F$37/12</f>
        <v>64689.3173868444</v>
      </c>
      <c r="BZ49" s="872" t="n">
        <f aca="false">Breakout!$F$48/12</f>
        <v>470554.245858048</v>
      </c>
      <c r="CA49" s="872" t="n">
        <f aca="false">Breakout!$F$59/12</f>
        <v>432945.567991758</v>
      </c>
      <c r="CB49" s="872" t="n">
        <f aca="false">Breakout!$F$70/12</f>
        <v>328484.051318111</v>
      </c>
      <c r="CC49" s="872" t="n">
        <f aca="false">Breakout!$F$81/12</f>
        <v>21620.7611587047</v>
      </c>
      <c r="CE49" s="852" t="n">
        <f aca="false">P49/0.96</f>
        <v>3626876.12406631</v>
      </c>
      <c r="CF49" s="852" t="n">
        <f aca="false">S49/0.96</f>
        <v>128496.719842704</v>
      </c>
      <c r="CG49" s="852" t="n">
        <f aca="false">V49/0.96</f>
        <v>64680.7176597192</v>
      </c>
      <c r="CI49" s="852" t="n">
        <f aca="false">N49</f>
        <v>-715341.083333333</v>
      </c>
      <c r="CJ49" s="852" t="n">
        <f aca="false">O49</f>
        <v>-705333.333333333</v>
      </c>
      <c r="CL49" s="772" t="n">
        <f aca="false">'account mgt'!$F$23/12</f>
        <v>-52264.494</v>
      </c>
      <c r="CN49" s="772" t="n">
        <v>0</v>
      </c>
      <c r="CT49" s="772" t="n">
        <f aca="false">CW48</f>
        <v>23248942.3026908</v>
      </c>
      <c r="CU49" s="772" t="n">
        <f aca="false">IF(CT49&lt;0.1,0,CT49*$L$3)</f>
        <v>183472.903005402</v>
      </c>
      <c r="CV49" s="772" t="n">
        <f aca="false">IF(CT49&lt;0.1,0,PPMT($L$3,A49-14,unwinds!$B$8*12,$K$5))</f>
        <v>584085.974497195</v>
      </c>
      <c r="CW49" s="772" t="n">
        <f aca="false">IF(CT49-CV49&lt;0,0,CT49-CV49)</f>
        <v>22664856.3281936</v>
      </c>
      <c r="CX49" s="772" t="n">
        <f aca="false">IF(CX48-CV49&lt;0,0,CX48-CV49)</f>
        <v>22664856.3281936</v>
      </c>
      <c r="DA49" s="772" t="n">
        <f aca="false">DD48</f>
        <v>30083273.6609095</v>
      </c>
      <c r="DB49" s="772" t="n">
        <f aca="false">DA49*$L$3</f>
        <v>237407.167974011</v>
      </c>
      <c r="DC49" s="772" t="n">
        <f aca="false">PPMT($L$3,A49-14,106,$K$5)</f>
        <v>257990.903697603</v>
      </c>
      <c r="DD49" s="772" t="n">
        <f aca="false">DA49-DC49</f>
        <v>29825282.7572119</v>
      </c>
      <c r="DE49" s="772" t="n">
        <f aca="false">DE48-DC49</f>
        <v>29825282.7572119</v>
      </c>
      <c r="DH49" s="417" t="n">
        <v>-715341.083333333</v>
      </c>
      <c r="DI49" s="417" t="n">
        <v>-705333.333333333</v>
      </c>
      <c r="DJ49" s="417"/>
      <c r="DL49" s="417" t="n">
        <f aca="false">PMT($J$3,106,$I$5,,1)</f>
        <v>474832.92700925</v>
      </c>
      <c r="DN49" s="417" t="n">
        <f aca="false">IF($BL$4="mid",DH49,DI49)</f>
        <v>-715341.083333333</v>
      </c>
      <c r="DO49" s="417" t="n">
        <f aca="false">IF($BL$4="mid",DL49,L49)</f>
        <v>474832.92700925</v>
      </c>
      <c r="DQ49" s="772" t="n">
        <f aca="false">BW49-IF($BL$4="mid",Q49,R49)</f>
        <v>376775.841118198</v>
      </c>
      <c r="DR49" s="772" t="n">
        <f aca="false">BX49-IF($BL$4="mid",T49,U49)</f>
        <v>-18358.8042587254</v>
      </c>
      <c r="DS49" s="772"/>
      <c r="DT49" s="772"/>
      <c r="DU49" s="772"/>
      <c r="DV49" s="772"/>
      <c r="DW49" s="772"/>
      <c r="DX49" s="772"/>
    </row>
    <row r="50" customFormat="false" ht="12.75" hidden="false" customHeight="false" outlineLevel="0" collapsed="false">
      <c r="A50" s="767" t="n">
        <v>39</v>
      </c>
      <c r="B50" s="854" t="n">
        <v>37681</v>
      </c>
      <c r="C50" s="417" t="n">
        <v>0</v>
      </c>
      <c r="D50" s="417" t="n">
        <v>0</v>
      </c>
      <c r="E50" s="417" t="n">
        <v>0</v>
      </c>
      <c r="F50" s="417" t="n">
        <v>233528.262553678</v>
      </c>
      <c r="G50" s="417" t="n">
        <v>257990.903697606</v>
      </c>
      <c r="H50" s="417" t="n">
        <v>0</v>
      </c>
      <c r="I50" s="417" t="n">
        <v>491519.166251284</v>
      </c>
      <c r="J50" s="417"/>
      <c r="K50" s="417"/>
      <c r="L50" s="417" t="n">
        <f aca="false">PMT($L$3,106,$K$5,,1)</f>
        <v>491519.166251281</v>
      </c>
      <c r="M50" s="417"/>
      <c r="N50" s="850" t="n">
        <f aca="false">IF(A50&lt;$B$8,0,-$R$5/12)</f>
        <v>-715341.083333333</v>
      </c>
      <c r="O50" s="850" t="n">
        <f aca="false">IF(A50&lt;$B$8,0,-$S$5/12)</f>
        <v>-705333.333333333</v>
      </c>
      <c r="P50" s="872" t="n">
        <f aca="false">Breakout!$F$16/12</f>
        <v>3481801.07910366</v>
      </c>
      <c r="Q50" s="770" t="n">
        <f aca="false">'wholesale services'!$D$110*'wholesale services'!$G$111/12</f>
        <v>3250582.5</v>
      </c>
      <c r="R50" s="770" t="n">
        <v>3320487.5</v>
      </c>
      <c r="S50" s="872" t="n">
        <f aca="false">Breakout!$F$27/12</f>
        <v>123356.851048996</v>
      </c>
      <c r="T50" s="770" t="n">
        <f aca="false">'wholesale services'!$D$113*'wholesale services'!$G$114/12</f>
        <v>146872.608586066</v>
      </c>
      <c r="U50" s="770" t="n">
        <v>149870.008761292</v>
      </c>
      <c r="V50" s="872" t="n">
        <f aca="false">Breakout!$F$38/12</f>
        <v>62093.4889533304</v>
      </c>
      <c r="W50" s="431" t="n">
        <f aca="false">Breakout!$F$39/12</f>
        <v>63345.38419</v>
      </c>
      <c r="X50" s="431" t="n">
        <v>64026.5173533333</v>
      </c>
      <c r="Y50" s="872" t="n">
        <f aca="false">Breakout!$F$49/12</f>
        <v>451672.023255442</v>
      </c>
      <c r="Z50" s="873" t="n">
        <f aca="false">Breakout!$F$50/12</f>
        <v>412767.281058109</v>
      </c>
      <c r="AA50" s="873" t="n">
        <v>433583.343202491</v>
      </c>
      <c r="AB50" s="872" t="n">
        <f aca="false">Breakout!$F$60/12</f>
        <v>415572.492174059</v>
      </c>
      <c r="AC50" s="873" t="n">
        <f aca="false">Breakout!$F$61/12</f>
        <v>408932.815567494</v>
      </c>
      <c r="AD50" s="873" t="n">
        <v>421683.50469432</v>
      </c>
      <c r="AE50" s="872" t="n">
        <f aca="false">Breakout!$F$71/12</f>
        <v>315302.767687178</v>
      </c>
      <c r="AF50" s="873" t="n">
        <f aca="false">Breakout!$F$72/12</f>
        <v>316520.666666667</v>
      </c>
      <c r="AG50" s="873" t="n">
        <v>316520.666666667</v>
      </c>
      <c r="AH50" s="872" t="n">
        <f aca="false">Breakout!$F$82/12</f>
        <v>20753.1714416211</v>
      </c>
      <c r="AI50" s="873" t="n">
        <f aca="false">Breakout!$F$83/12</f>
        <v>0</v>
      </c>
      <c r="AJ50" s="873" t="n">
        <v>0</v>
      </c>
      <c r="AK50" s="874" t="n">
        <f aca="false">Breakout!$F$91/12</f>
        <v>279042.034428683</v>
      </c>
      <c r="AL50" s="874" t="n">
        <v>279042.034428683</v>
      </c>
      <c r="AM50" s="773" t="n">
        <f aca="false">(Breakout!$F$107/12)*-1</f>
        <v>55221.25</v>
      </c>
      <c r="AN50" s="773" t="n">
        <v>55221.25</v>
      </c>
      <c r="AO50" s="774" t="n">
        <f aca="false">(P50+S50+V50)+Y50+AB50+AE50+AH50</f>
        <v>4870551.87366429</v>
      </c>
      <c r="AP50" s="774" t="n">
        <f aca="false">Q50+T50+W50+AA50+AD50+AG50+AJ50+AL50+AN50</f>
        <v>4966851.29176823</v>
      </c>
      <c r="AQ50" s="775" t="n">
        <f aca="false">P50+S50+V50+Y50+AB50+AE50+AH50-Q50-T50-W50-Z50-AC50-AF50-AI50-AK50-AM50-DH50-DL50-CN50</f>
        <v>177775.489491351</v>
      </c>
      <c r="AR50" s="431"/>
      <c r="AS50" s="776" t="n">
        <f aca="false">P50+S50+V50+Y50+AB50+AE50+AH50-R50-U50-X50-AA50-AD50-AG50-AJ50-AL50-AN50-O50-L50-CN50</f>
        <v>43931.215639552</v>
      </c>
      <c r="AT50" s="431"/>
      <c r="AU50" s="770" t="n">
        <f aca="false">'wholesale services'!$G$110/12</f>
        <v>39106610.7060185</v>
      </c>
      <c r="AV50" s="770" t="n">
        <f aca="false">'wholesale services'!$G$113/12</f>
        <v>17613.2558333333</v>
      </c>
      <c r="AW50" s="431"/>
      <c r="AX50" s="851" t="n">
        <f aca="false">IF(A50&lt;$AX$6,0,-$R$5/12)</f>
        <v>-715341.083333333</v>
      </c>
      <c r="AY50" s="417" t="n">
        <f aca="false">IF(A50&lt;$AX$6,0,-$S$5/12)</f>
        <v>-705333.333333333</v>
      </c>
      <c r="AZ50" s="431"/>
      <c r="BA50" s="772" t="n">
        <f aca="false">P50-IF($BL$4="mid",Q50,R50)-$BL$9*(IF($BL$4="mid",N50,O50)+IF($BL$4="mid",DL50,L50))</f>
        <v>459701.327611538</v>
      </c>
      <c r="BB50" s="772" t="n">
        <f aca="false">S50-IF($BL$4="mid",T50,U50)-$BM$9*(IF($BL$4="mid",N50,O50)+IF($BL$4="mid",DL50,L50))</f>
        <v>-11490.3497208658</v>
      </c>
      <c r="BC50" s="772" t="n">
        <f aca="false">V50-IF($BL$4="mid",W50,X50)-$BN$9*(IF($BL$4="mid",N50,O50)+IF($BL$4="mid",DL50,L50))</f>
        <v>-1251.89523666962</v>
      </c>
      <c r="BD50" s="772" t="n">
        <f aca="false">Y50-IF($BL$4="mid",Z50,AA50)</f>
        <v>38904.7421973334</v>
      </c>
      <c r="BE50" s="772" t="n">
        <f aca="false">AB50-IF($BL$4="mid",AC50,AD50)</f>
        <v>6639.67660656455</v>
      </c>
      <c r="BF50" s="772" t="n">
        <f aca="false">AE50-IF($BL$4="mid",AF50,AG50)</f>
        <v>-1217.89897948853</v>
      </c>
      <c r="BG50" s="772" t="n">
        <f aca="false">AH50-IF($BL$4="mid",AI50,AJ50)</f>
        <v>20753.1714416211</v>
      </c>
      <c r="BH50" s="772" t="n">
        <f aca="false">-IF($BL$4="mid",AK50,AL50)</f>
        <v>-279042.034428683</v>
      </c>
      <c r="BI50" s="772" t="n">
        <f aca="false">-IF($BL$4="mid",AM50,AN50)</f>
        <v>-55221.25</v>
      </c>
      <c r="BL50" s="772" t="n">
        <f aca="false">BW50-IF($BL$4="mid",Q50,R50)-$BL$9*(IF($BL$4="mid",N50,O50)+IF($BL$4="mid",DL50,L50))</f>
        <v>605258.589626078</v>
      </c>
      <c r="BM50" s="772" t="n">
        <f aca="false">BX50-IF($BL$4="mid",T50,U50)-$BM$9*(IF($BL$4="mid",N50,O50)+IF($BL$4="mid",DL50,L50))</f>
        <v>-6333.39644252126</v>
      </c>
      <c r="BN50" s="772" t="n">
        <f aca="false">BY50-IF($BL$4="mid",W50,X50)-$BN$9*(IF($BL$4="mid",N50,O50)+IF($BL$4="mid",DL50,L50))</f>
        <v>1343.93319684434</v>
      </c>
      <c r="BO50" s="772" t="n">
        <f aca="false">BZ50-IF($BL$4="mid",Z50,AA50)</f>
        <v>57786.9647999396</v>
      </c>
      <c r="BP50" s="772" t="n">
        <f aca="false">CA50-IF($BL$4="mid",AC50,AD50)</f>
        <v>24012.7524242639</v>
      </c>
      <c r="BQ50" s="772" t="n">
        <f aca="false">CB50-IF($BL$4="mid",AF50,AG50)</f>
        <v>11963.384651444</v>
      </c>
      <c r="BR50" s="772" t="n">
        <f aca="false">CC50-IF($BL$4="mid",AI50,AJ50)</f>
        <v>21620.7611587047</v>
      </c>
      <c r="BS50" s="772" t="n">
        <f aca="false">-IF($BL$4="mid",AK50,AL50)</f>
        <v>-279042.034428683</v>
      </c>
      <c r="BT50" s="772" t="n">
        <f aca="false">-IF($BL$4="mid",AM50,AN50)</f>
        <v>-55221.25</v>
      </c>
      <c r="BW50" s="872" t="n">
        <f aca="false">Breakout!$F$15/12</f>
        <v>3627358.3411182</v>
      </c>
      <c r="BX50" s="872" t="n">
        <f aca="false">Breakout!$F$26/12</f>
        <v>128513.804327341</v>
      </c>
      <c r="BY50" s="872" t="n">
        <f aca="false">Breakout!$F$37/12</f>
        <v>64689.3173868444</v>
      </c>
      <c r="BZ50" s="872" t="n">
        <f aca="false">Breakout!$F$48/12</f>
        <v>470554.245858048</v>
      </c>
      <c r="CA50" s="872" t="n">
        <f aca="false">Breakout!$F$59/12</f>
        <v>432945.567991758</v>
      </c>
      <c r="CB50" s="872" t="n">
        <f aca="false">Breakout!$F$70/12</f>
        <v>328484.051318111</v>
      </c>
      <c r="CC50" s="872" t="n">
        <f aca="false">Breakout!$F$81/12</f>
        <v>21620.7611587047</v>
      </c>
      <c r="CE50" s="852" t="n">
        <f aca="false">P50/0.96</f>
        <v>3626876.12406631</v>
      </c>
      <c r="CF50" s="852" t="n">
        <f aca="false">S50/0.96</f>
        <v>128496.719842704</v>
      </c>
      <c r="CG50" s="852" t="n">
        <f aca="false">V50/0.96</f>
        <v>64680.7176597192</v>
      </c>
      <c r="CI50" s="852" t="n">
        <f aca="false">N50</f>
        <v>-715341.083333333</v>
      </c>
      <c r="CJ50" s="852" t="n">
        <f aca="false">O50</f>
        <v>-705333.333333333</v>
      </c>
      <c r="CL50" s="772" t="n">
        <f aca="false">'account mgt'!$F$23/12</f>
        <v>-52264.494</v>
      </c>
      <c r="CN50" s="772" t="n">
        <v>0</v>
      </c>
      <c r="CT50" s="772" t="n">
        <f aca="false">CW49</f>
        <v>22664856.3281936</v>
      </c>
      <c r="CU50" s="772" t="n">
        <f aca="false">IF(CT50&lt;0.1,0,CT50*$L$3)</f>
        <v>178863.491189995</v>
      </c>
      <c r="CV50" s="772" t="n">
        <f aca="false">IF(CT50&lt;0.1,0,PPMT($L$3,A50-14,unwinds!$B$8*12,$K$5))</f>
        <v>588695.386312602</v>
      </c>
      <c r="CW50" s="772" t="n">
        <f aca="false">IF(CT50-CV50&lt;0,0,CT50-CV50)</f>
        <v>22076160.941881</v>
      </c>
      <c r="CX50" s="772" t="n">
        <f aca="false">IF(CX49-CV50&lt;0,0,CX49-CV50)</f>
        <v>22076160.941881</v>
      </c>
      <c r="DA50" s="772" t="n">
        <f aca="false">DD49</f>
        <v>29825282.7572119</v>
      </c>
      <c r="DB50" s="772" t="n">
        <f aca="false">DA50*$L$3</f>
        <v>235371.189758998</v>
      </c>
      <c r="DC50" s="772" t="n">
        <f aca="false">PPMT($L$3,A50-14,106,$K$5)</f>
        <v>260026.881912616</v>
      </c>
      <c r="DD50" s="772" t="n">
        <f aca="false">DA50-DC50</f>
        <v>29565255.8752993</v>
      </c>
      <c r="DE50" s="772" t="n">
        <f aca="false">DE49-DC50</f>
        <v>29565255.8752993</v>
      </c>
      <c r="DH50" s="417" t="n">
        <v>-715341.083333333</v>
      </c>
      <c r="DI50" s="417" t="n">
        <v>-705333.333333333</v>
      </c>
      <c r="DJ50" s="417"/>
      <c r="DL50" s="417" t="n">
        <f aca="false">PMT($J$3,106,$I$5,,1)</f>
        <v>474832.92700925</v>
      </c>
      <c r="DN50" s="417" t="n">
        <f aca="false">IF($BL$4="mid",DH50,DI50)</f>
        <v>-715341.083333333</v>
      </c>
      <c r="DO50" s="417" t="n">
        <f aca="false">IF($BL$4="mid",DL50,L50)</f>
        <v>474832.92700925</v>
      </c>
      <c r="DQ50" s="772" t="n">
        <f aca="false">BW50-IF($BL$4="mid",Q50,R50)</f>
        <v>376775.841118198</v>
      </c>
      <c r="DR50" s="772" t="n">
        <f aca="false">BX50-IF($BL$4="mid",T50,U50)</f>
        <v>-18358.8042587254</v>
      </c>
      <c r="DS50" s="772"/>
      <c r="DT50" s="772"/>
      <c r="DU50" s="772"/>
      <c r="DV50" s="772"/>
      <c r="DW50" s="772"/>
      <c r="DX50" s="772"/>
    </row>
    <row r="51" customFormat="false" ht="12.75" hidden="false" customHeight="false" outlineLevel="0" collapsed="false">
      <c r="A51" s="767" t="n">
        <v>40</v>
      </c>
      <c r="B51" s="854" t="n">
        <v>37712</v>
      </c>
      <c r="C51" s="417" t="n">
        <v>0</v>
      </c>
      <c r="D51" s="417" t="n">
        <v>0</v>
      </c>
      <c r="E51" s="417" t="n">
        <v>0</v>
      </c>
      <c r="F51" s="417" t="n">
        <v>231492.284338664</v>
      </c>
      <c r="G51" s="417" t="n">
        <v>260026.881912619</v>
      </c>
      <c r="H51" s="417" t="n">
        <v>0</v>
      </c>
      <c r="I51" s="417" t="n">
        <v>491519.166251284</v>
      </c>
      <c r="J51" s="417"/>
      <c r="K51" s="417"/>
      <c r="L51" s="417" t="n">
        <f aca="false">PMT($L$3,106,$K$5,,1)</f>
        <v>491519.166251281</v>
      </c>
      <c r="M51" s="417"/>
      <c r="N51" s="850" t="n">
        <f aca="false">IF(A51&lt;$B$8,0,-$R$5/12)</f>
        <v>-715341.083333333</v>
      </c>
      <c r="O51" s="850" t="n">
        <f aca="false">IF(A51&lt;$B$8,0,-$S$5/12)</f>
        <v>-705333.333333333</v>
      </c>
      <c r="P51" s="872" t="n">
        <f aca="false">Breakout!$F$16/12</f>
        <v>3481801.07910366</v>
      </c>
      <c r="Q51" s="770" t="n">
        <f aca="false">'wholesale services'!$D$110*'wholesale services'!$G$111/12</f>
        <v>3250582.5</v>
      </c>
      <c r="R51" s="770" t="n">
        <v>3320487.5</v>
      </c>
      <c r="S51" s="872" t="n">
        <f aca="false">Breakout!$F$27/12</f>
        <v>123356.851048996</v>
      </c>
      <c r="T51" s="770" t="n">
        <f aca="false">'wholesale services'!$D$113*'wholesale services'!$G$114/12</f>
        <v>146872.608586066</v>
      </c>
      <c r="U51" s="770" t="n">
        <v>149870.008761292</v>
      </c>
      <c r="V51" s="872" t="n">
        <f aca="false">Breakout!$F$38/12</f>
        <v>62093.4889533304</v>
      </c>
      <c r="W51" s="431" t="n">
        <f aca="false">Breakout!$F$39/12</f>
        <v>63345.38419</v>
      </c>
      <c r="X51" s="431" t="n">
        <v>64026.5173533333</v>
      </c>
      <c r="Y51" s="872" t="n">
        <f aca="false">Breakout!$F$49/12</f>
        <v>451672.023255442</v>
      </c>
      <c r="Z51" s="873" t="n">
        <f aca="false">Breakout!$F$50/12</f>
        <v>412767.281058109</v>
      </c>
      <c r="AA51" s="873" t="n">
        <v>433583.343202491</v>
      </c>
      <c r="AB51" s="872" t="n">
        <f aca="false">Breakout!$F$60/12</f>
        <v>415572.492174059</v>
      </c>
      <c r="AC51" s="873" t="n">
        <f aca="false">Breakout!$F$61/12</f>
        <v>408932.815567494</v>
      </c>
      <c r="AD51" s="873" t="n">
        <v>421683.50469432</v>
      </c>
      <c r="AE51" s="872" t="n">
        <f aca="false">Breakout!$F$71/12</f>
        <v>315302.767687178</v>
      </c>
      <c r="AF51" s="873" t="n">
        <f aca="false">Breakout!$F$72/12</f>
        <v>316520.666666667</v>
      </c>
      <c r="AG51" s="873" t="n">
        <v>316520.666666667</v>
      </c>
      <c r="AH51" s="872" t="n">
        <f aca="false">Breakout!$F$82/12</f>
        <v>20753.1714416211</v>
      </c>
      <c r="AI51" s="873" t="n">
        <f aca="false">Breakout!$F$83/12</f>
        <v>0</v>
      </c>
      <c r="AJ51" s="873" t="n">
        <v>0</v>
      </c>
      <c r="AK51" s="874" t="n">
        <f aca="false">Breakout!$F$91/12</f>
        <v>279042.034428683</v>
      </c>
      <c r="AL51" s="874" t="n">
        <v>279042.034428683</v>
      </c>
      <c r="AM51" s="773" t="n">
        <f aca="false">(Breakout!$F$107/12)*-1</f>
        <v>55221.25</v>
      </c>
      <c r="AN51" s="773" t="n">
        <v>55221.25</v>
      </c>
      <c r="AO51" s="774" t="n">
        <f aca="false">(P51+S51+V51)+Y51+AB51+AE51+AH51</f>
        <v>4870551.87366429</v>
      </c>
      <c r="AP51" s="774" t="n">
        <f aca="false">Q51+T51+W51+AA51+AD51+AG51+AJ51+AL51+AN51</f>
        <v>4966851.29176823</v>
      </c>
      <c r="AQ51" s="775" t="n">
        <f aca="false">P51+S51+V51+Y51+AB51+AE51+AH51-Q51-T51-W51-Z51-AC51-AF51-AI51-AK51-AM51-DH51-DL51-CN51</f>
        <v>177775.489491351</v>
      </c>
      <c r="AR51" s="431"/>
      <c r="AS51" s="776" t="n">
        <f aca="false">P51+S51+V51+Y51+AB51+AE51+AH51-R51-U51-X51-AA51-AD51-AG51-AJ51-AL51-AN51-O51-L51-CN51</f>
        <v>43931.215639552</v>
      </c>
      <c r="AT51" s="431"/>
      <c r="AU51" s="770" t="n">
        <f aca="false">'wholesale services'!$G$110/12</f>
        <v>39106610.7060185</v>
      </c>
      <c r="AV51" s="770" t="n">
        <f aca="false">'wholesale services'!$G$113/12</f>
        <v>17613.2558333333</v>
      </c>
      <c r="AW51" s="431"/>
      <c r="AX51" s="851" t="n">
        <f aca="false">IF(A51&lt;$AX$6,0,-$R$5/12)</f>
        <v>-715341.083333333</v>
      </c>
      <c r="AY51" s="417" t="n">
        <f aca="false">IF(A51&lt;$AX$6,0,-$S$5/12)</f>
        <v>-705333.333333333</v>
      </c>
      <c r="AZ51" s="431"/>
      <c r="BA51" s="772" t="n">
        <f aca="false">P51-IF($BL$4="mid",Q51,R51)-$BL$9*(IF($BL$4="mid",N51,O51)+IF($BL$4="mid",DL51,L51))</f>
        <v>459701.327611538</v>
      </c>
      <c r="BB51" s="772" t="n">
        <f aca="false">S51-IF($BL$4="mid",T51,U51)-$BM$9*(IF($BL$4="mid",N51,O51)+IF($BL$4="mid",DL51,L51))</f>
        <v>-11490.3497208658</v>
      </c>
      <c r="BC51" s="772" t="n">
        <f aca="false">V51-IF($BL$4="mid",W51,X51)-$BN$9*(IF($BL$4="mid",N51,O51)+IF($BL$4="mid",DL51,L51))</f>
        <v>-1251.89523666962</v>
      </c>
      <c r="BD51" s="772" t="n">
        <f aca="false">Y51-IF($BL$4="mid",Z51,AA51)</f>
        <v>38904.7421973334</v>
      </c>
      <c r="BE51" s="772" t="n">
        <f aca="false">AB51-IF($BL$4="mid",AC51,AD51)</f>
        <v>6639.67660656455</v>
      </c>
      <c r="BF51" s="772" t="n">
        <f aca="false">AE51-IF($BL$4="mid",AF51,AG51)</f>
        <v>-1217.89897948853</v>
      </c>
      <c r="BG51" s="772" t="n">
        <f aca="false">AH51-IF($BL$4="mid",AI51,AJ51)</f>
        <v>20753.1714416211</v>
      </c>
      <c r="BH51" s="772" t="n">
        <f aca="false">-IF($BL$4="mid",AK51,AL51)</f>
        <v>-279042.034428683</v>
      </c>
      <c r="BI51" s="772" t="n">
        <f aca="false">-IF($BL$4="mid",AM51,AN51)</f>
        <v>-55221.25</v>
      </c>
      <c r="BL51" s="772" t="n">
        <f aca="false">BW51-IF($BL$4="mid",Q51,R51)-$BL$9*(IF($BL$4="mid",N51,O51)+IF($BL$4="mid",DL51,L51))</f>
        <v>605258.589626078</v>
      </c>
      <c r="BM51" s="772" t="n">
        <f aca="false">BX51-IF($BL$4="mid",T51,U51)-$BM$9*(IF($BL$4="mid",N51,O51)+IF($BL$4="mid",DL51,L51))</f>
        <v>-6333.39644252126</v>
      </c>
      <c r="BN51" s="772" t="n">
        <f aca="false">BY51-IF($BL$4="mid",W51,X51)-$BN$9*(IF($BL$4="mid",N51,O51)+IF($BL$4="mid",DL51,L51))</f>
        <v>1343.93319684434</v>
      </c>
      <c r="BO51" s="772" t="n">
        <f aca="false">BZ51-IF($BL$4="mid",Z51,AA51)</f>
        <v>57786.9647999396</v>
      </c>
      <c r="BP51" s="772" t="n">
        <f aca="false">CA51-IF($BL$4="mid",AC51,AD51)</f>
        <v>24012.7524242639</v>
      </c>
      <c r="BQ51" s="772" t="n">
        <f aca="false">CB51-IF($BL$4="mid",AF51,AG51)</f>
        <v>11963.384651444</v>
      </c>
      <c r="BR51" s="772" t="n">
        <f aca="false">CC51-IF($BL$4="mid",AI51,AJ51)</f>
        <v>21620.7611587047</v>
      </c>
      <c r="BS51" s="772" t="n">
        <f aca="false">-IF($BL$4="mid",AK51,AL51)</f>
        <v>-279042.034428683</v>
      </c>
      <c r="BT51" s="772" t="n">
        <f aca="false">-IF($BL$4="mid",AM51,AN51)</f>
        <v>-55221.25</v>
      </c>
      <c r="BW51" s="872" t="n">
        <f aca="false">Breakout!$F$15/12</f>
        <v>3627358.3411182</v>
      </c>
      <c r="BX51" s="872" t="n">
        <f aca="false">Breakout!$F$26/12</f>
        <v>128513.804327341</v>
      </c>
      <c r="BY51" s="872" t="n">
        <f aca="false">Breakout!$F$37/12</f>
        <v>64689.3173868444</v>
      </c>
      <c r="BZ51" s="872" t="n">
        <f aca="false">Breakout!$F$48/12</f>
        <v>470554.245858048</v>
      </c>
      <c r="CA51" s="872" t="n">
        <f aca="false">Breakout!$F$59/12</f>
        <v>432945.567991758</v>
      </c>
      <c r="CB51" s="872" t="n">
        <f aca="false">Breakout!$F$70/12</f>
        <v>328484.051318111</v>
      </c>
      <c r="CC51" s="872" t="n">
        <f aca="false">Breakout!$F$81/12</f>
        <v>21620.7611587047</v>
      </c>
      <c r="CE51" s="852" t="n">
        <f aca="false">P51/0.96</f>
        <v>3626876.12406631</v>
      </c>
      <c r="CF51" s="852" t="n">
        <f aca="false">S51/0.96</f>
        <v>128496.719842704</v>
      </c>
      <c r="CG51" s="852" t="n">
        <f aca="false">V51/0.96</f>
        <v>64680.7176597192</v>
      </c>
      <c r="CI51" s="852" t="n">
        <f aca="false">N51</f>
        <v>-715341.083333333</v>
      </c>
      <c r="CJ51" s="852" t="n">
        <f aca="false">O51</f>
        <v>-705333.333333333</v>
      </c>
      <c r="CL51" s="772" t="n">
        <f aca="false">'account mgt'!$F$23/12</f>
        <v>-52264.494</v>
      </c>
      <c r="CN51" s="772" t="n">
        <v>0</v>
      </c>
      <c r="CT51" s="772" t="n">
        <f aca="false">CW50</f>
        <v>22076160.941881</v>
      </c>
      <c r="CU51" s="772" t="n">
        <f aca="false">IF(CT51&lt;0.1,0,CT51*$L$3)</f>
        <v>174217.703433011</v>
      </c>
      <c r="CV51" s="772" t="n">
        <f aca="false">IF(CT51&lt;0.1,0,PPMT($L$3,A51-14,unwinds!$B$8*12,$K$5))</f>
        <v>593341.174069585</v>
      </c>
      <c r="CW51" s="772" t="n">
        <f aca="false">IF(CT51-CV51&lt;0,0,CT51-CV51)</f>
        <v>21482819.7678115</v>
      </c>
      <c r="CX51" s="772" t="n">
        <f aca="false">IF(CX50-CV51&lt;0,0,CX50-CV51)</f>
        <v>21482819.7678115</v>
      </c>
      <c r="DA51" s="772" t="n">
        <f aca="false">DD50</f>
        <v>29565255.8752993</v>
      </c>
      <c r="DB51" s="772" t="n">
        <f aca="false">DA51*$L$3</f>
        <v>233319.14428257</v>
      </c>
      <c r="DC51" s="772" t="n">
        <f aca="false">PPMT($L$3,A51-14,106,$K$5)</f>
        <v>262078.927389044</v>
      </c>
      <c r="DD51" s="772" t="n">
        <f aca="false">DA51-DC51</f>
        <v>29303176.9479103</v>
      </c>
      <c r="DE51" s="772" t="n">
        <f aca="false">DE50-DC51</f>
        <v>29303176.9479103</v>
      </c>
      <c r="DH51" s="417" t="n">
        <v>-715341.083333333</v>
      </c>
      <c r="DI51" s="417" t="n">
        <v>-705333.333333333</v>
      </c>
      <c r="DJ51" s="417"/>
      <c r="DL51" s="417" t="n">
        <f aca="false">PMT($J$3,106,$I$5,,1)</f>
        <v>474832.92700925</v>
      </c>
      <c r="DN51" s="417" t="n">
        <f aca="false">IF($BL$4="mid",DH51,DI51)</f>
        <v>-715341.083333333</v>
      </c>
      <c r="DO51" s="417" t="n">
        <f aca="false">IF($BL$4="mid",DL51,L51)</f>
        <v>474832.92700925</v>
      </c>
      <c r="DQ51" s="772" t="n">
        <f aca="false">BW51-IF($BL$4="mid",Q51,R51)</f>
        <v>376775.841118198</v>
      </c>
      <c r="DR51" s="772" t="n">
        <f aca="false">BX51-IF($BL$4="mid",T51,U51)</f>
        <v>-18358.8042587254</v>
      </c>
      <c r="DS51" s="772"/>
      <c r="DT51" s="772"/>
      <c r="DU51" s="772"/>
      <c r="DV51" s="772"/>
      <c r="DW51" s="772"/>
      <c r="DX51" s="772"/>
    </row>
    <row r="52" customFormat="false" ht="12.75" hidden="false" customHeight="false" outlineLevel="0" collapsed="false">
      <c r="A52" s="767" t="n">
        <v>41</v>
      </c>
      <c r="B52" s="854" t="n">
        <v>37742</v>
      </c>
      <c r="C52" s="417" t="n">
        <v>0</v>
      </c>
      <c r="D52" s="417" t="n">
        <v>0</v>
      </c>
      <c r="E52" s="417" t="n">
        <v>0</v>
      </c>
      <c r="F52" s="417" t="n">
        <v>229440.238862237</v>
      </c>
      <c r="G52" s="417" t="n">
        <v>262078.927389046</v>
      </c>
      <c r="H52" s="417" t="n">
        <v>0</v>
      </c>
      <c r="I52" s="417" t="n">
        <v>491519.166251284</v>
      </c>
      <c r="J52" s="417"/>
      <c r="K52" s="417"/>
      <c r="L52" s="417" t="n">
        <f aca="false">PMT($L$3,106,$K$5,,1)</f>
        <v>491519.166251281</v>
      </c>
      <c r="M52" s="417"/>
      <c r="N52" s="850" t="n">
        <f aca="false">IF(A52&lt;$B$8,0,-$R$5/12)</f>
        <v>-715341.083333333</v>
      </c>
      <c r="O52" s="850" t="n">
        <f aca="false">IF(A52&lt;$B$8,0,-$S$5/12)</f>
        <v>-705333.333333333</v>
      </c>
      <c r="P52" s="872" t="n">
        <f aca="false">Breakout!$F$16/12</f>
        <v>3481801.07910366</v>
      </c>
      <c r="Q52" s="770" t="n">
        <f aca="false">'wholesale services'!$D$110*'wholesale services'!$G$111/12</f>
        <v>3250582.5</v>
      </c>
      <c r="R52" s="770" t="n">
        <v>3320487.5</v>
      </c>
      <c r="S52" s="872" t="n">
        <f aca="false">Breakout!$F$27/12</f>
        <v>123356.851048996</v>
      </c>
      <c r="T52" s="770" t="n">
        <f aca="false">'wholesale services'!$D$113*'wholesale services'!$G$114/12</f>
        <v>146872.608586066</v>
      </c>
      <c r="U52" s="770" t="n">
        <v>149870.008761292</v>
      </c>
      <c r="V52" s="872" t="n">
        <f aca="false">Breakout!$F$38/12</f>
        <v>62093.4889533304</v>
      </c>
      <c r="W52" s="431" t="n">
        <f aca="false">Breakout!$F$39/12</f>
        <v>63345.38419</v>
      </c>
      <c r="X52" s="431" t="n">
        <v>64026.5173533333</v>
      </c>
      <c r="Y52" s="872" t="n">
        <f aca="false">Breakout!$F$49/12</f>
        <v>451672.023255442</v>
      </c>
      <c r="Z52" s="873" t="n">
        <f aca="false">Breakout!$F$50/12</f>
        <v>412767.281058109</v>
      </c>
      <c r="AA52" s="873" t="n">
        <v>433583.343202491</v>
      </c>
      <c r="AB52" s="872" t="n">
        <f aca="false">Breakout!$F$60/12</f>
        <v>415572.492174059</v>
      </c>
      <c r="AC52" s="873" t="n">
        <f aca="false">Breakout!$F$61/12</f>
        <v>408932.815567494</v>
      </c>
      <c r="AD52" s="873" t="n">
        <v>421683.50469432</v>
      </c>
      <c r="AE52" s="872" t="n">
        <f aca="false">Breakout!$F$71/12</f>
        <v>315302.767687178</v>
      </c>
      <c r="AF52" s="873" t="n">
        <f aca="false">Breakout!$F$72/12</f>
        <v>316520.666666667</v>
      </c>
      <c r="AG52" s="873" t="n">
        <v>316520.666666667</v>
      </c>
      <c r="AH52" s="872" t="n">
        <f aca="false">Breakout!$F$82/12</f>
        <v>20753.1714416211</v>
      </c>
      <c r="AI52" s="873" t="n">
        <f aca="false">Breakout!$F$83/12</f>
        <v>0</v>
      </c>
      <c r="AJ52" s="873" t="n">
        <v>0</v>
      </c>
      <c r="AK52" s="874" t="n">
        <f aca="false">Breakout!$F$91/12</f>
        <v>279042.034428683</v>
      </c>
      <c r="AL52" s="874" t="n">
        <v>279042.034428683</v>
      </c>
      <c r="AM52" s="773" t="n">
        <f aca="false">(Breakout!$F$107/12)*-1</f>
        <v>55221.25</v>
      </c>
      <c r="AN52" s="773" t="n">
        <v>55221.25</v>
      </c>
      <c r="AO52" s="774" t="n">
        <f aca="false">(P52+S52+V52)+Y52+AB52+AE52+AH52</f>
        <v>4870551.87366429</v>
      </c>
      <c r="AP52" s="774" t="n">
        <f aca="false">Q52+T52+W52+AA52+AD52+AG52+AJ52+AL52+AN52</f>
        <v>4966851.29176823</v>
      </c>
      <c r="AQ52" s="775" t="n">
        <f aca="false">P52+S52+V52+Y52+AB52+AE52+AH52-Q52-T52-W52-Z52-AC52-AF52-AI52-AK52-AM52-DH52-DL52-CN52</f>
        <v>177775.489491351</v>
      </c>
      <c r="AR52" s="431"/>
      <c r="AS52" s="776" t="n">
        <f aca="false">P52+S52+V52+Y52+AB52+AE52+AH52-R52-U52-X52-AA52-AD52-AG52-AJ52-AL52-AN52-O52-L52-CN52</f>
        <v>43931.215639552</v>
      </c>
      <c r="AT52" s="431"/>
      <c r="AU52" s="770" t="n">
        <f aca="false">'wholesale services'!$G$110/12</f>
        <v>39106610.7060185</v>
      </c>
      <c r="AV52" s="770" t="n">
        <f aca="false">'wholesale services'!$G$113/12</f>
        <v>17613.2558333333</v>
      </c>
      <c r="AW52" s="431"/>
      <c r="AX52" s="851" t="n">
        <f aca="false">IF(A52&lt;$AX$6,0,-$R$5/12)</f>
        <v>-715341.083333333</v>
      </c>
      <c r="AY52" s="417" t="n">
        <f aca="false">IF(A52&lt;$AX$6,0,-$S$5/12)</f>
        <v>-705333.333333333</v>
      </c>
      <c r="AZ52" s="431"/>
      <c r="BA52" s="772" t="n">
        <f aca="false">P52-IF($BL$4="mid",Q52,R52)-$BL$9*(IF($BL$4="mid",N52,O52)+IF($BL$4="mid",DL52,L52))</f>
        <v>459701.327611538</v>
      </c>
      <c r="BB52" s="772" t="n">
        <f aca="false">S52-IF($BL$4="mid",T52,U52)-$BM$9*(IF($BL$4="mid",N52,O52)+IF($BL$4="mid",DL52,L52))</f>
        <v>-11490.3497208658</v>
      </c>
      <c r="BC52" s="772" t="n">
        <f aca="false">V52-IF($BL$4="mid",W52,X52)-$BN$9*(IF($BL$4="mid",N52,O52)+IF($BL$4="mid",DL52,L52))</f>
        <v>-1251.89523666962</v>
      </c>
      <c r="BD52" s="772" t="n">
        <f aca="false">Y52-IF($BL$4="mid",Z52,AA52)</f>
        <v>38904.7421973334</v>
      </c>
      <c r="BE52" s="772" t="n">
        <f aca="false">AB52-IF($BL$4="mid",AC52,AD52)</f>
        <v>6639.67660656455</v>
      </c>
      <c r="BF52" s="772" t="n">
        <f aca="false">AE52-IF($BL$4="mid",AF52,AG52)</f>
        <v>-1217.89897948853</v>
      </c>
      <c r="BG52" s="772" t="n">
        <f aca="false">AH52-IF($BL$4="mid",AI52,AJ52)</f>
        <v>20753.1714416211</v>
      </c>
      <c r="BH52" s="772" t="n">
        <f aca="false">-IF($BL$4="mid",AK52,AL52)</f>
        <v>-279042.034428683</v>
      </c>
      <c r="BI52" s="772" t="n">
        <f aca="false">-IF($BL$4="mid",AM52,AN52)</f>
        <v>-55221.25</v>
      </c>
      <c r="BL52" s="772" t="n">
        <f aca="false">BW52-IF($BL$4="mid",Q52,R52)-$BL$9*(IF($BL$4="mid",N52,O52)+IF($BL$4="mid",DL52,L52))</f>
        <v>605258.589626078</v>
      </c>
      <c r="BM52" s="772" t="n">
        <f aca="false">BX52-IF($BL$4="mid",T52,U52)-$BM$9*(IF($BL$4="mid",N52,O52)+IF($BL$4="mid",DL52,L52))</f>
        <v>-6333.39644252126</v>
      </c>
      <c r="BN52" s="772" t="n">
        <f aca="false">BY52-IF($BL$4="mid",W52,X52)-$BN$9*(IF($BL$4="mid",N52,O52)+IF($BL$4="mid",DL52,L52))</f>
        <v>1343.93319684434</v>
      </c>
      <c r="BO52" s="772" t="n">
        <f aca="false">BZ52-IF($BL$4="mid",Z52,AA52)</f>
        <v>57786.9647999396</v>
      </c>
      <c r="BP52" s="772" t="n">
        <f aca="false">CA52-IF($BL$4="mid",AC52,AD52)</f>
        <v>24012.7524242639</v>
      </c>
      <c r="BQ52" s="772" t="n">
        <f aca="false">CB52-IF($BL$4="mid",AF52,AG52)</f>
        <v>11963.384651444</v>
      </c>
      <c r="BR52" s="772" t="n">
        <f aca="false">CC52-IF($BL$4="mid",AI52,AJ52)</f>
        <v>21620.7611587047</v>
      </c>
      <c r="BS52" s="772" t="n">
        <f aca="false">-IF($BL$4="mid",AK52,AL52)</f>
        <v>-279042.034428683</v>
      </c>
      <c r="BT52" s="772" t="n">
        <f aca="false">-IF($BL$4="mid",AM52,AN52)</f>
        <v>-55221.25</v>
      </c>
      <c r="BW52" s="872" t="n">
        <f aca="false">Breakout!$F$15/12</f>
        <v>3627358.3411182</v>
      </c>
      <c r="BX52" s="872" t="n">
        <f aca="false">Breakout!$F$26/12</f>
        <v>128513.804327341</v>
      </c>
      <c r="BY52" s="872" t="n">
        <f aca="false">Breakout!$F$37/12</f>
        <v>64689.3173868444</v>
      </c>
      <c r="BZ52" s="872" t="n">
        <f aca="false">Breakout!$F$48/12</f>
        <v>470554.245858048</v>
      </c>
      <c r="CA52" s="872" t="n">
        <f aca="false">Breakout!$F$59/12</f>
        <v>432945.567991758</v>
      </c>
      <c r="CB52" s="872" t="n">
        <f aca="false">Breakout!$F$70/12</f>
        <v>328484.051318111</v>
      </c>
      <c r="CC52" s="872" t="n">
        <f aca="false">Breakout!$F$81/12</f>
        <v>21620.7611587047</v>
      </c>
      <c r="CE52" s="852" t="n">
        <f aca="false">P52/0.96</f>
        <v>3626876.12406631</v>
      </c>
      <c r="CF52" s="852" t="n">
        <f aca="false">S52/0.96</f>
        <v>128496.719842704</v>
      </c>
      <c r="CG52" s="852" t="n">
        <f aca="false">V52/0.96</f>
        <v>64680.7176597192</v>
      </c>
      <c r="CI52" s="852" t="n">
        <f aca="false">N52</f>
        <v>-715341.083333333</v>
      </c>
      <c r="CJ52" s="852" t="n">
        <f aca="false">O52</f>
        <v>-705333.333333333</v>
      </c>
      <c r="CL52" s="772" t="n">
        <f aca="false">'account mgt'!$F$23/12</f>
        <v>-52264.494</v>
      </c>
      <c r="CN52" s="772" t="n">
        <v>0</v>
      </c>
      <c r="CT52" s="772" t="n">
        <f aca="false">CW51</f>
        <v>21482819.7678115</v>
      </c>
      <c r="CU52" s="772" t="n">
        <f aca="false">IF(CT52&lt;0.1,0,CT52*$L$3)</f>
        <v>169535.252667645</v>
      </c>
      <c r="CV52" s="772" t="n">
        <f aca="false">IF(CT52&lt;0.1,0,PPMT($L$3,A52-14,unwinds!$B$8*12,$K$5))</f>
        <v>598023.624834951</v>
      </c>
      <c r="CW52" s="772" t="n">
        <f aca="false">IF(CT52-CV52&lt;0,0,CT52-CV52)</f>
        <v>20884796.1429765</v>
      </c>
      <c r="CX52" s="772" t="n">
        <f aca="false">IF(CX51-CV52&lt;0,0,CX51-CV52)</f>
        <v>20884796.1429765</v>
      </c>
      <c r="DA52" s="772" t="n">
        <f aca="false">DD51</f>
        <v>29303176.9479103</v>
      </c>
      <c r="DB52" s="772" t="n">
        <f aca="false">DA52*$L$3</f>
        <v>231250.904747259</v>
      </c>
      <c r="DC52" s="772" t="n">
        <f aca="false">PPMT($L$3,A52-14,106,$K$5)</f>
        <v>264147.166924355</v>
      </c>
      <c r="DD52" s="772" t="n">
        <f aca="false">DA52-DC52</f>
        <v>29039029.7809859</v>
      </c>
      <c r="DE52" s="772" t="n">
        <f aca="false">DE51-DC52</f>
        <v>29039029.7809859</v>
      </c>
      <c r="DH52" s="417" t="n">
        <v>-715341.083333333</v>
      </c>
      <c r="DI52" s="417" t="n">
        <v>-705333.333333333</v>
      </c>
      <c r="DJ52" s="417"/>
      <c r="DL52" s="417" t="n">
        <f aca="false">PMT($J$3,106,$I$5,,1)</f>
        <v>474832.92700925</v>
      </c>
      <c r="DN52" s="417" t="n">
        <f aca="false">IF($BL$4="mid",DH52,DI52)</f>
        <v>-715341.083333333</v>
      </c>
      <c r="DO52" s="417" t="n">
        <f aca="false">IF($BL$4="mid",DL52,L52)</f>
        <v>474832.92700925</v>
      </c>
      <c r="DQ52" s="772" t="n">
        <f aca="false">BW52-IF($BL$4="mid",Q52,R52)</f>
        <v>376775.841118198</v>
      </c>
      <c r="DR52" s="772" t="n">
        <f aca="false">BX52-IF($BL$4="mid",T52,U52)</f>
        <v>-18358.8042587254</v>
      </c>
      <c r="DS52" s="772"/>
      <c r="DT52" s="772"/>
      <c r="DU52" s="772"/>
      <c r="DV52" s="772"/>
      <c r="DW52" s="772"/>
      <c r="DX52" s="772"/>
    </row>
    <row r="53" customFormat="false" ht="12.75" hidden="false" customHeight="false" outlineLevel="0" collapsed="false">
      <c r="A53" s="767" t="n">
        <v>42</v>
      </c>
      <c r="B53" s="854" t="n">
        <v>37773</v>
      </c>
      <c r="C53" s="417" t="n">
        <v>0</v>
      </c>
      <c r="D53" s="417" t="n">
        <v>0</v>
      </c>
      <c r="E53" s="417" t="n">
        <v>0</v>
      </c>
      <c r="F53" s="417" t="n">
        <v>227371.999326925</v>
      </c>
      <c r="G53" s="417" t="n">
        <v>264147.166924358</v>
      </c>
      <c r="H53" s="417" t="n">
        <v>0</v>
      </c>
      <c r="I53" s="417" t="n">
        <v>491519.166251284</v>
      </c>
      <c r="J53" s="417"/>
      <c r="K53" s="417"/>
      <c r="L53" s="417" t="n">
        <f aca="false">PMT($L$3,106,$K$5,,1)</f>
        <v>491519.166251281</v>
      </c>
      <c r="M53" s="417"/>
      <c r="N53" s="850" t="n">
        <f aca="false">IF(A53&lt;$B$8,0,-$R$5/12)</f>
        <v>-715341.083333333</v>
      </c>
      <c r="O53" s="850" t="n">
        <f aca="false">IF(A53&lt;$B$8,0,-$S$5/12)</f>
        <v>-705333.333333333</v>
      </c>
      <c r="P53" s="872" t="n">
        <f aca="false">Breakout!$F$16/12</f>
        <v>3481801.07910366</v>
      </c>
      <c r="Q53" s="770" t="n">
        <f aca="false">'wholesale services'!$D$110*'wholesale services'!$G$111/12</f>
        <v>3250582.5</v>
      </c>
      <c r="R53" s="770" t="n">
        <v>3320487.5</v>
      </c>
      <c r="S53" s="872" t="n">
        <f aca="false">Breakout!$F$27/12</f>
        <v>123356.851048996</v>
      </c>
      <c r="T53" s="770" t="n">
        <f aca="false">'wholesale services'!$D$113*'wholesale services'!$G$114/12</f>
        <v>146872.608586066</v>
      </c>
      <c r="U53" s="770" t="n">
        <v>149870.008761292</v>
      </c>
      <c r="V53" s="872" t="n">
        <f aca="false">Breakout!$F$38/12</f>
        <v>62093.4889533304</v>
      </c>
      <c r="W53" s="431" t="n">
        <f aca="false">Breakout!$F$39/12</f>
        <v>63345.38419</v>
      </c>
      <c r="X53" s="431" t="n">
        <v>64026.5173533333</v>
      </c>
      <c r="Y53" s="872" t="n">
        <f aca="false">Breakout!$F$49/12</f>
        <v>451672.023255442</v>
      </c>
      <c r="Z53" s="873" t="n">
        <f aca="false">Breakout!$F$50/12</f>
        <v>412767.281058109</v>
      </c>
      <c r="AA53" s="873" t="n">
        <v>433583.343202491</v>
      </c>
      <c r="AB53" s="872" t="n">
        <f aca="false">Breakout!$F$60/12</f>
        <v>415572.492174059</v>
      </c>
      <c r="AC53" s="873" t="n">
        <f aca="false">Breakout!$F$61/12</f>
        <v>408932.815567494</v>
      </c>
      <c r="AD53" s="873" t="n">
        <v>421683.50469432</v>
      </c>
      <c r="AE53" s="872" t="n">
        <f aca="false">Breakout!$F$71/12</f>
        <v>315302.767687178</v>
      </c>
      <c r="AF53" s="873" t="n">
        <f aca="false">Breakout!$F$72/12</f>
        <v>316520.666666667</v>
      </c>
      <c r="AG53" s="873" t="n">
        <v>316520.666666667</v>
      </c>
      <c r="AH53" s="872" t="n">
        <f aca="false">Breakout!$F$82/12</f>
        <v>20753.1714416211</v>
      </c>
      <c r="AI53" s="873" t="n">
        <f aca="false">Breakout!$F$83/12</f>
        <v>0</v>
      </c>
      <c r="AJ53" s="873" t="n">
        <v>0</v>
      </c>
      <c r="AK53" s="874" t="n">
        <f aca="false">Breakout!$F$91/12</f>
        <v>279042.034428683</v>
      </c>
      <c r="AL53" s="874" t="n">
        <v>279042.034428683</v>
      </c>
      <c r="AM53" s="773" t="n">
        <f aca="false">(Breakout!$F$107/12)*-1</f>
        <v>55221.25</v>
      </c>
      <c r="AN53" s="773" t="n">
        <v>55221.25</v>
      </c>
      <c r="AO53" s="774" t="n">
        <f aca="false">(P53+S53+V53)+Y53+AB53+AE53+AH53</f>
        <v>4870551.87366429</v>
      </c>
      <c r="AP53" s="774" t="n">
        <f aca="false">Q53+T53+W53+AA53+AD53+AG53+AJ53+AL53+AN53</f>
        <v>4966851.29176823</v>
      </c>
      <c r="AQ53" s="775" t="n">
        <f aca="false">P53+S53+V53+Y53+AB53+AE53+AH53-Q53-T53-W53-Z53-AC53-AF53-AI53-AK53-AM53-DH53-DL53-CN53</f>
        <v>177775.489491351</v>
      </c>
      <c r="AR53" s="431"/>
      <c r="AS53" s="776" t="n">
        <f aca="false">P53+S53+V53+Y53+AB53+AE53+AH53-R53-U53-X53-AA53-AD53-AG53-AJ53-AL53-AN53-O53-L53-CN53</f>
        <v>43931.215639552</v>
      </c>
      <c r="AT53" s="431"/>
      <c r="AU53" s="770" t="n">
        <f aca="false">'wholesale services'!$G$110/12</f>
        <v>39106610.7060185</v>
      </c>
      <c r="AV53" s="770" t="n">
        <f aca="false">'wholesale services'!$G$113/12</f>
        <v>17613.2558333333</v>
      </c>
      <c r="AW53" s="431"/>
      <c r="AX53" s="851" t="n">
        <f aca="false">IF(A53&lt;$AX$6,0,-$R$5/12)</f>
        <v>-715341.083333333</v>
      </c>
      <c r="AY53" s="417" t="n">
        <f aca="false">IF(A53&lt;$AX$6,0,-$S$5/12)</f>
        <v>-705333.333333333</v>
      </c>
      <c r="AZ53" s="431"/>
      <c r="BA53" s="772" t="n">
        <f aca="false">P53-IF($BL$4="mid",Q53,R53)-$BL$9*(IF($BL$4="mid",N53,O53)+IF($BL$4="mid",DL53,L53))</f>
        <v>459701.327611538</v>
      </c>
      <c r="BB53" s="772" t="n">
        <f aca="false">S53-IF($BL$4="mid",T53,U53)-$BM$9*(IF($BL$4="mid",N53,O53)+IF($BL$4="mid",DL53,L53))</f>
        <v>-11490.3497208658</v>
      </c>
      <c r="BC53" s="772" t="n">
        <f aca="false">V53-IF($BL$4="mid",W53,X53)-$BN$9*(IF($BL$4="mid",N53,O53)+IF($BL$4="mid",DL53,L53))</f>
        <v>-1251.89523666962</v>
      </c>
      <c r="BD53" s="772" t="n">
        <f aca="false">Y53-IF($BL$4="mid",Z53,AA53)</f>
        <v>38904.7421973334</v>
      </c>
      <c r="BE53" s="772" t="n">
        <f aca="false">AB53-IF($BL$4="mid",AC53,AD53)</f>
        <v>6639.67660656455</v>
      </c>
      <c r="BF53" s="772" t="n">
        <f aca="false">AE53-IF($BL$4="mid",AF53,AG53)</f>
        <v>-1217.89897948853</v>
      </c>
      <c r="BG53" s="772" t="n">
        <f aca="false">AH53-IF($BL$4="mid",AI53,AJ53)</f>
        <v>20753.1714416211</v>
      </c>
      <c r="BH53" s="772" t="n">
        <f aca="false">-IF($BL$4="mid",AK53,AL53)</f>
        <v>-279042.034428683</v>
      </c>
      <c r="BI53" s="772" t="n">
        <f aca="false">-IF($BL$4="mid",AM53,AN53)</f>
        <v>-55221.25</v>
      </c>
      <c r="BL53" s="772" t="n">
        <f aca="false">BW53-IF($BL$4="mid",Q53,R53)-$BL$9*(IF($BL$4="mid",N53,O53)+IF($BL$4="mid",DL53,L53))</f>
        <v>605258.589626078</v>
      </c>
      <c r="BM53" s="772" t="n">
        <f aca="false">BX53-IF($BL$4="mid",T53,U53)-$BM$9*(IF($BL$4="mid",N53,O53)+IF($BL$4="mid",DL53,L53))</f>
        <v>-6333.39644252126</v>
      </c>
      <c r="BN53" s="772" t="n">
        <f aca="false">BY53-IF($BL$4="mid",W53,X53)-$BN$9*(IF($BL$4="mid",N53,O53)+IF($BL$4="mid",DL53,L53))</f>
        <v>1343.93319684434</v>
      </c>
      <c r="BO53" s="772" t="n">
        <f aca="false">BZ53-IF($BL$4="mid",Z53,AA53)</f>
        <v>57786.9647999396</v>
      </c>
      <c r="BP53" s="772" t="n">
        <f aca="false">CA53-IF($BL$4="mid",AC53,AD53)</f>
        <v>24012.7524242639</v>
      </c>
      <c r="BQ53" s="772" t="n">
        <f aca="false">CB53-IF($BL$4="mid",AF53,AG53)</f>
        <v>11963.384651444</v>
      </c>
      <c r="BR53" s="772" t="n">
        <f aca="false">CC53-IF($BL$4="mid",AI53,AJ53)</f>
        <v>21620.7611587047</v>
      </c>
      <c r="BS53" s="772" t="n">
        <f aca="false">-IF($BL$4="mid",AK53,AL53)</f>
        <v>-279042.034428683</v>
      </c>
      <c r="BT53" s="772" t="n">
        <f aca="false">-IF($BL$4="mid",AM53,AN53)</f>
        <v>-55221.25</v>
      </c>
      <c r="BW53" s="872" t="n">
        <f aca="false">Breakout!$F$15/12</f>
        <v>3627358.3411182</v>
      </c>
      <c r="BX53" s="872" t="n">
        <f aca="false">Breakout!$F$26/12</f>
        <v>128513.804327341</v>
      </c>
      <c r="BY53" s="872" t="n">
        <f aca="false">Breakout!$F$37/12</f>
        <v>64689.3173868444</v>
      </c>
      <c r="BZ53" s="872" t="n">
        <f aca="false">Breakout!$F$48/12</f>
        <v>470554.245858048</v>
      </c>
      <c r="CA53" s="872" t="n">
        <f aca="false">Breakout!$F$59/12</f>
        <v>432945.567991758</v>
      </c>
      <c r="CB53" s="872" t="n">
        <f aca="false">Breakout!$F$70/12</f>
        <v>328484.051318111</v>
      </c>
      <c r="CC53" s="872" t="n">
        <f aca="false">Breakout!$F$81/12</f>
        <v>21620.7611587047</v>
      </c>
      <c r="CE53" s="852" t="n">
        <f aca="false">P53/0.96</f>
        <v>3626876.12406631</v>
      </c>
      <c r="CF53" s="852" t="n">
        <f aca="false">S53/0.96</f>
        <v>128496.719842704</v>
      </c>
      <c r="CG53" s="852" t="n">
        <f aca="false">V53/0.96</f>
        <v>64680.7176597192</v>
      </c>
      <c r="CI53" s="852" t="n">
        <f aca="false">N53</f>
        <v>-715341.083333333</v>
      </c>
      <c r="CJ53" s="852" t="n">
        <f aca="false">O53</f>
        <v>-705333.333333333</v>
      </c>
      <c r="CL53" s="772" t="n">
        <f aca="false">'account mgt'!$F$23/12</f>
        <v>-52264.494</v>
      </c>
      <c r="CN53" s="772" t="n">
        <v>0</v>
      </c>
      <c r="CT53" s="772" t="n">
        <f aca="false">CW52</f>
        <v>20884796.1429765</v>
      </c>
      <c r="CU53" s="772" t="n">
        <f aca="false">IF(CT53&lt;0.1,0,CT53*$L$3)</f>
        <v>164815.849561656</v>
      </c>
      <c r="CV53" s="772" t="n">
        <f aca="false">IF(CT53&lt;0.1,0,PPMT($L$3,A53-14,unwinds!$B$8*12,$K$5))</f>
        <v>602743.02794094</v>
      </c>
      <c r="CW53" s="772" t="n">
        <f aca="false">IF(CT53-CV53&lt;0,0,CT53-CV53)</f>
        <v>20282053.1150356</v>
      </c>
      <c r="CX53" s="772" t="n">
        <f aca="false">IF(CX52-CV53&lt;0,0,CX52-CV53)</f>
        <v>20282053.1150356</v>
      </c>
      <c r="DA53" s="772" t="n">
        <f aca="false">DD52</f>
        <v>29039029.7809859</v>
      </c>
      <c r="DB53" s="772" t="n">
        <f aca="false">DA53*$L$3</f>
        <v>229166.343354947</v>
      </c>
      <c r="DC53" s="772" t="n">
        <f aca="false">PPMT($L$3,A53-14,106,$K$5)</f>
        <v>266231.728316667</v>
      </c>
      <c r="DD53" s="772" t="n">
        <f aca="false">DA53-DC53</f>
        <v>28772798.0526693</v>
      </c>
      <c r="DE53" s="772" t="n">
        <f aca="false">DE52-DC53</f>
        <v>28772798.0526693</v>
      </c>
      <c r="DH53" s="417" t="n">
        <v>-715341.083333333</v>
      </c>
      <c r="DI53" s="417" t="n">
        <v>-705333.333333333</v>
      </c>
      <c r="DJ53" s="417"/>
      <c r="DL53" s="417" t="n">
        <f aca="false">PMT($J$3,106,$I$5,,1)</f>
        <v>474832.92700925</v>
      </c>
      <c r="DN53" s="417" t="n">
        <f aca="false">IF($BL$4="mid",DH53,DI53)</f>
        <v>-715341.083333333</v>
      </c>
      <c r="DO53" s="417" t="n">
        <f aca="false">IF($BL$4="mid",DL53,L53)</f>
        <v>474832.92700925</v>
      </c>
      <c r="DQ53" s="772" t="n">
        <f aca="false">BW53-IF($BL$4="mid",Q53,R53)</f>
        <v>376775.841118198</v>
      </c>
      <c r="DR53" s="772" t="n">
        <f aca="false">BX53-IF($BL$4="mid",T53,U53)</f>
        <v>-18358.8042587254</v>
      </c>
      <c r="DS53" s="772"/>
      <c r="DT53" s="772"/>
      <c r="DU53" s="772"/>
      <c r="DV53" s="772"/>
      <c r="DW53" s="772"/>
      <c r="DX53" s="772"/>
    </row>
    <row r="54" customFormat="false" ht="12.75" hidden="false" customHeight="false" outlineLevel="0" collapsed="false">
      <c r="A54" s="767" t="n">
        <v>43</v>
      </c>
      <c r="B54" s="854" t="n">
        <v>37803</v>
      </c>
      <c r="C54" s="417" t="n">
        <v>0</v>
      </c>
      <c r="D54" s="417" t="n">
        <v>0</v>
      </c>
      <c r="E54" s="417" t="n">
        <v>0</v>
      </c>
      <c r="F54" s="417" t="n">
        <v>225287.437934614</v>
      </c>
      <c r="G54" s="417" t="n">
        <v>266231.72831667</v>
      </c>
      <c r="H54" s="417" t="n">
        <v>0</v>
      </c>
      <c r="I54" s="417" t="n">
        <v>491519.166251284</v>
      </c>
      <c r="J54" s="417"/>
      <c r="K54" s="417"/>
      <c r="L54" s="417" t="n">
        <f aca="false">PMT($L$3,106,$K$5,,1)</f>
        <v>491519.166251281</v>
      </c>
      <c r="M54" s="417"/>
      <c r="N54" s="850" t="n">
        <f aca="false">IF(A54&lt;$B$8,0,-$R$5/12)</f>
        <v>-715341.083333333</v>
      </c>
      <c r="O54" s="850" t="n">
        <f aca="false">IF(A54&lt;$B$8,0,-$S$5/12)</f>
        <v>-705333.333333333</v>
      </c>
      <c r="P54" s="872" t="n">
        <f aca="false">Breakout!$F$16/12</f>
        <v>3481801.07910366</v>
      </c>
      <c r="Q54" s="770" t="n">
        <f aca="false">'wholesale services'!$D$110*'wholesale services'!$G$111/12</f>
        <v>3250582.5</v>
      </c>
      <c r="R54" s="770" t="n">
        <v>3320487.5</v>
      </c>
      <c r="S54" s="872" t="n">
        <f aca="false">Breakout!$F$27/12</f>
        <v>123356.851048996</v>
      </c>
      <c r="T54" s="770" t="n">
        <f aca="false">'wholesale services'!$D$113*'wholesale services'!$G$114/12</f>
        <v>146872.608586066</v>
      </c>
      <c r="U54" s="770" t="n">
        <v>149870.008761292</v>
      </c>
      <c r="V54" s="872" t="n">
        <f aca="false">Breakout!$F$38/12</f>
        <v>62093.4889533304</v>
      </c>
      <c r="W54" s="431" t="n">
        <f aca="false">Breakout!$F$39/12</f>
        <v>63345.38419</v>
      </c>
      <c r="X54" s="431" t="n">
        <v>64026.5173533333</v>
      </c>
      <c r="Y54" s="872" t="n">
        <f aca="false">Breakout!$F$49/12</f>
        <v>451672.023255442</v>
      </c>
      <c r="Z54" s="873" t="n">
        <f aca="false">Breakout!$F$50/12</f>
        <v>412767.281058109</v>
      </c>
      <c r="AA54" s="873" t="n">
        <v>433583.343202491</v>
      </c>
      <c r="AB54" s="872" t="n">
        <f aca="false">Breakout!$F$60/12</f>
        <v>415572.492174059</v>
      </c>
      <c r="AC54" s="873" t="n">
        <f aca="false">Breakout!$F$61/12</f>
        <v>408932.815567494</v>
      </c>
      <c r="AD54" s="873" t="n">
        <v>421683.50469432</v>
      </c>
      <c r="AE54" s="872" t="n">
        <f aca="false">Breakout!$F$71/12</f>
        <v>315302.767687178</v>
      </c>
      <c r="AF54" s="873" t="n">
        <f aca="false">Breakout!$F$72/12</f>
        <v>316520.666666667</v>
      </c>
      <c r="AG54" s="873" t="n">
        <v>316520.666666667</v>
      </c>
      <c r="AH54" s="872" t="n">
        <f aca="false">Breakout!$F$82/12</f>
        <v>20753.1714416211</v>
      </c>
      <c r="AI54" s="873" t="n">
        <f aca="false">Breakout!$F$83/12</f>
        <v>0</v>
      </c>
      <c r="AJ54" s="873" t="n">
        <v>0</v>
      </c>
      <c r="AK54" s="874" t="n">
        <f aca="false">Breakout!$F$91/12</f>
        <v>279042.034428683</v>
      </c>
      <c r="AL54" s="874" t="n">
        <v>279042.034428683</v>
      </c>
      <c r="AM54" s="773" t="n">
        <f aca="false">(Breakout!$F$107/12)*-1</f>
        <v>55221.25</v>
      </c>
      <c r="AN54" s="773" t="n">
        <v>55221.25</v>
      </c>
      <c r="AO54" s="774" t="n">
        <f aca="false">(P54+S54+V54)+Y54+AB54+AE54+AH54</f>
        <v>4870551.87366429</v>
      </c>
      <c r="AP54" s="774" t="n">
        <f aca="false">Q54+T54+W54+AA54+AD54+AG54+AJ54+AL54+AN54</f>
        <v>4966851.29176823</v>
      </c>
      <c r="AQ54" s="775" t="n">
        <f aca="false">P54+S54+V54+Y54+AB54+AE54+AH54-Q54-T54-W54-Z54-AC54-AF54-AI54-AK54-AM54-DH54-DL54-CN54</f>
        <v>177775.489491351</v>
      </c>
      <c r="AR54" s="431"/>
      <c r="AS54" s="776" t="n">
        <f aca="false">P54+S54+V54+Y54+AB54+AE54+AH54-R54-U54-X54-AA54-AD54-AG54-AJ54-AL54-AN54-O54-L54-CN54</f>
        <v>43931.215639552</v>
      </c>
      <c r="AT54" s="431"/>
      <c r="AU54" s="770" t="n">
        <f aca="false">'wholesale services'!$G$110/12</f>
        <v>39106610.7060185</v>
      </c>
      <c r="AV54" s="770" t="n">
        <f aca="false">'wholesale services'!$G$113/12</f>
        <v>17613.2558333333</v>
      </c>
      <c r="AW54" s="431"/>
      <c r="AX54" s="851" t="n">
        <f aca="false">IF(A54&lt;$AX$6,0,-$R$5/12)</f>
        <v>-715341.083333333</v>
      </c>
      <c r="AY54" s="417" t="n">
        <f aca="false">IF(A54&lt;$AX$6,0,-$S$5/12)</f>
        <v>-705333.333333333</v>
      </c>
      <c r="AZ54" s="431"/>
      <c r="BA54" s="772" t="n">
        <f aca="false">P54-IF($BL$4="mid",Q54,R54)-$BL$9*(IF($BL$4="mid",N54,O54)+IF($BL$4="mid",DL54,L54))</f>
        <v>459701.327611538</v>
      </c>
      <c r="BB54" s="772" t="n">
        <f aca="false">S54-IF($BL$4="mid",T54,U54)-$BM$9*(IF($BL$4="mid",N54,O54)+IF($BL$4="mid",DL54,L54))</f>
        <v>-11490.3497208658</v>
      </c>
      <c r="BC54" s="772" t="n">
        <f aca="false">V54-IF($BL$4="mid",W54,X54)-$BN$9*(IF($BL$4="mid",N54,O54)+IF($BL$4="mid",DL54,L54))</f>
        <v>-1251.89523666962</v>
      </c>
      <c r="BD54" s="772" t="n">
        <f aca="false">Y54-IF($BL$4="mid",Z54,AA54)</f>
        <v>38904.7421973334</v>
      </c>
      <c r="BE54" s="772" t="n">
        <f aca="false">AB54-IF($BL$4="mid",AC54,AD54)</f>
        <v>6639.67660656455</v>
      </c>
      <c r="BF54" s="772" t="n">
        <f aca="false">AE54-IF($BL$4="mid",AF54,AG54)</f>
        <v>-1217.89897948853</v>
      </c>
      <c r="BG54" s="772" t="n">
        <f aca="false">AH54-IF($BL$4="mid",AI54,AJ54)</f>
        <v>20753.1714416211</v>
      </c>
      <c r="BH54" s="772" t="n">
        <f aca="false">-IF($BL$4="mid",AK54,AL54)</f>
        <v>-279042.034428683</v>
      </c>
      <c r="BI54" s="772" t="n">
        <f aca="false">-IF($BL$4="mid",AM54,AN54)</f>
        <v>-55221.25</v>
      </c>
      <c r="BL54" s="772" t="n">
        <f aca="false">BW54-IF($BL$4="mid",Q54,R54)-$BL$9*(IF($BL$4="mid",N54,O54)+IF($BL$4="mid",DL54,L54))</f>
        <v>605258.589626078</v>
      </c>
      <c r="BM54" s="772" t="n">
        <f aca="false">BX54-IF($BL$4="mid",T54,U54)-$BM$9*(IF($BL$4="mid",N54,O54)+IF($BL$4="mid",DL54,L54))</f>
        <v>-6333.39644252126</v>
      </c>
      <c r="BN54" s="772" t="n">
        <f aca="false">BY54-IF($BL$4="mid",W54,X54)-$BN$9*(IF($BL$4="mid",N54,O54)+IF($BL$4="mid",DL54,L54))</f>
        <v>1343.93319684434</v>
      </c>
      <c r="BO54" s="772" t="n">
        <f aca="false">BZ54-IF($BL$4="mid",Z54,AA54)</f>
        <v>57786.9647999396</v>
      </c>
      <c r="BP54" s="772" t="n">
        <f aca="false">CA54-IF($BL$4="mid",AC54,AD54)</f>
        <v>24012.7524242639</v>
      </c>
      <c r="BQ54" s="772" t="n">
        <f aca="false">CB54-IF($BL$4="mid",AF54,AG54)</f>
        <v>11963.384651444</v>
      </c>
      <c r="BR54" s="772" t="n">
        <f aca="false">CC54-IF($BL$4="mid",AI54,AJ54)</f>
        <v>21620.7611587047</v>
      </c>
      <c r="BS54" s="772" t="n">
        <f aca="false">-IF($BL$4="mid",AK54,AL54)</f>
        <v>-279042.034428683</v>
      </c>
      <c r="BT54" s="772" t="n">
        <f aca="false">-IF($BL$4="mid",AM54,AN54)</f>
        <v>-55221.25</v>
      </c>
      <c r="BW54" s="872" t="n">
        <f aca="false">Breakout!$F$15/12</f>
        <v>3627358.3411182</v>
      </c>
      <c r="BX54" s="872" t="n">
        <f aca="false">Breakout!$F$26/12</f>
        <v>128513.804327341</v>
      </c>
      <c r="BY54" s="872" t="n">
        <f aca="false">Breakout!$F$37/12</f>
        <v>64689.3173868444</v>
      </c>
      <c r="BZ54" s="872" t="n">
        <f aca="false">Breakout!$F$48/12</f>
        <v>470554.245858048</v>
      </c>
      <c r="CA54" s="872" t="n">
        <f aca="false">Breakout!$F$59/12</f>
        <v>432945.567991758</v>
      </c>
      <c r="CB54" s="872" t="n">
        <f aca="false">Breakout!$F$70/12</f>
        <v>328484.051318111</v>
      </c>
      <c r="CC54" s="872" t="n">
        <f aca="false">Breakout!$F$81/12</f>
        <v>21620.7611587047</v>
      </c>
      <c r="CE54" s="852" t="n">
        <f aca="false">P54/0.96</f>
        <v>3626876.12406631</v>
      </c>
      <c r="CF54" s="852" t="n">
        <f aca="false">S54/0.96</f>
        <v>128496.719842704</v>
      </c>
      <c r="CG54" s="852" t="n">
        <f aca="false">V54/0.96</f>
        <v>64680.7176597192</v>
      </c>
      <c r="CI54" s="852" t="n">
        <f aca="false">N54</f>
        <v>-715341.083333333</v>
      </c>
      <c r="CJ54" s="852" t="n">
        <f aca="false">O54</f>
        <v>-705333.333333333</v>
      </c>
      <c r="CL54" s="772" t="n">
        <f aca="false">'account mgt'!$F$23/12</f>
        <v>-52264.494</v>
      </c>
      <c r="CN54" s="772" t="n">
        <v>0</v>
      </c>
      <c r="CT54" s="772" t="n">
        <f aca="false">CW53</f>
        <v>20282053.1150356</v>
      </c>
      <c r="CU54" s="772" t="n">
        <f aca="false">IF(CT54&lt;0.1,0,CT54*$L$3)</f>
        <v>160059.202499489</v>
      </c>
      <c r="CV54" s="772" t="n">
        <f aca="false">IF(CT54&lt;0.1,0,PPMT($L$3,A54-14,unwinds!$B$8*12,$K$5))</f>
        <v>607499.675003107</v>
      </c>
      <c r="CW54" s="772" t="n">
        <f aca="false">IF(CT54-CV54&lt;0,0,CT54-CV54)</f>
        <v>19674553.4400325</v>
      </c>
      <c r="CX54" s="772" t="n">
        <f aca="false">IF(CX53-CV54&lt;0,0,CX53-CV54)</f>
        <v>19674553.4400325</v>
      </c>
      <c r="DA54" s="772" t="n">
        <f aca="false">DD53</f>
        <v>28772798.0526693</v>
      </c>
      <c r="DB54" s="772" t="n">
        <f aca="false">DA54*$L$3</f>
        <v>227065.331298982</v>
      </c>
      <c r="DC54" s="772" t="n">
        <f aca="false">PPMT($L$3,A54-14,106,$K$5)</f>
        <v>268332.740372632</v>
      </c>
      <c r="DD54" s="772" t="n">
        <f aca="false">DA54-DC54</f>
        <v>28504465.3122966</v>
      </c>
      <c r="DE54" s="772" t="n">
        <f aca="false">DE53-DC54</f>
        <v>28504465.3122966</v>
      </c>
      <c r="DH54" s="417" t="n">
        <v>-715341.083333333</v>
      </c>
      <c r="DI54" s="417" t="n">
        <v>-705333.333333333</v>
      </c>
      <c r="DJ54" s="417"/>
      <c r="DL54" s="417" t="n">
        <f aca="false">PMT($J$3,106,$I$5,,1)</f>
        <v>474832.92700925</v>
      </c>
      <c r="DN54" s="417" t="n">
        <f aca="false">IF($BL$4="mid",DH54,DI54)</f>
        <v>-715341.083333333</v>
      </c>
      <c r="DO54" s="417" t="n">
        <f aca="false">IF($BL$4="mid",DL54,L54)</f>
        <v>474832.92700925</v>
      </c>
      <c r="DQ54" s="772" t="n">
        <f aca="false">BW54-IF($BL$4="mid",Q54,R54)</f>
        <v>376775.841118198</v>
      </c>
      <c r="DR54" s="772" t="n">
        <f aca="false">BX54-IF($BL$4="mid",T54,U54)</f>
        <v>-18358.8042587254</v>
      </c>
      <c r="DS54" s="772"/>
      <c r="DT54" s="772"/>
      <c r="DU54" s="772"/>
      <c r="DV54" s="772"/>
      <c r="DW54" s="772"/>
      <c r="DX54" s="772"/>
    </row>
    <row r="55" customFormat="false" ht="12.75" hidden="false" customHeight="false" outlineLevel="0" collapsed="false">
      <c r="A55" s="767" t="n">
        <v>44</v>
      </c>
      <c r="B55" s="854" t="n">
        <v>37834</v>
      </c>
      <c r="C55" s="417" t="n">
        <v>0</v>
      </c>
      <c r="D55" s="417" t="n">
        <v>0</v>
      </c>
      <c r="E55" s="417" t="n">
        <v>0</v>
      </c>
      <c r="F55" s="417" t="n">
        <v>223186.425878648</v>
      </c>
      <c r="G55" s="417" t="n">
        <v>268332.740372635</v>
      </c>
      <c r="H55" s="417" t="n">
        <v>0</v>
      </c>
      <c r="I55" s="417" t="n">
        <v>491519.166251284</v>
      </c>
      <c r="J55" s="417"/>
      <c r="K55" s="417"/>
      <c r="L55" s="417" t="n">
        <f aca="false">PMT($L$3,106,$K$5,,1)</f>
        <v>491519.166251281</v>
      </c>
      <c r="M55" s="417"/>
      <c r="N55" s="850" t="n">
        <f aca="false">IF(A55&lt;$B$8,0,-$R$5/12)</f>
        <v>-715341.083333333</v>
      </c>
      <c r="O55" s="850" t="n">
        <f aca="false">IF(A55&lt;$B$8,0,-$S$5/12)</f>
        <v>-705333.333333333</v>
      </c>
      <c r="P55" s="872" t="n">
        <f aca="false">Breakout!$F$16/12</f>
        <v>3481801.07910366</v>
      </c>
      <c r="Q55" s="770" t="n">
        <f aca="false">'wholesale services'!$D$110*'wholesale services'!$G$111/12</f>
        <v>3250582.5</v>
      </c>
      <c r="R55" s="770" t="n">
        <v>3320487.5</v>
      </c>
      <c r="S55" s="872" t="n">
        <f aca="false">Breakout!$F$27/12</f>
        <v>123356.851048996</v>
      </c>
      <c r="T55" s="770" t="n">
        <f aca="false">'wholesale services'!$D$113*'wholesale services'!$G$114/12</f>
        <v>146872.608586066</v>
      </c>
      <c r="U55" s="770" t="n">
        <v>149870.008761292</v>
      </c>
      <c r="V55" s="872" t="n">
        <f aca="false">Breakout!$F$38/12</f>
        <v>62093.4889533304</v>
      </c>
      <c r="W55" s="431" t="n">
        <f aca="false">Breakout!$F$39/12</f>
        <v>63345.38419</v>
      </c>
      <c r="X55" s="431" t="n">
        <v>64026.5173533333</v>
      </c>
      <c r="Y55" s="872" t="n">
        <f aca="false">Breakout!$F$49/12</f>
        <v>451672.023255442</v>
      </c>
      <c r="Z55" s="873" t="n">
        <f aca="false">Breakout!$F$50/12</f>
        <v>412767.281058109</v>
      </c>
      <c r="AA55" s="873" t="n">
        <v>433583.343202491</v>
      </c>
      <c r="AB55" s="872" t="n">
        <f aca="false">Breakout!$F$60/12</f>
        <v>415572.492174059</v>
      </c>
      <c r="AC55" s="873" t="n">
        <f aca="false">Breakout!$F$61/12</f>
        <v>408932.815567494</v>
      </c>
      <c r="AD55" s="873" t="n">
        <v>421683.50469432</v>
      </c>
      <c r="AE55" s="872" t="n">
        <f aca="false">Breakout!$F$71/12</f>
        <v>315302.767687178</v>
      </c>
      <c r="AF55" s="873" t="n">
        <f aca="false">Breakout!$F$72/12</f>
        <v>316520.666666667</v>
      </c>
      <c r="AG55" s="873" t="n">
        <v>316520.666666667</v>
      </c>
      <c r="AH55" s="872" t="n">
        <f aca="false">Breakout!$F$82/12</f>
        <v>20753.1714416211</v>
      </c>
      <c r="AI55" s="873" t="n">
        <f aca="false">Breakout!$F$83/12</f>
        <v>0</v>
      </c>
      <c r="AJ55" s="873" t="n">
        <v>0</v>
      </c>
      <c r="AK55" s="874" t="n">
        <f aca="false">Breakout!$F$91/12</f>
        <v>279042.034428683</v>
      </c>
      <c r="AL55" s="874" t="n">
        <v>279042.034428683</v>
      </c>
      <c r="AM55" s="773" t="n">
        <f aca="false">(Breakout!$F$107/12)*-1</f>
        <v>55221.25</v>
      </c>
      <c r="AN55" s="773" t="n">
        <v>55221.25</v>
      </c>
      <c r="AO55" s="774" t="n">
        <f aca="false">(P55+S55+V55)+Y55+AB55+AE55+AH55</f>
        <v>4870551.87366429</v>
      </c>
      <c r="AP55" s="774" t="n">
        <f aca="false">Q55+T55+W55+AA55+AD55+AG55+AJ55+AL55+AN55</f>
        <v>4966851.29176823</v>
      </c>
      <c r="AQ55" s="775" t="n">
        <f aca="false">P55+S55+V55+Y55+AB55+AE55+AH55-Q55-T55-W55-Z55-AC55-AF55-AI55-AK55-AM55-DH55-DL55-CN55</f>
        <v>177775.489491351</v>
      </c>
      <c r="AR55" s="431"/>
      <c r="AS55" s="776" t="n">
        <f aca="false">P55+S55+V55+Y55+AB55+AE55+AH55-R55-U55-X55-AA55-AD55-AG55-AJ55-AL55-AN55-O55-L55-CN55</f>
        <v>43931.215639552</v>
      </c>
      <c r="AT55" s="431"/>
      <c r="AU55" s="770" t="n">
        <f aca="false">'wholesale services'!$G$110/12</f>
        <v>39106610.7060185</v>
      </c>
      <c r="AV55" s="770" t="n">
        <f aca="false">'wholesale services'!$G$113/12</f>
        <v>17613.2558333333</v>
      </c>
      <c r="AW55" s="431"/>
      <c r="AX55" s="851" t="n">
        <f aca="false">IF(A55&lt;$AX$6,0,-$R$5/12)</f>
        <v>-715341.083333333</v>
      </c>
      <c r="AY55" s="417" t="n">
        <f aca="false">IF(A55&lt;$AX$6,0,-$S$5/12)</f>
        <v>-705333.333333333</v>
      </c>
      <c r="AZ55" s="431"/>
      <c r="BA55" s="772" t="n">
        <f aca="false">P55-IF($BL$4="mid",Q55,R55)-$BL$9*(IF($BL$4="mid",N55,O55)+IF($BL$4="mid",DL55,L55))</f>
        <v>459701.327611538</v>
      </c>
      <c r="BB55" s="772" t="n">
        <f aca="false">S55-IF($BL$4="mid",T55,U55)-$BM$9*(IF($BL$4="mid",N55,O55)+IF($BL$4="mid",DL55,L55))</f>
        <v>-11490.3497208658</v>
      </c>
      <c r="BC55" s="772" t="n">
        <f aca="false">V55-IF($BL$4="mid",W55,X55)-$BN$9*(IF($BL$4="mid",N55,O55)+IF($BL$4="mid",DL55,L55))</f>
        <v>-1251.89523666962</v>
      </c>
      <c r="BD55" s="772" t="n">
        <f aca="false">Y55-IF($BL$4="mid",Z55,AA55)</f>
        <v>38904.7421973334</v>
      </c>
      <c r="BE55" s="772" t="n">
        <f aca="false">AB55-IF($BL$4="mid",AC55,AD55)</f>
        <v>6639.67660656455</v>
      </c>
      <c r="BF55" s="772" t="n">
        <f aca="false">AE55-IF($BL$4="mid",AF55,AG55)</f>
        <v>-1217.89897948853</v>
      </c>
      <c r="BG55" s="772" t="n">
        <f aca="false">AH55-IF($BL$4="mid",AI55,AJ55)</f>
        <v>20753.1714416211</v>
      </c>
      <c r="BH55" s="772" t="n">
        <f aca="false">-IF($BL$4="mid",AK55,AL55)</f>
        <v>-279042.034428683</v>
      </c>
      <c r="BI55" s="772" t="n">
        <f aca="false">-IF($BL$4="mid",AM55,AN55)</f>
        <v>-55221.25</v>
      </c>
      <c r="BL55" s="772" t="n">
        <f aca="false">BW55-IF($BL$4="mid",Q55,R55)-$BL$9*(IF($BL$4="mid",N55,O55)+IF($BL$4="mid",DL55,L55))</f>
        <v>605258.589626078</v>
      </c>
      <c r="BM55" s="772" t="n">
        <f aca="false">BX55-IF($BL$4="mid",T55,U55)-$BM$9*(IF($BL$4="mid",N55,O55)+IF($BL$4="mid",DL55,L55))</f>
        <v>-6333.39644252126</v>
      </c>
      <c r="BN55" s="772" t="n">
        <f aca="false">BY55-IF($BL$4="mid",W55,X55)-$BN$9*(IF($BL$4="mid",N55,O55)+IF($BL$4="mid",DL55,L55))</f>
        <v>1343.93319684434</v>
      </c>
      <c r="BO55" s="772" t="n">
        <f aca="false">BZ55-IF($BL$4="mid",Z55,AA55)</f>
        <v>57786.9647999396</v>
      </c>
      <c r="BP55" s="772" t="n">
        <f aca="false">CA55-IF($BL$4="mid",AC55,AD55)</f>
        <v>24012.7524242639</v>
      </c>
      <c r="BQ55" s="772" t="n">
        <f aca="false">CB55-IF($BL$4="mid",AF55,AG55)</f>
        <v>11963.384651444</v>
      </c>
      <c r="BR55" s="772" t="n">
        <f aca="false">CC55-IF($BL$4="mid",AI55,AJ55)</f>
        <v>21620.7611587047</v>
      </c>
      <c r="BS55" s="772" t="n">
        <f aca="false">-IF($BL$4="mid",AK55,AL55)</f>
        <v>-279042.034428683</v>
      </c>
      <c r="BT55" s="772" t="n">
        <f aca="false">-IF($BL$4="mid",AM55,AN55)</f>
        <v>-55221.25</v>
      </c>
      <c r="BW55" s="872" t="n">
        <f aca="false">Breakout!$F$15/12</f>
        <v>3627358.3411182</v>
      </c>
      <c r="BX55" s="872" t="n">
        <f aca="false">Breakout!$F$26/12</f>
        <v>128513.804327341</v>
      </c>
      <c r="BY55" s="872" t="n">
        <f aca="false">Breakout!$F$37/12</f>
        <v>64689.3173868444</v>
      </c>
      <c r="BZ55" s="872" t="n">
        <f aca="false">Breakout!$F$48/12</f>
        <v>470554.245858048</v>
      </c>
      <c r="CA55" s="872" t="n">
        <f aca="false">Breakout!$F$59/12</f>
        <v>432945.567991758</v>
      </c>
      <c r="CB55" s="872" t="n">
        <f aca="false">Breakout!$F$70/12</f>
        <v>328484.051318111</v>
      </c>
      <c r="CC55" s="872" t="n">
        <f aca="false">Breakout!$F$81/12</f>
        <v>21620.7611587047</v>
      </c>
      <c r="CE55" s="852" t="n">
        <f aca="false">P55/0.96</f>
        <v>3626876.12406631</v>
      </c>
      <c r="CF55" s="852" t="n">
        <f aca="false">S55/0.96</f>
        <v>128496.719842704</v>
      </c>
      <c r="CG55" s="852" t="n">
        <f aca="false">V55/0.96</f>
        <v>64680.7176597192</v>
      </c>
      <c r="CI55" s="852" t="n">
        <f aca="false">N55</f>
        <v>-715341.083333333</v>
      </c>
      <c r="CJ55" s="852" t="n">
        <f aca="false">O55</f>
        <v>-705333.333333333</v>
      </c>
      <c r="CL55" s="772" t="n">
        <f aca="false">'account mgt'!$F$23/12</f>
        <v>-52264.494</v>
      </c>
      <c r="CN55" s="772" t="n">
        <v>0</v>
      </c>
      <c r="CT55" s="772" t="n">
        <f aca="false">CW54</f>
        <v>19674553.4400325</v>
      </c>
      <c r="CU55" s="772" t="n">
        <f aca="false">IF(CT55&lt;0.1,0,CT55*$L$3)</f>
        <v>155265.017564256</v>
      </c>
      <c r="CV55" s="772" t="n">
        <f aca="false">IF(CT55&lt;0.1,0,PPMT($L$3,A55-14,unwinds!$B$8*12,$K$5))</f>
        <v>612293.85993834</v>
      </c>
      <c r="CW55" s="772" t="n">
        <f aca="false">IF(CT55-CV55&lt;0,0,CT55-CV55)</f>
        <v>19062259.5800941</v>
      </c>
      <c r="CX55" s="772" t="n">
        <f aca="false">IF(CX54-CV55&lt;0,0,CX54-CV55)</f>
        <v>19062259.5800941</v>
      </c>
      <c r="DA55" s="772" t="n">
        <f aca="false">DD54</f>
        <v>28504465.3122966</v>
      </c>
      <c r="DB55" s="772" t="n">
        <f aca="false">DA55*$L$3</f>
        <v>224947.738756208</v>
      </c>
      <c r="DC55" s="772" t="n">
        <f aca="false">PPMT($L$3,A55-14,106,$K$5)</f>
        <v>270450.332915406</v>
      </c>
      <c r="DD55" s="772" t="n">
        <f aca="false">DA55-DC55</f>
        <v>28234014.9793812</v>
      </c>
      <c r="DE55" s="772" t="n">
        <f aca="false">DE54-DC55</f>
        <v>28234014.9793812</v>
      </c>
      <c r="DH55" s="417" t="n">
        <v>-715341.083333333</v>
      </c>
      <c r="DI55" s="417" t="n">
        <v>-705333.333333333</v>
      </c>
      <c r="DJ55" s="417"/>
      <c r="DL55" s="417" t="n">
        <f aca="false">PMT($J$3,106,$I$5,,1)</f>
        <v>474832.92700925</v>
      </c>
      <c r="DN55" s="417" t="n">
        <f aca="false">IF($BL$4="mid",DH55,DI55)</f>
        <v>-715341.083333333</v>
      </c>
      <c r="DO55" s="417" t="n">
        <f aca="false">IF($BL$4="mid",DL55,L55)</f>
        <v>474832.92700925</v>
      </c>
      <c r="DQ55" s="772" t="n">
        <f aca="false">BW55-IF($BL$4="mid",Q55,R55)</f>
        <v>376775.841118198</v>
      </c>
      <c r="DR55" s="772" t="n">
        <f aca="false">BX55-IF($BL$4="mid",T55,U55)</f>
        <v>-18358.8042587254</v>
      </c>
      <c r="DS55" s="772"/>
      <c r="DT55" s="772"/>
      <c r="DU55" s="772"/>
      <c r="DV55" s="772"/>
      <c r="DW55" s="772"/>
      <c r="DX55" s="772"/>
    </row>
    <row r="56" customFormat="false" ht="12.75" hidden="false" customHeight="false" outlineLevel="0" collapsed="false">
      <c r="A56" s="767" t="n">
        <v>45</v>
      </c>
      <c r="B56" s="854" t="n">
        <v>37865</v>
      </c>
      <c r="C56" s="417" t="n">
        <v>0</v>
      </c>
      <c r="D56" s="417" t="n">
        <v>0</v>
      </c>
      <c r="E56" s="417" t="n">
        <v>0</v>
      </c>
      <c r="F56" s="417" t="n">
        <v>221068.833335874</v>
      </c>
      <c r="G56" s="417" t="n">
        <v>270450.332915409</v>
      </c>
      <c r="H56" s="417" t="n">
        <v>0</v>
      </c>
      <c r="I56" s="417" t="n">
        <v>491519.166251284</v>
      </c>
      <c r="J56" s="417"/>
      <c r="K56" s="417"/>
      <c r="L56" s="417" t="n">
        <f aca="false">PMT($L$3,106,$K$5,,1)</f>
        <v>491519.166251281</v>
      </c>
      <c r="M56" s="417"/>
      <c r="N56" s="850" t="n">
        <f aca="false">IF(A56&lt;$B$8,0,-$R$5/12)</f>
        <v>-715341.083333333</v>
      </c>
      <c r="O56" s="850" t="n">
        <f aca="false">IF(A56&lt;$B$8,0,-$S$5/12)</f>
        <v>-705333.333333333</v>
      </c>
      <c r="P56" s="872" t="n">
        <f aca="false">Breakout!$F$16/12</f>
        <v>3481801.07910366</v>
      </c>
      <c r="Q56" s="770" t="n">
        <f aca="false">'wholesale services'!$D$110*'wholesale services'!$G$111/12</f>
        <v>3250582.5</v>
      </c>
      <c r="R56" s="770" t="n">
        <v>3320487.5</v>
      </c>
      <c r="S56" s="872" t="n">
        <f aca="false">Breakout!$F$27/12</f>
        <v>123356.851048996</v>
      </c>
      <c r="T56" s="770" t="n">
        <f aca="false">'wholesale services'!$D$113*'wholesale services'!$G$114/12</f>
        <v>146872.608586066</v>
      </c>
      <c r="U56" s="770" t="n">
        <v>149870.008761292</v>
      </c>
      <c r="V56" s="872" t="n">
        <f aca="false">Breakout!$F$38/12</f>
        <v>62093.4889533304</v>
      </c>
      <c r="W56" s="431" t="n">
        <f aca="false">Breakout!$F$39/12</f>
        <v>63345.38419</v>
      </c>
      <c r="X56" s="431" t="n">
        <v>64026.5173533333</v>
      </c>
      <c r="Y56" s="872" t="n">
        <f aca="false">Breakout!$F$49/12</f>
        <v>451672.023255442</v>
      </c>
      <c r="Z56" s="873" t="n">
        <f aca="false">Breakout!$F$50/12</f>
        <v>412767.281058109</v>
      </c>
      <c r="AA56" s="873" t="n">
        <v>433583.343202491</v>
      </c>
      <c r="AB56" s="872" t="n">
        <f aca="false">Breakout!$F$60/12</f>
        <v>415572.492174059</v>
      </c>
      <c r="AC56" s="873" t="n">
        <f aca="false">Breakout!$F$61/12</f>
        <v>408932.815567494</v>
      </c>
      <c r="AD56" s="873" t="n">
        <v>421683.50469432</v>
      </c>
      <c r="AE56" s="872" t="n">
        <f aca="false">Breakout!$F$71/12</f>
        <v>315302.767687178</v>
      </c>
      <c r="AF56" s="873" t="n">
        <f aca="false">Breakout!$F$72/12</f>
        <v>316520.666666667</v>
      </c>
      <c r="AG56" s="873" t="n">
        <v>316520.666666667</v>
      </c>
      <c r="AH56" s="872" t="n">
        <f aca="false">Breakout!$F$82/12</f>
        <v>20753.1714416211</v>
      </c>
      <c r="AI56" s="873" t="n">
        <f aca="false">Breakout!$F$83/12</f>
        <v>0</v>
      </c>
      <c r="AJ56" s="873" t="n">
        <v>0</v>
      </c>
      <c r="AK56" s="874" t="n">
        <f aca="false">Breakout!$F$91/12</f>
        <v>279042.034428683</v>
      </c>
      <c r="AL56" s="874" t="n">
        <v>279042.034428683</v>
      </c>
      <c r="AM56" s="773" t="n">
        <f aca="false">(Breakout!$F$107/12)*-1</f>
        <v>55221.25</v>
      </c>
      <c r="AN56" s="773" t="n">
        <v>55221.25</v>
      </c>
      <c r="AO56" s="774" t="n">
        <f aca="false">(P56+S56+V56)+Y56+AB56+AE56+AH56</f>
        <v>4870551.87366429</v>
      </c>
      <c r="AP56" s="774" t="n">
        <f aca="false">Q56+T56+W56+AA56+AD56+AG56+AJ56+AL56+AN56</f>
        <v>4966851.29176823</v>
      </c>
      <c r="AQ56" s="775" t="n">
        <f aca="false">P56+S56+V56+Y56+AB56+AE56+AH56-Q56-T56-W56-Z56-AC56-AF56-AI56-AK56-AM56-DH56-DL56-CN56</f>
        <v>177775.489491351</v>
      </c>
      <c r="AR56" s="431"/>
      <c r="AS56" s="776" t="n">
        <f aca="false">P56+S56+V56+Y56+AB56+AE56+AH56-R56-U56-X56-AA56-AD56-AG56-AJ56-AL56-AN56-O56-L56-CN56</f>
        <v>43931.215639552</v>
      </c>
      <c r="AT56" s="431"/>
      <c r="AU56" s="770" t="n">
        <f aca="false">'wholesale services'!$G$110/12</f>
        <v>39106610.7060185</v>
      </c>
      <c r="AV56" s="770" t="n">
        <f aca="false">'wholesale services'!$G$113/12</f>
        <v>17613.2558333333</v>
      </c>
      <c r="AW56" s="431"/>
      <c r="AX56" s="851" t="n">
        <f aca="false">IF(A56&lt;$AX$6,0,-$R$5/12)</f>
        <v>-715341.083333333</v>
      </c>
      <c r="AY56" s="417" t="n">
        <f aca="false">IF(A56&lt;$AX$6,0,-$S$5/12)</f>
        <v>-705333.333333333</v>
      </c>
      <c r="AZ56" s="431"/>
      <c r="BA56" s="772" t="n">
        <f aca="false">P56-IF($BL$4="mid",Q56,R56)-$BL$9*(IF($BL$4="mid",N56,O56)+IF($BL$4="mid",DL56,L56))</f>
        <v>459701.327611538</v>
      </c>
      <c r="BB56" s="772" t="n">
        <f aca="false">S56-IF($BL$4="mid",T56,U56)-$BM$9*(IF($BL$4="mid",N56,O56)+IF($BL$4="mid",DL56,L56))</f>
        <v>-11490.3497208658</v>
      </c>
      <c r="BC56" s="772" t="n">
        <f aca="false">V56-IF($BL$4="mid",W56,X56)-$BN$9*(IF($BL$4="mid",N56,O56)+IF($BL$4="mid",DL56,L56))</f>
        <v>-1251.89523666962</v>
      </c>
      <c r="BD56" s="772" t="n">
        <f aca="false">Y56-IF($BL$4="mid",Z56,AA56)</f>
        <v>38904.7421973334</v>
      </c>
      <c r="BE56" s="772" t="n">
        <f aca="false">AB56-IF($BL$4="mid",AC56,AD56)</f>
        <v>6639.67660656455</v>
      </c>
      <c r="BF56" s="772" t="n">
        <f aca="false">AE56-IF($BL$4="mid",AF56,AG56)</f>
        <v>-1217.89897948853</v>
      </c>
      <c r="BG56" s="772" t="n">
        <f aca="false">AH56-IF($BL$4="mid",AI56,AJ56)</f>
        <v>20753.1714416211</v>
      </c>
      <c r="BH56" s="772" t="n">
        <f aca="false">-IF($BL$4="mid",AK56,AL56)</f>
        <v>-279042.034428683</v>
      </c>
      <c r="BI56" s="772" t="n">
        <f aca="false">-IF($BL$4="mid",AM56,AN56)</f>
        <v>-55221.25</v>
      </c>
      <c r="BL56" s="772" t="n">
        <f aca="false">BW56-IF($BL$4="mid",Q56,R56)-$BL$9*(IF($BL$4="mid",N56,O56)+IF($BL$4="mid",DL56,L56))</f>
        <v>605258.589626078</v>
      </c>
      <c r="BM56" s="772" t="n">
        <f aca="false">BX56-IF($BL$4="mid",T56,U56)-$BM$9*(IF($BL$4="mid",N56,O56)+IF($BL$4="mid",DL56,L56))</f>
        <v>-6333.39644252126</v>
      </c>
      <c r="BN56" s="772" t="n">
        <f aca="false">BY56-IF($BL$4="mid",W56,X56)-$BN$9*(IF($BL$4="mid",N56,O56)+IF($BL$4="mid",DL56,L56))</f>
        <v>1343.93319684434</v>
      </c>
      <c r="BO56" s="772" t="n">
        <f aca="false">BZ56-IF($BL$4="mid",Z56,AA56)</f>
        <v>57786.9647999396</v>
      </c>
      <c r="BP56" s="772" t="n">
        <f aca="false">CA56-IF($BL$4="mid",AC56,AD56)</f>
        <v>24012.7524242639</v>
      </c>
      <c r="BQ56" s="772" t="n">
        <f aca="false">CB56-IF($BL$4="mid",AF56,AG56)</f>
        <v>11963.384651444</v>
      </c>
      <c r="BR56" s="772" t="n">
        <f aca="false">CC56-IF($BL$4="mid",AI56,AJ56)</f>
        <v>21620.7611587047</v>
      </c>
      <c r="BS56" s="772" t="n">
        <f aca="false">-IF($BL$4="mid",AK56,AL56)</f>
        <v>-279042.034428683</v>
      </c>
      <c r="BT56" s="772" t="n">
        <f aca="false">-IF($BL$4="mid",AM56,AN56)</f>
        <v>-55221.25</v>
      </c>
      <c r="BW56" s="872" t="n">
        <f aca="false">Breakout!$F$15/12</f>
        <v>3627358.3411182</v>
      </c>
      <c r="BX56" s="872" t="n">
        <f aca="false">Breakout!$F$26/12</f>
        <v>128513.804327341</v>
      </c>
      <c r="BY56" s="872" t="n">
        <f aca="false">Breakout!$F$37/12</f>
        <v>64689.3173868444</v>
      </c>
      <c r="BZ56" s="872" t="n">
        <f aca="false">Breakout!$F$48/12</f>
        <v>470554.245858048</v>
      </c>
      <c r="CA56" s="872" t="n">
        <f aca="false">Breakout!$F$59/12</f>
        <v>432945.567991758</v>
      </c>
      <c r="CB56" s="872" t="n">
        <f aca="false">Breakout!$F$70/12</f>
        <v>328484.051318111</v>
      </c>
      <c r="CC56" s="872" t="n">
        <f aca="false">Breakout!$F$81/12</f>
        <v>21620.7611587047</v>
      </c>
      <c r="CE56" s="852" t="n">
        <f aca="false">P56/0.96</f>
        <v>3626876.12406631</v>
      </c>
      <c r="CF56" s="852" t="n">
        <f aca="false">S56/0.96</f>
        <v>128496.719842704</v>
      </c>
      <c r="CG56" s="852" t="n">
        <f aca="false">V56/0.96</f>
        <v>64680.7176597192</v>
      </c>
      <c r="CI56" s="852" t="n">
        <f aca="false">N56</f>
        <v>-715341.083333333</v>
      </c>
      <c r="CJ56" s="852" t="n">
        <f aca="false">O56</f>
        <v>-705333.333333333</v>
      </c>
      <c r="CL56" s="772" t="n">
        <f aca="false">'account mgt'!$F$23/12</f>
        <v>-52264.494</v>
      </c>
      <c r="CN56" s="772" t="n">
        <v>0</v>
      </c>
      <c r="CT56" s="772" t="n">
        <f aca="false">CW55</f>
        <v>19062259.5800941</v>
      </c>
      <c r="CU56" s="772" t="n">
        <f aca="false">IF(CT56&lt;0.1,0,CT56*$L$3)</f>
        <v>150432.998519576</v>
      </c>
      <c r="CV56" s="772" t="n">
        <f aca="false">IF(CT56&lt;0.1,0,PPMT($L$3,A56-14,unwinds!$B$8*12,$K$5))</f>
        <v>617125.87898302</v>
      </c>
      <c r="CW56" s="772" t="n">
        <f aca="false">IF(CT56-CV56&lt;0,0,CT56-CV56)</f>
        <v>18445133.7011111</v>
      </c>
      <c r="CX56" s="772" t="n">
        <f aca="false">IF(CX55-CV56&lt;0,0,CX55-CV56)</f>
        <v>18445133.7011111</v>
      </c>
      <c r="DA56" s="772" t="n">
        <f aca="false">DD55</f>
        <v>28234014.9793812</v>
      </c>
      <c r="DB56" s="772" t="n">
        <f aca="false">DA56*$L$3</f>
        <v>222813.43487895</v>
      </c>
      <c r="DC56" s="772" t="n">
        <f aca="false">PPMT($L$3,A56-14,106,$K$5)</f>
        <v>272584.636792664</v>
      </c>
      <c r="DD56" s="772" t="n">
        <f aca="false">DA56-DC56</f>
        <v>27961430.3425886</v>
      </c>
      <c r="DE56" s="772" t="n">
        <f aca="false">DE55-DC56</f>
        <v>27961430.3425886</v>
      </c>
      <c r="DH56" s="417" t="n">
        <v>-715341.083333333</v>
      </c>
      <c r="DI56" s="417" t="n">
        <v>-705333.333333333</v>
      </c>
      <c r="DJ56" s="417"/>
      <c r="DL56" s="417" t="n">
        <f aca="false">PMT($J$3,106,$I$5,,1)</f>
        <v>474832.92700925</v>
      </c>
      <c r="DN56" s="417" t="n">
        <f aca="false">IF($BL$4="mid",DH56,DI56)</f>
        <v>-715341.083333333</v>
      </c>
      <c r="DO56" s="417" t="n">
        <f aca="false">IF($BL$4="mid",DL56,L56)</f>
        <v>474832.92700925</v>
      </c>
      <c r="DQ56" s="772" t="n">
        <f aca="false">BW56-IF($BL$4="mid",Q56,R56)</f>
        <v>376775.841118198</v>
      </c>
      <c r="DR56" s="772" t="n">
        <f aca="false">BX56-IF($BL$4="mid",T56,U56)</f>
        <v>-18358.8042587254</v>
      </c>
      <c r="DS56" s="772"/>
      <c r="DT56" s="772"/>
      <c r="DU56" s="772"/>
      <c r="DV56" s="772"/>
      <c r="DW56" s="772"/>
      <c r="DX56" s="772"/>
    </row>
    <row r="57" customFormat="false" ht="12.75" hidden="false" customHeight="false" outlineLevel="0" collapsed="false">
      <c r="A57" s="767" t="n">
        <v>46</v>
      </c>
      <c r="B57" s="854" t="n">
        <v>37895</v>
      </c>
      <c r="C57" s="417" t="n">
        <v>0</v>
      </c>
      <c r="D57" s="417" t="n">
        <v>0</v>
      </c>
      <c r="E57" s="417" t="n">
        <v>0</v>
      </c>
      <c r="F57" s="417" t="n">
        <v>218934.529458617</v>
      </c>
      <c r="G57" s="417" t="n">
        <v>272584.636792667</v>
      </c>
      <c r="H57" s="417" t="n">
        <v>0</v>
      </c>
      <c r="I57" s="417" t="n">
        <v>491519.166251284</v>
      </c>
      <c r="J57" s="417"/>
      <c r="K57" s="417"/>
      <c r="L57" s="417" t="n">
        <f aca="false">PMT($L$3,106,$K$5,,1)</f>
        <v>491519.166251281</v>
      </c>
      <c r="M57" s="417"/>
      <c r="N57" s="850" t="n">
        <f aca="false">IF(A57&lt;$B$8,0,-$R$5/12)</f>
        <v>-715341.083333333</v>
      </c>
      <c r="O57" s="850" t="n">
        <f aca="false">IF(A57&lt;$B$8,0,-$S$5/12)</f>
        <v>-705333.333333333</v>
      </c>
      <c r="P57" s="872" t="n">
        <f aca="false">Breakout!$F$16/12</f>
        <v>3481801.07910366</v>
      </c>
      <c r="Q57" s="770" t="n">
        <f aca="false">'wholesale services'!$D$110*'wholesale services'!$G$111/12</f>
        <v>3250582.5</v>
      </c>
      <c r="R57" s="770" t="n">
        <v>3320487.5</v>
      </c>
      <c r="S57" s="872" t="n">
        <f aca="false">Breakout!$F$27/12</f>
        <v>123356.851048996</v>
      </c>
      <c r="T57" s="770" t="n">
        <f aca="false">'wholesale services'!$D$113*'wholesale services'!$G$114/12</f>
        <v>146872.608586066</v>
      </c>
      <c r="U57" s="770" t="n">
        <v>149870.008761292</v>
      </c>
      <c r="V57" s="872" t="n">
        <f aca="false">Breakout!$F$38/12</f>
        <v>62093.4889533304</v>
      </c>
      <c r="W57" s="431" t="n">
        <f aca="false">Breakout!$F$39/12</f>
        <v>63345.38419</v>
      </c>
      <c r="X57" s="431" t="n">
        <v>64026.5173533333</v>
      </c>
      <c r="Y57" s="872" t="n">
        <f aca="false">Breakout!$F$49/12</f>
        <v>451672.023255442</v>
      </c>
      <c r="Z57" s="873" t="n">
        <f aca="false">Breakout!$F$50/12</f>
        <v>412767.281058109</v>
      </c>
      <c r="AA57" s="873" t="n">
        <v>433583.343202491</v>
      </c>
      <c r="AB57" s="872" t="n">
        <f aca="false">Breakout!$F$60/12</f>
        <v>415572.492174059</v>
      </c>
      <c r="AC57" s="873" t="n">
        <f aca="false">Breakout!$F$61/12</f>
        <v>408932.815567494</v>
      </c>
      <c r="AD57" s="873" t="n">
        <v>421683.50469432</v>
      </c>
      <c r="AE57" s="872" t="n">
        <f aca="false">Breakout!$F$71/12</f>
        <v>315302.767687178</v>
      </c>
      <c r="AF57" s="873" t="n">
        <f aca="false">Breakout!$F$72/12</f>
        <v>316520.666666667</v>
      </c>
      <c r="AG57" s="873" t="n">
        <v>316520.666666667</v>
      </c>
      <c r="AH57" s="872" t="n">
        <f aca="false">Breakout!$F$82/12</f>
        <v>20753.1714416211</v>
      </c>
      <c r="AI57" s="873" t="n">
        <f aca="false">Breakout!$F$83/12</f>
        <v>0</v>
      </c>
      <c r="AJ57" s="873" t="n">
        <v>0</v>
      </c>
      <c r="AK57" s="874" t="n">
        <f aca="false">Breakout!$F$91/12</f>
        <v>279042.034428683</v>
      </c>
      <c r="AL57" s="874" t="n">
        <v>279042.034428683</v>
      </c>
      <c r="AM57" s="773" t="n">
        <f aca="false">(Breakout!$F$107/12)*-1</f>
        <v>55221.25</v>
      </c>
      <c r="AN57" s="773" t="n">
        <v>55221.25</v>
      </c>
      <c r="AO57" s="774" t="n">
        <f aca="false">(P57+S57+V57)+Y57+AB57+AE57+AH57</f>
        <v>4870551.87366429</v>
      </c>
      <c r="AP57" s="774" t="n">
        <f aca="false">Q57+T57+W57+AA57+AD57+AG57+AJ57+AL57+AN57</f>
        <v>4966851.29176823</v>
      </c>
      <c r="AQ57" s="775" t="n">
        <f aca="false">P57+S57+V57+Y57+AB57+AE57+AH57-Q57-T57-W57-Z57-AC57-AF57-AI57-AK57-AM57-DH57-DL57-CN57</f>
        <v>177775.489491351</v>
      </c>
      <c r="AR57" s="431"/>
      <c r="AS57" s="776" t="n">
        <f aca="false">P57+S57+V57+Y57+AB57+AE57+AH57-R57-U57-X57-AA57-AD57-AG57-AJ57-AL57-AN57-O57-L57-CN57</f>
        <v>43931.215639552</v>
      </c>
      <c r="AT57" s="431"/>
      <c r="AU57" s="770" t="n">
        <f aca="false">'wholesale services'!$G$110/12</f>
        <v>39106610.7060185</v>
      </c>
      <c r="AV57" s="770" t="n">
        <f aca="false">'wholesale services'!$G$113/12</f>
        <v>17613.2558333333</v>
      </c>
      <c r="AW57" s="431"/>
      <c r="AX57" s="851" t="n">
        <f aca="false">IF(A57&lt;$AX$6,0,-$R$5/12)</f>
        <v>-715341.083333333</v>
      </c>
      <c r="AY57" s="417" t="n">
        <f aca="false">IF(A57&lt;$AX$6,0,-$S$5/12)</f>
        <v>-705333.333333333</v>
      </c>
      <c r="AZ57" s="431"/>
      <c r="BA57" s="772" t="n">
        <f aca="false">P57-IF($BL$4="mid",Q57,R57)-$BL$9*(IF($BL$4="mid",N57,O57)+IF($BL$4="mid",DL57,L57))</f>
        <v>459701.327611538</v>
      </c>
      <c r="BB57" s="772" t="n">
        <f aca="false">S57-IF($BL$4="mid",T57,U57)-$BM$9*(IF($BL$4="mid",N57,O57)+IF($BL$4="mid",DL57,L57))</f>
        <v>-11490.3497208658</v>
      </c>
      <c r="BC57" s="772" t="n">
        <f aca="false">V57-IF($BL$4="mid",W57,X57)-$BN$9*(IF($BL$4="mid",N57,O57)+IF($BL$4="mid",DL57,L57))</f>
        <v>-1251.89523666962</v>
      </c>
      <c r="BD57" s="772" t="n">
        <f aca="false">Y57-IF($BL$4="mid",Z57,AA57)</f>
        <v>38904.7421973334</v>
      </c>
      <c r="BE57" s="772" t="n">
        <f aca="false">AB57-IF($BL$4="mid",AC57,AD57)</f>
        <v>6639.67660656455</v>
      </c>
      <c r="BF57" s="772" t="n">
        <f aca="false">AE57-IF($BL$4="mid",AF57,AG57)</f>
        <v>-1217.89897948853</v>
      </c>
      <c r="BG57" s="772" t="n">
        <f aca="false">AH57-IF($BL$4="mid",AI57,AJ57)</f>
        <v>20753.1714416211</v>
      </c>
      <c r="BH57" s="772" t="n">
        <f aca="false">-IF($BL$4="mid",AK57,AL57)</f>
        <v>-279042.034428683</v>
      </c>
      <c r="BI57" s="772" t="n">
        <f aca="false">-IF($BL$4="mid",AM57,AN57)</f>
        <v>-55221.25</v>
      </c>
      <c r="BL57" s="772" t="n">
        <f aca="false">BW57-IF($BL$4="mid",Q57,R57)-$BL$9*(IF($BL$4="mid",N57,O57)+IF($BL$4="mid",DL57,L57))</f>
        <v>605258.589626078</v>
      </c>
      <c r="BM57" s="772" t="n">
        <f aca="false">BX57-IF($BL$4="mid",T57,U57)-$BM$9*(IF($BL$4="mid",N57,O57)+IF($BL$4="mid",DL57,L57))</f>
        <v>-6333.39644252126</v>
      </c>
      <c r="BN57" s="772" t="n">
        <f aca="false">BY57-IF($BL$4="mid",W57,X57)-$BN$9*(IF($BL$4="mid",N57,O57)+IF($BL$4="mid",DL57,L57))</f>
        <v>1343.93319684434</v>
      </c>
      <c r="BO57" s="772" t="n">
        <f aca="false">BZ57-IF($BL$4="mid",Z57,AA57)</f>
        <v>57786.9647999396</v>
      </c>
      <c r="BP57" s="772" t="n">
        <f aca="false">CA57-IF($BL$4="mid",AC57,AD57)</f>
        <v>24012.7524242639</v>
      </c>
      <c r="BQ57" s="772" t="n">
        <f aca="false">CB57-IF($BL$4="mid",AF57,AG57)</f>
        <v>11963.384651444</v>
      </c>
      <c r="BR57" s="772" t="n">
        <f aca="false">CC57-IF($BL$4="mid",AI57,AJ57)</f>
        <v>21620.7611587047</v>
      </c>
      <c r="BS57" s="772" t="n">
        <f aca="false">-IF($BL$4="mid",AK57,AL57)</f>
        <v>-279042.034428683</v>
      </c>
      <c r="BT57" s="772" t="n">
        <f aca="false">-IF($BL$4="mid",AM57,AN57)</f>
        <v>-55221.25</v>
      </c>
      <c r="BW57" s="872" t="n">
        <f aca="false">Breakout!$F$15/12</f>
        <v>3627358.3411182</v>
      </c>
      <c r="BX57" s="872" t="n">
        <f aca="false">Breakout!$F$26/12</f>
        <v>128513.804327341</v>
      </c>
      <c r="BY57" s="872" t="n">
        <f aca="false">Breakout!$F$37/12</f>
        <v>64689.3173868444</v>
      </c>
      <c r="BZ57" s="872" t="n">
        <f aca="false">Breakout!$F$48/12</f>
        <v>470554.245858048</v>
      </c>
      <c r="CA57" s="872" t="n">
        <f aca="false">Breakout!$F$59/12</f>
        <v>432945.567991758</v>
      </c>
      <c r="CB57" s="872" t="n">
        <f aca="false">Breakout!$F$70/12</f>
        <v>328484.051318111</v>
      </c>
      <c r="CC57" s="872" t="n">
        <f aca="false">Breakout!$F$81/12</f>
        <v>21620.7611587047</v>
      </c>
      <c r="CE57" s="852" t="n">
        <f aca="false">P57/0.96</f>
        <v>3626876.12406631</v>
      </c>
      <c r="CF57" s="852" t="n">
        <f aca="false">S57/0.96</f>
        <v>128496.719842704</v>
      </c>
      <c r="CG57" s="852" t="n">
        <f aca="false">V57/0.96</f>
        <v>64680.7176597192</v>
      </c>
      <c r="CI57" s="852" t="n">
        <f aca="false">N57</f>
        <v>-715341.083333333</v>
      </c>
      <c r="CJ57" s="852" t="n">
        <f aca="false">O57</f>
        <v>-705333.333333333</v>
      </c>
      <c r="CL57" s="772" t="n">
        <f aca="false">'account mgt'!$F$23/12</f>
        <v>-52264.494</v>
      </c>
      <c r="CN57" s="772" t="n">
        <v>0</v>
      </c>
      <c r="CT57" s="772" t="n">
        <f aca="false">CW56</f>
        <v>18445133.7011111</v>
      </c>
      <c r="CU57" s="772" t="n">
        <f aca="false">IF(CT57&lt;0.1,0,CT57*$L$3)</f>
        <v>145562.846791268</v>
      </c>
      <c r="CV57" s="772" t="n">
        <f aca="false">IF(CT57&lt;0.1,0,PPMT($L$3,A57-14,unwinds!$B$8*12,$K$5))</f>
        <v>621996.030711328</v>
      </c>
      <c r="CW57" s="772" t="n">
        <f aca="false">IF(CT57-CV57&lt;0,0,CT57-CV57)</f>
        <v>17823137.6703998</v>
      </c>
      <c r="CX57" s="772" t="n">
        <f aca="false">IF(CX56-CV57&lt;0,0,CX56-CV57)</f>
        <v>17823137.6703998</v>
      </c>
      <c r="DA57" s="772" t="n">
        <f aca="false">DD56</f>
        <v>27961430.3425886</v>
      </c>
      <c r="DB57" s="772" t="n">
        <f aca="false">DA57*$L$3</f>
        <v>220662.287786928</v>
      </c>
      <c r="DC57" s="772" t="n">
        <f aca="false">PPMT($L$3,A57-14,106,$K$5)</f>
        <v>274735.783884686</v>
      </c>
      <c r="DD57" s="772" t="n">
        <f aca="false">DA57-DC57</f>
        <v>27686694.5587039</v>
      </c>
      <c r="DE57" s="772" t="n">
        <f aca="false">DE56-DC57</f>
        <v>27686694.5587039</v>
      </c>
      <c r="DH57" s="417" t="n">
        <v>-715341.083333333</v>
      </c>
      <c r="DI57" s="417" t="n">
        <v>-705333.333333333</v>
      </c>
      <c r="DJ57" s="417"/>
      <c r="DL57" s="417" t="n">
        <f aca="false">PMT($J$3,106,$I$5,,1)</f>
        <v>474832.92700925</v>
      </c>
      <c r="DN57" s="417" t="n">
        <f aca="false">IF($BL$4="mid",DH57,DI57)</f>
        <v>-715341.083333333</v>
      </c>
      <c r="DO57" s="417" t="n">
        <f aca="false">IF($BL$4="mid",DL57,L57)</f>
        <v>474832.92700925</v>
      </c>
      <c r="DQ57" s="772" t="n">
        <f aca="false">BW57-IF($BL$4="mid",Q57,R57)</f>
        <v>376775.841118198</v>
      </c>
      <c r="DR57" s="772" t="n">
        <f aca="false">BX57-IF($BL$4="mid",T57,U57)</f>
        <v>-18358.8042587254</v>
      </c>
      <c r="DS57" s="772"/>
      <c r="DT57" s="772"/>
      <c r="DU57" s="772"/>
      <c r="DV57" s="772"/>
      <c r="DW57" s="772"/>
      <c r="DX57" s="772"/>
    </row>
    <row r="58" customFormat="false" ht="12.75" hidden="false" customHeight="false" outlineLevel="0" collapsed="false">
      <c r="A58" s="767" t="n">
        <v>47</v>
      </c>
      <c r="B58" s="854" t="n">
        <v>37926</v>
      </c>
      <c r="C58" s="417" t="n">
        <v>0</v>
      </c>
      <c r="D58" s="417" t="n">
        <v>0</v>
      </c>
      <c r="E58" s="417" t="n">
        <v>0</v>
      </c>
      <c r="F58" s="417" t="n">
        <v>216783.382366595</v>
      </c>
      <c r="G58" s="417" t="n">
        <v>274735.783884689</v>
      </c>
      <c r="H58" s="417" t="n">
        <v>0</v>
      </c>
      <c r="I58" s="417" t="n">
        <v>491519.166251284</v>
      </c>
      <c r="J58" s="417"/>
      <c r="K58" s="417"/>
      <c r="L58" s="417" t="n">
        <f aca="false">PMT($L$3,106,$K$5,,1)</f>
        <v>491519.166251281</v>
      </c>
      <c r="M58" s="417"/>
      <c r="N58" s="850" t="n">
        <f aca="false">IF(A58&lt;$B$8,0,-$R$5/12)</f>
        <v>-715341.083333333</v>
      </c>
      <c r="O58" s="850" t="n">
        <f aca="false">IF(A58&lt;$B$8,0,-$S$5/12)</f>
        <v>-705333.333333333</v>
      </c>
      <c r="P58" s="872" t="n">
        <f aca="false">Breakout!$F$16/12</f>
        <v>3481801.07910366</v>
      </c>
      <c r="Q58" s="770" t="n">
        <f aca="false">'wholesale services'!$D$110*'wholesale services'!$G$111/12</f>
        <v>3250582.5</v>
      </c>
      <c r="R58" s="770" t="n">
        <v>3320487.5</v>
      </c>
      <c r="S58" s="872" t="n">
        <f aca="false">Breakout!$F$27/12</f>
        <v>123356.851048996</v>
      </c>
      <c r="T58" s="770" t="n">
        <f aca="false">'wholesale services'!$D$113*'wholesale services'!$G$114/12</f>
        <v>146872.608586066</v>
      </c>
      <c r="U58" s="770" t="n">
        <v>149870.008761292</v>
      </c>
      <c r="V58" s="872" t="n">
        <f aca="false">Breakout!$F$38/12</f>
        <v>62093.4889533304</v>
      </c>
      <c r="W58" s="431" t="n">
        <f aca="false">Breakout!$F$39/12</f>
        <v>63345.38419</v>
      </c>
      <c r="X58" s="431" t="n">
        <v>64026.5173533333</v>
      </c>
      <c r="Y58" s="872" t="n">
        <f aca="false">Breakout!$F$49/12</f>
        <v>451672.023255442</v>
      </c>
      <c r="Z58" s="873" t="n">
        <f aca="false">Breakout!$F$50/12</f>
        <v>412767.281058109</v>
      </c>
      <c r="AA58" s="873" t="n">
        <v>433583.343202491</v>
      </c>
      <c r="AB58" s="872" t="n">
        <f aca="false">Breakout!$F$60/12</f>
        <v>415572.492174059</v>
      </c>
      <c r="AC58" s="873" t="n">
        <f aca="false">Breakout!$F$61/12</f>
        <v>408932.815567494</v>
      </c>
      <c r="AD58" s="873" t="n">
        <v>421683.50469432</v>
      </c>
      <c r="AE58" s="872" t="n">
        <f aca="false">Breakout!$F$71/12</f>
        <v>315302.767687178</v>
      </c>
      <c r="AF58" s="873" t="n">
        <f aca="false">Breakout!$F$72/12</f>
        <v>316520.666666667</v>
      </c>
      <c r="AG58" s="873" t="n">
        <v>316520.666666667</v>
      </c>
      <c r="AH58" s="872" t="n">
        <f aca="false">Breakout!$F$82/12</f>
        <v>20753.1714416211</v>
      </c>
      <c r="AI58" s="873" t="n">
        <f aca="false">Breakout!$F$83/12</f>
        <v>0</v>
      </c>
      <c r="AJ58" s="873" t="n">
        <v>0</v>
      </c>
      <c r="AK58" s="874" t="n">
        <f aca="false">Breakout!$F$91/12</f>
        <v>279042.034428683</v>
      </c>
      <c r="AL58" s="874" t="n">
        <v>279042.034428683</v>
      </c>
      <c r="AM58" s="773" t="n">
        <f aca="false">(Breakout!$F$107/12)*-1</f>
        <v>55221.25</v>
      </c>
      <c r="AN58" s="773" t="n">
        <v>55221.25</v>
      </c>
      <c r="AO58" s="774" t="n">
        <f aca="false">(P58+S58+V58)+Y58+AB58+AE58+AH58</f>
        <v>4870551.87366429</v>
      </c>
      <c r="AP58" s="774" t="n">
        <f aca="false">Q58+T58+W58+AA58+AD58+AG58+AJ58+AL58+AN58</f>
        <v>4966851.29176823</v>
      </c>
      <c r="AQ58" s="775" t="n">
        <f aca="false">P58+S58+V58+Y58+AB58+AE58+AH58-Q58-T58-W58-Z58-AC58-AF58-AI58-AK58-AM58-DH58-DL58-CN58</f>
        <v>177775.489491351</v>
      </c>
      <c r="AR58" s="431"/>
      <c r="AS58" s="776" t="n">
        <f aca="false">P58+S58+V58+Y58+AB58+AE58+AH58-R58-U58-X58-AA58-AD58-AG58-AJ58-AL58-AN58-O58-L58-CN58</f>
        <v>43931.215639552</v>
      </c>
      <c r="AT58" s="431"/>
      <c r="AU58" s="770" t="n">
        <f aca="false">'wholesale services'!$G$110/12</f>
        <v>39106610.7060185</v>
      </c>
      <c r="AV58" s="770" t="n">
        <f aca="false">'wholesale services'!$G$113/12</f>
        <v>17613.2558333333</v>
      </c>
      <c r="AW58" s="431"/>
      <c r="AX58" s="851" t="n">
        <f aca="false">IF(A58&lt;$AX$6,0,-$R$5/12)</f>
        <v>-715341.083333333</v>
      </c>
      <c r="AY58" s="417" t="n">
        <f aca="false">IF(A58&lt;$AX$6,0,-$S$5/12)</f>
        <v>-705333.333333333</v>
      </c>
      <c r="AZ58" s="431"/>
      <c r="BA58" s="772" t="n">
        <f aca="false">P58-IF($BL$4="mid",Q58,R58)-$BL$9*(IF($BL$4="mid",N58,O58)+IF($BL$4="mid",DL58,L58))</f>
        <v>459701.327611538</v>
      </c>
      <c r="BB58" s="772" t="n">
        <f aca="false">S58-IF($BL$4="mid",T58,U58)-$BM$9*(IF($BL$4="mid",N58,O58)+IF($BL$4="mid",DL58,L58))</f>
        <v>-11490.3497208658</v>
      </c>
      <c r="BC58" s="772" t="n">
        <f aca="false">V58-IF($BL$4="mid",W58,X58)-$BN$9*(IF($BL$4="mid",N58,O58)+IF($BL$4="mid",DL58,L58))</f>
        <v>-1251.89523666962</v>
      </c>
      <c r="BD58" s="772" t="n">
        <f aca="false">Y58-IF($BL$4="mid",Z58,AA58)</f>
        <v>38904.7421973334</v>
      </c>
      <c r="BE58" s="772" t="n">
        <f aca="false">AB58-IF($BL$4="mid",AC58,AD58)</f>
        <v>6639.67660656455</v>
      </c>
      <c r="BF58" s="772" t="n">
        <f aca="false">AE58-IF($BL$4="mid",AF58,AG58)</f>
        <v>-1217.89897948853</v>
      </c>
      <c r="BG58" s="772" t="n">
        <f aca="false">AH58-IF($BL$4="mid",AI58,AJ58)</f>
        <v>20753.1714416211</v>
      </c>
      <c r="BH58" s="772" t="n">
        <f aca="false">-IF($BL$4="mid",AK58,AL58)</f>
        <v>-279042.034428683</v>
      </c>
      <c r="BI58" s="772" t="n">
        <f aca="false">-IF($BL$4="mid",AM58,AN58)</f>
        <v>-55221.25</v>
      </c>
      <c r="BL58" s="772" t="n">
        <f aca="false">BW58-IF($BL$4="mid",Q58,R58)-$BL$9*(IF($BL$4="mid",N58,O58)+IF($BL$4="mid",DL58,L58))</f>
        <v>605258.589626078</v>
      </c>
      <c r="BM58" s="772" t="n">
        <f aca="false">BX58-IF($BL$4="mid",T58,U58)-$BM$9*(IF($BL$4="mid",N58,O58)+IF($BL$4="mid",DL58,L58))</f>
        <v>-6333.39644252126</v>
      </c>
      <c r="BN58" s="772" t="n">
        <f aca="false">BY58-IF($BL$4="mid",W58,X58)-$BN$9*(IF($BL$4="mid",N58,O58)+IF($BL$4="mid",DL58,L58))</f>
        <v>1343.93319684434</v>
      </c>
      <c r="BO58" s="772" t="n">
        <f aca="false">BZ58-IF($BL$4="mid",Z58,AA58)</f>
        <v>57786.9647999396</v>
      </c>
      <c r="BP58" s="772" t="n">
        <f aca="false">CA58-IF($BL$4="mid",AC58,AD58)</f>
        <v>24012.7524242639</v>
      </c>
      <c r="BQ58" s="772" t="n">
        <f aca="false">CB58-IF($BL$4="mid",AF58,AG58)</f>
        <v>11963.384651444</v>
      </c>
      <c r="BR58" s="772" t="n">
        <f aca="false">CC58-IF($BL$4="mid",AI58,AJ58)</f>
        <v>21620.7611587047</v>
      </c>
      <c r="BS58" s="772" t="n">
        <f aca="false">-IF($BL$4="mid",AK58,AL58)</f>
        <v>-279042.034428683</v>
      </c>
      <c r="BT58" s="772" t="n">
        <f aca="false">-IF($BL$4="mid",AM58,AN58)</f>
        <v>-55221.25</v>
      </c>
      <c r="BW58" s="872" t="n">
        <f aca="false">Breakout!$F$15/12</f>
        <v>3627358.3411182</v>
      </c>
      <c r="BX58" s="872" t="n">
        <f aca="false">Breakout!$F$26/12</f>
        <v>128513.804327341</v>
      </c>
      <c r="BY58" s="872" t="n">
        <f aca="false">Breakout!$F$37/12</f>
        <v>64689.3173868444</v>
      </c>
      <c r="BZ58" s="872" t="n">
        <f aca="false">Breakout!$F$48/12</f>
        <v>470554.245858048</v>
      </c>
      <c r="CA58" s="872" t="n">
        <f aca="false">Breakout!$F$59/12</f>
        <v>432945.567991758</v>
      </c>
      <c r="CB58" s="872" t="n">
        <f aca="false">Breakout!$F$70/12</f>
        <v>328484.051318111</v>
      </c>
      <c r="CC58" s="872" t="n">
        <f aca="false">Breakout!$F$81/12</f>
        <v>21620.7611587047</v>
      </c>
      <c r="CE58" s="852" t="n">
        <f aca="false">P58/0.96</f>
        <v>3626876.12406631</v>
      </c>
      <c r="CF58" s="852" t="n">
        <f aca="false">S58/0.96</f>
        <v>128496.719842704</v>
      </c>
      <c r="CG58" s="852" t="n">
        <f aca="false">V58/0.96</f>
        <v>64680.7176597192</v>
      </c>
      <c r="CI58" s="852" t="n">
        <f aca="false">N58</f>
        <v>-715341.083333333</v>
      </c>
      <c r="CJ58" s="852" t="n">
        <f aca="false">O58</f>
        <v>-705333.333333333</v>
      </c>
      <c r="CL58" s="772" t="n">
        <f aca="false">'account mgt'!$F$23/12</f>
        <v>-52264.494</v>
      </c>
      <c r="CN58" s="772" t="n">
        <v>0</v>
      </c>
      <c r="CT58" s="772" t="n">
        <f aca="false">CW57</f>
        <v>17823137.6703998</v>
      </c>
      <c r="CU58" s="772" t="n">
        <f aca="false">IF(CT58&lt;0.1,0,CT58*$L$3)</f>
        <v>140654.261448905</v>
      </c>
      <c r="CV58" s="772" t="n">
        <f aca="false">IF(CT58&lt;0.1,0,PPMT($L$3,A58-14,unwinds!$B$8*12,$K$5))</f>
        <v>626904.616053691</v>
      </c>
      <c r="CW58" s="772" t="n">
        <f aca="false">IF(CT58-CV58&lt;0,0,CT58-CV58)</f>
        <v>17196233.0543461</v>
      </c>
      <c r="CX58" s="772" t="n">
        <f aca="false">IF(CX57-CV58&lt;0,0,CX57-CV58)</f>
        <v>17196233.0543461</v>
      </c>
      <c r="DA58" s="772" t="n">
        <f aca="false">DD57</f>
        <v>27686694.5587039</v>
      </c>
      <c r="DB58" s="772" t="n">
        <f aca="false">DA58*$L$3</f>
        <v>218494.164559105</v>
      </c>
      <c r="DC58" s="772" t="n">
        <f aca="false">PPMT($L$3,A58-14,106,$K$5)</f>
        <v>276903.907112509</v>
      </c>
      <c r="DD58" s="772" t="n">
        <f aca="false">DA58-DC58</f>
        <v>27409790.6515914</v>
      </c>
      <c r="DE58" s="772" t="n">
        <f aca="false">DE57-DC58</f>
        <v>27409790.6515914</v>
      </c>
      <c r="DH58" s="417" t="n">
        <v>-715341.083333333</v>
      </c>
      <c r="DI58" s="417" t="n">
        <v>-705333.333333333</v>
      </c>
      <c r="DJ58" s="417"/>
      <c r="DL58" s="417" t="n">
        <f aca="false">PMT($J$3,106,$I$5,,1)</f>
        <v>474832.92700925</v>
      </c>
      <c r="DN58" s="417" t="n">
        <f aca="false">IF($BL$4="mid",DH58,DI58)</f>
        <v>-715341.083333333</v>
      </c>
      <c r="DO58" s="417" t="n">
        <f aca="false">IF($BL$4="mid",DL58,L58)</f>
        <v>474832.92700925</v>
      </c>
      <c r="DQ58" s="772" t="n">
        <f aca="false">BW58-IF($BL$4="mid",Q58,R58)</f>
        <v>376775.841118198</v>
      </c>
      <c r="DR58" s="772" t="n">
        <f aca="false">BX58-IF($BL$4="mid",T58,U58)</f>
        <v>-18358.8042587254</v>
      </c>
      <c r="DS58" s="772"/>
      <c r="DT58" s="772"/>
      <c r="DU58" s="772"/>
      <c r="DV58" s="772"/>
      <c r="DW58" s="772"/>
      <c r="DX58" s="772"/>
    </row>
    <row r="59" customFormat="false" ht="12.75" hidden="false" customHeight="false" outlineLevel="0" collapsed="false">
      <c r="A59" s="855" t="n">
        <v>48</v>
      </c>
      <c r="B59" s="856" t="n">
        <v>37956</v>
      </c>
      <c r="C59" s="857" t="n">
        <v>0</v>
      </c>
      <c r="D59" s="857" t="n">
        <v>0</v>
      </c>
      <c r="E59" s="857" t="n">
        <v>0</v>
      </c>
      <c r="F59" s="417" t="n">
        <v>214615.259138771</v>
      </c>
      <c r="G59" s="417" t="n">
        <v>276903.907112512</v>
      </c>
      <c r="H59" s="417" t="n">
        <v>0</v>
      </c>
      <c r="I59" s="417" t="n">
        <v>491519.166251284</v>
      </c>
      <c r="J59" s="857"/>
      <c r="K59" s="857"/>
      <c r="L59" s="417" t="n">
        <f aca="false">PMT($L$3,106,$K$5,,1)</f>
        <v>491519.166251281</v>
      </c>
      <c r="M59" s="857"/>
      <c r="N59" s="850" t="n">
        <f aca="false">IF(A59&lt;$B$8,0,-$R$5/12)</f>
        <v>-715341.083333333</v>
      </c>
      <c r="O59" s="850" t="n">
        <f aca="false">IF(A59&lt;$B$8,0,-$S$5/12)</f>
        <v>-705333.333333333</v>
      </c>
      <c r="P59" s="859" t="n">
        <f aca="false">Breakout!$F$16/12</f>
        <v>3481801.07910366</v>
      </c>
      <c r="Q59" s="860" t="n">
        <f aca="false">'wholesale services'!$D$110*'wholesale services'!$G$111/12</f>
        <v>3250582.5</v>
      </c>
      <c r="R59" s="860" t="n">
        <v>3320487.5</v>
      </c>
      <c r="S59" s="859" t="n">
        <f aca="false">Breakout!$F$27/12</f>
        <v>123356.851048996</v>
      </c>
      <c r="T59" s="860" t="n">
        <f aca="false">'wholesale services'!$D$113*'wholesale services'!$G$114/12</f>
        <v>146872.608586066</v>
      </c>
      <c r="U59" s="860" t="n">
        <v>149870.008761292</v>
      </c>
      <c r="V59" s="859" t="n">
        <f aca="false">Breakout!$F$38/12</f>
        <v>62093.4889533304</v>
      </c>
      <c r="W59" s="861" t="n">
        <f aca="false">Breakout!$F$39/12</f>
        <v>63345.38419</v>
      </c>
      <c r="X59" s="861" t="n">
        <v>64026.5173533333</v>
      </c>
      <c r="Y59" s="859" t="n">
        <f aca="false">Breakout!$F$49/12</f>
        <v>451672.023255442</v>
      </c>
      <c r="Z59" s="860" t="n">
        <f aca="false">Breakout!$F$50/12</f>
        <v>412767.281058109</v>
      </c>
      <c r="AA59" s="860" t="n">
        <v>433583.343202491</v>
      </c>
      <c r="AB59" s="859" t="n">
        <f aca="false">Breakout!$F$60/12</f>
        <v>415572.492174059</v>
      </c>
      <c r="AC59" s="860" t="n">
        <f aca="false">Breakout!$F$61/12</f>
        <v>408932.815567494</v>
      </c>
      <c r="AD59" s="860" t="n">
        <v>421683.50469432</v>
      </c>
      <c r="AE59" s="859" t="n">
        <f aca="false">Breakout!$F$71/12</f>
        <v>315302.767687178</v>
      </c>
      <c r="AF59" s="860" t="n">
        <f aca="false">Breakout!$F$72/12</f>
        <v>316520.666666667</v>
      </c>
      <c r="AG59" s="860" t="n">
        <v>316520.666666667</v>
      </c>
      <c r="AH59" s="859" t="n">
        <f aca="false">Breakout!$F$82/12</f>
        <v>20753.1714416211</v>
      </c>
      <c r="AI59" s="860" t="n">
        <f aca="false">Breakout!$F$83/12</f>
        <v>0</v>
      </c>
      <c r="AJ59" s="860" t="n">
        <v>0</v>
      </c>
      <c r="AK59" s="862" t="n">
        <f aca="false">Breakout!$F$91/12</f>
        <v>279042.034428683</v>
      </c>
      <c r="AL59" s="862" t="n">
        <v>279042.034428683</v>
      </c>
      <c r="AM59" s="862" t="n">
        <f aca="false">(Breakout!$F$107/12)*-1</f>
        <v>55221.25</v>
      </c>
      <c r="AN59" s="862" t="n">
        <v>55221.25</v>
      </c>
      <c r="AO59" s="863" t="n">
        <f aca="false">(P59+S59+V59)+Y59+AB59+AE59+AH59</f>
        <v>4870551.87366429</v>
      </c>
      <c r="AP59" s="863" t="n">
        <f aca="false">Q59+T59+W59+AA59+AD59+AG59+AJ59+AL59+AN59</f>
        <v>4966851.29176823</v>
      </c>
      <c r="AQ59" s="775" t="n">
        <f aca="false">P59+S59+V59+Y59+AB59+AE59+AH59-Q59-T59-W59-Z59-AC59-AF59-AI59-AK59-AM59-DH59-DL59-CN59</f>
        <v>177775.489491351</v>
      </c>
      <c r="AR59" s="861" t="n">
        <f aca="false">SUM(AQ48:AQ59)</f>
        <v>2133305.87389621</v>
      </c>
      <c r="AS59" s="776" t="n">
        <f aca="false">P59+S59+V59+Y59+AB59+AE59+AH59-R59-U59-X59-AA59-AD59-AG59-AJ59-AL59-AN59-O59-L59-CN59</f>
        <v>43931.215639552</v>
      </c>
      <c r="AT59" s="861" t="n">
        <f aca="false">SUM(AS48:AS59)</f>
        <v>527174.587674624</v>
      </c>
      <c r="AU59" s="860" t="n">
        <f aca="false">'wholesale services'!$G$110/12</f>
        <v>39106610.7060185</v>
      </c>
      <c r="AV59" s="860" t="n">
        <f aca="false">'wholesale services'!$G$113/12</f>
        <v>17613.2558333333</v>
      </c>
      <c r="AW59" s="861"/>
      <c r="AX59" s="851" t="n">
        <f aca="false">IF(A59&lt;$AX$6,0,-$R$5/12)</f>
        <v>-715341.083333333</v>
      </c>
      <c r="AY59" s="417" t="n">
        <f aca="false">IF(A59&lt;$AX$6,0,-$S$5/12)</f>
        <v>-705333.333333333</v>
      </c>
      <c r="AZ59" s="861"/>
      <c r="BA59" s="772" t="n">
        <f aca="false">P59-IF($BL$4="mid",Q59,R59)-$BL$9*(IF($BL$4="mid",N59,O59)+IF($BL$4="mid",DL59,L59))</f>
        <v>459701.327611538</v>
      </c>
      <c r="BB59" s="772" t="n">
        <f aca="false">S59-IF($BL$4="mid",T59,U59)-$BM$9*(IF($BL$4="mid",N59,O59)+IF($BL$4="mid",DL59,L59))</f>
        <v>-11490.3497208658</v>
      </c>
      <c r="BC59" s="772" t="n">
        <f aca="false">V59-IF($BL$4="mid",W59,X59)-$BN$9*(IF($BL$4="mid",N59,O59)+IF($BL$4="mid",DL59,L59))</f>
        <v>-1251.89523666962</v>
      </c>
      <c r="BD59" s="772" t="n">
        <f aca="false">Y59-IF($BL$4="mid",Z59,AA59)</f>
        <v>38904.7421973334</v>
      </c>
      <c r="BE59" s="772" t="n">
        <f aca="false">AB59-IF($BL$4="mid",AC59,AD59)</f>
        <v>6639.67660656455</v>
      </c>
      <c r="BF59" s="772" t="n">
        <f aca="false">AE59-IF($BL$4="mid",AF59,AG59)</f>
        <v>-1217.89897948853</v>
      </c>
      <c r="BG59" s="772" t="n">
        <f aca="false">AH59-IF($BL$4="mid",AI59,AJ59)</f>
        <v>20753.1714416211</v>
      </c>
      <c r="BH59" s="772" t="n">
        <f aca="false">-IF($BL$4="mid",AK59,AL59)</f>
        <v>-279042.034428683</v>
      </c>
      <c r="BI59" s="772" t="n">
        <f aca="false">-IF($BL$4="mid",AM59,AN59)</f>
        <v>-55221.25</v>
      </c>
      <c r="BJ59" s="861"/>
      <c r="BK59" s="431"/>
      <c r="BL59" s="772" t="n">
        <f aca="false">BW59-IF($BL$4="mid",Q59,R59)-$BL$9*(IF($BL$4="mid",N59,O59)+IF($BL$4="mid",DL59,L59))</f>
        <v>605258.589626078</v>
      </c>
      <c r="BM59" s="772" t="n">
        <f aca="false">BX59-IF($BL$4="mid",T59,U59)-$BM$9*(IF($BL$4="mid",N59,O59)+IF($BL$4="mid",DL59,L59))</f>
        <v>-6333.39644252126</v>
      </c>
      <c r="BN59" s="772" t="n">
        <f aca="false">BY59-IF($BL$4="mid",W59,X59)-$BN$9*(IF($BL$4="mid",N59,O59)+IF($BL$4="mid",DL59,L59))</f>
        <v>1343.93319684434</v>
      </c>
      <c r="BO59" s="772" t="n">
        <f aca="false">BZ59-IF($BL$4="mid",Z59,AA59)</f>
        <v>57786.9647999396</v>
      </c>
      <c r="BP59" s="772" t="n">
        <f aca="false">CA59-IF($BL$4="mid",AC59,AD59)</f>
        <v>24012.7524242639</v>
      </c>
      <c r="BQ59" s="772" t="n">
        <f aca="false">CB59-IF($BL$4="mid",AF59,AG59)</f>
        <v>11963.384651444</v>
      </c>
      <c r="BR59" s="772" t="n">
        <f aca="false">CC59-IF($BL$4="mid",AI59,AJ59)</f>
        <v>21620.7611587047</v>
      </c>
      <c r="BS59" s="772" t="n">
        <f aca="false">-IF($BL$4="mid",AK59,AL59)</f>
        <v>-279042.034428683</v>
      </c>
      <c r="BT59" s="772" t="n">
        <f aca="false">-IF($BL$4="mid",AM59,AN59)</f>
        <v>-55221.25</v>
      </c>
      <c r="BU59" s="861"/>
      <c r="BV59" s="861"/>
      <c r="BW59" s="859" t="n">
        <f aca="false">Breakout!$F$15/12</f>
        <v>3627358.3411182</v>
      </c>
      <c r="BX59" s="859" t="n">
        <f aca="false">Breakout!$F$26/12</f>
        <v>128513.804327341</v>
      </c>
      <c r="BY59" s="859" t="n">
        <f aca="false">Breakout!$F$37/12</f>
        <v>64689.3173868444</v>
      </c>
      <c r="BZ59" s="859" t="n">
        <f aca="false">Breakout!$F$48/12</f>
        <v>470554.245858048</v>
      </c>
      <c r="CA59" s="859" t="n">
        <f aca="false">Breakout!$F$59/12</f>
        <v>432945.567991758</v>
      </c>
      <c r="CB59" s="859" t="n">
        <f aca="false">Breakout!$F$70/12</f>
        <v>328484.051318111</v>
      </c>
      <c r="CC59" s="859" t="n">
        <f aca="false">Breakout!$F$81/12</f>
        <v>21620.7611587047</v>
      </c>
      <c r="CD59" s="861"/>
      <c r="CE59" s="864" t="n">
        <f aca="false">P59/0.96</f>
        <v>3626876.12406631</v>
      </c>
      <c r="CF59" s="864" t="n">
        <f aca="false">S59/0.96</f>
        <v>128496.719842704</v>
      </c>
      <c r="CG59" s="864" t="n">
        <f aca="false">V59/0.96</f>
        <v>64680.7176597192</v>
      </c>
      <c r="CH59" s="861"/>
      <c r="CI59" s="864" t="n">
        <f aca="false">N59</f>
        <v>-715341.083333333</v>
      </c>
      <c r="CJ59" s="864" t="n">
        <f aca="false">O59</f>
        <v>-705333.333333333</v>
      </c>
      <c r="CK59" s="861"/>
      <c r="CL59" s="861" t="n">
        <f aca="false">'account mgt'!$F$23/12</f>
        <v>-52264.494</v>
      </c>
      <c r="CM59" s="861"/>
      <c r="CN59" s="772" t="n">
        <v>0</v>
      </c>
      <c r="CO59" s="861"/>
      <c r="CP59" s="861"/>
      <c r="CQ59" s="431"/>
      <c r="CR59" s="431"/>
      <c r="CS59" s="431"/>
      <c r="CT59" s="772" t="n">
        <f aca="false">CW58</f>
        <v>17196233.0543461</v>
      </c>
      <c r="CU59" s="772" t="n">
        <f aca="false">IF(CT59&lt;0.1,0,CT59*$L$3)</f>
        <v>135706.939187214</v>
      </c>
      <c r="CV59" s="772" t="n">
        <f aca="false">IF(CT59&lt;0.1,0,PPMT($L$3,A59-14,unwinds!$B$8*12,$K$5))</f>
        <v>631851.938315382</v>
      </c>
      <c r="CW59" s="772" t="n">
        <f aca="false">IF(CT59-CV59&lt;0,0,CT59-CV59)</f>
        <v>16564381.1160307</v>
      </c>
      <c r="CX59" s="772" t="n">
        <f aca="false">IF(CX58-CV59&lt;0,0,CX58-CV59)</f>
        <v>16564381.1160307</v>
      </c>
      <c r="CY59" s="861" t="n">
        <f aca="false">CX59</f>
        <v>16564381.1160307</v>
      </c>
      <c r="DA59" s="772" t="n">
        <f aca="false">DD58</f>
        <v>27409790.6515914</v>
      </c>
      <c r="DB59" s="772" t="n">
        <f aca="false">DA59*$L$3</f>
        <v>216308.931225475</v>
      </c>
      <c r="DC59" s="772" t="n">
        <f aca="false">PPMT($L$3,A59-14,106,$K$5)</f>
        <v>279089.140446139</v>
      </c>
      <c r="DD59" s="772" t="n">
        <f aca="false">DA59-DC59</f>
        <v>27130701.5111452</v>
      </c>
      <c r="DE59" s="772" t="n">
        <f aca="false">DE58-DC59</f>
        <v>27130701.5111452</v>
      </c>
      <c r="DF59" s="861" t="n">
        <f aca="false">DE59</f>
        <v>27130701.5111452</v>
      </c>
      <c r="DG59" s="861"/>
      <c r="DH59" s="417" t="n">
        <v>-715341.083333333</v>
      </c>
      <c r="DI59" s="417" t="n">
        <v>-705333.333333333</v>
      </c>
      <c r="DJ59" s="417"/>
      <c r="DK59" s="861"/>
      <c r="DL59" s="417" t="n">
        <f aca="false">PMT($J$3,106,$I$5,,1)</f>
        <v>474832.92700925</v>
      </c>
      <c r="DM59" s="861"/>
      <c r="DN59" s="417" t="n">
        <f aca="false">IF($BL$4="mid",DH59,DI59)</f>
        <v>-715341.083333333</v>
      </c>
      <c r="DO59" s="417" t="n">
        <f aca="false">IF($BL$4="mid",DL59,L59)</f>
        <v>474832.92700925</v>
      </c>
      <c r="DP59" s="861"/>
      <c r="DQ59" s="772" t="n">
        <f aca="false">BW59-IF($BL$4="mid",Q59,R59)</f>
        <v>376775.841118198</v>
      </c>
      <c r="DR59" s="772" t="n">
        <f aca="false">BX59-IF($BL$4="mid",T59,U59)</f>
        <v>-18358.8042587254</v>
      </c>
      <c r="DS59" s="861"/>
      <c r="DT59" s="861"/>
      <c r="DU59" s="861"/>
      <c r="DV59" s="861"/>
      <c r="DW59" s="861"/>
      <c r="DX59" s="861"/>
    </row>
    <row r="60" customFormat="false" ht="12.75" hidden="false" customHeight="false" outlineLevel="0" collapsed="false">
      <c r="A60" s="866" t="n">
        <v>49</v>
      </c>
      <c r="B60" s="867" t="n">
        <v>37987</v>
      </c>
      <c r="C60" s="417" t="n">
        <v>0</v>
      </c>
      <c r="D60" s="417" t="n">
        <v>0</v>
      </c>
      <c r="E60" s="417" t="n">
        <v>0</v>
      </c>
      <c r="F60" s="417" t="n">
        <v>212430.025805142</v>
      </c>
      <c r="G60" s="417" t="n">
        <v>279089.140446142</v>
      </c>
      <c r="H60" s="417" t="n">
        <v>0</v>
      </c>
      <c r="I60" s="417" t="n">
        <v>491519.166251284</v>
      </c>
      <c r="J60" s="417"/>
      <c r="K60" s="417"/>
      <c r="L60" s="417" t="n">
        <f aca="false">PMT($L$3,106,$K$5,,1)</f>
        <v>491519.166251281</v>
      </c>
      <c r="M60" s="417"/>
      <c r="N60" s="850" t="n">
        <f aca="false">IF(A60&lt;$B$8,0,-$R$5/12)</f>
        <v>-715341.083333333</v>
      </c>
      <c r="O60" s="850" t="n">
        <f aca="false">IF(A60&lt;$B$8,0,-$S$5/12)</f>
        <v>-705333.333333333</v>
      </c>
      <c r="P60" s="868" t="n">
        <f aca="false">Breakout!$G$16/12</f>
        <v>3517801.02198862</v>
      </c>
      <c r="Q60" s="770" t="n">
        <f aca="false">'wholesale services'!$D$110*'wholesale services'!$H$111/12</f>
        <v>3250582.5</v>
      </c>
      <c r="R60" s="770" t="n">
        <v>3320487.5</v>
      </c>
      <c r="S60" s="868" t="n">
        <f aca="false">Breakout!$G$27/12</f>
        <v>124632.294272586</v>
      </c>
      <c r="T60" s="770" t="n">
        <f aca="false">'wholesale services'!$D$113*'wholesale services'!$H$114/12</f>
        <v>149885.893634305</v>
      </c>
      <c r="U60" s="770" t="n">
        <v>152944.78942276</v>
      </c>
      <c r="V60" s="868" t="n">
        <f aca="false">Breakout!$G$38/12</f>
        <v>62735.5020968335</v>
      </c>
      <c r="W60" s="869" t="n">
        <f aca="false">Breakout!$G$39/12</f>
        <v>65245.7457157</v>
      </c>
      <c r="X60" s="869" t="n">
        <v>65947.3128739333</v>
      </c>
      <c r="Y60" s="868" t="n">
        <f aca="false">Breakout!$G$49/12</f>
        <v>456342.068059988</v>
      </c>
      <c r="Z60" s="870" t="n">
        <f aca="false">Breakout!$G$50/12</f>
        <v>420774.966310636</v>
      </c>
      <c r="AA60" s="870" t="n">
        <v>441994.860060619</v>
      </c>
      <c r="AB60" s="868" t="n">
        <f aca="false">Breakout!$G$60/12</f>
        <v>419869.287322011</v>
      </c>
      <c r="AC60" s="870" t="n">
        <f aca="false">Breakout!$G$61/12</f>
        <v>416866.112189503</v>
      </c>
      <c r="AD60" s="870" t="n">
        <v>429864.16468539</v>
      </c>
      <c r="AE60" s="868" t="n">
        <f aca="false">Breakout!$G$71/12</f>
        <v>318562.828032478</v>
      </c>
      <c r="AF60" s="870" t="n">
        <f aca="false">Breakout!$G$72/12</f>
        <v>316520.666666667</v>
      </c>
      <c r="AG60" s="870" t="n">
        <v>316520.666666667</v>
      </c>
      <c r="AH60" s="868" t="n">
        <f aca="false">Breakout!$G$82/12</f>
        <v>20967.7480270166</v>
      </c>
      <c r="AI60" s="870" t="n">
        <f aca="false">Breakout!$G$83/12</f>
        <v>0</v>
      </c>
      <c r="AJ60" s="870" t="n">
        <v>0</v>
      </c>
      <c r="AK60" s="871" t="n">
        <f aca="false">Breakout!$G$91/12</f>
        <v>281927.178373932</v>
      </c>
      <c r="AL60" s="871" t="n">
        <v>281927.178373932</v>
      </c>
      <c r="AM60" s="773" t="n">
        <f aca="false">(Breakout!$G$107/12)*-1</f>
        <v>55221.25</v>
      </c>
      <c r="AN60" s="773" t="n">
        <v>55221.25</v>
      </c>
      <c r="AO60" s="774" t="n">
        <f aca="false">(P60+S60+V60)+Y60+AB60+AE60+AH60</f>
        <v>4920910.74979954</v>
      </c>
      <c r="AP60" s="774" t="n">
        <f aca="false">Q60+T60+W60+AA60+AD60+AG60+AJ60+AL60+AN60</f>
        <v>4991242.25913661</v>
      </c>
      <c r="AQ60" s="775" t="n">
        <f aca="false">P60+S60+V60+Y60+AB60+AE60+AH60-Q60-T60-W60-Z60-AC60-AF60-AI60-AK60-AM60-DH60-DL60-CN60</f>
        <v>204394.593232877</v>
      </c>
      <c r="AR60" s="869"/>
      <c r="AS60" s="776" t="n">
        <f aca="false">P60+S60+V60+Y60+AB60+AE60+AH60-R60-U60-X60-AA60-AD60-AG60-AJ60-AL60-AN60-O60-L60-CN60</f>
        <v>69817.1947982875</v>
      </c>
      <c r="AT60" s="869"/>
      <c r="AU60" s="770" t="n">
        <f aca="false">'wholesale services'!$H$110/12</f>
        <v>39106610.7060185</v>
      </c>
      <c r="AV60" s="770" t="n">
        <f aca="false">'wholesale services'!$H$113/12</f>
        <v>17613.2558333333</v>
      </c>
      <c r="AW60" s="869"/>
      <c r="AX60" s="851" t="n">
        <f aca="false">IF(A60&lt;$AX$6,0,-$R$5/12)</f>
        <v>-715341.083333333</v>
      </c>
      <c r="AY60" s="417" t="n">
        <f aca="false">IF(A60&lt;$AX$6,0,-$S$5/12)</f>
        <v>-705333.333333333</v>
      </c>
      <c r="AZ60" s="431"/>
      <c r="BA60" s="772" t="n">
        <f aca="false">P60-IF($BL$4="mid",Q60,R60)-$BL$9*(IF($BL$4="mid",N60,O60)+IF($BL$4="mid",DL60,L60))</f>
        <v>495701.270496501</v>
      </c>
      <c r="BB60" s="772" t="n">
        <f aca="false">S60-IF($BL$4="mid",T60,U60)-$BM$9*(IF($BL$4="mid",N60,O60)+IF($BL$4="mid",DL60,L60))</f>
        <v>-13228.1915455144</v>
      </c>
      <c r="BC60" s="772" t="n">
        <f aca="false">V60-IF($BL$4="mid",W60,X60)-$BN$9*(IF($BL$4="mid",N60,O60)+IF($BL$4="mid",DL60,L60))</f>
        <v>-2510.24361886648</v>
      </c>
      <c r="BD60" s="772" t="n">
        <f aca="false">Y60-IF($BL$4="mid",Z60,AA60)</f>
        <v>35567.1017493524</v>
      </c>
      <c r="BE60" s="772" t="n">
        <f aca="false">AB60-IF($BL$4="mid",AC60,AD60)</f>
        <v>3003.17513250746</v>
      </c>
      <c r="BF60" s="772" t="n">
        <f aca="false">AE60-IF($BL$4="mid",AF60,AG60)</f>
        <v>2042.1613658116</v>
      </c>
      <c r="BG60" s="772" t="n">
        <f aca="false">AH60-IF($BL$4="mid",AI60,AJ60)</f>
        <v>20967.7480270166</v>
      </c>
      <c r="BH60" s="772" t="n">
        <f aca="false">-IF($BL$4="mid",AK60,AL60)</f>
        <v>-281927.178373932</v>
      </c>
      <c r="BI60" s="772" t="n">
        <f aca="false">-IF($BL$4="mid",AM60,AN60)</f>
        <v>-55221.25</v>
      </c>
      <c r="BJ60" s="869"/>
      <c r="BK60" s="431"/>
      <c r="BL60" s="772" t="n">
        <f aca="false">BW60-IF($BL$4="mid",Q60,R60)-$BL$9*(IF($BL$4="mid",N60,O60)+IF($BL$4="mid",DL60,L60))</f>
        <v>642932.441024207</v>
      </c>
      <c r="BM60" s="772" t="n">
        <f aca="false">BX60-IF($BL$4="mid",T60,U60)-$BM$9*(IF($BL$4="mid",N60,O60)+IF($BL$4="mid",DL60,L60))</f>
        <v>-8011.93330446887</v>
      </c>
      <c r="BN60" s="772" t="n">
        <f aca="false">BY60-IF($BL$4="mid",W60,X60)-$BN$9*(IF($BL$4="mid",N60,O60)+IF($BL$4="mid",DL60,L60))</f>
        <v>115.436841632887</v>
      </c>
      <c r="BO60" s="772" t="n">
        <f aca="false">BZ60-IF($BL$4="mid",Z60,AA60)</f>
        <v>54666.4699118884</v>
      </c>
      <c r="BP60" s="772" t="n">
        <f aca="false">CA60-IF($BL$4="mid",AC60,AD60)</f>
        <v>20576.0413221103</v>
      </c>
      <c r="BQ60" s="772" t="n">
        <f aca="false">CB60-IF($BL$4="mid",AF60,AG60)</f>
        <v>15375.0297584998</v>
      </c>
      <c r="BR60" s="772" t="n">
        <f aca="false">CC60-IF($BL$4="mid",AI60,AJ60)</f>
        <v>21845.3150258466</v>
      </c>
      <c r="BS60" s="772" t="n">
        <f aca="false">-IF($BL$4="mid",AK60,AL60)</f>
        <v>-281927.178373932</v>
      </c>
      <c r="BT60" s="772" t="n">
        <f aca="false">-IF($BL$4="mid",AM60,AN60)</f>
        <v>-55221.25</v>
      </c>
      <c r="BU60" s="869"/>
      <c r="BV60" s="869"/>
      <c r="BW60" s="868" t="n">
        <f aca="false">Breakout!$G$15/12</f>
        <v>3665032.19251633</v>
      </c>
      <c r="BX60" s="868" t="n">
        <f aca="false">Breakout!$G$26/12</f>
        <v>129848.552513632</v>
      </c>
      <c r="BY60" s="868" t="n">
        <f aca="false">Breakout!$G$37/12</f>
        <v>65361.1825573329</v>
      </c>
      <c r="BZ60" s="868" t="n">
        <f aca="false">Breakout!$G$48/12</f>
        <v>475441.436222524</v>
      </c>
      <c r="CA60" s="868" t="n">
        <f aca="false">Breakout!$G$59/12</f>
        <v>437442.153511614</v>
      </c>
      <c r="CB60" s="868" t="n">
        <f aca="false">Breakout!$G$70/12</f>
        <v>331895.696425167</v>
      </c>
      <c r="CC60" s="868" t="n">
        <f aca="false">Breakout!$G$81/12</f>
        <v>21845.3150258466</v>
      </c>
      <c r="CD60" s="869"/>
      <c r="CE60" s="852" t="n">
        <f aca="false">P60/0.96</f>
        <v>3664376.06457148</v>
      </c>
      <c r="CF60" s="852" t="n">
        <f aca="false">S60/0.96</f>
        <v>129825.306533944</v>
      </c>
      <c r="CG60" s="852" t="n">
        <f aca="false">V60/0.96</f>
        <v>65349.4813508683</v>
      </c>
      <c r="CH60" s="869"/>
      <c r="CI60" s="852" t="n">
        <f aca="false">N60</f>
        <v>-715341.083333333</v>
      </c>
      <c r="CJ60" s="852" t="n">
        <f aca="false">O60</f>
        <v>-705333.333333333</v>
      </c>
      <c r="CK60" s="869"/>
      <c r="CL60" s="772" t="n">
        <f aca="false">'account mgt'!$G$23/12</f>
        <v>-53309.78388</v>
      </c>
      <c r="CM60" s="869"/>
      <c r="CN60" s="772" t="n">
        <v>0</v>
      </c>
      <c r="CO60" s="869"/>
      <c r="CP60" s="869"/>
      <c r="CQ60" s="431"/>
      <c r="CR60" s="431"/>
      <c r="CS60" s="431"/>
      <c r="CT60" s="772" t="n">
        <f aca="false">CW59</f>
        <v>16564381.1160307</v>
      </c>
      <c r="CU60" s="772" t="n">
        <f aca="false">IF(CT60&lt;0.1,0,CT60*$L$3)</f>
        <v>130720.574307342</v>
      </c>
      <c r="CV60" s="772" t="n">
        <f aca="false">IF(CT60&lt;0.1,0,PPMT($L$3,A60-14,unwinds!$B$8*12,$K$5))</f>
        <v>636838.303195254</v>
      </c>
      <c r="CW60" s="772" t="n">
        <f aca="false">IF(CT60-CV60&lt;0,0,CT60-CV60)</f>
        <v>15927542.8128354</v>
      </c>
      <c r="CX60" s="772" t="n">
        <f aca="false">IF(CX59-CV60&lt;0,0,CX59-CV60)</f>
        <v>15927542.8128354</v>
      </c>
      <c r="CY60" s="869"/>
      <c r="DA60" s="772" t="n">
        <f aca="false">DD59</f>
        <v>27130701.5111452</v>
      </c>
      <c r="DB60" s="772" t="n">
        <f aca="false">DA60*$L$3</f>
        <v>214106.452758788</v>
      </c>
      <c r="DC60" s="772" t="n">
        <f aca="false">PPMT($L$3,A60-14,106,$K$5)</f>
        <v>281291.618912826</v>
      </c>
      <c r="DD60" s="772" t="n">
        <f aca="false">DA60-DC60</f>
        <v>26849409.8922324</v>
      </c>
      <c r="DE60" s="772" t="n">
        <f aca="false">DE59-DC60</f>
        <v>26849409.8922324</v>
      </c>
      <c r="DF60" s="869"/>
      <c r="DG60" s="869"/>
      <c r="DH60" s="417" t="n">
        <v>-715341.083333333</v>
      </c>
      <c r="DI60" s="417" t="n">
        <v>-705333.333333333</v>
      </c>
      <c r="DJ60" s="417"/>
      <c r="DK60" s="869"/>
      <c r="DL60" s="417" t="n">
        <f aca="false">PMT($J$3,106,$I$5,,1)</f>
        <v>474832.92700925</v>
      </c>
      <c r="DM60" s="869"/>
      <c r="DN60" s="417" t="n">
        <f aca="false">IF($BL$4="mid",DH60,DI60)</f>
        <v>-715341.083333333</v>
      </c>
      <c r="DO60" s="417" t="n">
        <f aca="false">IF($BL$4="mid",DL60,L60)</f>
        <v>474832.92700925</v>
      </c>
      <c r="DP60" s="869"/>
      <c r="DQ60" s="772" t="n">
        <f aca="false">BW60-IF($BL$4="mid",Q60,R60)</f>
        <v>414449.692516328</v>
      </c>
      <c r="DR60" s="772" t="n">
        <f aca="false">BX60-IF($BL$4="mid",T60,U60)</f>
        <v>-20037.341120673</v>
      </c>
      <c r="DS60" s="869"/>
      <c r="DT60" s="869"/>
      <c r="DU60" s="869"/>
      <c r="DV60" s="869"/>
      <c r="DW60" s="869"/>
      <c r="DX60" s="869"/>
    </row>
    <row r="61" customFormat="false" ht="12.75" hidden="false" customHeight="false" outlineLevel="0" collapsed="false">
      <c r="A61" s="767" t="n">
        <v>50</v>
      </c>
      <c r="B61" s="854" t="n">
        <v>38018</v>
      </c>
      <c r="C61" s="417" t="n">
        <v>0</v>
      </c>
      <c r="D61" s="417" t="n">
        <v>0</v>
      </c>
      <c r="E61" s="417" t="n">
        <v>0</v>
      </c>
      <c r="F61" s="417" t="n">
        <v>210227.547338454</v>
      </c>
      <c r="G61" s="417" t="n">
        <v>281291.618912829</v>
      </c>
      <c r="H61" s="417" t="n">
        <v>0</v>
      </c>
      <c r="I61" s="417" t="n">
        <v>491519.166251284</v>
      </c>
      <c r="J61" s="417"/>
      <c r="K61" s="417"/>
      <c r="L61" s="417" t="n">
        <f aca="false">PMT($L$3,106,$K$5,,1)</f>
        <v>491519.166251281</v>
      </c>
      <c r="M61" s="417"/>
      <c r="N61" s="850" t="n">
        <f aca="false">IF(A61&lt;$B$8,0,-$R$5/12)</f>
        <v>-715341.083333333</v>
      </c>
      <c r="O61" s="850" t="n">
        <f aca="false">IF(A61&lt;$B$8,0,-$S$5/12)</f>
        <v>-705333.333333333</v>
      </c>
      <c r="P61" s="872" t="n">
        <f aca="false">Breakout!$G$16/12</f>
        <v>3517801.02198862</v>
      </c>
      <c r="Q61" s="770" t="n">
        <f aca="false">'wholesale services'!$D$110*'wholesale services'!$H$111/12</f>
        <v>3250582.5</v>
      </c>
      <c r="R61" s="770" t="n">
        <v>3320487.5</v>
      </c>
      <c r="S61" s="872" t="n">
        <f aca="false">Breakout!$G$27/12</f>
        <v>124632.294272586</v>
      </c>
      <c r="T61" s="770" t="n">
        <f aca="false">'wholesale services'!$D$113*'wholesale services'!$H$114/12</f>
        <v>149885.893634305</v>
      </c>
      <c r="U61" s="770" t="n">
        <v>152944.78942276</v>
      </c>
      <c r="V61" s="872" t="n">
        <f aca="false">Breakout!$G$38/12</f>
        <v>62735.5020968335</v>
      </c>
      <c r="W61" s="431" t="n">
        <f aca="false">Breakout!$G$39/12</f>
        <v>65245.7457157</v>
      </c>
      <c r="X61" s="431" t="n">
        <v>65947.3128739333</v>
      </c>
      <c r="Y61" s="872" t="n">
        <f aca="false">Breakout!$G$49/12</f>
        <v>456342.068059988</v>
      </c>
      <c r="Z61" s="873" t="n">
        <f aca="false">Breakout!$G$50/12</f>
        <v>420774.966310636</v>
      </c>
      <c r="AA61" s="873" t="n">
        <v>441994.860060619</v>
      </c>
      <c r="AB61" s="872" t="n">
        <f aca="false">Breakout!$G$60/12</f>
        <v>419869.287322011</v>
      </c>
      <c r="AC61" s="873" t="n">
        <f aca="false">Breakout!$G$61/12</f>
        <v>416866.112189503</v>
      </c>
      <c r="AD61" s="873" t="n">
        <v>429864.16468539</v>
      </c>
      <c r="AE61" s="872" t="n">
        <f aca="false">Breakout!$G$71/12</f>
        <v>318562.828032478</v>
      </c>
      <c r="AF61" s="873" t="n">
        <f aca="false">Breakout!$G$72/12</f>
        <v>316520.666666667</v>
      </c>
      <c r="AG61" s="873" t="n">
        <v>316520.666666667</v>
      </c>
      <c r="AH61" s="872" t="n">
        <f aca="false">Breakout!$G$82/12</f>
        <v>20967.7480270166</v>
      </c>
      <c r="AI61" s="873" t="n">
        <f aca="false">Breakout!$G$83/12</f>
        <v>0</v>
      </c>
      <c r="AJ61" s="873" t="n">
        <v>0</v>
      </c>
      <c r="AK61" s="874" t="n">
        <f aca="false">Breakout!$G$91/12</f>
        <v>281927.178373932</v>
      </c>
      <c r="AL61" s="874" t="n">
        <v>281927.178373932</v>
      </c>
      <c r="AM61" s="773" t="n">
        <f aca="false">(Breakout!$G$107/12)*-1</f>
        <v>55221.25</v>
      </c>
      <c r="AN61" s="773" t="n">
        <v>55221.25</v>
      </c>
      <c r="AO61" s="774" t="n">
        <f aca="false">(P61+S61+V61)+Y61+AB61+AE61+AH61</f>
        <v>4920910.74979954</v>
      </c>
      <c r="AP61" s="774" t="n">
        <f aca="false">Q61+T61+W61+AA61+AD61+AG61+AJ61+AL61+AN61</f>
        <v>4991242.25913661</v>
      </c>
      <c r="AQ61" s="775" t="n">
        <f aca="false">P61+S61+V61+Y61+AB61+AE61+AH61-Q61-T61-W61-Z61-AC61-AF61-AI61-AK61-AM61-DH61-DL61-CN61</f>
        <v>204394.593232877</v>
      </c>
      <c r="AR61" s="431"/>
      <c r="AS61" s="776" t="n">
        <f aca="false">P61+S61+V61+Y61+AB61+AE61+AH61-R61-U61-X61-AA61-AD61-AG61-AJ61-AL61-AN61-O61-L61-CN61</f>
        <v>69817.1947982875</v>
      </c>
      <c r="AT61" s="431"/>
      <c r="AU61" s="770" t="n">
        <f aca="false">'wholesale services'!$H$110/12</f>
        <v>39106610.7060185</v>
      </c>
      <c r="AV61" s="770" t="n">
        <f aca="false">'wholesale services'!$H$113/12</f>
        <v>17613.2558333333</v>
      </c>
      <c r="AW61" s="431"/>
      <c r="AX61" s="851" t="n">
        <f aca="false">IF(A61&lt;$AX$6,0,-$R$5/12)</f>
        <v>-715341.083333333</v>
      </c>
      <c r="AY61" s="417" t="n">
        <f aca="false">IF(A61&lt;$AX$6,0,-$S$5/12)</f>
        <v>-705333.333333333</v>
      </c>
      <c r="AZ61" s="431"/>
      <c r="BA61" s="772" t="n">
        <f aca="false">P61-IF($BL$4="mid",Q61,R61)-$BL$9*(IF($BL$4="mid",N61,O61)+IF($BL$4="mid",DL61,L61))</f>
        <v>495701.270496501</v>
      </c>
      <c r="BB61" s="772" t="n">
        <f aca="false">S61-IF($BL$4="mid",T61,U61)-$BM$9*(IF($BL$4="mid",N61,O61)+IF($BL$4="mid",DL61,L61))</f>
        <v>-13228.1915455144</v>
      </c>
      <c r="BC61" s="772" t="n">
        <f aca="false">V61-IF($BL$4="mid",W61,X61)-$BN$9*(IF($BL$4="mid",N61,O61)+IF($BL$4="mid",DL61,L61))</f>
        <v>-2510.24361886648</v>
      </c>
      <c r="BD61" s="772" t="n">
        <f aca="false">Y61-IF($BL$4="mid",Z61,AA61)</f>
        <v>35567.1017493524</v>
      </c>
      <c r="BE61" s="772" t="n">
        <f aca="false">AB61-IF($BL$4="mid",AC61,AD61)</f>
        <v>3003.17513250746</v>
      </c>
      <c r="BF61" s="772" t="n">
        <f aca="false">AE61-IF($BL$4="mid",AF61,AG61)</f>
        <v>2042.1613658116</v>
      </c>
      <c r="BG61" s="772" t="n">
        <f aca="false">AH61-IF($BL$4="mid",AI61,AJ61)</f>
        <v>20967.7480270166</v>
      </c>
      <c r="BH61" s="772" t="n">
        <f aca="false">-IF($BL$4="mid",AK61,AL61)</f>
        <v>-281927.178373932</v>
      </c>
      <c r="BI61" s="772" t="n">
        <f aca="false">-IF($BL$4="mid",AM61,AN61)</f>
        <v>-55221.25</v>
      </c>
      <c r="BL61" s="772" t="n">
        <f aca="false">BW61-IF($BL$4="mid",Q61,R61)-$BL$9*(IF($BL$4="mid",N61,O61)+IF($BL$4="mid",DL61,L61))</f>
        <v>642932.441024207</v>
      </c>
      <c r="BM61" s="772" t="n">
        <f aca="false">BX61-IF($BL$4="mid",T61,U61)-$BM$9*(IF($BL$4="mid",N61,O61)+IF($BL$4="mid",DL61,L61))</f>
        <v>-8011.93330446887</v>
      </c>
      <c r="BN61" s="772" t="n">
        <f aca="false">BY61-IF($BL$4="mid",W61,X61)-$BN$9*(IF($BL$4="mid",N61,O61)+IF($BL$4="mid",DL61,L61))</f>
        <v>115.436841632887</v>
      </c>
      <c r="BO61" s="772" t="n">
        <f aca="false">BZ61-IF($BL$4="mid",Z61,AA61)</f>
        <v>54666.4699118884</v>
      </c>
      <c r="BP61" s="772" t="n">
        <f aca="false">CA61-IF($BL$4="mid",AC61,AD61)</f>
        <v>20576.0413221103</v>
      </c>
      <c r="BQ61" s="772" t="n">
        <f aca="false">CB61-IF($BL$4="mid",AF61,AG61)</f>
        <v>15375.0297584998</v>
      </c>
      <c r="BR61" s="772" t="n">
        <f aca="false">CC61-IF($BL$4="mid",AI61,AJ61)</f>
        <v>21845.3150258466</v>
      </c>
      <c r="BS61" s="772" t="n">
        <f aca="false">-IF($BL$4="mid",AK61,AL61)</f>
        <v>-281927.178373932</v>
      </c>
      <c r="BT61" s="772" t="n">
        <f aca="false">-IF($BL$4="mid",AM61,AN61)</f>
        <v>-55221.25</v>
      </c>
      <c r="BW61" s="872" t="n">
        <f aca="false">Breakout!$G$15/12</f>
        <v>3665032.19251633</v>
      </c>
      <c r="BX61" s="872" t="n">
        <f aca="false">Breakout!$G$26/12</f>
        <v>129848.552513632</v>
      </c>
      <c r="BY61" s="872" t="n">
        <f aca="false">Breakout!$G$37/12</f>
        <v>65361.1825573329</v>
      </c>
      <c r="BZ61" s="872" t="n">
        <f aca="false">Breakout!$G$48/12</f>
        <v>475441.436222524</v>
      </c>
      <c r="CA61" s="872" t="n">
        <f aca="false">Breakout!$G$59/12</f>
        <v>437442.153511614</v>
      </c>
      <c r="CB61" s="872" t="n">
        <f aca="false">Breakout!$G$70/12</f>
        <v>331895.696425167</v>
      </c>
      <c r="CC61" s="872" t="n">
        <f aca="false">Breakout!$G$81/12</f>
        <v>21845.3150258466</v>
      </c>
      <c r="CE61" s="852" t="n">
        <f aca="false">P61/0.96</f>
        <v>3664376.06457148</v>
      </c>
      <c r="CF61" s="852" t="n">
        <f aca="false">S61/0.96</f>
        <v>129825.306533944</v>
      </c>
      <c r="CG61" s="852" t="n">
        <f aca="false">V61/0.96</f>
        <v>65349.4813508683</v>
      </c>
      <c r="CI61" s="852" t="n">
        <f aca="false">N61</f>
        <v>-715341.083333333</v>
      </c>
      <c r="CJ61" s="852" t="n">
        <f aca="false">O61</f>
        <v>-705333.333333333</v>
      </c>
      <c r="CL61" s="772" t="n">
        <f aca="false">'account mgt'!$G$23/12</f>
        <v>-53309.78388</v>
      </c>
      <c r="CN61" s="772" t="n">
        <v>0</v>
      </c>
      <c r="CT61" s="772" t="n">
        <f aca="false">CW60</f>
        <v>15927542.8128354</v>
      </c>
      <c r="CU61" s="772" t="n">
        <f aca="false">IF(CT61&lt;0.1,0,CT61*$L$3)</f>
        <v>125694.85869796</v>
      </c>
      <c r="CV61" s="772" t="n">
        <f aca="false">IF(CT61&lt;0.1,0,PPMT($L$3,A61-14,unwinds!$B$8*12,$K$5))</f>
        <v>641864.018804636</v>
      </c>
      <c r="CW61" s="772" t="n">
        <f aca="false">IF(CT61-CV61&lt;0,0,CT61-CV61)</f>
        <v>15285678.7940308</v>
      </c>
      <c r="CX61" s="772" t="n">
        <f aca="false">IF(CX60-CV61&lt;0,0,CX60-CV61)</f>
        <v>15285678.7940308</v>
      </c>
      <c r="DA61" s="772" t="n">
        <f aca="false">DD60</f>
        <v>26849409.8922324</v>
      </c>
      <c r="DB61" s="772" t="n">
        <f aca="false">DA61*$L$3</f>
        <v>211886.593066201</v>
      </c>
      <c r="DC61" s="772" t="n">
        <f aca="false">PPMT($L$3,A61-14,106,$K$5)</f>
        <v>283511.478605413</v>
      </c>
      <c r="DD61" s="772" t="n">
        <f aca="false">DA61-DC61</f>
        <v>26565898.413627</v>
      </c>
      <c r="DE61" s="772" t="n">
        <f aca="false">DE60-DC61</f>
        <v>26565898.413627</v>
      </c>
      <c r="DH61" s="417" t="n">
        <v>-715341.083333333</v>
      </c>
      <c r="DI61" s="417" t="n">
        <v>-705333.333333333</v>
      </c>
      <c r="DJ61" s="417"/>
      <c r="DL61" s="417" t="n">
        <f aca="false">PMT($J$3,106,$I$5,,1)</f>
        <v>474832.92700925</v>
      </c>
      <c r="DN61" s="417" t="n">
        <f aca="false">IF($BL$4="mid",DH61,DI61)</f>
        <v>-715341.083333333</v>
      </c>
      <c r="DO61" s="417" t="n">
        <f aca="false">IF($BL$4="mid",DL61,L61)</f>
        <v>474832.92700925</v>
      </c>
      <c r="DQ61" s="772" t="n">
        <f aca="false">BW61-IF($BL$4="mid",Q61,R61)</f>
        <v>414449.692516328</v>
      </c>
      <c r="DR61" s="772" t="n">
        <f aca="false">BX61-IF($BL$4="mid",T61,U61)</f>
        <v>-20037.341120673</v>
      </c>
      <c r="DS61" s="772"/>
      <c r="DT61" s="772"/>
      <c r="DU61" s="772"/>
      <c r="DV61" s="772"/>
      <c r="DW61" s="772"/>
      <c r="DX61" s="772"/>
    </row>
    <row r="62" customFormat="false" ht="12.75" hidden="false" customHeight="false" outlineLevel="0" collapsed="false">
      <c r="A62" s="767" t="n">
        <v>51</v>
      </c>
      <c r="B62" s="854" t="n">
        <v>38047</v>
      </c>
      <c r="C62" s="417" t="n">
        <v>0</v>
      </c>
      <c r="D62" s="417" t="n">
        <v>0</v>
      </c>
      <c r="E62" s="417" t="n">
        <v>0</v>
      </c>
      <c r="F62" s="417" t="n">
        <v>208007.687645867</v>
      </c>
      <c r="G62" s="417" t="n">
        <v>283511.478605416</v>
      </c>
      <c r="H62" s="417" t="n">
        <v>0</v>
      </c>
      <c r="I62" s="417" t="n">
        <v>491519.166251284</v>
      </c>
      <c r="J62" s="417"/>
      <c r="K62" s="417"/>
      <c r="L62" s="417" t="n">
        <f aca="false">PMT($L$3,106,$K$5,,1)</f>
        <v>491519.166251281</v>
      </c>
      <c r="M62" s="417"/>
      <c r="N62" s="850" t="n">
        <f aca="false">IF(A62&lt;$B$8,0,-$R$5/12)</f>
        <v>-715341.083333333</v>
      </c>
      <c r="O62" s="850" t="n">
        <f aca="false">IF(A62&lt;$B$8,0,-$S$5/12)</f>
        <v>-705333.333333333</v>
      </c>
      <c r="P62" s="872" t="n">
        <f aca="false">Breakout!$G$16/12</f>
        <v>3517801.02198862</v>
      </c>
      <c r="Q62" s="770" t="n">
        <f aca="false">'wholesale services'!$D$110*'wholesale services'!$H$111/12</f>
        <v>3250582.5</v>
      </c>
      <c r="R62" s="770" t="n">
        <v>3320487.5</v>
      </c>
      <c r="S62" s="872" t="n">
        <f aca="false">Breakout!$G$27/12</f>
        <v>124632.294272586</v>
      </c>
      <c r="T62" s="770" t="n">
        <f aca="false">'wholesale services'!$D$113*'wholesale services'!$H$114/12</f>
        <v>149885.893634305</v>
      </c>
      <c r="U62" s="770" t="n">
        <v>152944.78942276</v>
      </c>
      <c r="V62" s="872" t="n">
        <f aca="false">Breakout!$G$38/12</f>
        <v>62735.5020968335</v>
      </c>
      <c r="W62" s="431" t="n">
        <f aca="false">Breakout!$G$39/12</f>
        <v>65245.7457157</v>
      </c>
      <c r="X62" s="431" t="n">
        <v>65947.3128739333</v>
      </c>
      <c r="Y62" s="872" t="n">
        <f aca="false">Breakout!$G$49/12</f>
        <v>456342.068059988</v>
      </c>
      <c r="Z62" s="873" t="n">
        <f aca="false">Breakout!$G$50/12</f>
        <v>420774.966310636</v>
      </c>
      <c r="AA62" s="873" t="n">
        <v>441994.860060619</v>
      </c>
      <c r="AB62" s="872" t="n">
        <f aca="false">Breakout!$G$60/12</f>
        <v>419869.287322011</v>
      </c>
      <c r="AC62" s="873" t="n">
        <f aca="false">Breakout!$G$61/12</f>
        <v>416866.112189503</v>
      </c>
      <c r="AD62" s="873" t="n">
        <v>429864.16468539</v>
      </c>
      <c r="AE62" s="872" t="n">
        <f aca="false">Breakout!$G$71/12</f>
        <v>318562.828032478</v>
      </c>
      <c r="AF62" s="873" t="n">
        <f aca="false">Breakout!$G$72/12</f>
        <v>316520.666666667</v>
      </c>
      <c r="AG62" s="873" t="n">
        <v>316520.666666667</v>
      </c>
      <c r="AH62" s="872" t="n">
        <f aca="false">Breakout!$G$82/12</f>
        <v>20967.7480270166</v>
      </c>
      <c r="AI62" s="873" t="n">
        <f aca="false">Breakout!$G$83/12</f>
        <v>0</v>
      </c>
      <c r="AJ62" s="873" t="n">
        <v>0</v>
      </c>
      <c r="AK62" s="874" t="n">
        <f aca="false">Breakout!$G$91/12</f>
        <v>281927.178373932</v>
      </c>
      <c r="AL62" s="874" t="n">
        <v>281927.178373932</v>
      </c>
      <c r="AM62" s="773" t="n">
        <f aca="false">(Breakout!$G$107/12)*-1</f>
        <v>55221.25</v>
      </c>
      <c r="AN62" s="773" t="n">
        <v>55221.25</v>
      </c>
      <c r="AO62" s="774" t="n">
        <f aca="false">(P62+S62+V62)+Y62+AB62+AE62+AH62</f>
        <v>4920910.74979954</v>
      </c>
      <c r="AP62" s="774" t="n">
        <f aca="false">Q62+T62+W62+AA62+AD62+AG62+AJ62+AL62+AN62</f>
        <v>4991242.25913661</v>
      </c>
      <c r="AQ62" s="775" t="n">
        <f aca="false">P62+S62+V62+Y62+AB62+AE62+AH62-Q62-T62-W62-Z62-AC62-AF62-AI62-AK62-AM62-DH62-DL62-CN62</f>
        <v>204394.593232877</v>
      </c>
      <c r="AR62" s="431"/>
      <c r="AS62" s="776" t="n">
        <f aca="false">P62+S62+V62+Y62+AB62+AE62+AH62-R62-U62-X62-AA62-AD62-AG62-AJ62-AL62-AN62-O62-L62-CN62</f>
        <v>69817.1947982875</v>
      </c>
      <c r="AT62" s="431"/>
      <c r="AU62" s="770" t="n">
        <f aca="false">'wholesale services'!$H$110/12</f>
        <v>39106610.7060185</v>
      </c>
      <c r="AV62" s="770" t="n">
        <f aca="false">'wholesale services'!$H$113/12</f>
        <v>17613.2558333333</v>
      </c>
      <c r="AW62" s="431"/>
      <c r="AX62" s="851" t="n">
        <f aca="false">IF(A62&lt;$AX$6,0,-$R$5/12)</f>
        <v>-715341.083333333</v>
      </c>
      <c r="AY62" s="417" t="n">
        <f aca="false">IF(A62&lt;$AX$6,0,-$S$5/12)</f>
        <v>-705333.333333333</v>
      </c>
      <c r="AZ62" s="431"/>
      <c r="BA62" s="772" t="n">
        <f aca="false">P62-IF($BL$4="mid",Q62,R62)-$BL$9*(IF($BL$4="mid",N62,O62)+IF($BL$4="mid",DL62,L62))</f>
        <v>495701.270496501</v>
      </c>
      <c r="BB62" s="772" t="n">
        <f aca="false">S62-IF($BL$4="mid",T62,U62)-$BM$9*(IF($BL$4="mid",N62,O62)+IF($BL$4="mid",DL62,L62))</f>
        <v>-13228.1915455144</v>
      </c>
      <c r="BC62" s="772" t="n">
        <f aca="false">V62-IF($BL$4="mid",W62,X62)-$BN$9*(IF($BL$4="mid",N62,O62)+IF($BL$4="mid",DL62,L62))</f>
        <v>-2510.24361886648</v>
      </c>
      <c r="BD62" s="772" t="n">
        <f aca="false">Y62-IF($BL$4="mid",Z62,AA62)</f>
        <v>35567.1017493524</v>
      </c>
      <c r="BE62" s="772" t="n">
        <f aca="false">AB62-IF($BL$4="mid",AC62,AD62)</f>
        <v>3003.17513250746</v>
      </c>
      <c r="BF62" s="772" t="n">
        <f aca="false">AE62-IF($BL$4="mid",AF62,AG62)</f>
        <v>2042.1613658116</v>
      </c>
      <c r="BG62" s="772" t="n">
        <f aca="false">AH62-IF($BL$4="mid",AI62,AJ62)</f>
        <v>20967.7480270166</v>
      </c>
      <c r="BH62" s="772" t="n">
        <f aca="false">-IF($BL$4="mid",AK62,AL62)</f>
        <v>-281927.178373932</v>
      </c>
      <c r="BI62" s="772" t="n">
        <f aca="false">-IF($BL$4="mid",AM62,AN62)</f>
        <v>-55221.25</v>
      </c>
      <c r="BL62" s="772" t="n">
        <f aca="false">BW62-IF($BL$4="mid",Q62,R62)-$BL$9*(IF($BL$4="mid",N62,O62)+IF($BL$4="mid",DL62,L62))</f>
        <v>642932.441024207</v>
      </c>
      <c r="BM62" s="772" t="n">
        <f aca="false">BX62-IF($BL$4="mid",T62,U62)-$BM$9*(IF($BL$4="mid",N62,O62)+IF($BL$4="mid",DL62,L62))</f>
        <v>-8011.93330446887</v>
      </c>
      <c r="BN62" s="772" t="n">
        <f aca="false">BY62-IF($BL$4="mid",W62,X62)-$BN$9*(IF($BL$4="mid",N62,O62)+IF($BL$4="mid",DL62,L62))</f>
        <v>115.436841632887</v>
      </c>
      <c r="BO62" s="772" t="n">
        <f aca="false">BZ62-IF($BL$4="mid",Z62,AA62)</f>
        <v>54666.4699118884</v>
      </c>
      <c r="BP62" s="772" t="n">
        <f aca="false">CA62-IF($BL$4="mid",AC62,AD62)</f>
        <v>20576.0413221103</v>
      </c>
      <c r="BQ62" s="772" t="n">
        <f aca="false">CB62-IF($BL$4="mid",AF62,AG62)</f>
        <v>15375.0297584998</v>
      </c>
      <c r="BR62" s="772" t="n">
        <f aca="false">CC62-IF($BL$4="mid",AI62,AJ62)</f>
        <v>21845.3150258466</v>
      </c>
      <c r="BS62" s="772" t="n">
        <f aca="false">-IF($BL$4="mid",AK62,AL62)</f>
        <v>-281927.178373932</v>
      </c>
      <c r="BT62" s="772" t="n">
        <f aca="false">-IF($BL$4="mid",AM62,AN62)</f>
        <v>-55221.25</v>
      </c>
      <c r="BW62" s="872" t="n">
        <f aca="false">Breakout!$G$15/12</f>
        <v>3665032.19251633</v>
      </c>
      <c r="BX62" s="872" t="n">
        <f aca="false">Breakout!$G$26/12</f>
        <v>129848.552513632</v>
      </c>
      <c r="BY62" s="872" t="n">
        <f aca="false">Breakout!$G$37/12</f>
        <v>65361.1825573329</v>
      </c>
      <c r="BZ62" s="872" t="n">
        <f aca="false">Breakout!$G$48/12</f>
        <v>475441.436222524</v>
      </c>
      <c r="CA62" s="872" t="n">
        <f aca="false">Breakout!$G$59/12</f>
        <v>437442.153511614</v>
      </c>
      <c r="CB62" s="872" t="n">
        <f aca="false">Breakout!$G$70/12</f>
        <v>331895.696425167</v>
      </c>
      <c r="CC62" s="872" t="n">
        <f aca="false">Breakout!$G$81/12</f>
        <v>21845.3150258466</v>
      </c>
      <c r="CE62" s="852" t="n">
        <f aca="false">P62/0.96</f>
        <v>3664376.06457148</v>
      </c>
      <c r="CF62" s="852" t="n">
        <f aca="false">S62/0.96</f>
        <v>129825.306533944</v>
      </c>
      <c r="CG62" s="852" t="n">
        <f aca="false">V62/0.96</f>
        <v>65349.4813508683</v>
      </c>
      <c r="CI62" s="852" t="n">
        <f aca="false">N62</f>
        <v>-715341.083333333</v>
      </c>
      <c r="CJ62" s="852" t="n">
        <f aca="false">O62</f>
        <v>-705333.333333333</v>
      </c>
      <c r="CL62" s="772" t="n">
        <f aca="false">'account mgt'!$G$23/12</f>
        <v>-53309.78388</v>
      </c>
      <c r="CN62" s="772" t="n">
        <v>0</v>
      </c>
      <c r="CT62" s="772" t="n">
        <f aca="false">CW61</f>
        <v>15285678.7940308</v>
      </c>
      <c r="CU62" s="772" t="n">
        <f aca="false">IF(CT62&lt;0.1,0,CT62*$L$3)</f>
        <v>120629.481816226</v>
      </c>
      <c r="CV62" s="772" t="n">
        <f aca="false">IF(CT62&lt;0.1,0,PPMT($L$3,A62-14,unwinds!$B$8*12,$K$5))</f>
        <v>646929.39568637</v>
      </c>
      <c r="CW62" s="772" t="n">
        <f aca="false">IF(CT62-CV62&lt;0,0,CT62-CV62)</f>
        <v>14638749.3983444</v>
      </c>
      <c r="CX62" s="772" t="n">
        <f aca="false">IF(CX61-CV62&lt;0,0,CX61-CV62)</f>
        <v>14638749.3983444</v>
      </c>
      <c r="DA62" s="772" t="n">
        <f aca="false">DD61</f>
        <v>26565898.413627</v>
      </c>
      <c r="DB62" s="772" t="n">
        <f aca="false">DA62*$L$3</f>
        <v>209649.214980873</v>
      </c>
      <c r="DC62" s="772" t="n">
        <f aca="false">PPMT($L$3,A62-14,106,$K$5)</f>
        <v>285748.856690741</v>
      </c>
      <c r="DD62" s="772" t="n">
        <f aca="false">DA62-DC62</f>
        <v>26280149.5569362</v>
      </c>
      <c r="DE62" s="772" t="n">
        <f aca="false">DE61-DC62</f>
        <v>26280149.5569362</v>
      </c>
      <c r="DH62" s="417" t="n">
        <v>-715341.083333333</v>
      </c>
      <c r="DI62" s="417" t="n">
        <v>-705333.333333333</v>
      </c>
      <c r="DJ62" s="417"/>
      <c r="DL62" s="417" t="n">
        <f aca="false">PMT($J$3,106,$I$5,,1)</f>
        <v>474832.92700925</v>
      </c>
      <c r="DN62" s="417" t="n">
        <f aca="false">IF($BL$4="mid",DH62,DI62)</f>
        <v>-715341.083333333</v>
      </c>
      <c r="DO62" s="417" t="n">
        <f aca="false">IF($BL$4="mid",DL62,L62)</f>
        <v>474832.92700925</v>
      </c>
      <c r="DQ62" s="772" t="n">
        <f aca="false">BW62-IF($BL$4="mid",Q62,R62)</f>
        <v>414449.692516328</v>
      </c>
      <c r="DR62" s="772" t="n">
        <f aca="false">BX62-IF($BL$4="mid",T62,U62)</f>
        <v>-20037.341120673</v>
      </c>
      <c r="DS62" s="772"/>
      <c r="DT62" s="772"/>
      <c r="DU62" s="772"/>
      <c r="DV62" s="772"/>
      <c r="DW62" s="772"/>
      <c r="DX62" s="772"/>
    </row>
    <row r="63" customFormat="false" ht="12.75" hidden="false" customHeight="false" outlineLevel="0" collapsed="false">
      <c r="A63" s="767" t="n">
        <v>52</v>
      </c>
      <c r="B63" s="854" t="n">
        <v>38078</v>
      </c>
      <c r="C63" s="417" t="n">
        <v>0</v>
      </c>
      <c r="D63" s="417" t="n">
        <v>0</v>
      </c>
      <c r="E63" s="417" t="n">
        <v>0</v>
      </c>
      <c r="F63" s="417" t="n">
        <v>205770.309560539</v>
      </c>
      <c r="G63" s="417" t="n">
        <v>285748.856690744</v>
      </c>
      <c r="H63" s="417" t="n">
        <v>0</v>
      </c>
      <c r="I63" s="417" t="n">
        <v>491519.166251284</v>
      </c>
      <c r="J63" s="417"/>
      <c r="K63" s="417"/>
      <c r="L63" s="417" t="n">
        <f aca="false">PMT($L$3,106,$K$5,,1)</f>
        <v>491519.166251281</v>
      </c>
      <c r="M63" s="417"/>
      <c r="N63" s="850" t="n">
        <f aca="false">IF(A63&lt;$B$8,0,-$R$5/12)</f>
        <v>-715341.083333333</v>
      </c>
      <c r="O63" s="850" t="n">
        <f aca="false">IF(A63&lt;$B$8,0,-$S$5/12)</f>
        <v>-705333.333333333</v>
      </c>
      <c r="P63" s="872" t="n">
        <f aca="false">Breakout!$G$16/12</f>
        <v>3517801.02198862</v>
      </c>
      <c r="Q63" s="770" t="n">
        <f aca="false">'wholesale services'!$D$110*'wholesale services'!$H$111/12</f>
        <v>3250582.5</v>
      </c>
      <c r="R63" s="770" t="n">
        <v>3320487.5</v>
      </c>
      <c r="S63" s="872" t="n">
        <f aca="false">Breakout!$G$27/12</f>
        <v>124632.294272586</v>
      </c>
      <c r="T63" s="770" t="n">
        <f aca="false">'wholesale services'!$D$113*'wholesale services'!$H$114/12</f>
        <v>149885.893634305</v>
      </c>
      <c r="U63" s="770" t="n">
        <v>152944.78942276</v>
      </c>
      <c r="V63" s="872" t="n">
        <f aca="false">Breakout!$G$38/12</f>
        <v>62735.5020968335</v>
      </c>
      <c r="W63" s="431" t="n">
        <f aca="false">Breakout!$G$39/12</f>
        <v>65245.7457157</v>
      </c>
      <c r="X63" s="431" t="n">
        <v>65947.3128739333</v>
      </c>
      <c r="Y63" s="872" t="n">
        <f aca="false">Breakout!$G$49/12</f>
        <v>456342.068059988</v>
      </c>
      <c r="Z63" s="873" t="n">
        <f aca="false">Breakout!$G$50/12</f>
        <v>420774.966310636</v>
      </c>
      <c r="AA63" s="873" t="n">
        <v>441994.860060619</v>
      </c>
      <c r="AB63" s="872" t="n">
        <f aca="false">Breakout!$G$60/12</f>
        <v>419869.287322011</v>
      </c>
      <c r="AC63" s="873" t="n">
        <f aca="false">Breakout!$G$61/12</f>
        <v>416866.112189503</v>
      </c>
      <c r="AD63" s="873" t="n">
        <v>429864.16468539</v>
      </c>
      <c r="AE63" s="872" t="n">
        <f aca="false">Breakout!$G$71/12</f>
        <v>318562.828032478</v>
      </c>
      <c r="AF63" s="873" t="n">
        <f aca="false">Breakout!$G$72/12</f>
        <v>316520.666666667</v>
      </c>
      <c r="AG63" s="873" t="n">
        <v>316520.666666667</v>
      </c>
      <c r="AH63" s="872" t="n">
        <f aca="false">Breakout!$G$82/12</f>
        <v>20967.7480270166</v>
      </c>
      <c r="AI63" s="873" t="n">
        <f aca="false">Breakout!$G$83/12</f>
        <v>0</v>
      </c>
      <c r="AJ63" s="873" t="n">
        <v>0</v>
      </c>
      <c r="AK63" s="874" t="n">
        <f aca="false">Breakout!$G$91/12</f>
        <v>281927.178373932</v>
      </c>
      <c r="AL63" s="874" t="n">
        <v>281927.178373932</v>
      </c>
      <c r="AM63" s="773" t="n">
        <f aca="false">(Breakout!$G$107/12)*-1</f>
        <v>55221.25</v>
      </c>
      <c r="AN63" s="773" t="n">
        <v>55221.25</v>
      </c>
      <c r="AO63" s="774" t="n">
        <f aca="false">(P63+S63+V63)+Y63+AB63+AE63+AH63</f>
        <v>4920910.74979954</v>
      </c>
      <c r="AP63" s="774" t="n">
        <f aca="false">Q63+T63+W63+AA63+AD63+AG63+AJ63+AL63+AN63</f>
        <v>4991242.25913661</v>
      </c>
      <c r="AQ63" s="775" t="n">
        <f aca="false">P63+S63+V63+Y63+AB63+AE63+AH63-Q63-T63-W63-Z63-AC63-AF63-AI63-AK63-AM63-DH63-DL63-CN63</f>
        <v>204394.593232877</v>
      </c>
      <c r="AR63" s="431"/>
      <c r="AS63" s="776" t="n">
        <f aca="false">P63+S63+V63+Y63+AB63+AE63+AH63-R63-U63-X63-AA63-AD63-AG63-AJ63-AL63-AN63-O63-L63-CN63</f>
        <v>69817.1947982875</v>
      </c>
      <c r="AT63" s="431"/>
      <c r="AU63" s="770" t="n">
        <f aca="false">'wholesale services'!$H$110/12</f>
        <v>39106610.7060185</v>
      </c>
      <c r="AV63" s="770" t="n">
        <f aca="false">'wholesale services'!$H$113/12</f>
        <v>17613.2558333333</v>
      </c>
      <c r="AW63" s="431"/>
      <c r="AX63" s="851" t="n">
        <f aca="false">IF(A63&lt;$AX$6,0,-$R$5/12)</f>
        <v>-715341.083333333</v>
      </c>
      <c r="AY63" s="417" t="n">
        <f aca="false">IF(A63&lt;$AX$6,0,-$S$5/12)</f>
        <v>-705333.333333333</v>
      </c>
      <c r="AZ63" s="431"/>
      <c r="BA63" s="772" t="n">
        <f aca="false">P63-IF($BL$4="mid",Q63,R63)-$BL$9*(IF($BL$4="mid",N63,O63)+IF($BL$4="mid",DL63,L63))</f>
        <v>495701.270496501</v>
      </c>
      <c r="BB63" s="772" t="n">
        <f aca="false">S63-IF($BL$4="mid",T63,U63)-$BM$9*(IF($BL$4="mid",N63,O63)+IF($BL$4="mid",DL63,L63))</f>
        <v>-13228.1915455144</v>
      </c>
      <c r="BC63" s="772" t="n">
        <f aca="false">V63-IF($BL$4="mid",W63,X63)-$BN$9*(IF($BL$4="mid",N63,O63)+IF($BL$4="mid",DL63,L63))</f>
        <v>-2510.24361886648</v>
      </c>
      <c r="BD63" s="772" t="n">
        <f aca="false">Y63-IF($BL$4="mid",Z63,AA63)</f>
        <v>35567.1017493524</v>
      </c>
      <c r="BE63" s="772" t="n">
        <f aca="false">AB63-IF($BL$4="mid",AC63,AD63)</f>
        <v>3003.17513250746</v>
      </c>
      <c r="BF63" s="772" t="n">
        <f aca="false">AE63-IF($BL$4="mid",AF63,AG63)</f>
        <v>2042.1613658116</v>
      </c>
      <c r="BG63" s="772" t="n">
        <f aca="false">AH63-IF($BL$4="mid",AI63,AJ63)</f>
        <v>20967.7480270166</v>
      </c>
      <c r="BH63" s="772" t="n">
        <f aca="false">-IF($BL$4="mid",AK63,AL63)</f>
        <v>-281927.178373932</v>
      </c>
      <c r="BI63" s="772" t="n">
        <f aca="false">-IF($BL$4="mid",AM63,AN63)</f>
        <v>-55221.25</v>
      </c>
      <c r="BL63" s="772" t="n">
        <f aca="false">BW63-IF($BL$4="mid",Q63,R63)-$BL$9*(IF($BL$4="mid",N63,O63)+IF($BL$4="mid",DL63,L63))</f>
        <v>642932.441024207</v>
      </c>
      <c r="BM63" s="772" t="n">
        <f aca="false">BX63-IF($BL$4="mid",T63,U63)-$BM$9*(IF($BL$4="mid",N63,O63)+IF($BL$4="mid",DL63,L63))</f>
        <v>-8011.93330446887</v>
      </c>
      <c r="BN63" s="772" t="n">
        <f aca="false">BY63-IF($BL$4="mid",W63,X63)-$BN$9*(IF($BL$4="mid",N63,O63)+IF($BL$4="mid",DL63,L63))</f>
        <v>115.436841632887</v>
      </c>
      <c r="BO63" s="772" t="n">
        <f aca="false">BZ63-IF($BL$4="mid",Z63,AA63)</f>
        <v>54666.4699118884</v>
      </c>
      <c r="BP63" s="772" t="n">
        <f aca="false">CA63-IF($BL$4="mid",AC63,AD63)</f>
        <v>20576.0413221103</v>
      </c>
      <c r="BQ63" s="772" t="n">
        <f aca="false">CB63-IF($BL$4="mid",AF63,AG63)</f>
        <v>15375.0297584998</v>
      </c>
      <c r="BR63" s="772" t="n">
        <f aca="false">CC63-IF($BL$4="mid",AI63,AJ63)</f>
        <v>21845.3150258466</v>
      </c>
      <c r="BS63" s="772" t="n">
        <f aca="false">-IF($BL$4="mid",AK63,AL63)</f>
        <v>-281927.178373932</v>
      </c>
      <c r="BT63" s="772" t="n">
        <f aca="false">-IF($BL$4="mid",AM63,AN63)</f>
        <v>-55221.25</v>
      </c>
      <c r="BW63" s="872" t="n">
        <f aca="false">Breakout!$G$15/12</f>
        <v>3665032.19251633</v>
      </c>
      <c r="BX63" s="872" t="n">
        <f aca="false">Breakout!$G$26/12</f>
        <v>129848.552513632</v>
      </c>
      <c r="BY63" s="872" t="n">
        <f aca="false">Breakout!$G$37/12</f>
        <v>65361.1825573329</v>
      </c>
      <c r="BZ63" s="872" t="n">
        <f aca="false">Breakout!$G$48/12</f>
        <v>475441.436222524</v>
      </c>
      <c r="CA63" s="872" t="n">
        <f aca="false">Breakout!$G$59/12</f>
        <v>437442.153511614</v>
      </c>
      <c r="CB63" s="872" t="n">
        <f aca="false">Breakout!$G$70/12</f>
        <v>331895.696425167</v>
      </c>
      <c r="CC63" s="872" t="n">
        <f aca="false">Breakout!$G$81/12</f>
        <v>21845.3150258466</v>
      </c>
      <c r="CE63" s="852" t="n">
        <f aca="false">P63/0.96</f>
        <v>3664376.06457148</v>
      </c>
      <c r="CF63" s="852" t="n">
        <f aca="false">S63/0.96</f>
        <v>129825.306533944</v>
      </c>
      <c r="CG63" s="852" t="n">
        <f aca="false">V63/0.96</f>
        <v>65349.4813508683</v>
      </c>
      <c r="CI63" s="852" t="n">
        <f aca="false">N63</f>
        <v>-715341.083333333</v>
      </c>
      <c r="CJ63" s="852" t="n">
        <f aca="false">O63</f>
        <v>-705333.333333333</v>
      </c>
      <c r="CL63" s="772" t="n">
        <f aca="false">'account mgt'!$G$23/12</f>
        <v>-53309.78388</v>
      </c>
      <c r="CN63" s="772" t="n">
        <v>0</v>
      </c>
      <c r="CT63" s="772" t="n">
        <f aca="false">CW62</f>
        <v>14638749.3983444</v>
      </c>
      <c r="CU63" s="772" t="n">
        <f aca="false">IF(CT63&lt;0.1,0,CT63*$L$3)</f>
        <v>115524.130668601</v>
      </c>
      <c r="CV63" s="772" t="n">
        <f aca="false">IF(CT63&lt;0.1,0,PPMT($L$3,A63-14,unwinds!$B$8*12,$K$5))</f>
        <v>652034.746833995</v>
      </c>
      <c r="CW63" s="772" t="n">
        <f aca="false">IF(CT63-CV63&lt;0,0,CT63-CV63)</f>
        <v>13986714.6515104</v>
      </c>
      <c r="CX63" s="772" t="n">
        <f aca="false">IF(CX62-CV63&lt;0,0,CX62-CV63)</f>
        <v>13986714.6515104</v>
      </c>
      <c r="DA63" s="772" t="n">
        <f aca="false">DD62</f>
        <v>26280149.5569362</v>
      </c>
      <c r="DB63" s="772" t="n">
        <f aca="false">DA63*$L$3</f>
        <v>207394.180253488</v>
      </c>
      <c r="DC63" s="772" t="n">
        <f aca="false">PPMT($L$3,A63-14,106,$K$5)</f>
        <v>288003.891418125</v>
      </c>
      <c r="DD63" s="772" t="n">
        <f aca="false">DA63-DC63</f>
        <v>25992145.6655181</v>
      </c>
      <c r="DE63" s="772" t="n">
        <f aca="false">DE62-DC63</f>
        <v>25992145.6655181</v>
      </c>
      <c r="DH63" s="417" t="n">
        <v>-715341.083333333</v>
      </c>
      <c r="DI63" s="417" t="n">
        <v>-705333.333333333</v>
      </c>
      <c r="DJ63" s="417"/>
      <c r="DL63" s="417" t="n">
        <f aca="false">PMT($J$3,106,$I$5,,1)</f>
        <v>474832.92700925</v>
      </c>
      <c r="DN63" s="417" t="n">
        <f aca="false">IF($BL$4="mid",DH63,DI63)</f>
        <v>-715341.083333333</v>
      </c>
      <c r="DO63" s="417" t="n">
        <f aca="false">IF($BL$4="mid",DL63,L63)</f>
        <v>474832.92700925</v>
      </c>
      <c r="DQ63" s="772" t="n">
        <f aca="false">BW63-IF($BL$4="mid",Q63,R63)</f>
        <v>414449.692516328</v>
      </c>
      <c r="DR63" s="772" t="n">
        <f aca="false">BX63-IF($BL$4="mid",T63,U63)</f>
        <v>-20037.341120673</v>
      </c>
      <c r="DS63" s="772"/>
      <c r="DT63" s="772"/>
      <c r="DU63" s="772"/>
      <c r="DV63" s="772"/>
      <c r="DW63" s="772"/>
      <c r="DX63" s="772"/>
    </row>
    <row r="64" customFormat="false" ht="12.75" hidden="false" customHeight="false" outlineLevel="0" collapsed="false">
      <c r="A64" s="767" t="n">
        <v>53</v>
      </c>
      <c r="B64" s="854" t="n">
        <v>38108</v>
      </c>
      <c r="C64" s="417" t="n">
        <v>0</v>
      </c>
      <c r="D64" s="417" t="n">
        <v>0</v>
      </c>
      <c r="E64" s="417" t="n">
        <v>0</v>
      </c>
      <c r="F64" s="417" t="n">
        <v>203515.274833155</v>
      </c>
      <c r="G64" s="417" t="n">
        <v>288003.891418129</v>
      </c>
      <c r="H64" s="417" t="n">
        <v>0</v>
      </c>
      <c r="I64" s="417" t="n">
        <v>491519.166251284</v>
      </c>
      <c r="J64" s="417"/>
      <c r="K64" s="417"/>
      <c r="L64" s="417" t="n">
        <f aca="false">PMT($L$3,106,$K$5,,1)</f>
        <v>491519.166251281</v>
      </c>
      <c r="M64" s="417"/>
      <c r="N64" s="850" t="n">
        <f aca="false">IF(A64&lt;$B$8,0,-$R$5/12)</f>
        <v>-715341.083333333</v>
      </c>
      <c r="O64" s="850" t="n">
        <f aca="false">IF(A64&lt;$B$8,0,-$S$5/12)</f>
        <v>-705333.333333333</v>
      </c>
      <c r="P64" s="872" t="n">
        <f aca="false">Breakout!$G$16/12</f>
        <v>3517801.02198862</v>
      </c>
      <c r="Q64" s="770" t="n">
        <f aca="false">'wholesale services'!$D$110*'wholesale services'!$H$111/12</f>
        <v>3250582.5</v>
      </c>
      <c r="R64" s="770" t="n">
        <v>3320487.5</v>
      </c>
      <c r="S64" s="872" t="n">
        <f aca="false">Breakout!$G$27/12</f>
        <v>124632.294272586</v>
      </c>
      <c r="T64" s="770" t="n">
        <f aca="false">'wholesale services'!$D$113*'wholesale services'!$H$114/12</f>
        <v>149885.893634305</v>
      </c>
      <c r="U64" s="770" t="n">
        <v>152944.78942276</v>
      </c>
      <c r="V64" s="872" t="n">
        <f aca="false">Breakout!$G$38/12</f>
        <v>62735.5020968335</v>
      </c>
      <c r="W64" s="431" t="n">
        <f aca="false">Breakout!$G$39/12</f>
        <v>65245.7457157</v>
      </c>
      <c r="X64" s="431" t="n">
        <v>65947.3128739333</v>
      </c>
      <c r="Y64" s="872" t="n">
        <f aca="false">Breakout!$G$49/12</f>
        <v>456342.068059988</v>
      </c>
      <c r="Z64" s="873" t="n">
        <f aca="false">Breakout!$G$50/12</f>
        <v>420774.966310636</v>
      </c>
      <c r="AA64" s="873" t="n">
        <v>441994.860060619</v>
      </c>
      <c r="AB64" s="872" t="n">
        <f aca="false">Breakout!$G$60/12</f>
        <v>419869.287322011</v>
      </c>
      <c r="AC64" s="873" t="n">
        <f aca="false">Breakout!$G$61/12</f>
        <v>416866.112189503</v>
      </c>
      <c r="AD64" s="873" t="n">
        <v>429864.16468539</v>
      </c>
      <c r="AE64" s="872" t="n">
        <f aca="false">Breakout!$G$71/12</f>
        <v>318562.828032478</v>
      </c>
      <c r="AF64" s="873" t="n">
        <f aca="false">Breakout!$G$72/12</f>
        <v>316520.666666667</v>
      </c>
      <c r="AG64" s="873" t="n">
        <v>316520.666666667</v>
      </c>
      <c r="AH64" s="872" t="n">
        <f aca="false">Breakout!$G$82/12</f>
        <v>20967.7480270166</v>
      </c>
      <c r="AI64" s="873" t="n">
        <f aca="false">Breakout!$G$83/12</f>
        <v>0</v>
      </c>
      <c r="AJ64" s="873" t="n">
        <v>0</v>
      </c>
      <c r="AK64" s="874" t="n">
        <f aca="false">Breakout!$G$91/12</f>
        <v>281927.178373932</v>
      </c>
      <c r="AL64" s="874" t="n">
        <v>281927.178373932</v>
      </c>
      <c r="AM64" s="773" t="n">
        <f aca="false">(Breakout!$G$107/12)*-1</f>
        <v>55221.25</v>
      </c>
      <c r="AN64" s="773" t="n">
        <v>55221.25</v>
      </c>
      <c r="AO64" s="774" t="n">
        <f aca="false">(P64+S64+V64)+Y64+AB64+AE64+AH64</f>
        <v>4920910.74979954</v>
      </c>
      <c r="AP64" s="774" t="n">
        <f aca="false">Q64+T64+W64+AA64+AD64+AG64+AJ64+AL64+AN64</f>
        <v>4991242.25913661</v>
      </c>
      <c r="AQ64" s="775" t="n">
        <f aca="false">P64+S64+V64+Y64+AB64+AE64+AH64-Q64-T64-W64-Z64-AC64-AF64-AI64-AK64-AM64-DH64-DL64-CN64</f>
        <v>204394.593232877</v>
      </c>
      <c r="AR64" s="431"/>
      <c r="AS64" s="776" t="n">
        <f aca="false">P64+S64+V64+Y64+AB64+AE64+AH64-R64-U64-X64-AA64-AD64-AG64-AJ64-AL64-AN64-O64-L64-CN64</f>
        <v>69817.1947982875</v>
      </c>
      <c r="AT64" s="431"/>
      <c r="AU64" s="770" t="n">
        <f aca="false">'wholesale services'!$H$110/12</f>
        <v>39106610.7060185</v>
      </c>
      <c r="AV64" s="770" t="n">
        <f aca="false">'wholesale services'!$H$113/12</f>
        <v>17613.2558333333</v>
      </c>
      <c r="AW64" s="431"/>
      <c r="AX64" s="851" t="n">
        <f aca="false">IF(A64&lt;$AX$6,0,-$R$5/12)</f>
        <v>-715341.083333333</v>
      </c>
      <c r="AY64" s="417" t="n">
        <f aca="false">IF(A64&lt;$AX$6,0,-$S$5/12)</f>
        <v>-705333.333333333</v>
      </c>
      <c r="AZ64" s="431"/>
      <c r="BA64" s="772" t="n">
        <f aca="false">P64-IF($BL$4="mid",Q64,R64)-$BL$9*(IF($BL$4="mid",N64,O64)+IF($BL$4="mid",DL64,L64))</f>
        <v>495701.270496501</v>
      </c>
      <c r="BB64" s="772" t="n">
        <f aca="false">S64-IF($BL$4="mid",T64,U64)-$BM$9*(IF($BL$4="mid",N64,O64)+IF($BL$4="mid",DL64,L64))</f>
        <v>-13228.1915455144</v>
      </c>
      <c r="BC64" s="772" t="n">
        <f aca="false">V64-IF($BL$4="mid",W64,X64)-$BN$9*(IF($BL$4="mid",N64,O64)+IF($BL$4="mid",DL64,L64))</f>
        <v>-2510.24361886648</v>
      </c>
      <c r="BD64" s="772" t="n">
        <f aca="false">Y64-IF($BL$4="mid",Z64,AA64)</f>
        <v>35567.1017493524</v>
      </c>
      <c r="BE64" s="772" t="n">
        <f aca="false">AB64-IF($BL$4="mid",AC64,AD64)</f>
        <v>3003.17513250746</v>
      </c>
      <c r="BF64" s="772" t="n">
        <f aca="false">AE64-IF($BL$4="mid",AF64,AG64)</f>
        <v>2042.1613658116</v>
      </c>
      <c r="BG64" s="772" t="n">
        <f aca="false">AH64-IF($BL$4="mid",AI64,AJ64)</f>
        <v>20967.7480270166</v>
      </c>
      <c r="BH64" s="772" t="n">
        <f aca="false">-IF($BL$4="mid",AK64,AL64)</f>
        <v>-281927.178373932</v>
      </c>
      <c r="BI64" s="772" t="n">
        <f aca="false">-IF($BL$4="mid",AM64,AN64)</f>
        <v>-55221.25</v>
      </c>
      <c r="BL64" s="772" t="n">
        <f aca="false">BW64-IF($BL$4="mid",Q64,R64)-$BL$9*(IF($BL$4="mid",N64,O64)+IF($BL$4="mid",DL64,L64))</f>
        <v>642932.441024207</v>
      </c>
      <c r="BM64" s="772" t="n">
        <f aca="false">BX64-IF($BL$4="mid",T64,U64)-$BM$9*(IF($BL$4="mid",N64,O64)+IF($BL$4="mid",DL64,L64))</f>
        <v>-8011.93330446887</v>
      </c>
      <c r="BN64" s="772" t="n">
        <f aca="false">BY64-IF($BL$4="mid",W64,X64)-$BN$9*(IF($BL$4="mid",N64,O64)+IF($BL$4="mid",DL64,L64))</f>
        <v>115.436841632887</v>
      </c>
      <c r="BO64" s="772" t="n">
        <f aca="false">BZ64-IF($BL$4="mid",Z64,AA64)</f>
        <v>54666.4699118884</v>
      </c>
      <c r="BP64" s="772" t="n">
        <f aca="false">CA64-IF($BL$4="mid",AC64,AD64)</f>
        <v>20576.0413221103</v>
      </c>
      <c r="BQ64" s="772" t="n">
        <f aca="false">CB64-IF($BL$4="mid",AF64,AG64)</f>
        <v>15375.0297584998</v>
      </c>
      <c r="BR64" s="772" t="n">
        <f aca="false">CC64-IF($BL$4="mid",AI64,AJ64)</f>
        <v>21845.3150258466</v>
      </c>
      <c r="BS64" s="772" t="n">
        <f aca="false">-IF($BL$4="mid",AK64,AL64)</f>
        <v>-281927.178373932</v>
      </c>
      <c r="BT64" s="772" t="n">
        <f aca="false">-IF($BL$4="mid",AM64,AN64)</f>
        <v>-55221.25</v>
      </c>
      <c r="BW64" s="872" t="n">
        <f aca="false">Breakout!$G$15/12</f>
        <v>3665032.19251633</v>
      </c>
      <c r="BX64" s="872" t="n">
        <f aca="false">Breakout!$G$26/12</f>
        <v>129848.552513632</v>
      </c>
      <c r="BY64" s="872" t="n">
        <f aca="false">Breakout!$G$37/12</f>
        <v>65361.1825573329</v>
      </c>
      <c r="BZ64" s="872" t="n">
        <f aca="false">Breakout!$G$48/12</f>
        <v>475441.436222524</v>
      </c>
      <c r="CA64" s="872" t="n">
        <f aca="false">Breakout!$G$59/12</f>
        <v>437442.153511614</v>
      </c>
      <c r="CB64" s="872" t="n">
        <f aca="false">Breakout!$G$70/12</f>
        <v>331895.696425167</v>
      </c>
      <c r="CC64" s="872" t="n">
        <f aca="false">Breakout!$G$81/12</f>
        <v>21845.3150258466</v>
      </c>
      <c r="CE64" s="852" t="n">
        <f aca="false">P64/0.96</f>
        <v>3664376.06457148</v>
      </c>
      <c r="CF64" s="852" t="n">
        <f aca="false">S64/0.96</f>
        <v>129825.306533944</v>
      </c>
      <c r="CG64" s="852" t="n">
        <f aca="false">V64/0.96</f>
        <v>65349.4813508683</v>
      </c>
      <c r="CI64" s="852" t="n">
        <f aca="false">N64</f>
        <v>-715341.083333333</v>
      </c>
      <c r="CJ64" s="852" t="n">
        <f aca="false">O64</f>
        <v>-705333.333333333</v>
      </c>
      <c r="CL64" s="772" t="n">
        <f aca="false">'account mgt'!$G$23/12</f>
        <v>-53309.78388</v>
      </c>
      <c r="CN64" s="772" t="n">
        <v>0</v>
      </c>
      <c r="CT64" s="772" t="n">
        <f aca="false">CW63</f>
        <v>13986714.6515104</v>
      </c>
      <c r="CU64" s="772" t="n">
        <f aca="false">IF(CT64&lt;0.1,0,CT64*$L$3)</f>
        <v>110378.489791503</v>
      </c>
      <c r="CV64" s="772" t="n">
        <f aca="false">IF(CT64&lt;0.1,0,PPMT($L$3,A64-14,unwinds!$B$8*12,$K$5))</f>
        <v>657180.387711093</v>
      </c>
      <c r="CW64" s="772" t="n">
        <f aca="false">IF(CT64-CV64&lt;0,0,CT64-CV64)</f>
        <v>13329534.2637993</v>
      </c>
      <c r="CX64" s="772" t="n">
        <f aca="false">IF(CX63-CV64&lt;0,0,CX63-CV64)</f>
        <v>13329534.2637993</v>
      </c>
      <c r="DA64" s="772" t="n">
        <f aca="false">DD63</f>
        <v>25992145.6655181</v>
      </c>
      <c r="DB64" s="772" t="n">
        <f aca="false">DA64*$L$3</f>
        <v>205121.349543714</v>
      </c>
      <c r="DC64" s="772" t="n">
        <f aca="false">PPMT($L$3,A64-14,106,$K$5)</f>
        <v>290276.7221279</v>
      </c>
      <c r="DD64" s="772" t="n">
        <f aca="false">DA64-DC64</f>
        <v>25701868.9433902</v>
      </c>
      <c r="DE64" s="772" t="n">
        <f aca="false">DE63-DC64</f>
        <v>25701868.9433902</v>
      </c>
      <c r="DH64" s="417" t="n">
        <v>-715341.083333333</v>
      </c>
      <c r="DI64" s="417" t="n">
        <v>-705333.333333333</v>
      </c>
      <c r="DJ64" s="417"/>
      <c r="DL64" s="417" t="n">
        <f aca="false">PMT($J$3,106,$I$5,,1)</f>
        <v>474832.92700925</v>
      </c>
      <c r="DN64" s="417" t="n">
        <f aca="false">IF($BL$4="mid",DH64,DI64)</f>
        <v>-715341.083333333</v>
      </c>
      <c r="DO64" s="417" t="n">
        <f aca="false">IF($BL$4="mid",DL64,L64)</f>
        <v>474832.92700925</v>
      </c>
      <c r="DQ64" s="772" t="n">
        <f aca="false">BW64-IF($BL$4="mid",Q64,R64)</f>
        <v>414449.692516328</v>
      </c>
      <c r="DR64" s="772" t="n">
        <f aca="false">BX64-IF($BL$4="mid",T64,U64)</f>
        <v>-20037.341120673</v>
      </c>
      <c r="DS64" s="772"/>
      <c r="DT64" s="772"/>
      <c r="DU64" s="772"/>
      <c r="DV64" s="772"/>
      <c r="DW64" s="772"/>
      <c r="DX64" s="772"/>
    </row>
    <row r="65" customFormat="false" ht="12.75" hidden="false" customHeight="false" outlineLevel="0" collapsed="false">
      <c r="A65" s="767" t="n">
        <v>54</v>
      </c>
      <c r="B65" s="854" t="n">
        <v>38139</v>
      </c>
      <c r="C65" s="417" t="n">
        <v>0</v>
      </c>
      <c r="D65" s="417" t="n">
        <v>0</v>
      </c>
      <c r="E65" s="417" t="n">
        <v>0</v>
      </c>
      <c r="F65" s="417" t="n">
        <v>201242.44412338</v>
      </c>
      <c r="G65" s="417" t="n">
        <v>290276.722127903</v>
      </c>
      <c r="H65" s="417" t="n">
        <v>0</v>
      </c>
      <c r="I65" s="417" t="n">
        <v>491519.166251284</v>
      </c>
      <c r="J65" s="417"/>
      <c r="K65" s="417"/>
      <c r="L65" s="417" t="n">
        <f aca="false">PMT($L$3,106,$K$5,,1)</f>
        <v>491519.166251281</v>
      </c>
      <c r="M65" s="417"/>
      <c r="N65" s="850" t="n">
        <f aca="false">IF(A65&lt;$B$8,0,-$R$5/12)</f>
        <v>-715341.083333333</v>
      </c>
      <c r="O65" s="850" t="n">
        <f aca="false">IF(A65&lt;$B$8,0,-$S$5/12)</f>
        <v>-705333.333333333</v>
      </c>
      <c r="P65" s="872" t="n">
        <f aca="false">Breakout!$G$16/12</f>
        <v>3517801.02198862</v>
      </c>
      <c r="Q65" s="770" t="n">
        <f aca="false">'wholesale services'!$D$110*'wholesale services'!$H$111/12</f>
        <v>3250582.5</v>
      </c>
      <c r="R65" s="770" t="n">
        <v>3320487.5</v>
      </c>
      <c r="S65" s="872" t="n">
        <f aca="false">Breakout!$G$27/12</f>
        <v>124632.294272586</v>
      </c>
      <c r="T65" s="770" t="n">
        <f aca="false">'wholesale services'!$D$113*'wholesale services'!$H$114/12</f>
        <v>149885.893634305</v>
      </c>
      <c r="U65" s="770" t="n">
        <v>152944.78942276</v>
      </c>
      <c r="V65" s="872" t="n">
        <f aca="false">Breakout!$G$38/12</f>
        <v>62735.5020968335</v>
      </c>
      <c r="W65" s="431" t="n">
        <f aca="false">Breakout!$G$39/12</f>
        <v>65245.7457157</v>
      </c>
      <c r="X65" s="431" t="n">
        <v>65947.3128739333</v>
      </c>
      <c r="Y65" s="872" t="n">
        <f aca="false">Breakout!$G$49/12</f>
        <v>456342.068059988</v>
      </c>
      <c r="Z65" s="873" t="n">
        <f aca="false">Breakout!$G$50/12</f>
        <v>420774.966310636</v>
      </c>
      <c r="AA65" s="873" t="n">
        <v>441994.860060619</v>
      </c>
      <c r="AB65" s="872" t="n">
        <f aca="false">Breakout!$G$60/12</f>
        <v>419869.287322011</v>
      </c>
      <c r="AC65" s="873" t="n">
        <f aca="false">Breakout!$G$61/12</f>
        <v>416866.112189503</v>
      </c>
      <c r="AD65" s="873" t="n">
        <v>429864.16468539</v>
      </c>
      <c r="AE65" s="872" t="n">
        <f aca="false">Breakout!$G$71/12</f>
        <v>318562.828032478</v>
      </c>
      <c r="AF65" s="873" t="n">
        <f aca="false">Breakout!$G$72/12</f>
        <v>316520.666666667</v>
      </c>
      <c r="AG65" s="873" t="n">
        <v>316520.666666667</v>
      </c>
      <c r="AH65" s="872" t="n">
        <f aca="false">Breakout!$G$82/12</f>
        <v>20967.7480270166</v>
      </c>
      <c r="AI65" s="873" t="n">
        <f aca="false">Breakout!$G$83/12</f>
        <v>0</v>
      </c>
      <c r="AJ65" s="873" t="n">
        <v>0</v>
      </c>
      <c r="AK65" s="874" t="n">
        <f aca="false">Breakout!$G$91/12</f>
        <v>281927.178373932</v>
      </c>
      <c r="AL65" s="874" t="n">
        <v>281927.178373932</v>
      </c>
      <c r="AM65" s="773" t="n">
        <f aca="false">(Breakout!$G$107/12)*-1</f>
        <v>55221.25</v>
      </c>
      <c r="AN65" s="773" t="n">
        <v>55221.25</v>
      </c>
      <c r="AO65" s="774" t="n">
        <f aca="false">(P65+S65+V65)+Y65+AB65+AE65+AH65</f>
        <v>4920910.74979954</v>
      </c>
      <c r="AP65" s="774" t="n">
        <f aca="false">Q65+T65+W65+AA65+AD65+AG65+AJ65+AL65+AN65</f>
        <v>4991242.25913661</v>
      </c>
      <c r="AQ65" s="775" t="n">
        <f aca="false">P65+S65+V65+Y65+AB65+AE65+AH65-Q65-T65-W65-Z65-AC65-AF65-AI65-AK65-AM65-DH65-DL65-CN65</f>
        <v>204394.593232877</v>
      </c>
      <c r="AR65" s="431"/>
      <c r="AS65" s="776" t="n">
        <f aca="false">P65+S65+V65+Y65+AB65+AE65+AH65-R65-U65-X65-AA65-AD65-AG65-AJ65-AL65-AN65-O65-L65-CN65</f>
        <v>69817.1947982875</v>
      </c>
      <c r="AT65" s="431"/>
      <c r="AU65" s="770" t="n">
        <f aca="false">'wholesale services'!$H$110/12</f>
        <v>39106610.7060185</v>
      </c>
      <c r="AV65" s="770" t="n">
        <f aca="false">'wholesale services'!$H$113/12</f>
        <v>17613.2558333333</v>
      </c>
      <c r="AW65" s="431"/>
      <c r="AX65" s="851" t="n">
        <f aca="false">IF(A65&lt;$AX$6,0,-$R$5/12)</f>
        <v>-715341.083333333</v>
      </c>
      <c r="AY65" s="417" t="n">
        <f aca="false">IF(A65&lt;$AX$6,0,-$S$5/12)</f>
        <v>-705333.333333333</v>
      </c>
      <c r="AZ65" s="431"/>
      <c r="BA65" s="772" t="n">
        <f aca="false">P65-IF($BL$4="mid",Q65,R65)-$BL$9*(IF($BL$4="mid",N65,O65)+IF($BL$4="mid",DL65,L65))</f>
        <v>495701.270496501</v>
      </c>
      <c r="BB65" s="772" t="n">
        <f aca="false">S65-IF($BL$4="mid",T65,U65)-$BM$9*(IF($BL$4="mid",N65,O65)+IF($BL$4="mid",DL65,L65))</f>
        <v>-13228.1915455144</v>
      </c>
      <c r="BC65" s="772" t="n">
        <f aca="false">V65-IF($BL$4="mid",W65,X65)-$BN$9*(IF($BL$4="mid",N65,O65)+IF($BL$4="mid",DL65,L65))</f>
        <v>-2510.24361886648</v>
      </c>
      <c r="BD65" s="772" t="n">
        <f aca="false">Y65-IF($BL$4="mid",Z65,AA65)</f>
        <v>35567.1017493524</v>
      </c>
      <c r="BE65" s="772" t="n">
        <f aca="false">AB65-IF($BL$4="mid",AC65,AD65)</f>
        <v>3003.17513250746</v>
      </c>
      <c r="BF65" s="772" t="n">
        <f aca="false">AE65-IF($BL$4="mid",AF65,AG65)</f>
        <v>2042.1613658116</v>
      </c>
      <c r="BG65" s="772" t="n">
        <f aca="false">AH65-IF($BL$4="mid",AI65,AJ65)</f>
        <v>20967.7480270166</v>
      </c>
      <c r="BH65" s="772" t="n">
        <f aca="false">-IF($BL$4="mid",AK65,AL65)</f>
        <v>-281927.178373932</v>
      </c>
      <c r="BI65" s="772" t="n">
        <f aca="false">-IF($BL$4="mid",AM65,AN65)</f>
        <v>-55221.25</v>
      </c>
      <c r="BL65" s="772" t="n">
        <f aca="false">BW65-IF($BL$4="mid",Q65,R65)-$BL$9*(IF($BL$4="mid",N65,O65)+IF($BL$4="mid",DL65,L65))</f>
        <v>642932.441024207</v>
      </c>
      <c r="BM65" s="772" t="n">
        <f aca="false">BX65-IF($BL$4="mid",T65,U65)-$BM$9*(IF($BL$4="mid",N65,O65)+IF($BL$4="mid",DL65,L65))</f>
        <v>-8011.93330446887</v>
      </c>
      <c r="BN65" s="772" t="n">
        <f aca="false">BY65-IF($BL$4="mid",W65,X65)-$BN$9*(IF($BL$4="mid",N65,O65)+IF($BL$4="mid",DL65,L65))</f>
        <v>115.436841632887</v>
      </c>
      <c r="BO65" s="772" t="n">
        <f aca="false">BZ65-IF($BL$4="mid",Z65,AA65)</f>
        <v>54666.4699118884</v>
      </c>
      <c r="BP65" s="772" t="n">
        <f aca="false">CA65-IF($BL$4="mid",AC65,AD65)</f>
        <v>20576.0413221103</v>
      </c>
      <c r="BQ65" s="772" t="n">
        <f aca="false">CB65-IF($BL$4="mid",AF65,AG65)</f>
        <v>15375.0297584998</v>
      </c>
      <c r="BR65" s="772" t="n">
        <f aca="false">CC65-IF($BL$4="mid",AI65,AJ65)</f>
        <v>21845.3150258466</v>
      </c>
      <c r="BS65" s="772" t="n">
        <f aca="false">-IF($BL$4="mid",AK65,AL65)</f>
        <v>-281927.178373932</v>
      </c>
      <c r="BT65" s="772" t="n">
        <f aca="false">-IF($BL$4="mid",AM65,AN65)</f>
        <v>-55221.25</v>
      </c>
      <c r="BW65" s="872" t="n">
        <f aca="false">Breakout!$G$15/12</f>
        <v>3665032.19251633</v>
      </c>
      <c r="BX65" s="872" t="n">
        <f aca="false">Breakout!$G$26/12</f>
        <v>129848.552513632</v>
      </c>
      <c r="BY65" s="872" t="n">
        <f aca="false">Breakout!$G$37/12</f>
        <v>65361.1825573329</v>
      </c>
      <c r="BZ65" s="872" t="n">
        <f aca="false">Breakout!$G$48/12</f>
        <v>475441.436222524</v>
      </c>
      <c r="CA65" s="872" t="n">
        <f aca="false">Breakout!$G$59/12</f>
        <v>437442.153511614</v>
      </c>
      <c r="CB65" s="872" t="n">
        <f aca="false">Breakout!$G$70/12</f>
        <v>331895.696425167</v>
      </c>
      <c r="CC65" s="872" t="n">
        <f aca="false">Breakout!$G$81/12</f>
        <v>21845.3150258466</v>
      </c>
      <c r="CE65" s="852" t="n">
        <f aca="false">P65/0.96</f>
        <v>3664376.06457148</v>
      </c>
      <c r="CF65" s="852" t="n">
        <f aca="false">S65/0.96</f>
        <v>129825.306533944</v>
      </c>
      <c r="CG65" s="852" t="n">
        <f aca="false">V65/0.96</f>
        <v>65349.4813508683</v>
      </c>
      <c r="CI65" s="852" t="n">
        <f aca="false">N65</f>
        <v>-715341.083333333</v>
      </c>
      <c r="CJ65" s="852" t="n">
        <f aca="false">O65</f>
        <v>-705333.333333333</v>
      </c>
      <c r="CL65" s="772" t="n">
        <f aca="false">'account mgt'!$G$23/12</f>
        <v>-53309.78388</v>
      </c>
      <c r="CN65" s="772" t="n">
        <v>0</v>
      </c>
      <c r="CT65" s="772" t="n">
        <f aca="false">CW64</f>
        <v>13329534.2637993</v>
      </c>
      <c r="CU65" s="772" t="n">
        <f aca="false">IF(CT65&lt;0.1,0,CT65*$L$3)</f>
        <v>105192.241231816</v>
      </c>
      <c r="CV65" s="772" t="n">
        <f aca="false">IF(CT65&lt;0.1,0,PPMT($L$3,A65-14,unwinds!$B$8*12,$K$5))</f>
        <v>662366.63627078</v>
      </c>
      <c r="CW65" s="772" t="n">
        <f aca="false">IF(CT65-CV65&lt;0,0,CT65-CV65)</f>
        <v>12667167.6275286</v>
      </c>
      <c r="CX65" s="772" t="n">
        <f aca="false">IF(CX64-CV65&lt;0,0,CX64-CV65)</f>
        <v>12667167.6275286</v>
      </c>
      <c r="DA65" s="772" t="n">
        <f aca="false">DD64</f>
        <v>25701868.9433902</v>
      </c>
      <c r="DB65" s="772" t="n">
        <f aca="false">DA65*$L$3</f>
        <v>202830.582411588</v>
      </c>
      <c r="DC65" s="772" t="n">
        <f aca="false">PPMT($L$3,A65-14,106,$K$5)</f>
        <v>292567.489260026</v>
      </c>
      <c r="DD65" s="772" t="n">
        <f aca="false">DA65-DC65</f>
        <v>25409301.4541302</v>
      </c>
      <c r="DE65" s="772" t="n">
        <f aca="false">DE64-DC65</f>
        <v>25409301.4541302</v>
      </c>
      <c r="DH65" s="417" t="n">
        <v>-715341.083333333</v>
      </c>
      <c r="DI65" s="417" t="n">
        <v>-705333.333333333</v>
      </c>
      <c r="DJ65" s="417"/>
      <c r="DL65" s="417" t="n">
        <f aca="false">PMT($J$3,106,$I$5,,1)</f>
        <v>474832.92700925</v>
      </c>
      <c r="DN65" s="417" t="n">
        <f aca="false">IF($BL$4="mid",DH65,DI65)</f>
        <v>-715341.083333333</v>
      </c>
      <c r="DO65" s="417" t="n">
        <f aca="false">IF($BL$4="mid",DL65,L65)</f>
        <v>474832.92700925</v>
      </c>
      <c r="DQ65" s="772" t="n">
        <f aca="false">BW65-IF($BL$4="mid",Q65,R65)</f>
        <v>414449.692516328</v>
      </c>
      <c r="DR65" s="772" t="n">
        <f aca="false">BX65-IF($BL$4="mid",T65,U65)</f>
        <v>-20037.341120673</v>
      </c>
      <c r="DS65" s="772"/>
      <c r="DT65" s="772"/>
      <c r="DU65" s="772"/>
      <c r="DV65" s="772"/>
      <c r="DW65" s="772"/>
      <c r="DX65" s="772"/>
    </row>
    <row r="66" customFormat="false" ht="12.75" hidden="false" customHeight="false" outlineLevel="0" collapsed="false">
      <c r="A66" s="767" t="n">
        <v>55</v>
      </c>
      <c r="B66" s="854" t="n">
        <v>38169</v>
      </c>
      <c r="C66" s="417" t="n">
        <v>0</v>
      </c>
      <c r="D66" s="417" t="n">
        <v>0</v>
      </c>
      <c r="E66" s="417" t="n">
        <v>0</v>
      </c>
      <c r="F66" s="417" t="n">
        <v>198951.676991254</v>
      </c>
      <c r="G66" s="417" t="n">
        <v>292567.489260029</v>
      </c>
      <c r="H66" s="417" t="n">
        <v>0</v>
      </c>
      <c r="I66" s="417" t="n">
        <v>491519.166251284</v>
      </c>
      <c r="J66" s="417"/>
      <c r="K66" s="417"/>
      <c r="L66" s="417" t="n">
        <f aca="false">PMT($L$3,106,$K$5,,1)</f>
        <v>491519.166251281</v>
      </c>
      <c r="M66" s="417"/>
      <c r="N66" s="850" t="n">
        <f aca="false">IF(A66&lt;$B$8,0,-$R$5/12)</f>
        <v>-715341.083333333</v>
      </c>
      <c r="O66" s="850" t="n">
        <f aca="false">IF(A66&lt;$B$8,0,-$S$5/12)</f>
        <v>-705333.333333333</v>
      </c>
      <c r="P66" s="872" t="n">
        <f aca="false">Breakout!$G$16/12</f>
        <v>3517801.02198862</v>
      </c>
      <c r="Q66" s="770" t="n">
        <f aca="false">'wholesale services'!$D$110*'wholesale services'!$H$111/12</f>
        <v>3250582.5</v>
      </c>
      <c r="R66" s="770" t="n">
        <v>3320487.5</v>
      </c>
      <c r="S66" s="872" t="n">
        <f aca="false">Breakout!$G$27/12</f>
        <v>124632.294272586</v>
      </c>
      <c r="T66" s="770" t="n">
        <f aca="false">'wholesale services'!$D$113*'wholesale services'!$H$114/12</f>
        <v>149885.893634305</v>
      </c>
      <c r="U66" s="770" t="n">
        <v>152944.78942276</v>
      </c>
      <c r="V66" s="872" t="n">
        <f aca="false">Breakout!$G$38/12</f>
        <v>62735.5020968335</v>
      </c>
      <c r="W66" s="431" t="n">
        <f aca="false">Breakout!$G$39/12</f>
        <v>65245.7457157</v>
      </c>
      <c r="X66" s="431" t="n">
        <v>65947.3128739333</v>
      </c>
      <c r="Y66" s="872" t="n">
        <f aca="false">Breakout!$G$49/12</f>
        <v>456342.068059988</v>
      </c>
      <c r="Z66" s="873" t="n">
        <f aca="false">Breakout!$G$50/12</f>
        <v>420774.966310636</v>
      </c>
      <c r="AA66" s="873" t="n">
        <v>441994.860060619</v>
      </c>
      <c r="AB66" s="872" t="n">
        <f aca="false">Breakout!$G$60/12</f>
        <v>419869.287322011</v>
      </c>
      <c r="AC66" s="873" t="n">
        <f aca="false">Breakout!$G$61/12</f>
        <v>416866.112189503</v>
      </c>
      <c r="AD66" s="873" t="n">
        <v>429864.16468539</v>
      </c>
      <c r="AE66" s="872" t="n">
        <f aca="false">Breakout!$G$71/12</f>
        <v>318562.828032478</v>
      </c>
      <c r="AF66" s="873" t="n">
        <f aca="false">Breakout!$G$72/12</f>
        <v>316520.666666667</v>
      </c>
      <c r="AG66" s="873" t="n">
        <v>316520.666666667</v>
      </c>
      <c r="AH66" s="872" t="n">
        <f aca="false">Breakout!$G$82/12</f>
        <v>20967.7480270166</v>
      </c>
      <c r="AI66" s="873" t="n">
        <f aca="false">Breakout!$G$83/12</f>
        <v>0</v>
      </c>
      <c r="AJ66" s="873" t="n">
        <v>0</v>
      </c>
      <c r="AK66" s="874" t="n">
        <f aca="false">Breakout!$G$91/12</f>
        <v>281927.178373932</v>
      </c>
      <c r="AL66" s="874" t="n">
        <v>281927.178373932</v>
      </c>
      <c r="AM66" s="773" t="n">
        <f aca="false">(Breakout!$G$107/12)*-1</f>
        <v>55221.25</v>
      </c>
      <c r="AN66" s="773" t="n">
        <v>55221.25</v>
      </c>
      <c r="AO66" s="774" t="n">
        <f aca="false">(P66+S66+V66)+Y66+AB66+AE66+AH66</f>
        <v>4920910.74979954</v>
      </c>
      <c r="AP66" s="774" t="n">
        <f aca="false">Q66+T66+W66+AA66+AD66+AG66+AJ66+AL66+AN66</f>
        <v>4991242.25913661</v>
      </c>
      <c r="AQ66" s="775" t="n">
        <f aca="false">P66+S66+V66+Y66+AB66+AE66+AH66-Q66-T66-W66-Z66-AC66-AF66-AI66-AK66-AM66-DH66-DL66-CN66</f>
        <v>204394.593232877</v>
      </c>
      <c r="AR66" s="431"/>
      <c r="AS66" s="776" t="n">
        <f aca="false">P66+S66+V66+Y66+AB66+AE66+AH66-R66-U66-X66-AA66-AD66-AG66-AJ66-AL66-AN66-O66-L66-CN66</f>
        <v>69817.1947982875</v>
      </c>
      <c r="AT66" s="431"/>
      <c r="AU66" s="770" t="n">
        <f aca="false">'wholesale services'!$H$110/12</f>
        <v>39106610.7060185</v>
      </c>
      <c r="AV66" s="770" t="n">
        <f aca="false">'wholesale services'!$H$113/12</f>
        <v>17613.2558333333</v>
      </c>
      <c r="AW66" s="431"/>
      <c r="AX66" s="851" t="n">
        <f aca="false">IF(A66&lt;$AX$6,0,-$R$5/12)</f>
        <v>-715341.083333333</v>
      </c>
      <c r="AY66" s="417" t="n">
        <f aca="false">IF(A66&lt;$AX$6,0,-$S$5/12)</f>
        <v>-705333.333333333</v>
      </c>
      <c r="AZ66" s="431"/>
      <c r="BA66" s="772" t="n">
        <f aca="false">P66-IF($BL$4="mid",Q66,R66)-$BL$9*(IF($BL$4="mid",N66,O66)+IF($BL$4="mid",DL66,L66))</f>
        <v>495701.270496501</v>
      </c>
      <c r="BB66" s="772" t="n">
        <f aca="false">S66-IF($BL$4="mid",T66,U66)-$BM$9*(IF($BL$4="mid",N66,O66)+IF($BL$4="mid",DL66,L66))</f>
        <v>-13228.1915455144</v>
      </c>
      <c r="BC66" s="772" t="n">
        <f aca="false">V66-IF($BL$4="mid",W66,X66)-$BN$9*(IF($BL$4="mid",N66,O66)+IF($BL$4="mid",DL66,L66))</f>
        <v>-2510.24361886648</v>
      </c>
      <c r="BD66" s="772" t="n">
        <f aca="false">Y66-IF($BL$4="mid",Z66,AA66)</f>
        <v>35567.1017493524</v>
      </c>
      <c r="BE66" s="772" t="n">
        <f aca="false">AB66-IF($BL$4="mid",AC66,AD66)</f>
        <v>3003.17513250746</v>
      </c>
      <c r="BF66" s="772" t="n">
        <f aca="false">AE66-IF($BL$4="mid",AF66,AG66)</f>
        <v>2042.1613658116</v>
      </c>
      <c r="BG66" s="772" t="n">
        <f aca="false">AH66-IF($BL$4="mid",AI66,AJ66)</f>
        <v>20967.7480270166</v>
      </c>
      <c r="BH66" s="772" t="n">
        <f aca="false">-IF($BL$4="mid",AK66,AL66)</f>
        <v>-281927.178373932</v>
      </c>
      <c r="BI66" s="772" t="n">
        <f aca="false">-IF($BL$4="mid",AM66,AN66)</f>
        <v>-55221.25</v>
      </c>
      <c r="BL66" s="772" t="n">
        <f aca="false">BW66-IF($BL$4="mid",Q66,R66)-$BL$9*(IF($BL$4="mid",N66,O66)+IF($BL$4="mid",DL66,L66))</f>
        <v>642932.441024207</v>
      </c>
      <c r="BM66" s="772" t="n">
        <f aca="false">BX66-IF($BL$4="mid",T66,U66)-$BM$9*(IF($BL$4="mid",N66,O66)+IF($BL$4="mid",DL66,L66))</f>
        <v>-8011.93330446887</v>
      </c>
      <c r="BN66" s="772" t="n">
        <f aca="false">BY66-IF($BL$4="mid",W66,X66)-$BN$9*(IF($BL$4="mid",N66,O66)+IF($BL$4="mid",DL66,L66))</f>
        <v>115.436841632887</v>
      </c>
      <c r="BO66" s="772" t="n">
        <f aca="false">BZ66-IF($BL$4="mid",Z66,AA66)</f>
        <v>54666.4699118884</v>
      </c>
      <c r="BP66" s="772" t="n">
        <f aca="false">CA66-IF($BL$4="mid",AC66,AD66)</f>
        <v>20576.0413221103</v>
      </c>
      <c r="BQ66" s="772" t="n">
        <f aca="false">CB66-IF($BL$4="mid",AF66,AG66)</f>
        <v>15375.0297584998</v>
      </c>
      <c r="BR66" s="772" t="n">
        <f aca="false">CC66-IF($BL$4="mid",AI66,AJ66)</f>
        <v>21845.3150258466</v>
      </c>
      <c r="BS66" s="772" t="n">
        <f aca="false">-IF($BL$4="mid",AK66,AL66)</f>
        <v>-281927.178373932</v>
      </c>
      <c r="BT66" s="772" t="n">
        <f aca="false">-IF($BL$4="mid",AM66,AN66)</f>
        <v>-55221.25</v>
      </c>
      <c r="BW66" s="872" t="n">
        <f aca="false">Breakout!$G$15/12</f>
        <v>3665032.19251633</v>
      </c>
      <c r="BX66" s="872" t="n">
        <f aca="false">Breakout!$G$26/12</f>
        <v>129848.552513632</v>
      </c>
      <c r="BY66" s="872" t="n">
        <f aca="false">Breakout!$G$37/12</f>
        <v>65361.1825573329</v>
      </c>
      <c r="BZ66" s="872" t="n">
        <f aca="false">Breakout!$G$48/12</f>
        <v>475441.436222524</v>
      </c>
      <c r="CA66" s="872" t="n">
        <f aca="false">Breakout!$G$59/12</f>
        <v>437442.153511614</v>
      </c>
      <c r="CB66" s="872" t="n">
        <f aca="false">Breakout!$G$70/12</f>
        <v>331895.696425167</v>
      </c>
      <c r="CC66" s="872" t="n">
        <f aca="false">Breakout!$G$81/12</f>
        <v>21845.3150258466</v>
      </c>
      <c r="CE66" s="852" t="n">
        <f aca="false">P66/0.96</f>
        <v>3664376.06457148</v>
      </c>
      <c r="CF66" s="852" t="n">
        <f aca="false">S66/0.96</f>
        <v>129825.306533944</v>
      </c>
      <c r="CG66" s="852" t="n">
        <f aca="false">V66/0.96</f>
        <v>65349.4813508683</v>
      </c>
      <c r="CI66" s="852" t="n">
        <f aca="false">N66</f>
        <v>-715341.083333333</v>
      </c>
      <c r="CJ66" s="852" t="n">
        <f aca="false">O66</f>
        <v>-705333.333333333</v>
      </c>
      <c r="CL66" s="772" t="n">
        <f aca="false">'account mgt'!$G$23/12</f>
        <v>-53309.78388</v>
      </c>
      <c r="CN66" s="772" t="n">
        <v>0</v>
      </c>
      <c r="CT66" s="772" t="n">
        <f aca="false">CW65</f>
        <v>12667167.6275286</v>
      </c>
      <c r="CU66" s="772" t="n">
        <f aca="false">IF(CT66&lt;0.1,0,CT66*$L$3)</f>
        <v>99965.0645272462</v>
      </c>
      <c r="CV66" s="772" t="n">
        <f aca="false">IF(CT66&lt;0.1,0,PPMT($L$3,A66-14,unwinds!$B$8*12,$K$5))</f>
        <v>667593.81297535</v>
      </c>
      <c r="CW66" s="772" t="n">
        <f aca="false">IF(CT66-CV66&lt;0,0,CT66-CV66)</f>
        <v>11999573.8145532</v>
      </c>
      <c r="CX66" s="772" t="n">
        <f aca="false">IF(CX65-CV66&lt;0,0,CX65-CV66)</f>
        <v>11999573.8145532</v>
      </c>
      <c r="DA66" s="772" t="n">
        <f aca="false">DD65</f>
        <v>25409301.4541302</v>
      </c>
      <c r="DB66" s="772" t="n">
        <f aca="false">DA66*$L$3</f>
        <v>200521.737308844</v>
      </c>
      <c r="DC66" s="772" t="n">
        <f aca="false">PPMT($L$3,A66-14,106,$K$5)</f>
        <v>294876.33436277</v>
      </c>
      <c r="DD66" s="772" t="n">
        <f aca="false">DA66-DC66</f>
        <v>25114425.1197674</v>
      </c>
      <c r="DE66" s="772" t="n">
        <f aca="false">DE65-DC66</f>
        <v>25114425.1197674</v>
      </c>
      <c r="DH66" s="417" t="n">
        <v>-715341.083333333</v>
      </c>
      <c r="DI66" s="417" t="n">
        <v>-705333.333333333</v>
      </c>
      <c r="DJ66" s="417"/>
      <c r="DL66" s="417" t="n">
        <f aca="false">PMT($J$3,106,$I$5,,1)</f>
        <v>474832.92700925</v>
      </c>
      <c r="DN66" s="417" t="n">
        <f aca="false">IF($BL$4="mid",DH66,DI66)</f>
        <v>-715341.083333333</v>
      </c>
      <c r="DO66" s="417" t="n">
        <f aca="false">IF($BL$4="mid",DL66,L66)</f>
        <v>474832.92700925</v>
      </c>
      <c r="DQ66" s="772" t="n">
        <f aca="false">BW66-IF($BL$4="mid",Q66,R66)</f>
        <v>414449.692516328</v>
      </c>
      <c r="DR66" s="772" t="n">
        <f aca="false">BX66-IF($BL$4="mid",T66,U66)</f>
        <v>-20037.341120673</v>
      </c>
      <c r="DS66" s="772"/>
      <c r="DT66" s="772"/>
      <c r="DU66" s="772"/>
      <c r="DV66" s="772"/>
      <c r="DW66" s="772"/>
      <c r="DX66" s="772"/>
    </row>
    <row r="67" customFormat="false" ht="12.75" hidden="false" customHeight="false" outlineLevel="0" collapsed="false">
      <c r="A67" s="767" t="n">
        <v>56</v>
      </c>
      <c r="B67" s="854" t="n">
        <v>38200</v>
      </c>
      <c r="C67" s="417" t="n">
        <v>0</v>
      </c>
      <c r="D67" s="417" t="n">
        <v>0</v>
      </c>
      <c r="E67" s="417" t="n">
        <v>0</v>
      </c>
      <c r="F67" s="417" t="n">
        <v>196642.831888511</v>
      </c>
      <c r="G67" s="417" t="n">
        <v>294876.334362773</v>
      </c>
      <c r="H67" s="417" t="n">
        <v>0</v>
      </c>
      <c r="I67" s="417" t="n">
        <v>491519.166251284</v>
      </c>
      <c r="J67" s="417"/>
      <c r="K67" s="417"/>
      <c r="L67" s="417" t="n">
        <f aca="false">PMT($L$3,106,$K$5,,1)</f>
        <v>491519.166251281</v>
      </c>
      <c r="M67" s="417"/>
      <c r="N67" s="850" t="n">
        <f aca="false">IF(A67&lt;$B$8,0,-$R$5/12)</f>
        <v>-715341.083333333</v>
      </c>
      <c r="O67" s="850" t="n">
        <f aca="false">IF(A67&lt;$B$8,0,-$S$5/12)</f>
        <v>-705333.333333333</v>
      </c>
      <c r="P67" s="872" t="n">
        <f aca="false">Breakout!$G$16/12</f>
        <v>3517801.02198862</v>
      </c>
      <c r="Q67" s="770" t="n">
        <f aca="false">'wholesale services'!$D$110*'wholesale services'!$H$111/12</f>
        <v>3250582.5</v>
      </c>
      <c r="R67" s="770" t="n">
        <v>3320487.5</v>
      </c>
      <c r="S67" s="872" t="n">
        <f aca="false">Breakout!$G$27/12</f>
        <v>124632.294272586</v>
      </c>
      <c r="T67" s="770" t="n">
        <f aca="false">'wholesale services'!$D$113*'wholesale services'!$H$114/12</f>
        <v>149885.893634305</v>
      </c>
      <c r="U67" s="770" t="n">
        <v>152944.78942276</v>
      </c>
      <c r="V67" s="872" t="n">
        <f aca="false">Breakout!$G$38/12</f>
        <v>62735.5020968335</v>
      </c>
      <c r="W67" s="431" t="n">
        <f aca="false">Breakout!$G$39/12</f>
        <v>65245.7457157</v>
      </c>
      <c r="X67" s="431" t="n">
        <v>65947.3128739333</v>
      </c>
      <c r="Y67" s="872" t="n">
        <f aca="false">Breakout!$G$49/12</f>
        <v>456342.068059988</v>
      </c>
      <c r="Z67" s="873" t="n">
        <f aca="false">Breakout!$G$50/12</f>
        <v>420774.966310636</v>
      </c>
      <c r="AA67" s="873" t="n">
        <v>441994.860060619</v>
      </c>
      <c r="AB67" s="872" t="n">
        <f aca="false">Breakout!$G$60/12</f>
        <v>419869.287322011</v>
      </c>
      <c r="AC67" s="873" t="n">
        <f aca="false">Breakout!$G$61/12</f>
        <v>416866.112189503</v>
      </c>
      <c r="AD67" s="873" t="n">
        <v>429864.16468539</v>
      </c>
      <c r="AE67" s="872" t="n">
        <f aca="false">Breakout!$G$71/12</f>
        <v>318562.828032478</v>
      </c>
      <c r="AF67" s="873" t="n">
        <f aca="false">Breakout!$G$72/12</f>
        <v>316520.666666667</v>
      </c>
      <c r="AG67" s="873" t="n">
        <v>316520.666666667</v>
      </c>
      <c r="AH67" s="872" t="n">
        <f aca="false">Breakout!$G$82/12</f>
        <v>20967.7480270166</v>
      </c>
      <c r="AI67" s="873" t="n">
        <f aca="false">Breakout!$G$83/12</f>
        <v>0</v>
      </c>
      <c r="AJ67" s="873" t="n">
        <v>0</v>
      </c>
      <c r="AK67" s="874" t="n">
        <f aca="false">Breakout!$G$91/12</f>
        <v>281927.178373932</v>
      </c>
      <c r="AL67" s="874" t="n">
        <v>281927.178373932</v>
      </c>
      <c r="AM67" s="773" t="n">
        <f aca="false">(Breakout!$G$107/12)*-1</f>
        <v>55221.25</v>
      </c>
      <c r="AN67" s="773" t="n">
        <v>55221.25</v>
      </c>
      <c r="AO67" s="774" t="n">
        <f aca="false">(P67+S67+V67)+Y67+AB67+AE67+AH67</f>
        <v>4920910.74979954</v>
      </c>
      <c r="AP67" s="774" t="n">
        <f aca="false">Q67+T67+W67+AA67+AD67+AG67+AJ67+AL67+AN67</f>
        <v>4991242.25913661</v>
      </c>
      <c r="AQ67" s="775" t="n">
        <f aca="false">P67+S67+V67+Y67+AB67+AE67+AH67-Q67-T67-W67-Z67-AC67-AF67-AI67-AK67-AM67-DH67-DL67-CN67</f>
        <v>204394.593232877</v>
      </c>
      <c r="AR67" s="431"/>
      <c r="AS67" s="776" t="n">
        <f aca="false">P67+S67+V67+Y67+AB67+AE67+AH67-R67-U67-X67-AA67-AD67-AG67-AJ67-AL67-AN67-O67-L67-CN67</f>
        <v>69817.1947982875</v>
      </c>
      <c r="AT67" s="431"/>
      <c r="AU67" s="770" t="n">
        <f aca="false">'wholesale services'!$H$110/12</f>
        <v>39106610.7060185</v>
      </c>
      <c r="AV67" s="770" t="n">
        <f aca="false">'wholesale services'!$H$113/12</f>
        <v>17613.2558333333</v>
      </c>
      <c r="AW67" s="431"/>
      <c r="AX67" s="851" t="n">
        <f aca="false">IF(A67&lt;$AX$6,0,-$R$5/12)</f>
        <v>-715341.083333333</v>
      </c>
      <c r="AY67" s="417" t="n">
        <f aca="false">IF(A67&lt;$AX$6,0,-$S$5/12)</f>
        <v>-705333.333333333</v>
      </c>
      <c r="AZ67" s="431"/>
      <c r="BA67" s="772" t="n">
        <f aca="false">P67-IF($BL$4="mid",Q67,R67)-$BL$9*(IF($BL$4="mid",N67,O67)+IF($BL$4="mid",DL67,L67))</f>
        <v>495701.270496501</v>
      </c>
      <c r="BB67" s="772" t="n">
        <f aca="false">S67-IF($BL$4="mid",T67,U67)-$BM$9*(IF($BL$4="mid",N67,O67)+IF($BL$4="mid",DL67,L67))</f>
        <v>-13228.1915455144</v>
      </c>
      <c r="BC67" s="772" t="n">
        <f aca="false">V67-IF($BL$4="mid",W67,X67)-$BN$9*(IF($BL$4="mid",N67,O67)+IF($BL$4="mid",DL67,L67))</f>
        <v>-2510.24361886648</v>
      </c>
      <c r="BD67" s="772" t="n">
        <f aca="false">Y67-IF($BL$4="mid",Z67,AA67)</f>
        <v>35567.1017493524</v>
      </c>
      <c r="BE67" s="772" t="n">
        <f aca="false">AB67-IF($BL$4="mid",AC67,AD67)</f>
        <v>3003.17513250746</v>
      </c>
      <c r="BF67" s="772" t="n">
        <f aca="false">AE67-IF($BL$4="mid",AF67,AG67)</f>
        <v>2042.1613658116</v>
      </c>
      <c r="BG67" s="772" t="n">
        <f aca="false">AH67-IF($BL$4="mid",AI67,AJ67)</f>
        <v>20967.7480270166</v>
      </c>
      <c r="BH67" s="772" t="n">
        <f aca="false">-IF($BL$4="mid",AK67,AL67)</f>
        <v>-281927.178373932</v>
      </c>
      <c r="BI67" s="772" t="n">
        <f aca="false">-IF($BL$4="mid",AM67,AN67)</f>
        <v>-55221.25</v>
      </c>
      <c r="BL67" s="772" t="n">
        <f aca="false">BW67-IF($BL$4="mid",Q67,R67)-$BL$9*(IF($BL$4="mid",N67,O67)+IF($BL$4="mid",DL67,L67))</f>
        <v>642932.441024207</v>
      </c>
      <c r="BM67" s="772" t="n">
        <f aca="false">BX67-IF($BL$4="mid",T67,U67)-$BM$9*(IF($BL$4="mid",N67,O67)+IF($BL$4="mid",DL67,L67))</f>
        <v>-8011.93330446887</v>
      </c>
      <c r="BN67" s="772" t="n">
        <f aca="false">BY67-IF($BL$4="mid",W67,X67)-$BN$9*(IF($BL$4="mid",N67,O67)+IF($BL$4="mid",DL67,L67))</f>
        <v>115.436841632887</v>
      </c>
      <c r="BO67" s="772" t="n">
        <f aca="false">BZ67-IF($BL$4="mid",Z67,AA67)</f>
        <v>54666.4699118884</v>
      </c>
      <c r="BP67" s="772" t="n">
        <f aca="false">CA67-IF($BL$4="mid",AC67,AD67)</f>
        <v>20576.0413221103</v>
      </c>
      <c r="BQ67" s="772" t="n">
        <f aca="false">CB67-IF($BL$4="mid",AF67,AG67)</f>
        <v>15375.0297584998</v>
      </c>
      <c r="BR67" s="772" t="n">
        <f aca="false">CC67-IF($BL$4="mid",AI67,AJ67)</f>
        <v>21845.3150258466</v>
      </c>
      <c r="BS67" s="772" t="n">
        <f aca="false">-IF($BL$4="mid",AK67,AL67)</f>
        <v>-281927.178373932</v>
      </c>
      <c r="BT67" s="772" t="n">
        <f aca="false">-IF($BL$4="mid",AM67,AN67)</f>
        <v>-55221.25</v>
      </c>
      <c r="BW67" s="872" t="n">
        <f aca="false">Breakout!$G$15/12</f>
        <v>3665032.19251633</v>
      </c>
      <c r="BX67" s="872" t="n">
        <f aca="false">Breakout!$G$26/12</f>
        <v>129848.552513632</v>
      </c>
      <c r="BY67" s="872" t="n">
        <f aca="false">Breakout!$G$37/12</f>
        <v>65361.1825573329</v>
      </c>
      <c r="BZ67" s="872" t="n">
        <f aca="false">Breakout!$G$48/12</f>
        <v>475441.436222524</v>
      </c>
      <c r="CA67" s="872" t="n">
        <f aca="false">Breakout!$G$59/12</f>
        <v>437442.153511614</v>
      </c>
      <c r="CB67" s="872" t="n">
        <f aca="false">Breakout!$G$70/12</f>
        <v>331895.696425167</v>
      </c>
      <c r="CC67" s="872" t="n">
        <f aca="false">Breakout!$G$81/12</f>
        <v>21845.3150258466</v>
      </c>
      <c r="CE67" s="852" t="n">
        <f aca="false">P67/0.96</f>
        <v>3664376.06457148</v>
      </c>
      <c r="CF67" s="852" t="n">
        <f aca="false">S67/0.96</f>
        <v>129825.306533944</v>
      </c>
      <c r="CG67" s="852" t="n">
        <f aca="false">V67/0.96</f>
        <v>65349.4813508683</v>
      </c>
      <c r="CI67" s="852" t="n">
        <f aca="false">N67</f>
        <v>-715341.083333333</v>
      </c>
      <c r="CJ67" s="852" t="n">
        <f aca="false">O67</f>
        <v>-705333.333333333</v>
      </c>
      <c r="CL67" s="772" t="n">
        <f aca="false">'account mgt'!$G$23/12</f>
        <v>-53309.78388</v>
      </c>
      <c r="CN67" s="772" t="n">
        <v>0</v>
      </c>
      <c r="CT67" s="772" t="n">
        <f aca="false">CW66</f>
        <v>11999573.8145532</v>
      </c>
      <c r="CU67" s="772" t="n">
        <f aca="false">IF(CT67&lt;0.1,0,CT67*$L$3)</f>
        <v>94696.6366865158</v>
      </c>
      <c r="CV67" s="772" t="n">
        <f aca="false">IF(CT67&lt;0.1,0,PPMT($L$3,A67-14,unwinds!$B$8*12,$K$5))</f>
        <v>672862.24081608</v>
      </c>
      <c r="CW67" s="772" t="n">
        <f aca="false">IF(CT67-CV67&lt;0,0,CT67-CV67)</f>
        <v>11326711.5737371</v>
      </c>
      <c r="CX67" s="772" t="n">
        <f aca="false">IF(CX66-CV67&lt;0,0,CX66-CV67)</f>
        <v>11326711.5737371</v>
      </c>
      <c r="DA67" s="772" t="n">
        <f aca="false">DD66</f>
        <v>25114425.1197674</v>
      </c>
      <c r="DB67" s="772" t="n">
        <f aca="false">DA67*$L$3</f>
        <v>198194.671570165</v>
      </c>
      <c r="DC67" s="772" t="n">
        <f aca="false">PPMT($L$3,A67-14,106,$K$5)</f>
        <v>297203.400101449</v>
      </c>
      <c r="DD67" s="772" t="n">
        <f aca="false">DA67-DC67</f>
        <v>24817221.719666</v>
      </c>
      <c r="DE67" s="772" t="n">
        <f aca="false">DE66-DC67</f>
        <v>24817221.719666</v>
      </c>
      <c r="DH67" s="417" t="n">
        <v>-715341.083333333</v>
      </c>
      <c r="DI67" s="417" t="n">
        <v>-705333.333333333</v>
      </c>
      <c r="DJ67" s="417"/>
      <c r="DL67" s="417" t="n">
        <f aca="false">PMT($J$3,106,$I$5,,1)</f>
        <v>474832.92700925</v>
      </c>
      <c r="DN67" s="417" t="n">
        <f aca="false">IF($BL$4="mid",DH67,DI67)</f>
        <v>-715341.083333333</v>
      </c>
      <c r="DO67" s="417" t="n">
        <f aca="false">IF($BL$4="mid",DL67,L67)</f>
        <v>474832.92700925</v>
      </c>
      <c r="DQ67" s="772" t="n">
        <f aca="false">BW67-IF($BL$4="mid",Q67,R67)</f>
        <v>414449.692516328</v>
      </c>
      <c r="DR67" s="772" t="n">
        <f aca="false">BX67-IF($BL$4="mid",T67,U67)</f>
        <v>-20037.341120673</v>
      </c>
      <c r="DS67" s="772"/>
      <c r="DT67" s="772"/>
      <c r="DU67" s="772"/>
      <c r="DV67" s="772"/>
      <c r="DW67" s="772"/>
      <c r="DX67" s="772"/>
    </row>
    <row r="68" customFormat="false" ht="12.75" hidden="false" customHeight="false" outlineLevel="0" collapsed="false">
      <c r="A68" s="767" t="n">
        <v>57</v>
      </c>
      <c r="B68" s="854" t="n">
        <v>38231</v>
      </c>
      <c r="C68" s="417" t="n">
        <v>0</v>
      </c>
      <c r="D68" s="417" t="n">
        <v>0</v>
      </c>
      <c r="E68" s="417" t="n">
        <v>0</v>
      </c>
      <c r="F68" s="417" t="n">
        <v>194315.766149831</v>
      </c>
      <c r="G68" s="417" t="n">
        <v>297203.400101453</v>
      </c>
      <c r="H68" s="417" t="n">
        <v>0</v>
      </c>
      <c r="I68" s="417" t="n">
        <v>491519.166251284</v>
      </c>
      <c r="J68" s="417"/>
      <c r="K68" s="417"/>
      <c r="L68" s="417" t="n">
        <f aca="false">PMT($L$3,106,$K$5,,1)</f>
        <v>491519.166251281</v>
      </c>
      <c r="M68" s="417"/>
      <c r="N68" s="850" t="n">
        <f aca="false">IF(A68&lt;$B$8,0,-$R$5/12)</f>
        <v>-715341.083333333</v>
      </c>
      <c r="O68" s="850" t="n">
        <f aca="false">IF(A68&lt;$B$8,0,-$S$5/12)</f>
        <v>-705333.333333333</v>
      </c>
      <c r="P68" s="872" t="n">
        <f aca="false">Breakout!$G$16/12</f>
        <v>3517801.02198862</v>
      </c>
      <c r="Q68" s="770" t="n">
        <f aca="false">'wholesale services'!$D$110*'wholesale services'!$H$111/12</f>
        <v>3250582.5</v>
      </c>
      <c r="R68" s="770" t="n">
        <v>3320487.5</v>
      </c>
      <c r="S68" s="872" t="n">
        <f aca="false">Breakout!$G$27/12</f>
        <v>124632.294272586</v>
      </c>
      <c r="T68" s="770" t="n">
        <f aca="false">'wholesale services'!$D$113*'wholesale services'!$H$114/12</f>
        <v>149885.893634305</v>
      </c>
      <c r="U68" s="770" t="n">
        <v>152944.78942276</v>
      </c>
      <c r="V68" s="872" t="n">
        <f aca="false">Breakout!$G$38/12</f>
        <v>62735.5020968335</v>
      </c>
      <c r="W68" s="431" t="n">
        <f aca="false">Breakout!$G$39/12</f>
        <v>65245.7457157</v>
      </c>
      <c r="X68" s="431" t="n">
        <v>65947.3128739333</v>
      </c>
      <c r="Y68" s="872" t="n">
        <f aca="false">Breakout!$G$49/12</f>
        <v>456342.068059988</v>
      </c>
      <c r="Z68" s="873" t="n">
        <f aca="false">Breakout!$G$50/12</f>
        <v>420774.966310636</v>
      </c>
      <c r="AA68" s="873" t="n">
        <v>441994.860060619</v>
      </c>
      <c r="AB68" s="872" t="n">
        <f aca="false">Breakout!$G$60/12</f>
        <v>419869.287322011</v>
      </c>
      <c r="AC68" s="873" t="n">
        <f aca="false">Breakout!$G$61/12</f>
        <v>416866.112189503</v>
      </c>
      <c r="AD68" s="873" t="n">
        <v>429864.16468539</v>
      </c>
      <c r="AE68" s="872" t="n">
        <f aca="false">Breakout!$G$71/12</f>
        <v>318562.828032478</v>
      </c>
      <c r="AF68" s="873" t="n">
        <f aca="false">Breakout!$G$72/12</f>
        <v>316520.666666667</v>
      </c>
      <c r="AG68" s="873" t="n">
        <v>316520.666666667</v>
      </c>
      <c r="AH68" s="872" t="n">
        <f aca="false">Breakout!$G$82/12</f>
        <v>20967.7480270166</v>
      </c>
      <c r="AI68" s="873" t="n">
        <f aca="false">Breakout!$G$83/12</f>
        <v>0</v>
      </c>
      <c r="AJ68" s="873" t="n">
        <v>0</v>
      </c>
      <c r="AK68" s="874" t="n">
        <f aca="false">Breakout!$G$91/12</f>
        <v>281927.178373932</v>
      </c>
      <c r="AL68" s="874" t="n">
        <v>281927.178373932</v>
      </c>
      <c r="AM68" s="773" t="n">
        <f aca="false">(Breakout!$G$107/12)*-1</f>
        <v>55221.25</v>
      </c>
      <c r="AN68" s="773" t="n">
        <v>55221.25</v>
      </c>
      <c r="AO68" s="774" t="n">
        <f aca="false">(P68+S68+V68)+Y68+AB68+AE68+AH68</f>
        <v>4920910.74979954</v>
      </c>
      <c r="AP68" s="774" t="n">
        <f aca="false">Q68+T68+W68+AA68+AD68+AG68+AJ68+AL68+AN68</f>
        <v>4991242.25913661</v>
      </c>
      <c r="AQ68" s="775" t="n">
        <f aca="false">P68+S68+V68+Y68+AB68+AE68+AH68-Q68-T68-W68-Z68-AC68-AF68-AI68-AK68-AM68-DH68-DL68-CN68</f>
        <v>204394.593232877</v>
      </c>
      <c r="AR68" s="431"/>
      <c r="AS68" s="776" t="n">
        <f aca="false">P68+S68+V68+Y68+AB68+AE68+AH68-R68-U68-X68-AA68-AD68-AG68-AJ68-AL68-AN68-O68-L68-CN68</f>
        <v>69817.1947982875</v>
      </c>
      <c r="AT68" s="431"/>
      <c r="AU68" s="770" t="n">
        <f aca="false">'wholesale services'!$H$110/12</f>
        <v>39106610.7060185</v>
      </c>
      <c r="AV68" s="770" t="n">
        <f aca="false">'wholesale services'!$H$113/12</f>
        <v>17613.2558333333</v>
      </c>
      <c r="AW68" s="431"/>
      <c r="AX68" s="851" t="n">
        <f aca="false">IF(A68&lt;$AX$6,0,-$R$5/12)</f>
        <v>-715341.083333333</v>
      </c>
      <c r="AY68" s="417" t="n">
        <f aca="false">IF(A68&lt;$AX$6,0,-$S$5/12)</f>
        <v>-705333.333333333</v>
      </c>
      <c r="AZ68" s="431"/>
      <c r="BA68" s="772" t="n">
        <f aca="false">P68-IF($BL$4="mid",Q68,R68)-$BL$9*(IF($BL$4="mid",N68,O68)+IF($BL$4="mid",DL68,L68))</f>
        <v>495701.270496501</v>
      </c>
      <c r="BB68" s="772" t="n">
        <f aca="false">S68-IF($BL$4="mid",T68,U68)-$BM$9*(IF($BL$4="mid",N68,O68)+IF($BL$4="mid",DL68,L68))</f>
        <v>-13228.1915455144</v>
      </c>
      <c r="BC68" s="772" t="n">
        <f aca="false">V68-IF($BL$4="mid",W68,X68)-$BN$9*(IF($BL$4="mid",N68,O68)+IF($BL$4="mid",DL68,L68))</f>
        <v>-2510.24361886648</v>
      </c>
      <c r="BD68" s="772" t="n">
        <f aca="false">Y68-IF($BL$4="mid",Z68,AA68)</f>
        <v>35567.1017493524</v>
      </c>
      <c r="BE68" s="772" t="n">
        <f aca="false">AB68-IF($BL$4="mid",AC68,AD68)</f>
        <v>3003.17513250746</v>
      </c>
      <c r="BF68" s="772" t="n">
        <f aca="false">AE68-IF($BL$4="mid",AF68,AG68)</f>
        <v>2042.1613658116</v>
      </c>
      <c r="BG68" s="772" t="n">
        <f aca="false">AH68-IF($BL$4="mid",AI68,AJ68)</f>
        <v>20967.7480270166</v>
      </c>
      <c r="BH68" s="772" t="n">
        <f aca="false">-IF($BL$4="mid",AK68,AL68)</f>
        <v>-281927.178373932</v>
      </c>
      <c r="BI68" s="772" t="n">
        <f aca="false">-IF($BL$4="mid",AM68,AN68)</f>
        <v>-55221.25</v>
      </c>
      <c r="BL68" s="772" t="n">
        <f aca="false">BW68-IF($BL$4="mid",Q68,R68)-$BL$9*(IF($BL$4="mid",N68,O68)+IF($BL$4="mid",DL68,L68))</f>
        <v>642932.441024207</v>
      </c>
      <c r="BM68" s="772" t="n">
        <f aca="false">BX68-IF($BL$4="mid",T68,U68)-$BM$9*(IF($BL$4="mid",N68,O68)+IF($BL$4="mid",DL68,L68))</f>
        <v>-8011.93330446887</v>
      </c>
      <c r="BN68" s="772" t="n">
        <f aca="false">BY68-IF($BL$4="mid",W68,X68)-$BN$9*(IF($BL$4="mid",N68,O68)+IF($BL$4="mid",DL68,L68))</f>
        <v>115.436841632887</v>
      </c>
      <c r="BO68" s="772" t="n">
        <f aca="false">BZ68-IF($BL$4="mid",Z68,AA68)</f>
        <v>54666.4699118884</v>
      </c>
      <c r="BP68" s="772" t="n">
        <f aca="false">CA68-IF($BL$4="mid",AC68,AD68)</f>
        <v>20576.0413221103</v>
      </c>
      <c r="BQ68" s="772" t="n">
        <f aca="false">CB68-IF($BL$4="mid",AF68,AG68)</f>
        <v>15375.0297584998</v>
      </c>
      <c r="BR68" s="772" t="n">
        <f aca="false">CC68-IF($BL$4="mid",AI68,AJ68)</f>
        <v>21845.3150258466</v>
      </c>
      <c r="BS68" s="772" t="n">
        <f aca="false">-IF($BL$4="mid",AK68,AL68)</f>
        <v>-281927.178373932</v>
      </c>
      <c r="BT68" s="772" t="n">
        <f aca="false">-IF($BL$4="mid",AM68,AN68)</f>
        <v>-55221.25</v>
      </c>
      <c r="BW68" s="872" t="n">
        <f aca="false">Breakout!$G$15/12</f>
        <v>3665032.19251633</v>
      </c>
      <c r="BX68" s="872" t="n">
        <f aca="false">Breakout!$G$26/12</f>
        <v>129848.552513632</v>
      </c>
      <c r="BY68" s="872" t="n">
        <f aca="false">Breakout!$G$37/12</f>
        <v>65361.1825573329</v>
      </c>
      <c r="BZ68" s="872" t="n">
        <f aca="false">Breakout!$G$48/12</f>
        <v>475441.436222524</v>
      </c>
      <c r="CA68" s="872" t="n">
        <f aca="false">Breakout!$G$59/12</f>
        <v>437442.153511614</v>
      </c>
      <c r="CB68" s="872" t="n">
        <f aca="false">Breakout!$G$70/12</f>
        <v>331895.696425167</v>
      </c>
      <c r="CC68" s="872" t="n">
        <f aca="false">Breakout!$G$81/12</f>
        <v>21845.3150258466</v>
      </c>
      <c r="CE68" s="852" t="n">
        <f aca="false">P68/0.96</f>
        <v>3664376.06457148</v>
      </c>
      <c r="CF68" s="852" t="n">
        <f aca="false">S68/0.96</f>
        <v>129825.306533944</v>
      </c>
      <c r="CG68" s="852" t="n">
        <f aca="false">V68/0.96</f>
        <v>65349.4813508683</v>
      </c>
      <c r="CI68" s="852" t="n">
        <f aca="false">N68</f>
        <v>-715341.083333333</v>
      </c>
      <c r="CJ68" s="852" t="n">
        <f aca="false">O68</f>
        <v>-705333.333333333</v>
      </c>
      <c r="CL68" s="772" t="n">
        <f aca="false">'account mgt'!$G$23/12</f>
        <v>-53309.78388</v>
      </c>
      <c r="CN68" s="772" t="n">
        <v>0</v>
      </c>
      <c r="CT68" s="772" t="n">
        <f aca="false">CW67</f>
        <v>11326711.5737371</v>
      </c>
      <c r="CU68" s="772" t="n">
        <f aca="false">IF(CT68&lt;0.1,0,CT68*$L$3)</f>
        <v>89386.6321694089</v>
      </c>
      <c r="CV68" s="772" t="n">
        <f aca="false">IF(CT68&lt;0.1,0,PPMT($L$3,A68-14,unwinds!$B$8*12,$K$5))</f>
        <v>678172.245333187</v>
      </c>
      <c r="CW68" s="772" t="n">
        <f aca="false">IF(CT68-CV68&lt;0,0,CT68-CV68)</f>
        <v>10648539.3284039</v>
      </c>
      <c r="CX68" s="772" t="n">
        <f aca="false">IF(CX67-CV68&lt;0,0,CX67-CV68)</f>
        <v>10648539.3284039</v>
      </c>
      <c r="DA68" s="772" t="n">
        <f aca="false">DD67</f>
        <v>24817221.719666</v>
      </c>
      <c r="DB68" s="772" t="n">
        <f aca="false">DA68*$L$3</f>
        <v>195849.241404364</v>
      </c>
      <c r="DC68" s="772" t="n">
        <f aca="false">PPMT($L$3,A68-14,106,$K$5)</f>
        <v>299548.83026725</v>
      </c>
      <c r="DD68" s="772" t="n">
        <f aca="false">DA68-DC68</f>
        <v>24517672.8893987</v>
      </c>
      <c r="DE68" s="772" t="n">
        <f aca="false">DE67-DC68</f>
        <v>24517672.8893987</v>
      </c>
      <c r="DH68" s="417" t="n">
        <v>-715341.083333333</v>
      </c>
      <c r="DI68" s="417" t="n">
        <v>-705333.333333333</v>
      </c>
      <c r="DJ68" s="417"/>
      <c r="DL68" s="417" t="n">
        <f aca="false">PMT($J$3,106,$I$5,,1)</f>
        <v>474832.92700925</v>
      </c>
      <c r="DN68" s="417" t="n">
        <f aca="false">IF($BL$4="mid",DH68,DI68)</f>
        <v>-715341.083333333</v>
      </c>
      <c r="DO68" s="417" t="n">
        <f aca="false">IF($BL$4="mid",DL68,L68)</f>
        <v>474832.92700925</v>
      </c>
      <c r="DQ68" s="772" t="n">
        <f aca="false">BW68-IF($BL$4="mid",Q68,R68)</f>
        <v>414449.692516328</v>
      </c>
      <c r="DR68" s="772" t="n">
        <f aca="false">BX68-IF($BL$4="mid",T68,U68)</f>
        <v>-20037.341120673</v>
      </c>
      <c r="DS68" s="772"/>
      <c r="DT68" s="772"/>
      <c r="DU68" s="772"/>
      <c r="DV68" s="772"/>
      <c r="DW68" s="772"/>
      <c r="DX68" s="772"/>
    </row>
    <row r="69" customFormat="false" ht="12.75" hidden="false" customHeight="false" outlineLevel="0" collapsed="false">
      <c r="A69" s="767" t="n">
        <v>58</v>
      </c>
      <c r="B69" s="854" t="n">
        <v>38261</v>
      </c>
      <c r="C69" s="417" t="n">
        <v>0</v>
      </c>
      <c r="D69" s="417" t="n">
        <v>0</v>
      </c>
      <c r="E69" s="417" t="n">
        <v>0</v>
      </c>
      <c r="F69" s="417" t="n">
        <v>191970.33598403</v>
      </c>
      <c r="G69" s="417" t="n">
        <v>299548.830267253</v>
      </c>
      <c r="H69" s="417" t="n">
        <v>0</v>
      </c>
      <c r="I69" s="417" t="n">
        <v>491519.166251284</v>
      </c>
      <c r="J69" s="417"/>
      <c r="K69" s="417"/>
      <c r="L69" s="417" t="n">
        <f aca="false">PMT($L$3,106,$K$5,,1)</f>
        <v>491519.166251281</v>
      </c>
      <c r="M69" s="417"/>
      <c r="N69" s="850" t="n">
        <f aca="false">IF(A69&lt;$B$8,0,-$R$5/12)</f>
        <v>-715341.083333333</v>
      </c>
      <c r="O69" s="850" t="n">
        <f aca="false">IF(A69&lt;$B$8,0,-$S$5/12)</f>
        <v>-705333.333333333</v>
      </c>
      <c r="P69" s="872" t="n">
        <f aca="false">Breakout!$G$16/12</f>
        <v>3517801.02198862</v>
      </c>
      <c r="Q69" s="770" t="n">
        <f aca="false">'wholesale services'!$D$110*'wholesale services'!$H$111/12</f>
        <v>3250582.5</v>
      </c>
      <c r="R69" s="770" t="n">
        <v>3320487.5</v>
      </c>
      <c r="S69" s="872" t="n">
        <f aca="false">Breakout!$G$27/12</f>
        <v>124632.294272586</v>
      </c>
      <c r="T69" s="770" t="n">
        <f aca="false">'wholesale services'!$D$113*'wholesale services'!$H$114/12</f>
        <v>149885.893634305</v>
      </c>
      <c r="U69" s="770" t="n">
        <v>152944.78942276</v>
      </c>
      <c r="V69" s="872" t="n">
        <f aca="false">Breakout!$G$38/12</f>
        <v>62735.5020968335</v>
      </c>
      <c r="W69" s="431" t="n">
        <f aca="false">Breakout!$G$39/12</f>
        <v>65245.7457157</v>
      </c>
      <c r="X69" s="431" t="n">
        <v>65947.3128739333</v>
      </c>
      <c r="Y69" s="872" t="n">
        <f aca="false">Breakout!$G$49/12</f>
        <v>456342.068059988</v>
      </c>
      <c r="Z69" s="873" t="n">
        <f aca="false">Breakout!$G$50/12</f>
        <v>420774.966310636</v>
      </c>
      <c r="AA69" s="873" t="n">
        <v>441994.860060619</v>
      </c>
      <c r="AB69" s="872" t="n">
        <f aca="false">Breakout!$G$60/12</f>
        <v>419869.287322011</v>
      </c>
      <c r="AC69" s="873" t="n">
        <f aca="false">Breakout!$G$61/12</f>
        <v>416866.112189503</v>
      </c>
      <c r="AD69" s="873" t="n">
        <v>429864.16468539</v>
      </c>
      <c r="AE69" s="872" t="n">
        <f aca="false">Breakout!$G$71/12</f>
        <v>318562.828032478</v>
      </c>
      <c r="AF69" s="873" t="n">
        <f aca="false">Breakout!$G$72/12</f>
        <v>316520.666666667</v>
      </c>
      <c r="AG69" s="873" t="n">
        <v>316520.666666667</v>
      </c>
      <c r="AH69" s="872" t="n">
        <f aca="false">Breakout!$G$82/12</f>
        <v>20967.7480270166</v>
      </c>
      <c r="AI69" s="873" t="n">
        <f aca="false">Breakout!$G$83/12</f>
        <v>0</v>
      </c>
      <c r="AJ69" s="873" t="n">
        <v>0</v>
      </c>
      <c r="AK69" s="874" t="n">
        <f aca="false">Breakout!$G$91/12</f>
        <v>281927.178373932</v>
      </c>
      <c r="AL69" s="874" t="n">
        <v>281927.178373932</v>
      </c>
      <c r="AM69" s="773" t="n">
        <f aca="false">(Breakout!$G$107/12)*-1</f>
        <v>55221.25</v>
      </c>
      <c r="AN69" s="773" t="n">
        <v>55221.25</v>
      </c>
      <c r="AO69" s="774" t="n">
        <f aca="false">(P69+S69+V69)+Y69+AB69+AE69+AH69</f>
        <v>4920910.74979954</v>
      </c>
      <c r="AP69" s="774" t="n">
        <f aca="false">Q69+T69+W69+AA69+AD69+AG69+AJ69+AL69+AN69</f>
        <v>4991242.25913661</v>
      </c>
      <c r="AQ69" s="775" t="n">
        <f aca="false">P69+S69+V69+Y69+AB69+AE69+AH69-Q69-T69-W69-Z69-AC69-AF69-AI69-AK69-AM69-DH69-DL69-CN69</f>
        <v>204394.593232877</v>
      </c>
      <c r="AR69" s="431"/>
      <c r="AS69" s="776" t="n">
        <f aca="false">P69+S69+V69+Y69+AB69+AE69+AH69-R69-U69-X69-AA69-AD69-AG69-AJ69-AL69-AN69-O69-L69-CN69</f>
        <v>69817.1947982875</v>
      </c>
      <c r="AT69" s="431"/>
      <c r="AU69" s="770" t="n">
        <f aca="false">'wholesale services'!$H$110/12</f>
        <v>39106610.7060185</v>
      </c>
      <c r="AV69" s="770" t="n">
        <f aca="false">'wholesale services'!$H$113/12</f>
        <v>17613.2558333333</v>
      </c>
      <c r="AW69" s="431"/>
      <c r="AX69" s="851" t="n">
        <f aca="false">IF(A69&lt;$AX$6,0,-$R$5/12)</f>
        <v>-715341.083333333</v>
      </c>
      <c r="AY69" s="417" t="n">
        <f aca="false">IF(A69&lt;$AX$6,0,-$S$5/12)</f>
        <v>-705333.333333333</v>
      </c>
      <c r="AZ69" s="431"/>
      <c r="BA69" s="772" t="n">
        <f aca="false">P69-IF($BL$4="mid",Q69,R69)-$BL$9*(IF($BL$4="mid",N69,O69)+IF($BL$4="mid",DL69,L69))</f>
        <v>495701.270496501</v>
      </c>
      <c r="BB69" s="772" t="n">
        <f aca="false">S69-IF($BL$4="mid",T69,U69)-$BM$9*(IF($BL$4="mid",N69,O69)+IF($BL$4="mid",DL69,L69))</f>
        <v>-13228.1915455144</v>
      </c>
      <c r="BC69" s="772" t="n">
        <f aca="false">V69-IF($BL$4="mid",W69,X69)-$BN$9*(IF($BL$4="mid",N69,O69)+IF($BL$4="mid",DL69,L69))</f>
        <v>-2510.24361886648</v>
      </c>
      <c r="BD69" s="772" t="n">
        <f aca="false">Y69-IF($BL$4="mid",Z69,AA69)</f>
        <v>35567.1017493524</v>
      </c>
      <c r="BE69" s="772" t="n">
        <f aca="false">AB69-IF($BL$4="mid",AC69,AD69)</f>
        <v>3003.17513250746</v>
      </c>
      <c r="BF69" s="772" t="n">
        <f aca="false">AE69-IF($BL$4="mid",AF69,AG69)</f>
        <v>2042.1613658116</v>
      </c>
      <c r="BG69" s="772" t="n">
        <f aca="false">AH69-IF($BL$4="mid",AI69,AJ69)</f>
        <v>20967.7480270166</v>
      </c>
      <c r="BH69" s="772" t="n">
        <f aca="false">-IF($BL$4="mid",AK69,AL69)</f>
        <v>-281927.178373932</v>
      </c>
      <c r="BI69" s="772" t="n">
        <f aca="false">-IF($BL$4="mid",AM69,AN69)</f>
        <v>-55221.25</v>
      </c>
      <c r="BL69" s="772" t="n">
        <f aca="false">BW69-IF($BL$4="mid",Q69,R69)-$BL$9*(IF($BL$4="mid",N69,O69)+IF($BL$4="mid",DL69,L69))</f>
        <v>642932.441024207</v>
      </c>
      <c r="BM69" s="772" t="n">
        <f aca="false">BX69-IF($BL$4="mid",T69,U69)-$BM$9*(IF($BL$4="mid",N69,O69)+IF($BL$4="mid",DL69,L69))</f>
        <v>-8011.93330446887</v>
      </c>
      <c r="BN69" s="772" t="n">
        <f aca="false">BY69-IF($BL$4="mid",W69,X69)-$BN$9*(IF($BL$4="mid",N69,O69)+IF($BL$4="mid",DL69,L69))</f>
        <v>115.436841632887</v>
      </c>
      <c r="BO69" s="772" t="n">
        <f aca="false">BZ69-IF($BL$4="mid",Z69,AA69)</f>
        <v>54666.4699118884</v>
      </c>
      <c r="BP69" s="772" t="n">
        <f aca="false">CA69-IF($BL$4="mid",AC69,AD69)</f>
        <v>20576.0413221103</v>
      </c>
      <c r="BQ69" s="772" t="n">
        <f aca="false">CB69-IF($BL$4="mid",AF69,AG69)</f>
        <v>15375.0297584998</v>
      </c>
      <c r="BR69" s="772" t="n">
        <f aca="false">CC69-IF($BL$4="mid",AI69,AJ69)</f>
        <v>21845.3150258466</v>
      </c>
      <c r="BS69" s="772" t="n">
        <f aca="false">-IF($BL$4="mid",AK69,AL69)</f>
        <v>-281927.178373932</v>
      </c>
      <c r="BT69" s="772" t="n">
        <f aca="false">-IF($BL$4="mid",AM69,AN69)</f>
        <v>-55221.25</v>
      </c>
      <c r="BW69" s="872" t="n">
        <f aca="false">Breakout!$G$15/12</f>
        <v>3665032.19251633</v>
      </c>
      <c r="BX69" s="872" t="n">
        <f aca="false">Breakout!$G$26/12</f>
        <v>129848.552513632</v>
      </c>
      <c r="BY69" s="872" t="n">
        <f aca="false">Breakout!$G$37/12</f>
        <v>65361.1825573329</v>
      </c>
      <c r="BZ69" s="872" t="n">
        <f aca="false">Breakout!$G$48/12</f>
        <v>475441.436222524</v>
      </c>
      <c r="CA69" s="872" t="n">
        <f aca="false">Breakout!$G$59/12</f>
        <v>437442.153511614</v>
      </c>
      <c r="CB69" s="872" t="n">
        <f aca="false">Breakout!$G$70/12</f>
        <v>331895.696425167</v>
      </c>
      <c r="CC69" s="872" t="n">
        <f aca="false">Breakout!$G$81/12</f>
        <v>21845.3150258466</v>
      </c>
      <c r="CE69" s="852" t="n">
        <f aca="false">P69/0.96</f>
        <v>3664376.06457148</v>
      </c>
      <c r="CF69" s="852" t="n">
        <f aca="false">S69/0.96</f>
        <v>129825.306533944</v>
      </c>
      <c r="CG69" s="852" t="n">
        <f aca="false">V69/0.96</f>
        <v>65349.4813508683</v>
      </c>
      <c r="CI69" s="852" t="n">
        <f aca="false">N69</f>
        <v>-715341.083333333</v>
      </c>
      <c r="CJ69" s="852" t="n">
        <f aca="false">O69</f>
        <v>-705333.333333333</v>
      </c>
      <c r="CL69" s="772" t="n">
        <f aca="false">'account mgt'!$G$23/12</f>
        <v>-53309.78388</v>
      </c>
      <c r="CN69" s="772" t="n">
        <v>0</v>
      </c>
      <c r="CT69" s="772" t="n">
        <f aca="false">CW68</f>
        <v>10648539.3284039</v>
      </c>
      <c r="CU69" s="772" t="n">
        <f aca="false">IF(CT69&lt;0.1,0,CT69*$L$3)</f>
        <v>84034.7228666545</v>
      </c>
      <c r="CV69" s="772" t="n">
        <f aca="false">IF(CT69&lt;0.1,0,PPMT($L$3,A69-14,unwinds!$B$8*12,$K$5))</f>
        <v>683524.154635942</v>
      </c>
      <c r="CW69" s="772" t="n">
        <f aca="false">IF(CT69-CV69&lt;0,0,CT69-CV69)</f>
        <v>9965015.173768</v>
      </c>
      <c r="CX69" s="772" t="n">
        <f aca="false">IF(CX68-CV69&lt;0,0,CX68-CV69)</f>
        <v>9965015.173768</v>
      </c>
      <c r="DA69" s="772" t="n">
        <f aca="false">DD68</f>
        <v>24517672.8893987</v>
      </c>
      <c r="DB69" s="772" t="n">
        <f aca="false">DA69*$L$3</f>
        <v>193485.301885505</v>
      </c>
      <c r="DC69" s="772" t="n">
        <f aca="false">PPMT($L$3,A69-14,106,$K$5)</f>
        <v>301912.769786109</v>
      </c>
      <c r="DD69" s="772" t="n">
        <f aca="false">DA69-DC69</f>
        <v>24215760.1196126</v>
      </c>
      <c r="DE69" s="772" t="n">
        <f aca="false">DE68-DC69</f>
        <v>24215760.1196126</v>
      </c>
      <c r="DH69" s="417" t="n">
        <v>-715341.083333333</v>
      </c>
      <c r="DI69" s="417" t="n">
        <v>-705333.333333333</v>
      </c>
      <c r="DJ69" s="417"/>
      <c r="DL69" s="417" t="n">
        <f aca="false">PMT($J$3,106,$I$5,,1)</f>
        <v>474832.92700925</v>
      </c>
      <c r="DN69" s="417" t="n">
        <f aca="false">IF($BL$4="mid",DH69,DI69)</f>
        <v>-715341.083333333</v>
      </c>
      <c r="DO69" s="417" t="n">
        <f aca="false">IF($BL$4="mid",DL69,L69)</f>
        <v>474832.92700925</v>
      </c>
      <c r="DQ69" s="772" t="n">
        <f aca="false">BW69-IF($BL$4="mid",Q69,R69)</f>
        <v>414449.692516328</v>
      </c>
      <c r="DR69" s="772" t="n">
        <f aca="false">BX69-IF($BL$4="mid",T69,U69)</f>
        <v>-20037.341120673</v>
      </c>
      <c r="DS69" s="772"/>
      <c r="DT69" s="772"/>
      <c r="DU69" s="772"/>
      <c r="DV69" s="772"/>
      <c r="DW69" s="772"/>
      <c r="DX69" s="772"/>
    </row>
    <row r="70" customFormat="false" ht="12.75" hidden="false" customHeight="false" outlineLevel="0" collapsed="false">
      <c r="A70" s="767" t="n">
        <v>59</v>
      </c>
      <c r="B70" s="854" t="n">
        <v>38292</v>
      </c>
      <c r="C70" s="417" t="n">
        <v>0</v>
      </c>
      <c r="D70" s="417" t="n">
        <v>0</v>
      </c>
      <c r="E70" s="417" t="n">
        <v>0</v>
      </c>
      <c r="F70" s="417" t="n">
        <v>189606.396465171</v>
      </c>
      <c r="G70" s="417" t="n">
        <v>301912.769786112</v>
      </c>
      <c r="H70" s="417" t="n">
        <v>0</v>
      </c>
      <c r="I70" s="417" t="n">
        <v>491519.166251284</v>
      </c>
      <c r="J70" s="417"/>
      <c r="K70" s="417"/>
      <c r="L70" s="417" t="n">
        <f aca="false">PMT($L$3,106,$K$5,,1)</f>
        <v>491519.166251281</v>
      </c>
      <c r="M70" s="417"/>
      <c r="N70" s="850" t="n">
        <f aca="false">IF(A70&lt;$B$8,0,-$R$5/12)</f>
        <v>-715341.083333333</v>
      </c>
      <c r="O70" s="850" t="n">
        <f aca="false">IF(A70&lt;$B$8,0,-$S$5/12)</f>
        <v>-705333.333333333</v>
      </c>
      <c r="P70" s="872" t="n">
        <f aca="false">Breakout!$G$16/12</f>
        <v>3517801.02198862</v>
      </c>
      <c r="Q70" s="770" t="n">
        <f aca="false">'wholesale services'!$D$110*'wholesale services'!$H$111/12</f>
        <v>3250582.5</v>
      </c>
      <c r="R70" s="770" t="n">
        <v>3320487.5</v>
      </c>
      <c r="S70" s="872" t="n">
        <f aca="false">Breakout!$G$27/12</f>
        <v>124632.294272586</v>
      </c>
      <c r="T70" s="770" t="n">
        <f aca="false">'wholesale services'!$D$113*'wholesale services'!$H$114/12</f>
        <v>149885.893634305</v>
      </c>
      <c r="U70" s="770" t="n">
        <v>152944.78942276</v>
      </c>
      <c r="V70" s="872" t="n">
        <f aca="false">Breakout!$G$38/12</f>
        <v>62735.5020968335</v>
      </c>
      <c r="W70" s="431" t="n">
        <f aca="false">Breakout!$G$39/12</f>
        <v>65245.7457157</v>
      </c>
      <c r="X70" s="431" t="n">
        <v>65947.3128739333</v>
      </c>
      <c r="Y70" s="872" t="n">
        <f aca="false">Breakout!$G$49/12</f>
        <v>456342.068059988</v>
      </c>
      <c r="Z70" s="873" t="n">
        <f aca="false">Breakout!$G$50/12</f>
        <v>420774.966310636</v>
      </c>
      <c r="AA70" s="873" t="n">
        <v>441994.860060619</v>
      </c>
      <c r="AB70" s="872" t="n">
        <f aca="false">Breakout!$G$60/12</f>
        <v>419869.287322011</v>
      </c>
      <c r="AC70" s="873" t="n">
        <f aca="false">Breakout!$G$61/12</f>
        <v>416866.112189503</v>
      </c>
      <c r="AD70" s="873" t="n">
        <v>429864.16468539</v>
      </c>
      <c r="AE70" s="872" t="n">
        <f aca="false">Breakout!$G$71/12</f>
        <v>318562.828032478</v>
      </c>
      <c r="AF70" s="873" t="n">
        <f aca="false">Breakout!$G$72/12</f>
        <v>316520.666666667</v>
      </c>
      <c r="AG70" s="873" t="n">
        <v>316520.666666667</v>
      </c>
      <c r="AH70" s="872" t="n">
        <f aca="false">Breakout!$G$82/12</f>
        <v>20967.7480270166</v>
      </c>
      <c r="AI70" s="873" t="n">
        <f aca="false">Breakout!$G$83/12</f>
        <v>0</v>
      </c>
      <c r="AJ70" s="873" t="n">
        <v>0</v>
      </c>
      <c r="AK70" s="874" t="n">
        <f aca="false">Breakout!$G$91/12</f>
        <v>281927.178373932</v>
      </c>
      <c r="AL70" s="874" t="n">
        <v>281927.178373932</v>
      </c>
      <c r="AM70" s="773" t="n">
        <f aca="false">(Breakout!$G$107/12)*-1</f>
        <v>55221.25</v>
      </c>
      <c r="AN70" s="773" t="n">
        <v>55221.25</v>
      </c>
      <c r="AO70" s="774" t="n">
        <f aca="false">(P70+S70+V70)+Y70+AB70+AE70+AH70</f>
        <v>4920910.74979954</v>
      </c>
      <c r="AP70" s="774" t="n">
        <f aca="false">Q70+T70+W70+AA70+AD70+AG70+AJ70+AL70+AN70</f>
        <v>4991242.25913661</v>
      </c>
      <c r="AQ70" s="775" t="n">
        <f aca="false">P70+S70+V70+Y70+AB70+AE70+AH70-Q70-T70-W70-Z70-AC70-AF70-AI70-AK70-AM70-DH70-DL70-CN70</f>
        <v>204394.593232877</v>
      </c>
      <c r="AR70" s="431"/>
      <c r="AS70" s="776" t="n">
        <f aca="false">P70+S70+V70+Y70+AB70+AE70+AH70-R70-U70-X70-AA70-AD70-AG70-AJ70-AL70-AN70-O70-L70-CN70</f>
        <v>69817.1947982875</v>
      </c>
      <c r="AT70" s="431"/>
      <c r="AU70" s="770" t="n">
        <f aca="false">'wholesale services'!$H$110/12</f>
        <v>39106610.7060185</v>
      </c>
      <c r="AV70" s="770" t="n">
        <f aca="false">'wholesale services'!$H$113/12</f>
        <v>17613.2558333333</v>
      </c>
      <c r="AW70" s="431"/>
      <c r="AX70" s="851" t="n">
        <f aca="false">IF(A70&lt;$AX$6,0,-$R$5/12)</f>
        <v>-715341.083333333</v>
      </c>
      <c r="AY70" s="417" t="n">
        <f aca="false">IF(A70&lt;$AX$6,0,-$S$5/12)</f>
        <v>-705333.333333333</v>
      </c>
      <c r="AZ70" s="431"/>
      <c r="BA70" s="772" t="n">
        <f aca="false">P70-IF($BL$4="mid",Q70,R70)-$BL$9*(IF($BL$4="mid",N70,O70)+IF($BL$4="mid",DL70,L70))</f>
        <v>495701.270496501</v>
      </c>
      <c r="BB70" s="772" t="n">
        <f aca="false">S70-IF($BL$4="mid",T70,U70)-$BM$9*(IF($BL$4="mid",N70,O70)+IF($BL$4="mid",DL70,L70))</f>
        <v>-13228.1915455144</v>
      </c>
      <c r="BC70" s="772" t="n">
        <f aca="false">V70-IF($BL$4="mid",W70,X70)-$BN$9*(IF($BL$4="mid",N70,O70)+IF($BL$4="mid",DL70,L70))</f>
        <v>-2510.24361886648</v>
      </c>
      <c r="BD70" s="772" t="n">
        <f aca="false">Y70-IF($BL$4="mid",Z70,AA70)</f>
        <v>35567.1017493524</v>
      </c>
      <c r="BE70" s="772" t="n">
        <f aca="false">AB70-IF($BL$4="mid",AC70,AD70)</f>
        <v>3003.17513250746</v>
      </c>
      <c r="BF70" s="772" t="n">
        <f aca="false">AE70-IF($BL$4="mid",AF70,AG70)</f>
        <v>2042.1613658116</v>
      </c>
      <c r="BG70" s="772" t="n">
        <f aca="false">AH70-IF($BL$4="mid",AI70,AJ70)</f>
        <v>20967.7480270166</v>
      </c>
      <c r="BH70" s="772" t="n">
        <f aca="false">-IF($BL$4="mid",AK70,AL70)</f>
        <v>-281927.178373932</v>
      </c>
      <c r="BI70" s="772" t="n">
        <f aca="false">-IF($BL$4="mid",AM70,AN70)</f>
        <v>-55221.25</v>
      </c>
      <c r="BL70" s="772" t="n">
        <f aca="false">BW70-IF($BL$4="mid",Q70,R70)-$BL$9*(IF($BL$4="mid",N70,O70)+IF($BL$4="mid",DL70,L70))</f>
        <v>642932.441024207</v>
      </c>
      <c r="BM70" s="772" t="n">
        <f aca="false">BX70-IF($BL$4="mid",T70,U70)-$BM$9*(IF($BL$4="mid",N70,O70)+IF($BL$4="mid",DL70,L70))</f>
        <v>-8011.93330446887</v>
      </c>
      <c r="BN70" s="772" t="n">
        <f aca="false">BY70-IF($BL$4="mid",W70,X70)-$BN$9*(IF($BL$4="mid",N70,O70)+IF($BL$4="mid",DL70,L70))</f>
        <v>115.436841632887</v>
      </c>
      <c r="BO70" s="772" t="n">
        <f aca="false">BZ70-IF($BL$4="mid",Z70,AA70)</f>
        <v>54666.4699118884</v>
      </c>
      <c r="BP70" s="772" t="n">
        <f aca="false">CA70-IF($BL$4="mid",AC70,AD70)</f>
        <v>20576.0413221103</v>
      </c>
      <c r="BQ70" s="772" t="n">
        <f aca="false">CB70-IF($BL$4="mid",AF70,AG70)</f>
        <v>15375.0297584998</v>
      </c>
      <c r="BR70" s="772" t="n">
        <f aca="false">CC70-IF($BL$4="mid",AI70,AJ70)</f>
        <v>21845.3150258466</v>
      </c>
      <c r="BS70" s="772" t="n">
        <f aca="false">-IF($BL$4="mid",AK70,AL70)</f>
        <v>-281927.178373932</v>
      </c>
      <c r="BT70" s="772" t="n">
        <f aca="false">-IF($BL$4="mid",AM70,AN70)</f>
        <v>-55221.25</v>
      </c>
      <c r="BW70" s="872" t="n">
        <f aca="false">Breakout!$G$15/12</f>
        <v>3665032.19251633</v>
      </c>
      <c r="BX70" s="872" t="n">
        <f aca="false">Breakout!$G$26/12</f>
        <v>129848.552513632</v>
      </c>
      <c r="BY70" s="872" t="n">
        <f aca="false">Breakout!$G$37/12</f>
        <v>65361.1825573329</v>
      </c>
      <c r="BZ70" s="872" t="n">
        <f aca="false">Breakout!$G$48/12</f>
        <v>475441.436222524</v>
      </c>
      <c r="CA70" s="872" t="n">
        <f aca="false">Breakout!$G$59/12</f>
        <v>437442.153511614</v>
      </c>
      <c r="CB70" s="872" t="n">
        <f aca="false">Breakout!$G$70/12</f>
        <v>331895.696425167</v>
      </c>
      <c r="CC70" s="872" t="n">
        <f aca="false">Breakout!$G$81/12</f>
        <v>21845.3150258466</v>
      </c>
      <c r="CE70" s="852" t="n">
        <f aca="false">P70/0.96</f>
        <v>3664376.06457148</v>
      </c>
      <c r="CF70" s="852" t="n">
        <f aca="false">S70/0.96</f>
        <v>129825.306533944</v>
      </c>
      <c r="CG70" s="852" t="n">
        <f aca="false">V70/0.96</f>
        <v>65349.4813508683</v>
      </c>
      <c r="CI70" s="852" t="n">
        <f aca="false">N70</f>
        <v>-715341.083333333</v>
      </c>
      <c r="CJ70" s="852" t="n">
        <f aca="false">O70</f>
        <v>-705333.333333333</v>
      </c>
      <c r="CL70" s="772" t="n">
        <f aca="false">'account mgt'!$G$23/12</f>
        <v>-53309.78388</v>
      </c>
      <c r="CN70" s="772" t="n">
        <v>0</v>
      </c>
      <c r="CT70" s="772" t="n">
        <f aca="false">CW69</f>
        <v>9965015.173768</v>
      </c>
      <c r="CU70" s="772" t="n">
        <f aca="false">IF(CT70&lt;0.1,0,CT70*$L$3)</f>
        <v>78640.5780796525</v>
      </c>
      <c r="CV70" s="772" t="n">
        <f aca="false">IF(CT70&lt;0.1,0,PPMT($L$3,A70-14,unwinds!$B$8*12,$K$5))</f>
        <v>688918.299422943</v>
      </c>
      <c r="CW70" s="772" t="n">
        <f aca="false">IF(CT70-CV70&lt;0,0,CT70-CV70)</f>
        <v>9276096.87434506</v>
      </c>
      <c r="CX70" s="772" t="n">
        <f aca="false">IF(CX69-CV70&lt;0,0,CX69-CV70)</f>
        <v>9276096.87434506</v>
      </c>
      <c r="DA70" s="772" t="n">
        <f aca="false">DD69</f>
        <v>24215760.1196126</v>
      </c>
      <c r="DB70" s="772" t="n">
        <f aca="false">DA70*$L$3</f>
        <v>191102.706943943</v>
      </c>
      <c r="DC70" s="772" t="n">
        <f aca="false">PPMT($L$3,A70-14,106,$K$5)</f>
        <v>304295.364727671</v>
      </c>
      <c r="DD70" s="772" t="n">
        <f aca="false">DA70-DC70</f>
        <v>23911464.7548849</v>
      </c>
      <c r="DE70" s="772" t="n">
        <f aca="false">DE69-DC70</f>
        <v>23911464.7548849</v>
      </c>
      <c r="DH70" s="417" t="n">
        <v>-715341.083333333</v>
      </c>
      <c r="DI70" s="417" t="n">
        <v>-705333.333333333</v>
      </c>
      <c r="DJ70" s="417"/>
      <c r="DL70" s="417" t="n">
        <f aca="false">PMT($J$3,106,$I$5,,1)</f>
        <v>474832.92700925</v>
      </c>
      <c r="DN70" s="417" t="n">
        <f aca="false">IF($BL$4="mid",DH70,DI70)</f>
        <v>-715341.083333333</v>
      </c>
      <c r="DO70" s="417" t="n">
        <f aca="false">IF($BL$4="mid",DL70,L70)</f>
        <v>474832.92700925</v>
      </c>
      <c r="DQ70" s="772" t="n">
        <f aca="false">BW70-IF($BL$4="mid",Q70,R70)</f>
        <v>414449.692516328</v>
      </c>
      <c r="DR70" s="772" t="n">
        <f aca="false">BX70-IF($BL$4="mid",T70,U70)</f>
        <v>-20037.341120673</v>
      </c>
      <c r="DS70" s="772"/>
      <c r="DT70" s="772"/>
      <c r="DU70" s="772"/>
      <c r="DV70" s="772"/>
      <c r="DW70" s="772"/>
      <c r="DX70" s="772"/>
    </row>
    <row r="71" customFormat="false" ht="12.75" hidden="false" customHeight="false" outlineLevel="0" collapsed="false">
      <c r="A71" s="855" t="n">
        <v>60</v>
      </c>
      <c r="B71" s="856" t="n">
        <v>38322</v>
      </c>
      <c r="C71" s="857" t="n">
        <v>0</v>
      </c>
      <c r="D71" s="857" t="n">
        <v>0</v>
      </c>
      <c r="E71" s="857" t="n">
        <v>0</v>
      </c>
      <c r="F71" s="417" t="n">
        <v>187223.801523609</v>
      </c>
      <c r="G71" s="417" t="n">
        <v>304295.364727674</v>
      </c>
      <c r="H71" s="417" t="n">
        <v>0</v>
      </c>
      <c r="I71" s="417" t="n">
        <v>491519.166251284</v>
      </c>
      <c r="J71" s="857"/>
      <c r="K71" s="857"/>
      <c r="L71" s="417" t="n">
        <f aca="false">PMT($L$3,106,$K$5,,1)</f>
        <v>491519.166251281</v>
      </c>
      <c r="M71" s="857"/>
      <c r="N71" s="850" t="n">
        <f aca="false">IF(A71&lt;$B$8,0,-$R$5/12)</f>
        <v>-715341.083333333</v>
      </c>
      <c r="O71" s="850" t="n">
        <f aca="false">IF(A71&lt;$B$8,0,-$S$5/12)</f>
        <v>-705333.333333333</v>
      </c>
      <c r="P71" s="859" t="n">
        <f aca="false">Breakout!$G$16/12</f>
        <v>3517801.02198862</v>
      </c>
      <c r="Q71" s="860" t="n">
        <f aca="false">'wholesale services'!$D$110*'wholesale services'!$H$111/12</f>
        <v>3250582.5</v>
      </c>
      <c r="R71" s="860" t="n">
        <v>3320487.5</v>
      </c>
      <c r="S71" s="859" t="n">
        <f aca="false">Breakout!$G$27/12</f>
        <v>124632.294272586</v>
      </c>
      <c r="T71" s="860" t="n">
        <f aca="false">'wholesale services'!$D$113*'wholesale services'!$H$114/12</f>
        <v>149885.893634305</v>
      </c>
      <c r="U71" s="860" t="n">
        <v>152944.78942276</v>
      </c>
      <c r="V71" s="859" t="n">
        <f aca="false">Breakout!$G$38/12</f>
        <v>62735.5020968335</v>
      </c>
      <c r="W71" s="861" t="n">
        <f aca="false">Breakout!$G$39/12</f>
        <v>65245.7457157</v>
      </c>
      <c r="X71" s="861" t="n">
        <v>65947.3128739333</v>
      </c>
      <c r="Y71" s="859" t="n">
        <f aca="false">Breakout!$G$49/12</f>
        <v>456342.068059988</v>
      </c>
      <c r="Z71" s="860" t="n">
        <f aca="false">Breakout!$G$50/12</f>
        <v>420774.966310636</v>
      </c>
      <c r="AA71" s="860" t="n">
        <v>441994.860060619</v>
      </c>
      <c r="AB71" s="859" t="n">
        <f aca="false">Breakout!$G$60/12</f>
        <v>419869.287322011</v>
      </c>
      <c r="AC71" s="860" t="n">
        <f aca="false">Breakout!$G$61/12</f>
        <v>416866.112189503</v>
      </c>
      <c r="AD71" s="860" t="n">
        <v>429864.16468539</v>
      </c>
      <c r="AE71" s="859" t="n">
        <f aca="false">Breakout!$G$71/12</f>
        <v>318562.828032478</v>
      </c>
      <c r="AF71" s="860" t="n">
        <f aca="false">Breakout!$G$72/12</f>
        <v>316520.666666667</v>
      </c>
      <c r="AG71" s="860" t="n">
        <v>316520.666666667</v>
      </c>
      <c r="AH71" s="859" t="n">
        <f aca="false">Breakout!$G$82/12</f>
        <v>20967.7480270166</v>
      </c>
      <c r="AI71" s="860" t="n">
        <f aca="false">Breakout!$G$83/12</f>
        <v>0</v>
      </c>
      <c r="AJ71" s="860" t="n">
        <v>0</v>
      </c>
      <c r="AK71" s="862" t="n">
        <f aca="false">Breakout!$G$91/12</f>
        <v>281927.178373932</v>
      </c>
      <c r="AL71" s="862" t="n">
        <v>281927.178373932</v>
      </c>
      <c r="AM71" s="862" t="n">
        <f aca="false">(Breakout!$G$107/12)*-1</f>
        <v>55221.25</v>
      </c>
      <c r="AN71" s="862" t="n">
        <v>55221.25</v>
      </c>
      <c r="AO71" s="863" t="n">
        <f aca="false">(P71+S71+V71)+Y71+AB71+AE71+AH71</f>
        <v>4920910.74979954</v>
      </c>
      <c r="AP71" s="863" t="n">
        <f aca="false">Q71+T71+W71+AA71+AD71+AG71+AJ71+AL71+AN71</f>
        <v>4991242.25913661</v>
      </c>
      <c r="AQ71" s="775" t="n">
        <f aca="false">P71+S71+V71+Y71+AB71+AE71+AH71-Q71-T71-W71-Z71-AC71-AF71-AI71-AK71-AM71-DH71-DL71-CN71</f>
        <v>204394.593232877</v>
      </c>
      <c r="AR71" s="861" t="n">
        <f aca="false">SUM(AQ60:AQ71)</f>
        <v>2452735.11879452</v>
      </c>
      <c r="AS71" s="776" t="n">
        <f aca="false">P71+S71+V71+Y71+AB71+AE71+AH71-R71-U71-X71-AA71-AD71-AG71-AJ71-AL71-AN71-O71-L71-CN71</f>
        <v>69817.1947982875</v>
      </c>
      <c r="AT71" s="861" t="n">
        <f aca="false">SUM(AS60:AS71)</f>
        <v>837806.33757945</v>
      </c>
      <c r="AU71" s="860" t="n">
        <f aca="false">'wholesale services'!$H$110/12</f>
        <v>39106610.7060185</v>
      </c>
      <c r="AV71" s="860" t="n">
        <f aca="false">'wholesale services'!$H$113/12</f>
        <v>17613.2558333333</v>
      </c>
      <c r="AW71" s="861"/>
      <c r="AX71" s="851" t="n">
        <f aca="false">IF(A71&lt;$AX$6,0,-$R$5/12)</f>
        <v>-715341.083333333</v>
      </c>
      <c r="AY71" s="417" t="n">
        <f aca="false">IF(A71&lt;$AX$6,0,-$S$5/12)</f>
        <v>-705333.333333333</v>
      </c>
      <c r="AZ71" s="861"/>
      <c r="BA71" s="772" t="n">
        <f aca="false">P71-IF($BL$4="mid",Q71,R71)-$BL$9*(IF($BL$4="mid",N71,O71)+IF($BL$4="mid",DL71,L71))</f>
        <v>495701.270496501</v>
      </c>
      <c r="BB71" s="772" t="n">
        <f aca="false">S71-IF($BL$4="mid",T71,U71)-$BM$9*(IF($BL$4="mid",N71,O71)+IF($BL$4="mid",DL71,L71))</f>
        <v>-13228.1915455144</v>
      </c>
      <c r="BC71" s="772" t="n">
        <f aca="false">V71-IF($BL$4="mid",W71,X71)-$BN$9*(IF($BL$4="mid",N71,O71)+IF($BL$4="mid",DL71,L71))</f>
        <v>-2510.24361886648</v>
      </c>
      <c r="BD71" s="772" t="n">
        <f aca="false">Y71-IF($BL$4="mid",Z71,AA71)</f>
        <v>35567.1017493524</v>
      </c>
      <c r="BE71" s="772" t="n">
        <f aca="false">AB71-IF($BL$4="mid",AC71,AD71)</f>
        <v>3003.17513250746</v>
      </c>
      <c r="BF71" s="772" t="n">
        <f aca="false">AE71-IF($BL$4="mid",AF71,AG71)</f>
        <v>2042.1613658116</v>
      </c>
      <c r="BG71" s="772" t="n">
        <f aca="false">AH71-IF($BL$4="mid",AI71,AJ71)</f>
        <v>20967.7480270166</v>
      </c>
      <c r="BH71" s="772" t="n">
        <f aca="false">-IF($BL$4="mid",AK71,AL71)</f>
        <v>-281927.178373932</v>
      </c>
      <c r="BI71" s="772" t="n">
        <f aca="false">-IF($BL$4="mid",AM71,AN71)</f>
        <v>-55221.25</v>
      </c>
      <c r="BJ71" s="861"/>
      <c r="BK71" s="431"/>
      <c r="BL71" s="772" t="n">
        <f aca="false">BW71-IF($BL$4="mid",Q71,R71)-$BL$9*(IF($BL$4="mid",N71,O71)+IF($BL$4="mid",DL71,L71))</f>
        <v>642932.441024207</v>
      </c>
      <c r="BM71" s="772" t="n">
        <f aca="false">BX71-IF($BL$4="mid",T71,U71)-$BM$9*(IF($BL$4="mid",N71,O71)+IF($BL$4="mid",DL71,L71))</f>
        <v>-8011.93330446887</v>
      </c>
      <c r="BN71" s="772" t="n">
        <f aca="false">BY71-IF($BL$4="mid",W71,X71)-$BN$9*(IF($BL$4="mid",N71,O71)+IF($BL$4="mid",DL71,L71))</f>
        <v>115.436841632887</v>
      </c>
      <c r="BO71" s="772" t="n">
        <f aca="false">BZ71-IF($BL$4="mid",Z71,AA71)</f>
        <v>54666.4699118884</v>
      </c>
      <c r="BP71" s="772" t="n">
        <f aca="false">CA71-IF($BL$4="mid",AC71,AD71)</f>
        <v>20576.0413221103</v>
      </c>
      <c r="BQ71" s="772" t="n">
        <f aca="false">CB71-IF($BL$4="mid",AF71,AG71)</f>
        <v>15375.0297584998</v>
      </c>
      <c r="BR71" s="772" t="n">
        <f aca="false">CC71-IF($BL$4="mid",AI71,AJ71)</f>
        <v>21845.3150258466</v>
      </c>
      <c r="BS71" s="772" t="n">
        <f aca="false">-IF($BL$4="mid",AK71,AL71)</f>
        <v>-281927.178373932</v>
      </c>
      <c r="BT71" s="772" t="n">
        <f aca="false">-IF($BL$4="mid",AM71,AN71)</f>
        <v>-55221.25</v>
      </c>
      <c r="BU71" s="861"/>
      <c r="BV71" s="861"/>
      <c r="BW71" s="859" t="n">
        <f aca="false">Breakout!$G$15/12</f>
        <v>3665032.19251633</v>
      </c>
      <c r="BX71" s="859" t="n">
        <f aca="false">Breakout!$G$26/12</f>
        <v>129848.552513632</v>
      </c>
      <c r="BY71" s="859" t="n">
        <f aca="false">Breakout!$G$37/12</f>
        <v>65361.1825573329</v>
      </c>
      <c r="BZ71" s="859" t="n">
        <f aca="false">Breakout!$G$48/12</f>
        <v>475441.436222524</v>
      </c>
      <c r="CA71" s="859" t="n">
        <f aca="false">Breakout!$G$59/12</f>
        <v>437442.153511614</v>
      </c>
      <c r="CB71" s="859" t="n">
        <f aca="false">Breakout!$G$70/12</f>
        <v>331895.696425167</v>
      </c>
      <c r="CC71" s="859" t="n">
        <f aca="false">Breakout!$G$81/12</f>
        <v>21845.3150258466</v>
      </c>
      <c r="CD71" s="861"/>
      <c r="CE71" s="864" t="n">
        <f aca="false">P71/0.96</f>
        <v>3664376.06457148</v>
      </c>
      <c r="CF71" s="864" t="n">
        <f aca="false">S71/0.96</f>
        <v>129825.306533944</v>
      </c>
      <c r="CG71" s="864" t="n">
        <f aca="false">V71/0.96</f>
        <v>65349.4813508683</v>
      </c>
      <c r="CH71" s="861"/>
      <c r="CI71" s="864" t="n">
        <f aca="false">N71</f>
        <v>-715341.083333333</v>
      </c>
      <c r="CJ71" s="864" t="n">
        <f aca="false">O71</f>
        <v>-705333.333333333</v>
      </c>
      <c r="CK71" s="861"/>
      <c r="CL71" s="861" t="n">
        <f aca="false">'account mgt'!$G$23/12</f>
        <v>-53309.78388</v>
      </c>
      <c r="CM71" s="861"/>
      <c r="CN71" s="772" t="n">
        <v>0</v>
      </c>
      <c r="CO71" s="861"/>
      <c r="CP71" s="861"/>
      <c r="CQ71" s="431"/>
      <c r="CR71" s="431"/>
      <c r="CS71" s="431"/>
      <c r="CT71" s="772" t="n">
        <f aca="false">CW70</f>
        <v>9276096.87434506</v>
      </c>
      <c r="CU71" s="772" t="n">
        <f aca="false">IF(CT71&lt;0.1,0,CT71*$L$3)</f>
        <v>73203.8645000398</v>
      </c>
      <c r="CV71" s="772" t="n">
        <f aca="false">IF(CT71&lt;0.1,0,PPMT($L$3,A71-14,unwinds!$B$8*12,$K$5))</f>
        <v>694355.013002556</v>
      </c>
      <c r="CW71" s="772" t="n">
        <f aca="false">IF(CT71-CV71&lt;0,0,CT71-CV71)</f>
        <v>8581741.86134251</v>
      </c>
      <c r="CX71" s="772" t="n">
        <f aca="false">IF(CX70-CV71&lt;0,0,CX70-CV71)</f>
        <v>8581741.86134251</v>
      </c>
      <c r="CY71" s="861" t="n">
        <f aca="false">CX71</f>
        <v>8581741.86134251</v>
      </c>
      <c r="DA71" s="772" t="n">
        <f aca="false">DD70</f>
        <v>23911464.7548849</v>
      </c>
      <c r="DB71" s="772" t="n">
        <f aca="false">DA71*$L$3</f>
        <v>188701.3093573</v>
      </c>
      <c r="DC71" s="772" t="n">
        <f aca="false">PPMT($L$3,A71-14,106,$K$5)</f>
        <v>306696.762314313</v>
      </c>
      <c r="DD71" s="772" t="n">
        <f aca="false">DA71-DC71</f>
        <v>23604767.9925706</v>
      </c>
      <c r="DE71" s="772" t="n">
        <f aca="false">DE70-DC71</f>
        <v>23604767.9925706</v>
      </c>
      <c r="DF71" s="861" t="n">
        <f aca="false">DE71</f>
        <v>23604767.9925706</v>
      </c>
      <c r="DG71" s="861"/>
      <c r="DH71" s="417" t="n">
        <v>-715341.083333333</v>
      </c>
      <c r="DI71" s="417" t="n">
        <v>-705333.333333333</v>
      </c>
      <c r="DJ71" s="417"/>
      <c r="DK71" s="861"/>
      <c r="DL71" s="417" t="n">
        <f aca="false">PMT($J$3,106,$I$5,,1)</f>
        <v>474832.92700925</v>
      </c>
      <c r="DM71" s="861"/>
      <c r="DN71" s="417" t="n">
        <f aca="false">IF($BL$4="mid",DH71,DI71)</f>
        <v>-715341.083333333</v>
      </c>
      <c r="DO71" s="417" t="n">
        <f aca="false">IF($BL$4="mid",DL71,L71)</f>
        <v>474832.92700925</v>
      </c>
      <c r="DP71" s="861"/>
      <c r="DQ71" s="772" t="n">
        <f aca="false">BW71-IF($BL$4="mid",Q71,R71)</f>
        <v>414449.692516328</v>
      </c>
      <c r="DR71" s="772" t="n">
        <f aca="false">BX71-IF($BL$4="mid",T71,U71)</f>
        <v>-20037.341120673</v>
      </c>
      <c r="DS71" s="861"/>
      <c r="DT71" s="861"/>
      <c r="DU71" s="861"/>
      <c r="DV71" s="861"/>
      <c r="DW71" s="861"/>
      <c r="DX71" s="861"/>
    </row>
    <row r="72" customFormat="false" ht="12.75" hidden="false" customHeight="false" outlineLevel="0" collapsed="false">
      <c r="A72" s="866" t="n">
        <v>61</v>
      </c>
      <c r="B72" s="854" t="n">
        <v>38353</v>
      </c>
      <c r="C72" s="417" t="n">
        <v>0</v>
      </c>
      <c r="D72" s="417" t="n">
        <v>0</v>
      </c>
      <c r="E72" s="417" t="n">
        <v>0</v>
      </c>
      <c r="F72" s="417" t="n">
        <v>184822.403936967</v>
      </c>
      <c r="G72" s="417" t="n">
        <v>306696.762314317</v>
      </c>
      <c r="H72" s="417" t="n">
        <v>0</v>
      </c>
      <c r="I72" s="417" t="n">
        <v>491519.166251284</v>
      </c>
      <c r="J72" s="417"/>
      <c r="K72" s="417"/>
      <c r="L72" s="417" t="n">
        <f aca="false">PMT($L$3,106,$K$5,,1)</f>
        <v>491519.166251281</v>
      </c>
      <c r="M72" s="417"/>
      <c r="N72" s="850" t="n">
        <f aca="false">IF(A72&lt;$B$8,0,-$R$5/12)</f>
        <v>-715341.083333333</v>
      </c>
      <c r="O72" s="850" t="n">
        <f aca="false">IF(A72&lt;$B$8,0,-$S$5/12)</f>
        <v>-705333.333333333</v>
      </c>
      <c r="P72" s="868" t="n">
        <f aca="false">Breakout!$H$16/12</f>
        <v>3554214.96421676</v>
      </c>
      <c r="Q72" s="770" t="n">
        <f aca="false">'wholesale services'!$D$110*'wholesale services'!$I$111/12</f>
        <v>3250582.5</v>
      </c>
      <c r="R72" s="770" t="n">
        <v>3320487.5</v>
      </c>
      <c r="S72" s="868" t="n">
        <f aca="false">Breakout!$H$27/12</f>
        <v>125922.405093248</v>
      </c>
      <c r="T72" s="770" t="n">
        <f aca="false">'wholesale services'!$D$113*'wholesale services'!$I$114/12</f>
        <v>153434.079195604</v>
      </c>
      <c r="U72" s="770" t="n">
        <v>156565.38693429</v>
      </c>
      <c r="V72" s="868" t="n">
        <f aca="false">Breakout!$H$38/12</f>
        <v>63384.8983914869</v>
      </c>
      <c r="W72" s="869" t="n">
        <f aca="false">Breakout!$H$39/12</f>
        <v>67203.118087171</v>
      </c>
      <c r="X72" s="869" t="n">
        <v>67925.7322601513</v>
      </c>
      <c r="Y72" s="868" t="n">
        <f aca="false">Breakout!$H$49/12</f>
        <v>461065.818379787</v>
      </c>
      <c r="Z72" s="870" t="n">
        <f aca="false">Breakout!$H$50/12</f>
        <v>428643.458180645</v>
      </c>
      <c r="AA72" s="870" t="n">
        <v>450260.163943753</v>
      </c>
      <c r="AB72" s="868" t="n">
        <f aca="false">Breakout!$H$60/12</f>
        <v>424215.495614165</v>
      </c>
      <c r="AC72" s="870" t="n">
        <f aca="false">Breakout!$H$61/12</f>
        <v>424661.508487447</v>
      </c>
      <c r="AD72" s="870" t="n">
        <v>437902.624565007</v>
      </c>
      <c r="AE72" s="868" t="n">
        <f aca="false">Breakout!$H$71/12</f>
        <v>321860.379071749</v>
      </c>
      <c r="AF72" s="870" t="n">
        <f aca="false">Breakout!$H$72/12</f>
        <v>316520.666666667</v>
      </c>
      <c r="AG72" s="870" t="n">
        <v>316520.666666667</v>
      </c>
      <c r="AH72" s="868" t="n">
        <f aca="false">Breakout!$H$82/12</f>
        <v>21184.792243144</v>
      </c>
      <c r="AI72" s="870" t="n">
        <f aca="false">Breakout!$H$83/12</f>
        <v>0</v>
      </c>
      <c r="AJ72" s="870" t="n">
        <v>0</v>
      </c>
      <c r="AK72" s="871" t="n">
        <f aca="false">Breakout!$H$91/12</f>
        <v>284845.501474551</v>
      </c>
      <c r="AL72" s="871" t="n">
        <v>284845.501474551</v>
      </c>
      <c r="AM72" s="773" t="n">
        <f aca="false">(Breakout!$H$107/12)*-1</f>
        <v>55221.25</v>
      </c>
      <c r="AN72" s="773" t="n">
        <v>55221.25</v>
      </c>
      <c r="AO72" s="774" t="n">
        <f aca="false">(P72+S72+V72)+Y72+AB72+AE72+AH72</f>
        <v>4971848.75301034</v>
      </c>
      <c r="AP72" s="774" t="n">
        <f aca="false">Q72+T72+W72+AA72+AD72+AG72+AJ72+AL72+AN72</f>
        <v>5015969.90393275</v>
      </c>
      <c r="AQ72" s="775" t="n">
        <f aca="false">P72+S72+V72+Y72+AB72+AE72+AH72-Q72-T72-W72-Z72-AC72-AF72-AI72-AK72-AM72-DH72-DL72-CN72</f>
        <v>231244.82724234</v>
      </c>
      <c r="AR72" s="869"/>
      <c r="AS72" s="776" t="n">
        <f aca="false">P72+S72+V72+Y72+AB72+AE72+AH72-R72-U72-X72-AA72-AD72-AG72-AJ72-AL72-AN72-O72-L72-CN72</f>
        <v>95934.0942479749</v>
      </c>
      <c r="AT72" s="869"/>
      <c r="AU72" s="770" t="n">
        <f aca="false">'wholesale services'!$I$110/12</f>
        <v>39106610.7060185</v>
      </c>
      <c r="AV72" s="770" t="n">
        <f aca="false">'wholesale services'!$I$113/12</f>
        <v>17613.2558333333</v>
      </c>
      <c r="AW72" s="869"/>
      <c r="AX72" s="851" t="n">
        <f aca="false">IF(A72&lt;$AX$6,0,-$R$5/12)</f>
        <v>-715341.083333333</v>
      </c>
      <c r="AY72" s="417" t="n">
        <f aca="false">IF(A72&lt;$AX$6,0,-$S$5/12)</f>
        <v>-705333.333333333</v>
      </c>
      <c r="AZ72" s="431"/>
      <c r="BA72" s="772" t="n">
        <f aca="false">P72-IF($BL$4="mid",Q72,R72)-$BL$9*(IF($BL$4="mid",N72,O72)+IF($BL$4="mid",DL72,L72))</f>
        <v>532115.21272464</v>
      </c>
      <c r="BB72" s="772" t="n">
        <f aca="false">S72-IF($BL$4="mid",T72,U72)-$BM$9*(IF($BL$4="mid",N72,O72)+IF($BL$4="mid",DL72,L72))</f>
        <v>-15486.2662861517</v>
      </c>
      <c r="BC72" s="772" t="n">
        <f aca="false">V72-IF($BL$4="mid",W72,X72)-$BN$9*(IF($BL$4="mid",N72,O72)+IF($BL$4="mid",DL72,L72))</f>
        <v>-3818.21969568407</v>
      </c>
      <c r="BD72" s="772" t="n">
        <f aca="false">Y72-IF($BL$4="mid",Z72,AA72)</f>
        <v>32422.360199142</v>
      </c>
      <c r="BE72" s="772" t="n">
        <f aca="false">AB72-IF($BL$4="mid",AC72,AD72)</f>
        <v>-446.012873282598</v>
      </c>
      <c r="BF72" s="772" t="n">
        <f aca="false">AE72-IF($BL$4="mid",AF72,AG72)</f>
        <v>5339.71240508265</v>
      </c>
      <c r="BG72" s="772" t="n">
        <f aca="false">AH72-IF($BL$4="mid",AI72,AJ72)</f>
        <v>21184.792243144</v>
      </c>
      <c r="BH72" s="772" t="n">
        <f aca="false">-IF($BL$4="mid",AK72,AL72)</f>
        <v>-284845.501474551</v>
      </c>
      <c r="BI72" s="772" t="n">
        <f aca="false">-IF($BL$4="mid",AM72,AN72)</f>
        <v>-55221.25</v>
      </c>
      <c r="BJ72" s="869"/>
      <c r="BK72" s="431"/>
      <c r="BL72" s="772" t="n">
        <f aca="false">BW72-IF($BL$4="mid",Q72,R72)-$BL$9*(IF($BL$4="mid",N72,O72)+IF($BL$4="mid",DL72,L72))</f>
        <v>681039.541713415</v>
      </c>
      <c r="BM72" s="772" t="n">
        <f aca="false">BX72-IF($BL$4="mid",T72,U72)-$BM$9*(IF($BL$4="mid",N72,O72)+IF($BL$4="mid",DL72,L72))</f>
        <v>-10210.0210753341</v>
      </c>
      <c r="BN72" s="772" t="n">
        <f aca="false">BY72-IF($BL$4="mid",W72,X72)-$BN$9*(IF($BL$4="mid",N72,O72)+IF($BL$4="mid",DL72,L72))</f>
        <v>-1162.34390988896</v>
      </c>
      <c r="BO72" s="772" t="n">
        <f aca="false">BZ72-IF($BL$4="mid",Z72,AA72)</f>
        <v>51741.3710955472</v>
      </c>
      <c r="BP72" s="772" t="n">
        <f aca="false">CA72-IF($BL$4="mid",AC72,AD72)</f>
        <v>17328.9412775007</v>
      </c>
      <c r="BQ72" s="772" t="n">
        <f aca="false">CB72-IF($BL$4="mid",AF72,AG72)</f>
        <v>18825.9087842868</v>
      </c>
      <c r="BR72" s="772" t="n">
        <f aca="false">CC72-IF($BL$4="mid",AI72,AJ72)</f>
        <v>22072.4512624606</v>
      </c>
      <c r="BS72" s="772" t="n">
        <f aca="false">-IF($BL$4="mid",AK72,AL72)</f>
        <v>-284845.501474551</v>
      </c>
      <c r="BT72" s="772" t="n">
        <f aca="false">-IF($BL$4="mid",AM72,AN72)</f>
        <v>-55221.25</v>
      </c>
      <c r="BU72" s="869"/>
      <c r="BV72" s="869"/>
      <c r="BW72" s="868" t="n">
        <f aca="false">Breakout!$H$15/12</f>
        <v>3703139.29320554</v>
      </c>
      <c r="BX72" s="868" t="n">
        <f aca="false">Breakout!$H$26/12</f>
        <v>131198.650304066</v>
      </c>
      <c r="BY72" s="868" t="n">
        <f aca="false">Breakout!$H$37/12</f>
        <v>66040.774177282</v>
      </c>
      <c r="BZ72" s="868" t="n">
        <f aca="false">Breakout!$H$48/12</f>
        <v>480384.829276192</v>
      </c>
      <c r="CA72" s="868" t="n">
        <f aca="false">Breakout!$H$59/12</f>
        <v>441990.449764948</v>
      </c>
      <c r="CB72" s="868" t="n">
        <f aca="false">Breakout!$H$70/12</f>
        <v>335346.575450954</v>
      </c>
      <c r="CC72" s="868" t="n">
        <f aca="false">Breakout!$H$81/12</f>
        <v>22072.4512624606</v>
      </c>
      <c r="CD72" s="869"/>
      <c r="CE72" s="852" t="n">
        <f aca="false">P72/0.96</f>
        <v>3702307.25439246</v>
      </c>
      <c r="CF72" s="852" t="n">
        <f aca="false">S72/0.96</f>
        <v>131169.171972134</v>
      </c>
      <c r="CG72" s="852" t="n">
        <f aca="false">V72/0.96</f>
        <v>66025.9358244656</v>
      </c>
      <c r="CH72" s="869"/>
      <c r="CI72" s="852" t="n">
        <f aca="false">N72</f>
        <v>-715341.083333333</v>
      </c>
      <c r="CJ72" s="852" t="n">
        <f aca="false">O72</f>
        <v>-705333.333333333</v>
      </c>
      <c r="CK72" s="869"/>
      <c r="CL72" s="772" t="n">
        <f aca="false">'account mgt'!$H$23/12</f>
        <v>-54375.9795576</v>
      </c>
      <c r="CM72" s="869"/>
      <c r="CN72" s="772" t="n">
        <v>0</v>
      </c>
      <c r="CO72" s="869"/>
      <c r="CP72" s="869"/>
      <c r="CQ72" s="431"/>
      <c r="CR72" s="431"/>
      <c r="CS72" s="431"/>
      <c r="CT72" s="772" t="n">
        <f aca="false">CW71</f>
        <v>8581741.86134251</v>
      </c>
      <c r="CU72" s="772" t="n">
        <f aca="false">IF(CT72&lt;0.1,0,CT72*$L$3)</f>
        <v>67724.2461890946</v>
      </c>
      <c r="CV72" s="772" t="n">
        <f aca="false">IF(CT72&lt;0.1,0,PPMT($L$3,A72-14,unwinds!$B$8*12,$K$5))</f>
        <v>699834.631313501</v>
      </c>
      <c r="CW72" s="772" t="n">
        <f aca="false">IF(CT72-CV72&lt;0,0,CT72-CV72)</f>
        <v>7881907.230029</v>
      </c>
      <c r="CX72" s="772" t="n">
        <f aca="false">IF(CX71-CV72&lt;0,0,CX71-CV72)</f>
        <v>7881907.230029</v>
      </c>
      <c r="CY72" s="869"/>
      <c r="DA72" s="772" t="n">
        <f aca="false">DD71</f>
        <v>23604767.9925706</v>
      </c>
      <c r="DB72" s="772" t="n">
        <f aca="false">DA72*$L$3</f>
        <v>186280.96074137</v>
      </c>
      <c r="DC72" s="772" t="n">
        <f aca="false">PPMT($L$3,A72-14,106,$K$5)</f>
        <v>309117.110930244</v>
      </c>
      <c r="DD72" s="772" t="n">
        <f aca="false">DA72-DC72</f>
        <v>23295650.8816404</v>
      </c>
      <c r="DE72" s="772" t="n">
        <f aca="false">DE71-DC72</f>
        <v>23295650.8816404</v>
      </c>
      <c r="DF72" s="869"/>
      <c r="DG72" s="869"/>
      <c r="DH72" s="417" t="n">
        <v>-715341.083333333</v>
      </c>
      <c r="DI72" s="417" t="n">
        <v>-705333.333333333</v>
      </c>
      <c r="DJ72" s="417"/>
      <c r="DK72" s="869"/>
      <c r="DL72" s="417" t="n">
        <f aca="false">PMT($J$3,106,$I$5,,1)</f>
        <v>474832.92700925</v>
      </c>
      <c r="DM72" s="869"/>
      <c r="DN72" s="417" t="n">
        <f aca="false">IF($BL$4="mid",DH72,DI72)</f>
        <v>-715341.083333333</v>
      </c>
      <c r="DO72" s="417" t="n">
        <f aca="false">IF($BL$4="mid",DL72,L72)</f>
        <v>474832.92700925</v>
      </c>
      <c r="DP72" s="869"/>
      <c r="DQ72" s="772" t="n">
        <f aca="false">BW72-IF($BL$4="mid",Q72,R72)</f>
        <v>452556.793205536</v>
      </c>
      <c r="DR72" s="772" t="n">
        <f aca="false">BX72-IF($BL$4="mid",T72,U72)</f>
        <v>-22235.4288915383</v>
      </c>
      <c r="DS72" s="869"/>
      <c r="DT72" s="869"/>
      <c r="DU72" s="869"/>
      <c r="DV72" s="869"/>
      <c r="DW72" s="869"/>
      <c r="DX72" s="869"/>
    </row>
    <row r="73" customFormat="false" ht="12.75" hidden="false" customHeight="false" outlineLevel="0" collapsed="false">
      <c r="A73" s="767" t="n">
        <v>62</v>
      </c>
      <c r="B73" s="875" t="n">
        <v>38384</v>
      </c>
      <c r="C73" s="417" t="n">
        <v>0</v>
      </c>
      <c r="D73" s="417" t="n">
        <v>0</v>
      </c>
      <c r="E73" s="417" t="n">
        <v>0</v>
      </c>
      <c r="F73" s="417" t="n">
        <v>182402.055321036</v>
      </c>
      <c r="G73" s="417" t="n">
        <v>309117.110930247</v>
      </c>
      <c r="H73" s="417" t="n">
        <v>0</v>
      </c>
      <c r="I73" s="417" t="n">
        <v>491519.166251284</v>
      </c>
      <c r="J73" s="417"/>
      <c r="K73" s="417"/>
      <c r="L73" s="417" t="n">
        <f aca="false">PMT($L$3,106,$K$5,,1)</f>
        <v>491519.166251281</v>
      </c>
      <c r="M73" s="417"/>
      <c r="N73" s="850" t="n">
        <f aca="false">IF(A73&lt;$B$8,0,-$R$5/12)</f>
        <v>-715341.083333333</v>
      </c>
      <c r="O73" s="850" t="n">
        <f aca="false">IF(A73&lt;$B$8,0,-$S$5/12)</f>
        <v>-705333.333333333</v>
      </c>
      <c r="P73" s="872" t="n">
        <f aca="false">Breakout!$H$16/12</f>
        <v>3554214.96421676</v>
      </c>
      <c r="Q73" s="770" t="n">
        <f aca="false">'wholesale services'!$D$110*'wholesale services'!$I$111/12</f>
        <v>3250582.5</v>
      </c>
      <c r="R73" s="770" t="n">
        <v>3320487.5</v>
      </c>
      <c r="S73" s="872" t="n">
        <f aca="false">Breakout!$H$27/12</f>
        <v>125922.405093248</v>
      </c>
      <c r="T73" s="770" t="n">
        <f aca="false">'wholesale services'!$D$113*'wholesale services'!$I$114/12</f>
        <v>153434.079195604</v>
      </c>
      <c r="U73" s="770" t="n">
        <v>156565.38693429</v>
      </c>
      <c r="V73" s="872" t="n">
        <f aca="false">Breakout!$H$38/12</f>
        <v>63384.8983914869</v>
      </c>
      <c r="W73" s="431" t="n">
        <f aca="false">Breakout!$H$39/12</f>
        <v>67203.118087171</v>
      </c>
      <c r="X73" s="431" t="n">
        <v>67925.7322601513</v>
      </c>
      <c r="Y73" s="872" t="n">
        <f aca="false">Breakout!$H$49/12</f>
        <v>461065.818379787</v>
      </c>
      <c r="Z73" s="873" t="n">
        <f aca="false">Breakout!$H$50/12</f>
        <v>428643.458180645</v>
      </c>
      <c r="AA73" s="873" t="n">
        <v>450260.163943753</v>
      </c>
      <c r="AB73" s="872" t="n">
        <f aca="false">Breakout!$H$60/12</f>
        <v>424215.495614165</v>
      </c>
      <c r="AC73" s="873" t="n">
        <f aca="false">Breakout!$H$61/12</f>
        <v>424661.508487447</v>
      </c>
      <c r="AD73" s="873" t="n">
        <v>437902.624565007</v>
      </c>
      <c r="AE73" s="872" t="n">
        <f aca="false">Breakout!$H$71/12</f>
        <v>321860.379071749</v>
      </c>
      <c r="AF73" s="873" t="n">
        <f aca="false">Breakout!$H$72/12</f>
        <v>316520.666666667</v>
      </c>
      <c r="AG73" s="873" t="n">
        <v>316520.666666667</v>
      </c>
      <c r="AH73" s="872" t="n">
        <f aca="false">Breakout!$H$82/12</f>
        <v>21184.792243144</v>
      </c>
      <c r="AI73" s="873" t="n">
        <f aca="false">Breakout!$H$83/12</f>
        <v>0</v>
      </c>
      <c r="AJ73" s="873" t="n">
        <v>0</v>
      </c>
      <c r="AK73" s="874" t="n">
        <f aca="false">Breakout!$H$91/12</f>
        <v>284845.501474551</v>
      </c>
      <c r="AL73" s="874" t="n">
        <v>284845.501474551</v>
      </c>
      <c r="AM73" s="773" t="n">
        <f aca="false">(Breakout!$H$107/12)*-1</f>
        <v>55221.25</v>
      </c>
      <c r="AN73" s="773" t="n">
        <v>55221.25</v>
      </c>
      <c r="AO73" s="774" t="n">
        <f aca="false">(P73+S73+V73)+Y73+AB73+AE73+AH73</f>
        <v>4971848.75301034</v>
      </c>
      <c r="AP73" s="774" t="n">
        <f aca="false">Q73+T73+W73+AA73+AD73+AG73+AJ73+AL73+AN73</f>
        <v>5015969.90393275</v>
      </c>
      <c r="AQ73" s="775" t="n">
        <f aca="false">P73+S73+V73+Y73+AB73+AE73+AH73-Q73-T73-W73-Z73-AC73-AF73-AI73-AK73-AM73-DH73-DL73-CN73</f>
        <v>231244.82724234</v>
      </c>
      <c r="AR73" s="431"/>
      <c r="AS73" s="776" t="n">
        <f aca="false">P73+S73+V73+Y73+AB73+AE73+AH73-R73-U73-X73-AA73-AD73-AG73-AJ73-AL73-AN73-O73-L73-CN73</f>
        <v>95934.0942479749</v>
      </c>
      <c r="AT73" s="431"/>
      <c r="AU73" s="770" t="n">
        <f aca="false">'wholesale services'!$I$110/12</f>
        <v>39106610.7060185</v>
      </c>
      <c r="AV73" s="770" t="n">
        <f aca="false">'wholesale services'!$I$113/12</f>
        <v>17613.2558333333</v>
      </c>
      <c r="AW73" s="431"/>
      <c r="AX73" s="851" t="n">
        <f aca="false">IF(A73&lt;$AX$6,0,-$R$5/12)</f>
        <v>-715341.083333333</v>
      </c>
      <c r="AY73" s="417" t="n">
        <f aca="false">IF(A73&lt;$AX$6,0,-$S$5/12)</f>
        <v>-705333.333333333</v>
      </c>
      <c r="AZ73" s="431"/>
      <c r="BA73" s="772" t="n">
        <f aca="false">P73-IF($BL$4="mid",Q73,R73)-$BL$9*(IF($BL$4="mid",N73,O73)+IF($BL$4="mid",DL73,L73))</f>
        <v>532115.21272464</v>
      </c>
      <c r="BB73" s="772" t="n">
        <f aca="false">S73-IF($BL$4="mid",T73,U73)-$BM$9*(IF($BL$4="mid",N73,O73)+IF($BL$4="mid",DL73,L73))</f>
        <v>-15486.2662861517</v>
      </c>
      <c r="BC73" s="772" t="n">
        <f aca="false">V73-IF($BL$4="mid",W73,X73)-$BN$9*(IF($BL$4="mid",N73,O73)+IF($BL$4="mid",DL73,L73))</f>
        <v>-3818.21969568407</v>
      </c>
      <c r="BD73" s="772" t="n">
        <f aca="false">Y73-IF($BL$4="mid",Z73,AA73)</f>
        <v>32422.360199142</v>
      </c>
      <c r="BE73" s="772" t="n">
        <f aca="false">AB73-IF($BL$4="mid",AC73,AD73)</f>
        <v>-446.012873282598</v>
      </c>
      <c r="BF73" s="772" t="n">
        <f aca="false">AE73-IF($BL$4="mid",AF73,AG73)</f>
        <v>5339.71240508265</v>
      </c>
      <c r="BG73" s="772" t="n">
        <f aca="false">AH73-IF($BL$4="mid",AI73,AJ73)</f>
        <v>21184.792243144</v>
      </c>
      <c r="BH73" s="772" t="n">
        <f aca="false">-IF($BL$4="mid",AK73,AL73)</f>
        <v>-284845.501474551</v>
      </c>
      <c r="BI73" s="772" t="n">
        <f aca="false">-IF($BL$4="mid",AM73,AN73)</f>
        <v>-55221.25</v>
      </c>
      <c r="BL73" s="772" t="n">
        <f aca="false">BW73-IF($BL$4="mid",Q73,R73)-$BL$9*(IF($BL$4="mid",N73,O73)+IF($BL$4="mid",DL73,L73))</f>
        <v>681039.541713415</v>
      </c>
      <c r="BM73" s="772" t="n">
        <f aca="false">BX73-IF($BL$4="mid",T73,U73)-$BM$9*(IF($BL$4="mid",N73,O73)+IF($BL$4="mid",DL73,L73))</f>
        <v>-10210.0210753341</v>
      </c>
      <c r="BN73" s="772" t="n">
        <f aca="false">BY73-IF($BL$4="mid",W73,X73)-$BN$9*(IF($BL$4="mid",N73,O73)+IF($BL$4="mid",DL73,L73))</f>
        <v>-1162.34390988896</v>
      </c>
      <c r="BO73" s="772" t="n">
        <f aca="false">BZ73-IF($BL$4="mid",Z73,AA73)</f>
        <v>51741.3710955472</v>
      </c>
      <c r="BP73" s="772" t="n">
        <f aca="false">CA73-IF($BL$4="mid",AC73,AD73)</f>
        <v>17328.9412775007</v>
      </c>
      <c r="BQ73" s="772" t="n">
        <f aca="false">CB73-IF($BL$4="mid",AF73,AG73)</f>
        <v>18825.9087842868</v>
      </c>
      <c r="BR73" s="772" t="n">
        <f aca="false">CC73-IF($BL$4="mid",AI73,AJ73)</f>
        <v>22072.4512624606</v>
      </c>
      <c r="BS73" s="772" t="n">
        <f aca="false">-IF($BL$4="mid",AK73,AL73)</f>
        <v>-284845.501474551</v>
      </c>
      <c r="BT73" s="772" t="n">
        <f aca="false">-IF($BL$4="mid",AM73,AN73)</f>
        <v>-55221.25</v>
      </c>
      <c r="BW73" s="872" t="n">
        <f aca="false">Breakout!$H$15/12</f>
        <v>3703139.29320554</v>
      </c>
      <c r="BX73" s="872" t="n">
        <f aca="false">Breakout!$H$26/12</f>
        <v>131198.650304066</v>
      </c>
      <c r="BY73" s="872" t="n">
        <f aca="false">Breakout!$H$37/12</f>
        <v>66040.774177282</v>
      </c>
      <c r="BZ73" s="872" t="n">
        <f aca="false">Breakout!$H$48/12</f>
        <v>480384.829276192</v>
      </c>
      <c r="CA73" s="872" t="n">
        <f aca="false">Breakout!$H$59/12</f>
        <v>441990.449764948</v>
      </c>
      <c r="CB73" s="872" t="n">
        <f aca="false">Breakout!$H$70/12</f>
        <v>335346.575450954</v>
      </c>
      <c r="CC73" s="872" t="n">
        <f aca="false">Breakout!$H$81/12</f>
        <v>22072.4512624606</v>
      </c>
      <c r="CE73" s="852" t="n">
        <f aca="false">P73/0.96</f>
        <v>3702307.25439246</v>
      </c>
      <c r="CF73" s="852" t="n">
        <f aca="false">S73/0.96</f>
        <v>131169.171972134</v>
      </c>
      <c r="CG73" s="852" t="n">
        <f aca="false">V73/0.96</f>
        <v>66025.9358244656</v>
      </c>
      <c r="CI73" s="852" t="n">
        <f aca="false">N73</f>
        <v>-715341.083333333</v>
      </c>
      <c r="CJ73" s="852" t="n">
        <f aca="false">O73</f>
        <v>-705333.333333333</v>
      </c>
      <c r="CL73" s="772" t="n">
        <f aca="false">'account mgt'!$H$23/12</f>
        <v>-54375.9795576</v>
      </c>
      <c r="CN73" s="772" t="n">
        <v>0</v>
      </c>
      <c r="CT73" s="772" t="n">
        <f aca="false">CW72</f>
        <v>7881907.230029</v>
      </c>
      <c r="CU73" s="772" t="n">
        <f aca="false">IF(CT73&lt;0.1,0,CT73*$L$3)</f>
        <v>62201.3845569789</v>
      </c>
      <c r="CV73" s="772" t="n">
        <f aca="false">IF(CT73&lt;0.1,0,PPMT($L$3,A73-14,unwinds!$B$8*12,$K$5))</f>
        <v>705357.492945617</v>
      </c>
      <c r="CW73" s="772" t="n">
        <f aca="false">IF(CT73-CV73&lt;0,0,CT73-CV73)</f>
        <v>7176549.73708339</v>
      </c>
      <c r="CX73" s="772" t="n">
        <f aca="false">IF(CX72-CV73&lt;0,0,CX72-CV73)</f>
        <v>7176549.73708339</v>
      </c>
      <c r="DA73" s="772" t="n">
        <f aca="false">DD72</f>
        <v>23295650.8816404</v>
      </c>
      <c r="DB73" s="772" t="n">
        <f aca="false">DA73*$L$3</f>
        <v>183841.511540945</v>
      </c>
      <c r="DC73" s="772" t="n">
        <f aca="false">PPMT($L$3,A73-14,106,$K$5)</f>
        <v>311556.560130668</v>
      </c>
      <c r="DD73" s="772" t="n">
        <f aca="false">DA73-DC73</f>
        <v>22984094.3215097</v>
      </c>
      <c r="DE73" s="772" t="n">
        <f aca="false">DE72-DC73</f>
        <v>22984094.3215097</v>
      </c>
      <c r="DH73" s="417" t="n">
        <v>-715341.083333333</v>
      </c>
      <c r="DI73" s="417" t="n">
        <v>-705333.333333333</v>
      </c>
      <c r="DJ73" s="417"/>
      <c r="DL73" s="417" t="n">
        <f aca="false">PMT($J$3,106,$I$5,,1)</f>
        <v>474832.92700925</v>
      </c>
      <c r="DN73" s="417" t="n">
        <f aca="false">IF($BL$4="mid",DH73,DI73)</f>
        <v>-715341.083333333</v>
      </c>
      <c r="DO73" s="417" t="n">
        <f aca="false">IF($BL$4="mid",DL73,L73)</f>
        <v>474832.92700925</v>
      </c>
      <c r="DQ73" s="772" t="n">
        <f aca="false">BW73-IF($BL$4="mid",Q73,R73)</f>
        <v>452556.793205536</v>
      </c>
      <c r="DR73" s="772" t="n">
        <f aca="false">BX73-IF($BL$4="mid",T73,U73)</f>
        <v>-22235.4288915383</v>
      </c>
      <c r="DS73" s="772"/>
      <c r="DT73" s="772"/>
      <c r="DU73" s="772"/>
      <c r="DV73" s="772"/>
      <c r="DW73" s="772"/>
      <c r="DX73" s="772"/>
    </row>
    <row r="74" customFormat="false" ht="12.75" hidden="false" customHeight="false" outlineLevel="0" collapsed="false">
      <c r="A74" s="767" t="n">
        <v>63</v>
      </c>
      <c r="B74" s="854" t="n">
        <v>38412</v>
      </c>
      <c r="C74" s="417" t="n">
        <v>0</v>
      </c>
      <c r="D74" s="417" t="n">
        <v>0</v>
      </c>
      <c r="E74" s="417" t="n">
        <v>0</v>
      </c>
      <c r="F74" s="417" t="n">
        <v>179962.606120612</v>
      </c>
      <c r="G74" s="417" t="n">
        <v>311556.560130672</v>
      </c>
      <c r="H74" s="417" t="n">
        <v>0</v>
      </c>
      <c r="I74" s="417" t="n">
        <v>491519.166251284</v>
      </c>
      <c r="J74" s="417"/>
      <c r="K74" s="417"/>
      <c r="L74" s="417" t="n">
        <f aca="false">PMT($L$3,106,$K$5,,1)</f>
        <v>491519.166251281</v>
      </c>
      <c r="M74" s="417"/>
      <c r="N74" s="850" t="n">
        <f aca="false">IF(A74&lt;$B$8,0,-$R$5/12)</f>
        <v>-715341.083333333</v>
      </c>
      <c r="O74" s="850" t="n">
        <f aca="false">IF(A74&lt;$B$8,0,-$S$5/12)</f>
        <v>-705333.333333333</v>
      </c>
      <c r="P74" s="872" t="n">
        <f aca="false">Breakout!$H$16/12</f>
        <v>3554214.96421676</v>
      </c>
      <c r="Q74" s="770" t="n">
        <f aca="false">'wholesale services'!$D$110*'wholesale services'!$I$111/12</f>
        <v>3250582.5</v>
      </c>
      <c r="R74" s="770" t="n">
        <v>3320487.5</v>
      </c>
      <c r="S74" s="872" t="n">
        <f aca="false">Breakout!$H$27/12</f>
        <v>125922.405093248</v>
      </c>
      <c r="T74" s="770" t="n">
        <f aca="false">'wholesale services'!$D$113*'wholesale services'!$I$114/12</f>
        <v>153434.079195604</v>
      </c>
      <c r="U74" s="770" t="n">
        <v>156565.38693429</v>
      </c>
      <c r="V74" s="872" t="n">
        <f aca="false">Breakout!$H$38/12</f>
        <v>63384.8983914869</v>
      </c>
      <c r="W74" s="431" t="n">
        <f aca="false">Breakout!$H$39/12</f>
        <v>67203.118087171</v>
      </c>
      <c r="X74" s="431" t="n">
        <v>67925.7322601513</v>
      </c>
      <c r="Y74" s="872" t="n">
        <f aca="false">Breakout!$H$49/12</f>
        <v>461065.818379787</v>
      </c>
      <c r="Z74" s="873" t="n">
        <f aca="false">Breakout!$H$50/12</f>
        <v>428643.458180645</v>
      </c>
      <c r="AA74" s="873" t="n">
        <v>450260.163943753</v>
      </c>
      <c r="AB74" s="872" t="n">
        <f aca="false">Breakout!$H$60/12</f>
        <v>424215.495614165</v>
      </c>
      <c r="AC74" s="873" t="n">
        <f aca="false">Breakout!$H$61/12</f>
        <v>424661.508487447</v>
      </c>
      <c r="AD74" s="873" t="n">
        <v>437902.624565007</v>
      </c>
      <c r="AE74" s="872" t="n">
        <f aca="false">Breakout!$H$71/12</f>
        <v>321860.379071749</v>
      </c>
      <c r="AF74" s="873" t="n">
        <f aca="false">Breakout!$H$72/12</f>
        <v>316520.666666667</v>
      </c>
      <c r="AG74" s="873" t="n">
        <v>316520.666666667</v>
      </c>
      <c r="AH74" s="872" t="n">
        <f aca="false">Breakout!$H$82/12</f>
        <v>21184.792243144</v>
      </c>
      <c r="AI74" s="873" t="n">
        <f aca="false">Breakout!$H$83/12</f>
        <v>0</v>
      </c>
      <c r="AJ74" s="873" t="n">
        <v>0</v>
      </c>
      <c r="AK74" s="874" t="n">
        <f aca="false">Breakout!$H$91/12</f>
        <v>284845.501474551</v>
      </c>
      <c r="AL74" s="874" t="n">
        <v>284845.501474551</v>
      </c>
      <c r="AM74" s="773" t="n">
        <f aca="false">(Breakout!$H$107/12)*-1</f>
        <v>55221.25</v>
      </c>
      <c r="AN74" s="773" t="n">
        <v>55221.25</v>
      </c>
      <c r="AO74" s="774" t="n">
        <f aca="false">(P74+S74+V74)+Y74+AB74+AE74+AH74</f>
        <v>4971848.75301034</v>
      </c>
      <c r="AP74" s="774" t="n">
        <f aca="false">Q74+T74+W74+AA74+AD74+AG74+AJ74+AL74+AN74</f>
        <v>5015969.90393275</v>
      </c>
      <c r="AQ74" s="775" t="n">
        <f aca="false">P74+S74+V74+Y74+AB74+AE74+AH74-Q74-T74-W74-Z74-AC74-AF74-AI74-AK74-AM74-DH74-DL74-CN74</f>
        <v>231244.82724234</v>
      </c>
      <c r="AR74" s="431"/>
      <c r="AS74" s="776" t="n">
        <f aca="false">P74+S74+V74+Y74+AB74+AE74+AH74-R74-U74-X74-AA74-AD74-AG74-AJ74-AL74-AN74-O74-L74-CN74</f>
        <v>95934.0942479749</v>
      </c>
      <c r="AT74" s="431"/>
      <c r="AU74" s="770" t="n">
        <f aca="false">'wholesale services'!$I$110/12</f>
        <v>39106610.7060185</v>
      </c>
      <c r="AV74" s="770" t="n">
        <f aca="false">'wholesale services'!$I$113/12</f>
        <v>17613.2558333333</v>
      </c>
      <c r="AW74" s="431"/>
      <c r="AX74" s="851" t="n">
        <f aca="false">IF(A74&lt;$AX$6,0,-$R$5/12)</f>
        <v>-715341.083333333</v>
      </c>
      <c r="AY74" s="417" t="n">
        <f aca="false">IF(A74&lt;$AX$6,0,-$S$5/12)</f>
        <v>-705333.333333333</v>
      </c>
      <c r="AZ74" s="431"/>
      <c r="BA74" s="772" t="n">
        <f aca="false">P74-IF($BL$4="mid",Q74,R74)-$BL$9*(IF($BL$4="mid",N74,O74)+IF($BL$4="mid",DL74,L74))</f>
        <v>532115.21272464</v>
      </c>
      <c r="BB74" s="772" t="n">
        <f aca="false">S74-IF($BL$4="mid",T74,U74)-$BM$9*(IF($BL$4="mid",N74,O74)+IF($BL$4="mid",DL74,L74))</f>
        <v>-15486.2662861517</v>
      </c>
      <c r="BC74" s="772" t="n">
        <f aca="false">V74-IF($BL$4="mid",W74,X74)-$BN$9*(IF($BL$4="mid",N74,O74)+IF($BL$4="mid",DL74,L74))</f>
        <v>-3818.21969568407</v>
      </c>
      <c r="BD74" s="772" t="n">
        <f aca="false">Y74-IF($BL$4="mid",Z74,AA74)</f>
        <v>32422.360199142</v>
      </c>
      <c r="BE74" s="772" t="n">
        <f aca="false">AB74-IF($BL$4="mid",AC74,AD74)</f>
        <v>-446.012873282598</v>
      </c>
      <c r="BF74" s="772" t="n">
        <f aca="false">AE74-IF($BL$4="mid",AF74,AG74)</f>
        <v>5339.71240508265</v>
      </c>
      <c r="BG74" s="772" t="n">
        <f aca="false">AH74-IF($BL$4="mid",AI74,AJ74)</f>
        <v>21184.792243144</v>
      </c>
      <c r="BH74" s="772" t="n">
        <f aca="false">-IF($BL$4="mid",AK74,AL74)</f>
        <v>-284845.501474551</v>
      </c>
      <c r="BI74" s="772" t="n">
        <f aca="false">-IF($BL$4="mid",AM74,AN74)</f>
        <v>-55221.25</v>
      </c>
      <c r="BL74" s="772" t="n">
        <f aca="false">BW74-IF($BL$4="mid",Q74,R74)-$BL$9*(IF($BL$4="mid",N74,O74)+IF($BL$4="mid",DL74,L74))</f>
        <v>681039.541713415</v>
      </c>
      <c r="BM74" s="772" t="n">
        <f aca="false">BX74-IF($BL$4="mid",T74,U74)-$BM$9*(IF($BL$4="mid",N74,O74)+IF($BL$4="mid",DL74,L74))</f>
        <v>-10210.0210753341</v>
      </c>
      <c r="BN74" s="772" t="n">
        <f aca="false">BY74-IF($BL$4="mid",W74,X74)-$BN$9*(IF($BL$4="mid",N74,O74)+IF($BL$4="mid",DL74,L74))</f>
        <v>-1162.34390988896</v>
      </c>
      <c r="BO74" s="772" t="n">
        <f aca="false">BZ74-IF($BL$4="mid",Z74,AA74)</f>
        <v>51741.3710955472</v>
      </c>
      <c r="BP74" s="772" t="n">
        <f aca="false">CA74-IF($BL$4="mid",AC74,AD74)</f>
        <v>17328.9412775007</v>
      </c>
      <c r="BQ74" s="772" t="n">
        <f aca="false">CB74-IF($BL$4="mid",AF74,AG74)</f>
        <v>18825.9087842868</v>
      </c>
      <c r="BR74" s="772" t="n">
        <f aca="false">CC74-IF($BL$4="mid",AI74,AJ74)</f>
        <v>22072.4512624606</v>
      </c>
      <c r="BS74" s="772" t="n">
        <f aca="false">-IF($BL$4="mid",AK74,AL74)</f>
        <v>-284845.501474551</v>
      </c>
      <c r="BT74" s="772" t="n">
        <f aca="false">-IF($BL$4="mid",AM74,AN74)</f>
        <v>-55221.25</v>
      </c>
      <c r="BW74" s="872" t="n">
        <f aca="false">Breakout!$H$15/12</f>
        <v>3703139.29320554</v>
      </c>
      <c r="BX74" s="872" t="n">
        <f aca="false">Breakout!$H$26/12</f>
        <v>131198.650304066</v>
      </c>
      <c r="BY74" s="872" t="n">
        <f aca="false">Breakout!$H$37/12</f>
        <v>66040.774177282</v>
      </c>
      <c r="BZ74" s="872" t="n">
        <f aca="false">Breakout!$H$48/12</f>
        <v>480384.829276192</v>
      </c>
      <c r="CA74" s="872" t="n">
        <f aca="false">Breakout!$H$59/12</f>
        <v>441990.449764948</v>
      </c>
      <c r="CB74" s="872" t="n">
        <f aca="false">Breakout!$H$70/12</f>
        <v>335346.575450954</v>
      </c>
      <c r="CC74" s="872" t="n">
        <f aca="false">Breakout!$H$81/12</f>
        <v>22072.4512624606</v>
      </c>
      <c r="CE74" s="852" t="n">
        <f aca="false">P74/0.96</f>
        <v>3702307.25439246</v>
      </c>
      <c r="CF74" s="852" t="n">
        <f aca="false">S74/0.96</f>
        <v>131169.171972134</v>
      </c>
      <c r="CG74" s="852" t="n">
        <f aca="false">V74/0.96</f>
        <v>66025.9358244656</v>
      </c>
      <c r="CI74" s="852" t="n">
        <f aca="false">N74</f>
        <v>-715341.083333333</v>
      </c>
      <c r="CJ74" s="852" t="n">
        <f aca="false">O74</f>
        <v>-705333.333333333</v>
      </c>
      <c r="CL74" s="772" t="n">
        <f aca="false">'account mgt'!$H$23/12</f>
        <v>-54375.9795576</v>
      </c>
      <c r="CN74" s="772" t="n">
        <v>0</v>
      </c>
      <c r="CT74" s="772" t="n">
        <f aca="false">CW73</f>
        <v>7176549.73708339</v>
      </c>
      <c r="CU74" s="772" t="n">
        <f aca="false">IF(CT74&lt;0.1,0,CT74*$L$3)</f>
        <v>56634.9383418164</v>
      </c>
      <c r="CV74" s="772" t="n">
        <f aca="false">IF(CT74&lt;0.1,0,PPMT($L$3,A74-14,unwinds!$B$8*12,$K$5))</f>
        <v>710923.939160779</v>
      </c>
      <c r="CW74" s="772" t="n">
        <f aca="false">IF(CT74-CV74&lt;0,0,CT74-CV74)</f>
        <v>6465625.79792261</v>
      </c>
      <c r="CX74" s="772" t="n">
        <f aca="false">IF(CX73-CV74&lt;0,0,CX73-CV74)</f>
        <v>6465625.79792261</v>
      </c>
      <c r="DA74" s="772" t="n">
        <f aca="false">DD73</f>
        <v>22984094.3215097</v>
      </c>
      <c r="DB74" s="772" t="n">
        <f aca="false">DA74*$L$3</f>
        <v>181382.811020581</v>
      </c>
      <c r="DC74" s="772" t="n">
        <f aca="false">PPMT($L$3,A74-14,106,$K$5)</f>
        <v>314015.260651033</v>
      </c>
      <c r="DD74" s="772" t="n">
        <f aca="false">DA74-DC74</f>
        <v>22670079.0608587</v>
      </c>
      <c r="DE74" s="772" t="n">
        <f aca="false">DE73-DC74</f>
        <v>22670079.0608587</v>
      </c>
      <c r="DH74" s="417" t="n">
        <v>-715341.083333333</v>
      </c>
      <c r="DI74" s="417" t="n">
        <v>-705333.333333333</v>
      </c>
      <c r="DJ74" s="417"/>
      <c r="DL74" s="417" t="n">
        <f aca="false">PMT($J$3,106,$I$5,,1)</f>
        <v>474832.92700925</v>
      </c>
      <c r="DN74" s="417" t="n">
        <f aca="false">IF($BL$4="mid",DH74,DI74)</f>
        <v>-715341.083333333</v>
      </c>
      <c r="DO74" s="417" t="n">
        <f aca="false">IF($BL$4="mid",DL74,L74)</f>
        <v>474832.92700925</v>
      </c>
      <c r="DQ74" s="772" t="n">
        <f aca="false">BW74-IF($BL$4="mid",Q74,R74)</f>
        <v>452556.793205536</v>
      </c>
      <c r="DR74" s="772" t="n">
        <f aca="false">BX74-IF($BL$4="mid",T74,U74)</f>
        <v>-22235.4288915383</v>
      </c>
      <c r="DS74" s="772"/>
      <c r="DT74" s="772"/>
      <c r="DU74" s="772"/>
      <c r="DV74" s="772"/>
      <c r="DW74" s="772"/>
      <c r="DX74" s="772"/>
    </row>
    <row r="75" customFormat="false" ht="12.75" hidden="false" customHeight="false" outlineLevel="0" collapsed="false">
      <c r="A75" s="767" t="n">
        <v>64</v>
      </c>
      <c r="B75" s="854" t="n">
        <v>38443</v>
      </c>
      <c r="C75" s="417" t="n">
        <v>0</v>
      </c>
      <c r="D75" s="417" t="n">
        <v>0</v>
      </c>
      <c r="E75" s="417" t="n">
        <v>0</v>
      </c>
      <c r="F75" s="417" t="n">
        <v>177503.905600247</v>
      </c>
      <c r="G75" s="417" t="n">
        <v>314015.260651036</v>
      </c>
      <c r="H75" s="417" t="n">
        <v>0</v>
      </c>
      <c r="I75" s="417" t="n">
        <v>491519.166251284</v>
      </c>
      <c r="J75" s="417"/>
      <c r="K75" s="417"/>
      <c r="L75" s="417" t="n">
        <f aca="false">PMT($L$3,106,$K$5,,1)</f>
        <v>491519.166251281</v>
      </c>
      <c r="M75" s="417"/>
      <c r="N75" s="850" t="n">
        <f aca="false">IF(A75&lt;$B$8,0,-$R$5/12)</f>
        <v>-715341.083333333</v>
      </c>
      <c r="O75" s="850" t="n">
        <f aca="false">IF(A75&lt;$B$8,0,-$S$5/12)</f>
        <v>-705333.333333333</v>
      </c>
      <c r="P75" s="872" t="n">
        <f aca="false">Breakout!$H$16/12</f>
        <v>3554214.96421676</v>
      </c>
      <c r="Q75" s="770" t="n">
        <f aca="false">'wholesale services'!$D$110*'wholesale services'!$I$111/12</f>
        <v>3250582.5</v>
      </c>
      <c r="R75" s="770" t="n">
        <v>3320487.5</v>
      </c>
      <c r="S75" s="872" t="n">
        <f aca="false">Breakout!$H$27/12</f>
        <v>125922.405093248</v>
      </c>
      <c r="T75" s="770" t="n">
        <f aca="false">'wholesale services'!$D$113*'wholesale services'!$I$114/12</f>
        <v>153434.079195604</v>
      </c>
      <c r="U75" s="770" t="n">
        <v>156565.38693429</v>
      </c>
      <c r="V75" s="872" t="n">
        <f aca="false">Breakout!$H$38/12</f>
        <v>63384.8983914869</v>
      </c>
      <c r="W75" s="431" t="n">
        <f aca="false">Breakout!$H$39/12</f>
        <v>67203.118087171</v>
      </c>
      <c r="X75" s="431" t="n">
        <v>67925.7322601513</v>
      </c>
      <c r="Y75" s="872" t="n">
        <f aca="false">Breakout!$H$49/12</f>
        <v>461065.818379787</v>
      </c>
      <c r="Z75" s="873" t="n">
        <f aca="false">Breakout!$H$50/12</f>
        <v>428643.458180645</v>
      </c>
      <c r="AA75" s="873" t="n">
        <v>450260.163943753</v>
      </c>
      <c r="AB75" s="872" t="n">
        <f aca="false">Breakout!$H$60/12</f>
        <v>424215.495614165</v>
      </c>
      <c r="AC75" s="873" t="n">
        <f aca="false">Breakout!$H$61/12</f>
        <v>424661.508487447</v>
      </c>
      <c r="AD75" s="873" t="n">
        <v>437902.624565007</v>
      </c>
      <c r="AE75" s="872" t="n">
        <f aca="false">Breakout!$H$71/12</f>
        <v>321860.379071749</v>
      </c>
      <c r="AF75" s="873" t="n">
        <f aca="false">Breakout!$H$72/12</f>
        <v>316520.666666667</v>
      </c>
      <c r="AG75" s="873" t="n">
        <v>316520.666666667</v>
      </c>
      <c r="AH75" s="872" t="n">
        <f aca="false">Breakout!$H$82/12</f>
        <v>21184.792243144</v>
      </c>
      <c r="AI75" s="873" t="n">
        <f aca="false">Breakout!$H$83/12</f>
        <v>0</v>
      </c>
      <c r="AJ75" s="873" t="n">
        <v>0</v>
      </c>
      <c r="AK75" s="874" t="n">
        <f aca="false">Breakout!$H$91/12</f>
        <v>284845.501474551</v>
      </c>
      <c r="AL75" s="874" t="n">
        <v>284845.501474551</v>
      </c>
      <c r="AM75" s="773" t="n">
        <f aca="false">(Breakout!$H$107/12)*-1</f>
        <v>55221.25</v>
      </c>
      <c r="AN75" s="773" t="n">
        <v>55221.25</v>
      </c>
      <c r="AO75" s="774" t="n">
        <f aca="false">(P75+S75+V75)+Y75+AB75+AE75+AH75</f>
        <v>4971848.75301034</v>
      </c>
      <c r="AP75" s="774" t="n">
        <f aca="false">Q75+T75+W75+AA75+AD75+AG75+AJ75+AL75+AN75</f>
        <v>5015969.90393275</v>
      </c>
      <c r="AQ75" s="775" t="n">
        <f aca="false">P75+S75+V75+Y75+AB75+AE75+AH75-Q75-T75-W75-Z75-AC75-AF75-AI75-AK75-AM75-DH75-DL75-CN75</f>
        <v>231244.82724234</v>
      </c>
      <c r="AR75" s="431"/>
      <c r="AS75" s="776" t="n">
        <f aca="false">P75+S75+V75+Y75+AB75+AE75+AH75-R75-U75-X75-AA75-AD75-AG75-AJ75-AL75-AN75-O75-L75-CN75</f>
        <v>95934.0942479749</v>
      </c>
      <c r="AT75" s="431"/>
      <c r="AU75" s="770" t="n">
        <f aca="false">'wholesale services'!$I$110/12</f>
        <v>39106610.7060185</v>
      </c>
      <c r="AV75" s="770" t="n">
        <f aca="false">'wholesale services'!$I$113/12</f>
        <v>17613.2558333333</v>
      </c>
      <c r="AW75" s="431"/>
      <c r="AX75" s="851" t="n">
        <f aca="false">IF(A75&lt;$AX$6,0,-$R$5/12)</f>
        <v>-715341.083333333</v>
      </c>
      <c r="AY75" s="417" t="n">
        <f aca="false">IF(A75&lt;$AX$6,0,-$S$5/12)</f>
        <v>-705333.333333333</v>
      </c>
      <c r="AZ75" s="431"/>
      <c r="BA75" s="772" t="n">
        <f aca="false">P75-IF($BL$4="mid",Q75,R75)-$BL$9*(IF($BL$4="mid",N75,O75)+IF($BL$4="mid",DL75,L75))</f>
        <v>532115.21272464</v>
      </c>
      <c r="BB75" s="772" t="n">
        <f aca="false">S75-IF($BL$4="mid",T75,U75)-$BM$9*(IF($BL$4="mid",N75,O75)+IF($BL$4="mid",DL75,L75))</f>
        <v>-15486.2662861517</v>
      </c>
      <c r="BC75" s="772" t="n">
        <f aca="false">V75-IF($BL$4="mid",W75,X75)-$BN$9*(IF($BL$4="mid",N75,O75)+IF($BL$4="mid",DL75,L75))</f>
        <v>-3818.21969568407</v>
      </c>
      <c r="BD75" s="772" t="n">
        <f aca="false">Y75-IF($BL$4="mid",Z75,AA75)</f>
        <v>32422.360199142</v>
      </c>
      <c r="BE75" s="772" t="n">
        <f aca="false">AB75-IF($BL$4="mid",AC75,AD75)</f>
        <v>-446.012873282598</v>
      </c>
      <c r="BF75" s="772" t="n">
        <f aca="false">AE75-IF($BL$4="mid",AF75,AG75)</f>
        <v>5339.71240508265</v>
      </c>
      <c r="BG75" s="772" t="n">
        <f aca="false">AH75-IF($BL$4="mid",AI75,AJ75)</f>
        <v>21184.792243144</v>
      </c>
      <c r="BH75" s="772" t="n">
        <f aca="false">-IF($BL$4="mid",AK75,AL75)</f>
        <v>-284845.501474551</v>
      </c>
      <c r="BI75" s="772" t="n">
        <f aca="false">-IF($BL$4="mid",AM75,AN75)</f>
        <v>-55221.25</v>
      </c>
      <c r="BL75" s="772" t="n">
        <f aca="false">BW75-IF($BL$4="mid",Q75,R75)-$BL$9*(IF($BL$4="mid",N75,O75)+IF($BL$4="mid",DL75,L75))</f>
        <v>681039.541713415</v>
      </c>
      <c r="BM75" s="772" t="n">
        <f aca="false">BX75-IF($BL$4="mid",T75,U75)-$BM$9*(IF($BL$4="mid",N75,O75)+IF($BL$4="mid",DL75,L75))</f>
        <v>-10210.0210753341</v>
      </c>
      <c r="BN75" s="772" t="n">
        <f aca="false">BY75-IF($BL$4="mid",W75,X75)-$BN$9*(IF($BL$4="mid",N75,O75)+IF($BL$4="mid",DL75,L75))</f>
        <v>-1162.34390988896</v>
      </c>
      <c r="BO75" s="772" t="n">
        <f aca="false">BZ75-IF($BL$4="mid",Z75,AA75)</f>
        <v>51741.3710955472</v>
      </c>
      <c r="BP75" s="772" t="n">
        <f aca="false">CA75-IF($BL$4="mid",AC75,AD75)</f>
        <v>17328.9412775007</v>
      </c>
      <c r="BQ75" s="772" t="n">
        <f aca="false">CB75-IF($BL$4="mid",AF75,AG75)</f>
        <v>18825.9087842868</v>
      </c>
      <c r="BR75" s="772" t="n">
        <f aca="false">CC75-IF($BL$4="mid",AI75,AJ75)</f>
        <v>22072.4512624606</v>
      </c>
      <c r="BS75" s="772" t="n">
        <f aca="false">-IF($BL$4="mid",AK75,AL75)</f>
        <v>-284845.501474551</v>
      </c>
      <c r="BT75" s="772" t="n">
        <f aca="false">-IF($BL$4="mid",AM75,AN75)</f>
        <v>-55221.25</v>
      </c>
      <c r="BW75" s="872" t="n">
        <f aca="false">Breakout!$H$15/12</f>
        <v>3703139.29320554</v>
      </c>
      <c r="BX75" s="872" t="n">
        <f aca="false">Breakout!$H$26/12</f>
        <v>131198.650304066</v>
      </c>
      <c r="BY75" s="872" t="n">
        <f aca="false">Breakout!$H$37/12</f>
        <v>66040.774177282</v>
      </c>
      <c r="BZ75" s="872" t="n">
        <f aca="false">Breakout!$H$48/12</f>
        <v>480384.829276192</v>
      </c>
      <c r="CA75" s="872" t="n">
        <f aca="false">Breakout!$H$59/12</f>
        <v>441990.449764948</v>
      </c>
      <c r="CB75" s="872" t="n">
        <f aca="false">Breakout!$H$70/12</f>
        <v>335346.575450954</v>
      </c>
      <c r="CC75" s="872" t="n">
        <f aca="false">Breakout!$H$81/12</f>
        <v>22072.4512624606</v>
      </c>
      <c r="CE75" s="852" t="n">
        <f aca="false">P75/0.96</f>
        <v>3702307.25439246</v>
      </c>
      <c r="CF75" s="852" t="n">
        <f aca="false">S75/0.96</f>
        <v>131169.171972134</v>
      </c>
      <c r="CG75" s="852" t="n">
        <f aca="false">V75/0.96</f>
        <v>66025.9358244656</v>
      </c>
      <c r="CI75" s="852" t="n">
        <f aca="false">N75</f>
        <v>-715341.083333333</v>
      </c>
      <c r="CJ75" s="852" t="n">
        <f aca="false">O75</f>
        <v>-705333.333333333</v>
      </c>
      <c r="CL75" s="772" t="n">
        <f aca="false">'account mgt'!$H$23/12</f>
        <v>-54375.9795576</v>
      </c>
      <c r="CN75" s="772" t="n">
        <v>0</v>
      </c>
      <c r="CT75" s="772" t="n">
        <f aca="false">CW74</f>
        <v>6465625.79792261</v>
      </c>
      <c r="CU75" s="772" t="n">
        <f aca="false">IF(CT75&lt;0.1,0,CT75*$L$3)</f>
        <v>51024.5635886059</v>
      </c>
      <c r="CV75" s="772" t="n">
        <f aca="false">IF(CT75&lt;0.1,0,PPMT($L$3,A75-14,unwinds!$B$8*12,$K$5))</f>
        <v>716534.31391399</v>
      </c>
      <c r="CW75" s="772" t="n">
        <f aca="false">IF(CT75-CV75&lt;0,0,CT75-CV75)</f>
        <v>5749091.48400862</v>
      </c>
      <c r="CX75" s="772" t="n">
        <f aca="false">IF(CX74-CV75&lt;0,0,CX74-CV75)</f>
        <v>5749091.48400862</v>
      </c>
      <c r="DA75" s="772" t="n">
        <f aca="false">DD74</f>
        <v>22670079.0608587</v>
      </c>
      <c r="DB75" s="772" t="n">
        <f aca="false">DA75*$L$3</f>
        <v>178904.707255276</v>
      </c>
      <c r="DC75" s="772" t="n">
        <f aca="false">PPMT($L$3,A75-14,106,$K$5)</f>
        <v>316493.364416337</v>
      </c>
      <c r="DD75" s="772" t="n">
        <f aca="false">DA75-DC75</f>
        <v>22353585.6964423</v>
      </c>
      <c r="DE75" s="772" t="n">
        <f aca="false">DE74-DC75</f>
        <v>22353585.6964423</v>
      </c>
      <c r="DH75" s="417" t="n">
        <v>-715341.083333333</v>
      </c>
      <c r="DI75" s="417" t="n">
        <v>-705333.333333333</v>
      </c>
      <c r="DJ75" s="417"/>
      <c r="DL75" s="417" t="n">
        <f aca="false">PMT($J$3,106,$I$5,,1)</f>
        <v>474832.92700925</v>
      </c>
      <c r="DN75" s="417" t="n">
        <f aca="false">IF($BL$4="mid",DH75,DI75)</f>
        <v>-715341.083333333</v>
      </c>
      <c r="DO75" s="417" t="n">
        <f aca="false">IF($BL$4="mid",DL75,L75)</f>
        <v>474832.92700925</v>
      </c>
      <c r="DQ75" s="772" t="n">
        <f aca="false">BW75-IF($BL$4="mid",Q75,R75)</f>
        <v>452556.793205536</v>
      </c>
      <c r="DR75" s="772" t="n">
        <f aca="false">BX75-IF($BL$4="mid",T75,U75)</f>
        <v>-22235.4288915383</v>
      </c>
      <c r="DS75" s="772"/>
      <c r="DT75" s="772"/>
      <c r="DU75" s="772"/>
      <c r="DV75" s="772"/>
      <c r="DW75" s="772"/>
      <c r="DX75" s="772"/>
    </row>
    <row r="76" customFormat="false" ht="12.75" hidden="false" customHeight="false" outlineLevel="0" collapsed="false">
      <c r="A76" s="767" t="n">
        <v>65</v>
      </c>
      <c r="B76" s="854" t="n">
        <v>38473</v>
      </c>
      <c r="C76" s="417" t="n">
        <v>0</v>
      </c>
      <c r="D76" s="417" t="n">
        <v>0</v>
      </c>
      <c r="E76" s="417" t="n">
        <v>0</v>
      </c>
      <c r="F76" s="417" t="n">
        <v>175025.801834943</v>
      </c>
      <c r="G76" s="417" t="n">
        <v>316493.364416341</v>
      </c>
      <c r="H76" s="417" t="n">
        <v>0</v>
      </c>
      <c r="I76" s="417" t="n">
        <v>491519.166251284</v>
      </c>
      <c r="J76" s="417"/>
      <c r="K76" s="417"/>
      <c r="L76" s="417" t="n">
        <f aca="false">PMT($L$3,106,$K$5,,1)</f>
        <v>491519.166251281</v>
      </c>
      <c r="M76" s="417"/>
      <c r="N76" s="850" t="n">
        <f aca="false">IF(A76&lt;$B$8,0,-$R$5/12)</f>
        <v>-715341.083333333</v>
      </c>
      <c r="O76" s="850" t="n">
        <f aca="false">IF(A76&lt;$B$8,0,-$S$5/12)</f>
        <v>-705333.333333333</v>
      </c>
      <c r="P76" s="872" t="n">
        <f aca="false">Breakout!$H$16/12</f>
        <v>3554214.96421676</v>
      </c>
      <c r="Q76" s="770" t="n">
        <f aca="false">'wholesale services'!$D$110*'wholesale services'!$I$111/12</f>
        <v>3250582.5</v>
      </c>
      <c r="R76" s="770" t="n">
        <v>3320487.5</v>
      </c>
      <c r="S76" s="872" t="n">
        <f aca="false">Breakout!$H$27/12</f>
        <v>125922.405093248</v>
      </c>
      <c r="T76" s="770" t="n">
        <f aca="false">'wholesale services'!$D$113*'wholesale services'!$I$114/12</f>
        <v>153434.079195604</v>
      </c>
      <c r="U76" s="770" t="n">
        <v>156565.38693429</v>
      </c>
      <c r="V76" s="872" t="n">
        <f aca="false">Breakout!$H$38/12</f>
        <v>63384.8983914869</v>
      </c>
      <c r="W76" s="431" t="n">
        <f aca="false">Breakout!$H$39/12</f>
        <v>67203.118087171</v>
      </c>
      <c r="X76" s="431" t="n">
        <v>67925.7322601513</v>
      </c>
      <c r="Y76" s="872" t="n">
        <f aca="false">Breakout!$H$49/12</f>
        <v>461065.818379787</v>
      </c>
      <c r="Z76" s="873" t="n">
        <f aca="false">Breakout!$H$50/12</f>
        <v>428643.458180645</v>
      </c>
      <c r="AA76" s="873" t="n">
        <v>450260.163943753</v>
      </c>
      <c r="AB76" s="872" t="n">
        <f aca="false">Breakout!$H$60/12</f>
        <v>424215.495614165</v>
      </c>
      <c r="AC76" s="873" t="n">
        <f aca="false">Breakout!$H$61/12</f>
        <v>424661.508487447</v>
      </c>
      <c r="AD76" s="873" t="n">
        <v>437902.624565007</v>
      </c>
      <c r="AE76" s="872" t="n">
        <f aca="false">Breakout!$H$71/12</f>
        <v>321860.379071749</v>
      </c>
      <c r="AF76" s="873" t="n">
        <f aca="false">Breakout!$H$72/12</f>
        <v>316520.666666667</v>
      </c>
      <c r="AG76" s="873" t="n">
        <v>316520.666666667</v>
      </c>
      <c r="AH76" s="872" t="n">
        <f aca="false">Breakout!$H$82/12</f>
        <v>21184.792243144</v>
      </c>
      <c r="AI76" s="873" t="n">
        <f aca="false">Breakout!$H$83/12</f>
        <v>0</v>
      </c>
      <c r="AJ76" s="873" t="n">
        <v>0</v>
      </c>
      <c r="AK76" s="874" t="n">
        <f aca="false">Breakout!$H$91/12</f>
        <v>284845.501474551</v>
      </c>
      <c r="AL76" s="874" t="n">
        <v>284845.501474551</v>
      </c>
      <c r="AM76" s="773" t="n">
        <f aca="false">(Breakout!$H$107/12)*-1</f>
        <v>55221.25</v>
      </c>
      <c r="AN76" s="773" t="n">
        <v>55221.25</v>
      </c>
      <c r="AO76" s="774" t="n">
        <f aca="false">(P76+S76+V76)+Y76+AB76+AE76+AH76</f>
        <v>4971848.75301034</v>
      </c>
      <c r="AP76" s="774" t="n">
        <f aca="false">Q76+T76+W76+AA76+AD76+AG76+AJ76+AL76+AN76</f>
        <v>5015969.90393275</v>
      </c>
      <c r="AQ76" s="775" t="n">
        <f aca="false">P76+S76+V76+Y76+AB76+AE76+AH76-Q76-T76-W76-Z76-AC76-AF76-AI76-AK76-AM76-DH76-DL76-CN76</f>
        <v>231244.82724234</v>
      </c>
      <c r="AR76" s="431"/>
      <c r="AS76" s="776" t="n">
        <f aca="false">P76+S76+V76+Y76+AB76+AE76+AH76-R76-U76-X76-AA76-AD76-AG76-AJ76-AL76-AN76-O76-L76-CN76</f>
        <v>95934.0942479749</v>
      </c>
      <c r="AT76" s="431"/>
      <c r="AU76" s="770" t="n">
        <f aca="false">'wholesale services'!$I$110/12</f>
        <v>39106610.7060185</v>
      </c>
      <c r="AV76" s="770" t="n">
        <f aca="false">'wholesale services'!$I$113/12</f>
        <v>17613.2558333333</v>
      </c>
      <c r="AW76" s="431"/>
      <c r="AX76" s="851" t="n">
        <f aca="false">IF(A76&lt;$AX$6,0,-$R$5/12)</f>
        <v>-715341.083333333</v>
      </c>
      <c r="AY76" s="417" t="n">
        <f aca="false">IF(A76&lt;$AX$6,0,-$S$5/12)</f>
        <v>-705333.333333333</v>
      </c>
      <c r="AZ76" s="431"/>
      <c r="BA76" s="772" t="n">
        <f aca="false">P76-IF($BL$4="mid",Q76,R76)-$BL$9*(IF($BL$4="mid",N76,O76)+IF($BL$4="mid",DL76,L76))</f>
        <v>532115.21272464</v>
      </c>
      <c r="BB76" s="772" t="n">
        <f aca="false">S76-IF($BL$4="mid",T76,U76)-$BM$9*(IF($BL$4="mid",N76,O76)+IF($BL$4="mid",DL76,L76))</f>
        <v>-15486.2662861517</v>
      </c>
      <c r="BC76" s="772" t="n">
        <f aca="false">V76-IF($BL$4="mid",W76,X76)-$BN$9*(IF($BL$4="mid",N76,O76)+IF($BL$4="mid",DL76,L76))</f>
        <v>-3818.21969568407</v>
      </c>
      <c r="BD76" s="772" t="n">
        <f aca="false">Y76-IF($BL$4="mid",Z76,AA76)</f>
        <v>32422.360199142</v>
      </c>
      <c r="BE76" s="772" t="n">
        <f aca="false">AB76-IF($BL$4="mid",AC76,AD76)</f>
        <v>-446.012873282598</v>
      </c>
      <c r="BF76" s="772" t="n">
        <f aca="false">AE76-IF($BL$4="mid",AF76,AG76)</f>
        <v>5339.71240508265</v>
      </c>
      <c r="BG76" s="772" t="n">
        <f aca="false">AH76-IF($BL$4="mid",AI76,AJ76)</f>
        <v>21184.792243144</v>
      </c>
      <c r="BH76" s="772" t="n">
        <f aca="false">-IF($BL$4="mid",AK76,AL76)</f>
        <v>-284845.501474551</v>
      </c>
      <c r="BI76" s="772" t="n">
        <f aca="false">-IF($BL$4="mid",AM76,AN76)</f>
        <v>-55221.25</v>
      </c>
      <c r="BL76" s="772" t="n">
        <f aca="false">BW76-IF($BL$4="mid",Q76,R76)-$BL$9*(IF($BL$4="mid",N76,O76)+IF($BL$4="mid",DL76,L76))</f>
        <v>681039.541713415</v>
      </c>
      <c r="BM76" s="772" t="n">
        <f aca="false">BX76-IF($BL$4="mid",T76,U76)-$BM$9*(IF($BL$4="mid",N76,O76)+IF($BL$4="mid",DL76,L76))</f>
        <v>-10210.0210753341</v>
      </c>
      <c r="BN76" s="772" t="n">
        <f aca="false">BY76-IF($BL$4="mid",W76,X76)-$BN$9*(IF($BL$4="mid",N76,O76)+IF($BL$4="mid",DL76,L76))</f>
        <v>-1162.34390988896</v>
      </c>
      <c r="BO76" s="772" t="n">
        <f aca="false">BZ76-IF($BL$4="mid",Z76,AA76)</f>
        <v>51741.3710955472</v>
      </c>
      <c r="BP76" s="772" t="n">
        <f aca="false">CA76-IF($BL$4="mid",AC76,AD76)</f>
        <v>17328.9412775007</v>
      </c>
      <c r="BQ76" s="772" t="n">
        <f aca="false">CB76-IF($BL$4="mid",AF76,AG76)</f>
        <v>18825.9087842868</v>
      </c>
      <c r="BR76" s="772" t="n">
        <f aca="false">CC76-IF($BL$4="mid",AI76,AJ76)</f>
        <v>22072.4512624606</v>
      </c>
      <c r="BS76" s="772" t="n">
        <f aca="false">-IF($BL$4="mid",AK76,AL76)</f>
        <v>-284845.501474551</v>
      </c>
      <c r="BT76" s="772" t="n">
        <f aca="false">-IF($BL$4="mid",AM76,AN76)</f>
        <v>-55221.25</v>
      </c>
      <c r="BW76" s="872" t="n">
        <f aca="false">Breakout!$H$15/12</f>
        <v>3703139.29320554</v>
      </c>
      <c r="BX76" s="872" t="n">
        <f aca="false">Breakout!$H$26/12</f>
        <v>131198.650304066</v>
      </c>
      <c r="BY76" s="872" t="n">
        <f aca="false">Breakout!$H$37/12</f>
        <v>66040.774177282</v>
      </c>
      <c r="BZ76" s="872" t="n">
        <f aca="false">Breakout!$H$48/12</f>
        <v>480384.829276192</v>
      </c>
      <c r="CA76" s="872" t="n">
        <f aca="false">Breakout!$H$59/12</f>
        <v>441990.449764948</v>
      </c>
      <c r="CB76" s="872" t="n">
        <f aca="false">Breakout!$H$70/12</f>
        <v>335346.575450954</v>
      </c>
      <c r="CC76" s="872" t="n">
        <f aca="false">Breakout!$H$81/12</f>
        <v>22072.4512624606</v>
      </c>
      <c r="CE76" s="852" t="n">
        <f aca="false">P76/0.96</f>
        <v>3702307.25439246</v>
      </c>
      <c r="CF76" s="852" t="n">
        <f aca="false">S76/0.96</f>
        <v>131169.171972134</v>
      </c>
      <c r="CG76" s="852" t="n">
        <f aca="false">V76/0.96</f>
        <v>66025.9358244656</v>
      </c>
      <c r="CI76" s="852" t="n">
        <f aca="false">N76</f>
        <v>-715341.083333333</v>
      </c>
      <c r="CJ76" s="852" t="n">
        <f aca="false">O76</f>
        <v>-705333.333333333</v>
      </c>
      <c r="CL76" s="772" t="n">
        <f aca="false">'account mgt'!$H$23/12</f>
        <v>-54375.9795576</v>
      </c>
      <c r="CN76" s="772" t="n">
        <v>0</v>
      </c>
      <c r="CT76" s="772" t="n">
        <f aca="false">CW75</f>
        <v>5749091.48400862</v>
      </c>
      <c r="CU76" s="772" t="n">
        <f aca="false">IF(CT76&lt;0.1,0,CT76*$L$3)</f>
        <v>45369.913627968</v>
      </c>
      <c r="CV76" s="772" t="n">
        <f aca="false">IF(CT76&lt;0.1,0,PPMT($L$3,A76-14,unwinds!$B$8*12,$K$5))</f>
        <v>722188.963874628</v>
      </c>
      <c r="CW76" s="772" t="n">
        <f aca="false">IF(CT76-CV76&lt;0,0,CT76-CV76)</f>
        <v>5026902.52013399</v>
      </c>
      <c r="CX76" s="772" t="n">
        <f aca="false">IF(CX75-CV76&lt;0,0,CX75-CV76)</f>
        <v>5026902.52013399</v>
      </c>
      <c r="DA76" s="772" t="n">
        <f aca="false">DD75</f>
        <v>22353585.6964423</v>
      </c>
      <c r="DB76" s="772" t="n">
        <f aca="false">DA76*$L$3</f>
        <v>176407.047121091</v>
      </c>
      <c r="DC76" s="772" t="n">
        <f aca="false">PPMT($L$3,A76-14,106,$K$5)</f>
        <v>318991.024550523</v>
      </c>
      <c r="DD76" s="772" t="n">
        <f aca="false">DA76-DC76</f>
        <v>22034594.6718918</v>
      </c>
      <c r="DE76" s="772" t="n">
        <f aca="false">DE75-DC76</f>
        <v>22034594.6718918</v>
      </c>
      <c r="DH76" s="417" t="n">
        <v>-715341.083333333</v>
      </c>
      <c r="DI76" s="417" t="n">
        <v>-705333.333333333</v>
      </c>
      <c r="DJ76" s="417"/>
      <c r="DL76" s="417" t="n">
        <f aca="false">PMT($J$3,106,$I$5,,1)</f>
        <v>474832.92700925</v>
      </c>
      <c r="DN76" s="417" t="n">
        <f aca="false">IF($BL$4="mid",DH76,DI76)</f>
        <v>-715341.083333333</v>
      </c>
      <c r="DO76" s="417" t="n">
        <f aca="false">IF($BL$4="mid",DL76,L76)</f>
        <v>474832.92700925</v>
      </c>
      <c r="DQ76" s="772" t="n">
        <f aca="false">BW76-IF($BL$4="mid",Q76,R76)</f>
        <v>452556.793205536</v>
      </c>
      <c r="DR76" s="772" t="n">
        <f aca="false">BX76-IF($BL$4="mid",T76,U76)</f>
        <v>-22235.4288915383</v>
      </c>
      <c r="DS76" s="772"/>
      <c r="DT76" s="772"/>
      <c r="DU76" s="772"/>
      <c r="DV76" s="772"/>
      <c r="DW76" s="772"/>
      <c r="DX76" s="772"/>
    </row>
    <row r="77" customFormat="false" ht="12.75" hidden="false" customHeight="false" outlineLevel="0" collapsed="false">
      <c r="A77" s="767" t="n">
        <v>66</v>
      </c>
      <c r="B77" s="854" t="n">
        <v>38504</v>
      </c>
      <c r="C77" s="417" t="n">
        <v>0</v>
      </c>
      <c r="D77" s="417" t="n">
        <v>0</v>
      </c>
      <c r="E77" s="417" t="n">
        <v>0</v>
      </c>
      <c r="F77" s="417" t="n">
        <v>172528.141700757</v>
      </c>
      <c r="G77" s="417" t="n">
        <v>318991.024550526</v>
      </c>
      <c r="H77" s="417" t="n">
        <v>0</v>
      </c>
      <c r="I77" s="417" t="n">
        <v>491519.166251284</v>
      </c>
      <c r="J77" s="417"/>
      <c r="K77" s="417"/>
      <c r="L77" s="417" t="n">
        <f aca="false">PMT($L$3,106,$K$5,,1)</f>
        <v>491519.166251281</v>
      </c>
      <c r="M77" s="417"/>
      <c r="N77" s="850" t="n">
        <f aca="false">IF(A77&lt;$B$8,0,-$R$5/12)</f>
        <v>-715341.083333333</v>
      </c>
      <c r="O77" s="850" t="n">
        <f aca="false">IF(A77&lt;$B$8,0,-$S$5/12)</f>
        <v>-705333.333333333</v>
      </c>
      <c r="P77" s="872" t="n">
        <f aca="false">Breakout!$H$16/12</f>
        <v>3554214.96421676</v>
      </c>
      <c r="Q77" s="770" t="n">
        <f aca="false">'wholesale services'!$D$110*'wholesale services'!$I$111/12</f>
        <v>3250582.5</v>
      </c>
      <c r="R77" s="770" t="n">
        <v>3320487.5</v>
      </c>
      <c r="S77" s="872" t="n">
        <f aca="false">Breakout!$H$27/12</f>
        <v>125922.405093248</v>
      </c>
      <c r="T77" s="770" t="n">
        <f aca="false">'wholesale services'!$D$113*'wholesale services'!$I$114/12</f>
        <v>153434.079195604</v>
      </c>
      <c r="U77" s="770" t="n">
        <v>156565.38693429</v>
      </c>
      <c r="V77" s="872" t="n">
        <f aca="false">Breakout!$H$38/12</f>
        <v>63384.8983914869</v>
      </c>
      <c r="W77" s="431" t="n">
        <f aca="false">Breakout!$H$39/12</f>
        <v>67203.118087171</v>
      </c>
      <c r="X77" s="431" t="n">
        <v>67925.7322601513</v>
      </c>
      <c r="Y77" s="872" t="n">
        <f aca="false">Breakout!$H$49/12</f>
        <v>461065.818379787</v>
      </c>
      <c r="Z77" s="873" t="n">
        <f aca="false">Breakout!$H$50/12</f>
        <v>428643.458180645</v>
      </c>
      <c r="AA77" s="873" t="n">
        <v>450260.163943753</v>
      </c>
      <c r="AB77" s="872" t="n">
        <f aca="false">Breakout!$H$60/12</f>
        <v>424215.495614165</v>
      </c>
      <c r="AC77" s="873" t="n">
        <f aca="false">Breakout!$H$61/12</f>
        <v>424661.508487447</v>
      </c>
      <c r="AD77" s="873" t="n">
        <v>437902.624565007</v>
      </c>
      <c r="AE77" s="872" t="n">
        <f aca="false">Breakout!$H$71/12</f>
        <v>321860.379071749</v>
      </c>
      <c r="AF77" s="873" t="n">
        <f aca="false">Breakout!$H$72/12</f>
        <v>316520.666666667</v>
      </c>
      <c r="AG77" s="873" t="n">
        <v>316520.666666667</v>
      </c>
      <c r="AH77" s="872" t="n">
        <f aca="false">Breakout!$H$82/12</f>
        <v>21184.792243144</v>
      </c>
      <c r="AI77" s="873" t="n">
        <f aca="false">Breakout!$H$83/12</f>
        <v>0</v>
      </c>
      <c r="AJ77" s="873" t="n">
        <v>0</v>
      </c>
      <c r="AK77" s="874" t="n">
        <f aca="false">Breakout!$H$91/12</f>
        <v>284845.501474551</v>
      </c>
      <c r="AL77" s="874" t="n">
        <v>284845.501474551</v>
      </c>
      <c r="AM77" s="773" t="n">
        <f aca="false">(Breakout!$H$107/12)*-1</f>
        <v>55221.25</v>
      </c>
      <c r="AN77" s="773" t="n">
        <v>55221.25</v>
      </c>
      <c r="AO77" s="774" t="n">
        <f aca="false">(P77+S77+V77)+Y77+AB77+AE77+AH77</f>
        <v>4971848.75301034</v>
      </c>
      <c r="AP77" s="774" t="n">
        <f aca="false">Q77+T77+W77+AA77+AD77+AG77+AJ77+AL77+AN77</f>
        <v>5015969.90393275</v>
      </c>
      <c r="AQ77" s="775" t="n">
        <f aca="false">P77+S77+V77+Y77+AB77+AE77+AH77-Q77-T77-W77-Z77-AC77-AF77-AI77-AK77-AM77-DH77-DL77-CN77</f>
        <v>231244.82724234</v>
      </c>
      <c r="AR77" s="431"/>
      <c r="AS77" s="776" t="n">
        <f aca="false">P77+S77+V77+Y77+AB77+AE77+AH77-R77-U77-X77-AA77-AD77-AG77-AJ77-AL77-AN77-O77-L77-CN77</f>
        <v>95934.0942479749</v>
      </c>
      <c r="AT77" s="431"/>
      <c r="AU77" s="770" t="n">
        <f aca="false">'wholesale services'!$I$110/12</f>
        <v>39106610.7060185</v>
      </c>
      <c r="AV77" s="770" t="n">
        <f aca="false">'wholesale services'!$I$113/12</f>
        <v>17613.2558333333</v>
      </c>
      <c r="AW77" s="431"/>
      <c r="AX77" s="851" t="n">
        <f aca="false">IF(A77&lt;$AX$6,0,-$R$5/12)</f>
        <v>-715341.083333333</v>
      </c>
      <c r="AY77" s="417" t="n">
        <f aca="false">IF(A77&lt;$AX$6,0,-$S$5/12)</f>
        <v>-705333.333333333</v>
      </c>
      <c r="AZ77" s="431"/>
      <c r="BA77" s="772" t="n">
        <f aca="false">P77-IF($BL$4="mid",Q77,R77)-$BL$9*(IF($BL$4="mid",N77,O77)+IF($BL$4="mid",DL77,L77))</f>
        <v>532115.21272464</v>
      </c>
      <c r="BB77" s="772" t="n">
        <f aca="false">S77-IF($BL$4="mid",T77,U77)-$BM$9*(IF($BL$4="mid",N77,O77)+IF($BL$4="mid",DL77,L77))</f>
        <v>-15486.2662861517</v>
      </c>
      <c r="BC77" s="772" t="n">
        <f aca="false">V77-IF($BL$4="mid",W77,X77)-$BN$9*(IF($BL$4="mid",N77,O77)+IF($BL$4="mid",DL77,L77))</f>
        <v>-3818.21969568407</v>
      </c>
      <c r="BD77" s="772" t="n">
        <f aca="false">Y77-IF($BL$4="mid",Z77,AA77)</f>
        <v>32422.360199142</v>
      </c>
      <c r="BE77" s="772" t="n">
        <f aca="false">AB77-IF($BL$4="mid",AC77,AD77)</f>
        <v>-446.012873282598</v>
      </c>
      <c r="BF77" s="772" t="n">
        <f aca="false">AE77-IF($BL$4="mid",AF77,AG77)</f>
        <v>5339.71240508265</v>
      </c>
      <c r="BG77" s="772" t="n">
        <f aca="false">AH77-IF($BL$4="mid",AI77,AJ77)</f>
        <v>21184.792243144</v>
      </c>
      <c r="BH77" s="772" t="n">
        <f aca="false">-IF($BL$4="mid",AK77,AL77)</f>
        <v>-284845.501474551</v>
      </c>
      <c r="BI77" s="772" t="n">
        <f aca="false">-IF($BL$4="mid",AM77,AN77)</f>
        <v>-55221.25</v>
      </c>
      <c r="BL77" s="772" t="n">
        <f aca="false">BW77-IF($BL$4="mid",Q77,R77)-$BL$9*(IF($BL$4="mid",N77,O77)+IF($BL$4="mid",DL77,L77))</f>
        <v>681039.541713415</v>
      </c>
      <c r="BM77" s="772" t="n">
        <f aca="false">BX77-IF($BL$4="mid",T77,U77)-$BM$9*(IF($BL$4="mid",N77,O77)+IF($BL$4="mid",DL77,L77))</f>
        <v>-10210.0210753341</v>
      </c>
      <c r="BN77" s="772" t="n">
        <f aca="false">BY77-IF($BL$4="mid",W77,X77)-$BN$9*(IF($BL$4="mid",N77,O77)+IF($BL$4="mid",DL77,L77))</f>
        <v>-1162.34390988896</v>
      </c>
      <c r="BO77" s="772" t="n">
        <f aca="false">BZ77-IF($BL$4="mid",Z77,AA77)</f>
        <v>51741.3710955472</v>
      </c>
      <c r="BP77" s="772" t="n">
        <f aca="false">CA77-IF($BL$4="mid",AC77,AD77)</f>
        <v>17328.9412775007</v>
      </c>
      <c r="BQ77" s="772" t="n">
        <f aca="false">CB77-IF($BL$4="mid",AF77,AG77)</f>
        <v>18825.9087842868</v>
      </c>
      <c r="BR77" s="772" t="n">
        <f aca="false">CC77-IF($BL$4="mid",AI77,AJ77)</f>
        <v>22072.4512624606</v>
      </c>
      <c r="BS77" s="772" t="n">
        <f aca="false">-IF($BL$4="mid",AK77,AL77)</f>
        <v>-284845.501474551</v>
      </c>
      <c r="BT77" s="772" t="n">
        <f aca="false">-IF($BL$4="mid",AM77,AN77)</f>
        <v>-55221.25</v>
      </c>
      <c r="BW77" s="872" t="n">
        <f aca="false">Breakout!$H$15/12</f>
        <v>3703139.29320554</v>
      </c>
      <c r="BX77" s="872" t="n">
        <f aca="false">Breakout!$H$26/12</f>
        <v>131198.650304066</v>
      </c>
      <c r="BY77" s="872" t="n">
        <f aca="false">Breakout!$H$37/12</f>
        <v>66040.774177282</v>
      </c>
      <c r="BZ77" s="872" t="n">
        <f aca="false">Breakout!$H$48/12</f>
        <v>480384.829276192</v>
      </c>
      <c r="CA77" s="872" t="n">
        <f aca="false">Breakout!$H$59/12</f>
        <v>441990.449764948</v>
      </c>
      <c r="CB77" s="872" t="n">
        <f aca="false">Breakout!$H$70/12</f>
        <v>335346.575450954</v>
      </c>
      <c r="CC77" s="872" t="n">
        <f aca="false">Breakout!$H$81/12</f>
        <v>22072.4512624606</v>
      </c>
      <c r="CE77" s="852" t="n">
        <f aca="false">P77/0.96</f>
        <v>3702307.25439246</v>
      </c>
      <c r="CF77" s="852" t="n">
        <f aca="false">S77/0.96</f>
        <v>131169.171972134</v>
      </c>
      <c r="CG77" s="852" t="n">
        <f aca="false">V77/0.96</f>
        <v>66025.9358244656</v>
      </c>
      <c r="CI77" s="852" t="n">
        <f aca="false">N77</f>
        <v>-715341.083333333</v>
      </c>
      <c r="CJ77" s="852" t="n">
        <f aca="false">O77</f>
        <v>-705333.333333333</v>
      </c>
      <c r="CL77" s="772" t="n">
        <f aca="false">'account mgt'!$H$23/12</f>
        <v>-54375.9795576</v>
      </c>
      <c r="CN77" s="772" t="n">
        <v>0</v>
      </c>
      <c r="CT77" s="772" t="n">
        <f aca="false">CW76</f>
        <v>5026902.52013399</v>
      </c>
      <c r="CU77" s="772" t="n">
        <f aca="false">IF(CT77&lt;0.1,0,CT77*$L$3)</f>
        <v>39670.6390547241</v>
      </c>
      <c r="CV77" s="772" t="n">
        <f aca="false">IF(CT77&lt;0.1,0,PPMT($L$3,A77-14,unwinds!$B$8*12,$K$5))</f>
        <v>727888.238447872</v>
      </c>
      <c r="CW77" s="772" t="n">
        <f aca="false">IF(CT77-CV77&lt;0,0,CT77-CV77)</f>
        <v>4299014.28168612</v>
      </c>
      <c r="CX77" s="772" t="n">
        <f aca="false">IF(CX76-CV77&lt;0,0,CX76-CV77)</f>
        <v>4299014.28168612</v>
      </c>
      <c r="DA77" s="772" t="n">
        <f aca="false">DD76</f>
        <v>22034594.6718918</v>
      </c>
      <c r="DB77" s="772" t="n">
        <f aca="false">DA77*$L$3</f>
        <v>173889.67628568</v>
      </c>
      <c r="DC77" s="772" t="n">
        <f aca="false">PPMT($L$3,A77-14,106,$K$5)</f>
        <v>321508.395385934</v>
      </c>
      <c r="DD77" s="772" t="n">
        <f aca="false">DA77-DC77</f>
        <v>21713086.2765059</v>
      </c>
      <c r="DE77" s="772" t="n">
        <f aca="false">DE76-DC77</f>
        <v>21713086.2765059</v>
      </c>
      <c r="DH77" s="417" t="n">
        <v>-715341.083333333</v>
      </c>
      <c r="DI77" s="417" t="n">
        <v>-705333.333333333</v>
      </c>
      <c r="DJ77" s="417"/>
      <c r="DL77" s="417" t="n">
        <f aca="false">PMT($J$3,106,$I$5,,1)</f>
        <v>474832.92700925</v>
      </c>
      <c r="DN77" s="417" t="n">
        <f aca="false">IF($BL$4="mid",DH77,DI77)</f>
        <v>-715341.083333333</v>
      </c>
      <c r="DO77" s="417" t="n">
        <f aca="false">IF($BL$4="mid",DL77,L77)</f>
        <v>474832.92700925</v>
      </c>
      <c r="DQ77" s="772" t="n">
        <f aca="false">BW77-IF($BL$4="mid",Q77,R77)</f>
        <v>452556.793205536</v>
      </c>
      <c r="DR77" s="772" t="n">
        <f aca="false">BX77-IF($BL$4="mid",T77,U77)</f>
        <v>-22235.4288915383</v>
      </c>
      <c r="DS77" s="772"/>
      <c r="DT77" s="772"/>
      <c r="DU77" s="772"/>
      <c r="DV77" s="772"/>
      <c r="DW77" s="772"/>
      <c r="DX77" s="772"/>
    </row>
    <row r="78" customFormat="false" ht="12.75" hidden="false" customHeight="false" outlineLevel="0" collapsed="false">
      <c r="A78" s="767" t="n">
        <v>67</v>
      </c>
      <c r="B78" s="854" t="n">
        <v>38534</v>
      </c>
      <c r="C78" s="417" t="n">
        <v>0</v>
      </c>
      <c r="D78" s="417" t="n">
        <v>0</v>
      </c>
      <c r="E78" s="417" t="n">
        <v>0</v>
      </c>
      <c r="F78" s="417" t="n">
        <v>170010.770865346</v>
      </c>
      <c r="G78" s="417" t="n">
        <v>321508.395385938</v>
      </c>
      <c r="H78" s="417" t="n">
        <v>0</v>
      </c>
      <c r="I78" s="417" t="n">
        <v>491519.166251284</v>
      </c>
      <c r="J78" s="417"/>
      <c r="K78" s="417"/>
      <c r="L78" s="417" t="n">
        <f aca="false">PMT($L$3,106,$K$5,,1)</f>
        <v>491519.166251281</v>
      </c>
      <c r="M78" s="417"/>
      <c r="N78" s="850" t="n">
        <f aca="false">IF(A78&lt;$B$8,0,-$R$5/12)</f>
        <v>-715341.083333333</v>
      </c>
      <c r="O78" s="850" t="n">
        <f aca="false">IF(A78&lt;$B$8,0,-$S$5/12)</f>
        <v>-705333.333333333</v>
      </c>
      <c r="P78" s="872" t="n">
        <f aca="false">Breakout!$H$16/12</f>
        <v>3554214.96421676</v>
      </c>
      <c r="Q78" s="770" t="n">
        <f aca="false">'wholesale services'!$D$110*'wholesale services'!$I$111/12</f>
        <v>3250582.5</v>
      </c>
      <c r="R78" s="770" t="n">
        <v>3320487.5</v>
      </c>
      <c r="S78" s="872" t="n">
        <f aca="false">Breakout!$H$27/12</f>
        <v>125922.405093248</v>
      </c>
      <c r="T78" s="770" t="n">
        <f aca="false">'wholesale services'!$D$113*'wholesale services'!$I$114/12</f>
        <v>153434.079195604</v>
      </c>
      <c r="U78" s="770" t="n">
        <v>156565.38693429</v>
      </c>
      <c r="V78" s="872" t="n">
        <f aca="false">Breakout!$H$38/12</f>
        <v>63384.8983914869</v>
      </c>
      <c r="W78" s="431" t="n">
        <f aca="false">Breakout!$H$39/12</f>
        <v>67203.118087171</v>
      </c>
      <c r="X78" s="431" t="n">
        <v>67925.7322601513</v>
      </c>
      <c r="Y78" s="872" t="n">
        <f aca="false">Breakout!$H$49/12</f>
        <v>461065.818379787</v>
      </c>
      <c r="Z78" s="873" t="n">
        <f aca="false">Breakout!$H$50/12</f>
        <v>428643.458180645</v>
      </c>
      <c r="AA78" s="873" t="n">
        <v>450260.163943753</v>
      </c>
      <c r="AB78" s="872" t="n">
        <f aca="false">Breakout!$H$60/12</f>
        <v>424215.495614165</v>
      </c>
      <c r="AC78" s="873" t="n">
        <f aca="false">Breakout!$H$61/12</f>
        <v>424661.508487447</v>
      </c>
      <c r="AD78" s="873" t="n">
        <v>437902.624565007</v>
      </c>
      <c r="AE78" s="872" t="n">
        <f aca="false">Breakout!$H$71/12</f>
        <v>321860.379071749</v>
      </c>
      <c r="AF78" s="873" t="n">
        <f aca="false">Breakout!$H$72/12</f>
        <v>316520.666666667</v>
      </c>
      <c r="AG78" s="873" t="n">
        <v>316520.666666667</v>
      </c>
      <c r="AH78" s="872" t="n">
        <f aca="false">Breakout!$H$82/12</f>
        <v>21184.792243144</v>
      </c>
      <c r="AI78" s="873" t="n">
        <f aca="false">Breakout!$H$83/12</f>
        <v>0</v>
      </c>
      <c r="AJ78" s="873" t="n">
        <v>0</v>
      </c>
      <c r="AK78" s="874" t="n">
        <f aca="false">Breakout!$H$91/12</f>
        <v>284845.501474551</v>
      </c>
      <c r="AL78" s="874" t="n">
        <v>284845.501474551</v>
      </c>
      <c r="AM78" s="773" t="n">
        <f aca="false">(Breakout!$H$107/12)*-1</f>
        <v>55221.25</v>
      </c>
      <c r="AN78" s="773" t="n">
        <v>55221.25</v>
      </c>
      <c r="AO78" s="774" t="n">
        <f aca="false">(P78+S78+V78)+Y78+AB78+AE78+AH78</f>
        <v>4971848.75301034</v>
      </c>
      <c r="AP78" s="774" t="n">
        <f aca="false">Q78+T78+W78+AA78+AD78+AG78+AJ78+AL78+AN78</f>
        <v>5015969.90393275</v>
      </c>
      <c r="AQ78" s="775" t="n">
        <f aca="false">P78+S78+V78+Y78+AB78+AE78+AH78-Q78-T78-W78-Z78-AC78-AF78-AI78-AK78-AM78-DH78-DL78-CN78</f>
        <v>231244.82724234</v>
      </c>
      <c r="AR78" s="431"/>
      <c r="AS78" s="776" t="n">
        <f aca="false">P78+S78+V78+Y78+AB78+AE78+AH78-R78-U78-X78-AA78-AD78-AG78-AJ78-AL78-AN78-O78-L78-CN78</f>
        <v>95934.0942479749</v>
      </c>
      <c r="AT78" s="431"/>
      <c r="AU78" s="770" t="n">
        <f aca="false">'wholesale services'!$I$110/12</f>
        <v>39106610.7060185</v>
      </c>
      <c r="AV78" s="770" t="n">
        <f aca="false">'wholesale services'!$I$113/12</f>
        <v>17613.2558333333</v>
      </c>
      <c r="AW78" s="431"/>
      <c r="AX78" s="851" t="n">
        <f aca="false">IF(A78&lt;$AX$6,0,-$R$5/12)</f>
        <v>-715341.083333333</v>
      </c>
      <c r="AY78" s="417" t="n">
        <f aca="false">IF(A78&lt;$AX$6,0,-$S$5/12)</f>
        <v>-705333.333333333</v>
      </c>
      <c r="AZ78" s="431"/>
      <c r="BA78" s="772" t="n">
        <f aca="false">P78-IF($BL$4="mid",Q78,R78)-$BL$9*(IF($BL$4="mid",N78,O78)+IF($BL$4="mid",DL78,L78))</f>
        <v>532115.21272464</v>
      </c>
      <c r="BB78" s="772" t="n">
        <f aca="false">S78-IF($BL$4="mid",T78,U78)-$BM$9*(IF($BL$4="mid",N78,O78)+IF($BL$4="mid",DL78,L78))</f>
        <v>-15486.2662861517</v>
      </c>
      <c r="BC78" s="772" t="n">
        <f aca="false">V78-IF($BL$4="mid",W78,X78)-$BN$9*(IF($BL$4="mid",N78,O78)+IF($BL$4="mid",DL78,L78))</f>
        <v>-3818.21969568407</v>
      </c>
      <c r="BD78" s="772" t="n">
        <f aca="false">Y78-IF($BL$4="mid",Z78,AA78)</f>
        <v>32422.360199142</v>
      </c>
      <c r="BE78" s="772" t="n">
        <f aca="false">AB78-IF($BL$4="mid",AC78,AD78)</f>
        <v>-446.012873282598</v>
      </c>
      <c r="BF78" s="772" t="n">
        <f aca="false">AE78-IF($BL$4="mid",AF78,AG78)</f>
        <v>5339.71240508265</v>
      </c>
      <c r="BG78" s="772" t="n">
        <f aca="false">AH78-IF($BL$4="mid",AI78,AJ78)</f>
        <v>21184.792243144</v>
      </c>
      <c r="BH78" s="772" t="n">
        <f aca="false">-IF($BL$4="mid",AK78,AL78)</f>
        <v>-284845.501474551</v>
      </c>
      <c r="BI78" s="772" t="n">
        <f aca="false">-IF($BL$4="mid",AM78,AN78)</f>
        <v>-55221.25</v>
      </c>
      <c r="BL78" s="772" t="n">
        <f aca="false">BW78-IF($BL$4="mid",Q78,R78)-$BL$9*(IF($BL$4="mid",N78,O78)+IF($BL$4="mid",DL78,L78))</f>
        <v>681039.541713415</v>
      </c>
      <c r="BM78" s="772" t="n">
        <f aca="false">BX78-IF($BL$4="mid",T78,U78)-$BM$9*(IF($BL$4="mid",N78,O78)+IF($BL$4="mid",DL78,L78))</f>
        <v>-10210.0210753341</v>
      </c>
      <c r="BN78" s="772" t="n">
        <f aca="false">BY78-IF($BL$4="mid",W78,X78)-$BN$9*(IF($BL$4="mid",N78,O78)+IF($BL$4="mid",DL78,L78))</f>
        <v>-1162.34390988896</v>
      </c>
      <c r="BO78" s="772" t="n">
        <f aca="false">BZ78-IF($BL$4="mid",Z78,AA78)</f>
        <v>51741.3710955472</v>
      </c>
      <c r="BP78" s="772" t="n">
        <f aca="false">CA78-IF($BL$4="mid",AC78,AD78)</f>
        <v>17328.9412775007</v>
      </c>
      <c r="BQ78" s="772" t="n">
        <f aca="false">CB78-IF($BL$4="mid",AF78,AG78)</f>
        <v>18825.9087842868</v>
      </c>
      <c r="BR78" s="772" t="n">
        <f aca="false">CC78-IF($BL$4="mid",AI78,AJ78)</f>
        <v>22072.4512624606</v>
      </c>
      <c r="BS78" s="772" t="n">
        <f aca="false">-IF($BL$4="mid",AK78,AL78)</f>
        <v>-284845.501474551</v>
      </c>
      <c r="BT78" s="772" t="n">
        <f aca="false">-IF($BL$4="mid",AM78,AN78)</f>
        <v>-55221.25</v>
      </c>
      <c r="BW78" s="872" t="n">
        <f aca="false">Breakout!$H$15/12</f>
        <v>3703139.29320554</v>
      </c>
      <c r="BX78" s="872" t="n">
        <f aca="false">Breakout!$H$26/12</f>
        <v>131198.650304066</v>
      </c>
      <c r="BY78" s="872" t="n">
        <f aca="false">Breakout!$H$37/12</f>
        <v>66040.774177282</v>
      </c>
      <c r="BZ78" s="872" t="n">
        <f aca="false">Breakout!$H$48/12</f>
        <v>480384.829276192</v>
      </c>
      <c r="CA78" s="872" t="n">
        <f aca="false">Breakout!$H$59/12</f>
        <v>441990.449764948</v>
      </c>
      <c r="CB78" s="872" t="n">
        <f aca="false">Breakout!$H$70/12</f>
        <v>335346.575450954</v>
      </c>
      <c r="CC78" s="872" t="n">
        <f aca="false">Breakout!$H$81/12</f>
        <v>22072.4512624606</v>
      </c>
      <c r="CE78" s="852" t="n">
        <f aca="false">P78/0.96</f>
        <v>3702307.25439246</v>
      </c>
      <c r="CF78" s="852" t="n">
        <f aca="false">S78/0.96</f>
        <v>131169.171972134</v>
      </c>
      <c r="CG78" s="852" t="n">
        <f aca="false">V78/0.96</f>
        <v>66025.9358244656</v>
      </c>
      <c r="CI78" s="852" t="n">
        <f aca="false">N78</f>
        <v>-715341.083333333</v>
      </c>
      <c r="CJ78" s="852" t="n">
        <f aca="false">O78</f>
        <v>-705333.333333333</v>
      </c>
      <c r="CL78" s="772" t="n">
        <f aca="false">'account mgt'!$H$23/12</f>
        <v>-54375.9795576</v>
      </c>
      <c r="CN78" s="772" t="n">
        <v>0</v>
      </c>
      <c r="CT78" s="772" t="n">
        <f aca="false">CW77</f>
        <v>4299014.28168612</v>
      </c>
      <c r="CU78" s="772" t="n">
        <f aca="false">IF(CT78&lt;0.1,0,CT78*$L$3)</f>
        <v>33926.3877063063</v>
      </c>
      <c r="CV78" s="772" t="n">
        <f aca="false">IF(CT78&lt;0.1,0,PPMT($L$3,A78-14,unwinds!$B$8*12,$K$5))</f>
        <v>733632.489796289</v>
      </c>
      <c r="CW78" s="772" t="n">
        <f aca="false">IF(CT78-CV78&lt;0,0,CT78-CV78)</f>
        <v>3565381.79188983</v>
      </c>
      <c r="CX78" s="772" t="n">
        <f aca="false">IF(CX77-CV78&lt;0,0,CX77-CV78)</f>
        <v>3565381.79188983</v>
      </c>
      <c r="DA78" s="772" t="n">
        <f aca="false">DD77</f>
        <v>21713086.2765059</v>
      </c>
      <c r="DB78" s="772" t="n">
        <f aca="false">DA78*$L$3</f>
        <v>171352.439198759</v>
      </c>
      <c r="DC78" s="772" t="n">
        <f aca="false">PPMT($L$3,A78-14,106,$K$5)</f>
        <v>324045.632472855</v>
      </c>
      <c r="DD78" s="772" t="n">
        <f aca="false">DA78-DC78</f>
        <v>21389040.644033</v>
      </c>
      <c r="DE78" s="772" t="n">
        <f aca="false">DE77-DC78</f>
        <v>21389040.644033</v>
      </c>
      <c r="DH78" s="417" t="n">
        <v>-715341.083333333</v>
      </c>
      <c r="DI78" s="417" t="n">
        <v>-705333.333333333</v>
      </c>
      <c r="DJ78" s="417"/>
      <c r="DL78" s="417" t="n">
        <f aca="false">PMT($J$3,106,$I$5,,1)</f>
        <v>474832.92700925</v>
      </c>
      <c r="DN78" s="417" t="n">
        <f aca="false">IF($BL$4="mid",DH78,DI78)</f>
        <v>-715341.083333333</v>
      </c>
      <c r="DO78" s="417" t="n">
        <f aca="false">IF($BL$4="mid",DL78,L78)</f>
        <v>474832.92700925</v>
      </c>
      <c r="DQ78" s="772" t="n">
        <f aca="false">BW78-IF($BL$4="mid",Q78,R78)</f>
        <v>452556.793205536</v>
      </c>
      <c r="DR78" s="772" t="n">
        <f aca="false">BX78-IF($BL$4="mid",T78,U78)</f>
        <v>-22235.4288915383</v>
      </c>
      <c r="DS78" s="772"/>
      <c r="DT78" s="772"/>
      <c r="DU78" s="772"/>
      <c r="DV78" s="772"/>
      <c r="DW78" s="772"/>
      <c r="DX78" s="772"/>
    </row>
    <row r="79" customFormat="false" ht="12.75" hidden="false" customHeight="false" outlineLevel="0" collapsed="false">
      <c r="A79" s="767" t="n">
        <v>68</v>
      </c>
      <c r="B79" s="854" t="n">
        <v>38565</v>
      </c>
      <c r="C79" s="417" t="n">
        <v>0</v>
      </c>
      <c r="D79" s="417" t="n">
        <v>0</v>
      </c>
      <c r="E79" s="417" t="n">
        <v>0</v>
      </c>
      <c r="F79" s="417" t="n">
        <v>167473.533778425</v>
      </c>
      <c r="G79" s="417" t="n">
        <v>324045.632472858</v>
      </c>
      <c r="H79" s="417" t="n">
        <v>0</v>
      </c>
      <c r="I79" s="417" t="n">
        <v>491519.166251284</v>
      </c>
      <c r="J79" s="417"/>
      <c r="K79" s="417"/>
      <c r="L79" s="417" t="n">
        <f aca="false">PMT($L$3,106,$K$5,,1)</f>
        <v>491519.166251281</v>
      </c>
      <c r="M79" s="417"/>
      <c r="N79" s="850" t="n">
        <f aca="false">IF(A79&lt;$B$8,0,-$R$5/12)</f>
        <v>-715341.083333333</v>
      </c>
      <c r="O79" s="850" t="n">
        <f aca="false">IF(A79&lt;$B$8,0,-$S$5/12)</f>
        <v>-705333.333333333</v>
      </c>
      <c r="P79" s="872" t="n">
        <f aca="false">Breakout!$H$16/12</f>
        <v>3554214.96421676</v>
      </c>
      <c r="Q79" s="770" t="n">
        <f aca="false">'wholesale services'!$D$110*'wholesale services'!$I$111/12</f>
        <v>3250582.5</v>
      </c>
      <c r="R79" s="770" t="n">
        <v>3320487.5</v>
      </c>
      <c r="S79" s="872" t="n">
        <f aca="false">Breakout!$H$27/12</f>
        <v>125922.405093248</v>
      </c>
      <c r="T79" s="770" t="n">
        <f aca="false">'wholesale services'!$D$113*'wholesale services'!$I$114/12</f>
        <v>153434.079195604</v>
      </c>
      <c r="U79" s="770" t="n">
        <v>156565.38693429</v>
      </c>
      <c r="V79" s="872" t="n">
        <f aca="false">Breakout!$H$38/12</f>
        <v>63384.8983914869</v>
      </c>
      <c r="W79" s="431" t="n">
        <f aca="false">Breakout!$H$39/12</f>
        <v>67203.118087171</v>
      </c>
      <c r="X79" s="431" t="n">
        <v>67925.7322601513</v>
      </c>
      <c r="Y79" s="872" t="n">
        <f aca="false">Breakout!$H$49/12</f>
        <v>461065.818379787</v>
      </c>
      <c r="Z79" s="873" t="n">
        <f aca="false">Breakout!$H$50/12</f>
        <v>428643.458180645</v>
      </c>
      <c r="AA79" s="873" t="n">
        <v>450260.163943753</v>
      </c>
      <c r="AB79" s="872" t="n">
        <f aca="false">Breakout!$H$60/12</f>
        <v>424215.495614165</v>
      </c>
      <c r="AC79" s="873" t="n">
        <f aca="false">Breakout!$H$61/12</f>
        <v>424661.508487447</v>
      </c>
      <c r="AD79" s="873" t="n">
        <v>437902.624565007</v>
      </c>
      <c r="AE79" s="872" t="n">
        <f aca="false">Breakout!$H$71/12</f>
        <v>321860.379071749</v>
      </c>
      <c r="AF79" s="873" t="n">
        <f aca="false">Breakout!$H$72/12</f>
        <v>316520.666666667</v>
      </c>
      <c r="AG79" s="873" t="n">
        <v>316520.666666667</v>
      </c>
      <c r="AH79" s="872" t="n">
        <f aca="false">Breakout!$H$82/12</f>
        <v>21184.792243144</v>
      </c>
      <c r="AI79" s="873" t="n">
        <f aca="false">Breakout!$H$83/12</f>
        <v>0</v>
      </c>
      <c r="AJ79" s="873" t="n">
        <v>0</v>
      </c>
      <c r="AK79" s="874" t="n">
        <f aca="false">Breakout!$H$91/12</f>
        <v>284845.501474551</v>
      </c>
      <c r="AL79" s="874" t="n">
        <v>284845.501474551</v>
      </c>
      <c r="AM79" s="773" t="n">
        <f aca="false">(Breakout!$H$107/12)*-1</f>
        <v>55221.25</v>
      </c>
      <c r="AN79" s="773" t="n">
        <v>55221.25</v>
      </c>
      <c r="AO79" s="774" t="n">
        <f aca="false">(P79+S79+V79)+Y79+AB79+AE79+AH79</f>
        <v>4971848.75301034</v>
      </c>
      <c r="AP79" s="774" t="n">
        <f aca="false">Q79+T79+W79+AA79+AD79+AG79+AJ79+AL79+AN79</f>
        <v>5015969.90393275</v>
      </c>
      <c r="AQ79" s="775" t="n">
        <f aca="false">P79+S79+V79+Y79+AB79+AE79+AH79-Q79-T79-W79-Z79-AC79-AF79-AI79-AK79-AM79-DH79-DL79-CN79</f>
        <v>231244.82724234</v>
      </c>
      <c r="AR79" s="431"/>
      <c r="AS79" s="776" t="n">
        <f aca="false">P79+S79+V79+Y79+AB79+AE79+AH79-R79-U79-X79-AA79-AD79-AG79-AJ79-AL79-AN79-O79-L79-CN79</f>
        <v>95934.0942479749</v>
      </c>
      <c r="AT79" s="431"/>
      <c r="AU79" s="770" t="n">
        <f aca="false">'wholesale services'!$I$110/12</f>
        <v>39106610.7060185</v>
      </c>
      <c r="AV79" s="770" t="n">
        <f aca="false">'wholesale services'!$I$113/12</f>
        <v>17613.2558333333</v>
      </c>
      <c r="AW79" s="431"/>
      <c r="AX79" s="851" t="n">
        <f aca="false">IF(A79&lt;$AX$6,0,-$R$5/12)</f>
        <v>-715341.083333333</v>
      </c>
      <c r="AY79" s="417" t="n">
        <f aca="false">IF(A79&lt;$AX$6,0,-$S$5/12)</f>
        <v>-705333.333333333</v>
      </c>
      <c r="AZ79" s="431"/>
      <c r="BA79" s="772" t="n">
        <f aca="false">P79-IF($BL$4="mid",Q79,R79)-$BL$9*(IF($BL$4="mid",N79,O79)+IF($BL$4="mid",DL79,L79))</f>
        <v>532115.21272464</v>
      </c>
      <c r="BB79" s="772" t="n">
        <f aca="false">S79-IF($BL$4="mid",T79,U79)-$BM$9*(IF($BL$4="mid",N79,O79)+IF($BL$4="mid",DL79,L79))</f>
        <v>-15486.2662861517</v>
      </c>
      <c r="BC79" s="772" t="n">
        <f aca="false">V79-IF($BL$4="mid",W79,X79)-$BN$9*(IF($BL$4="mid",N79,O79)+IF($BL$4="mid",DL79,L79))</f>
        <v>-3818.21969568407</v>
      </c>
      <c r="BD79" s="772" t="n">
        <f aca="false">Y79-IF($BL$4="mid",Z79,AA79)</f>
        <v>32422.360199142</v>
      </c>
      <c r="BE79" s="772" t="n">
        <f aca="false">AB79-IF($BL$4="mid",AC79,AD79)</f>
        <v>-446.012873282598</v>
      </c>
      <c r="BF79" s="772" t="n">
        <f aca="false">AE79-IF($BL$4="mid",AF79,AG79)</f>
        <v>5339.71240508265</v>
      </c>
      <c r="BG79" s="772" t="n">
        <f aca="false">AH79-IF($BL$4="mid",AI79,AJ79)</f>
        <v>21184.792243144</v>
      </c>
      <c r="BH79" s="772" t="n">
        <f aca="false">-IF($BL$4="mid",AK79,AL79)</f>
        <v>-284845.501474551</v>
      </c>
      <c r="BI79" s="772" t="n">
        <f aca="false">-IF($BL$4="mid",AM79,AN79)</f>
        <v>-55221.25</v>
      </c>
      <c r="BL79" s="772" t="n">
        <f aca="false">BW79-IF($BL$4="mid",Q79,R79)-$BL$9*(IF($BL$4="mid",N79,O79)+IF($BL$4="mid",DL79,L79))</f>
        <v>681039.541713415</v>
      </c>
      <c r="BM79" s="772" t="n">
        <f aca="false">BX79-IF($BL$4="mid",T79,U79)-$BM$9*(IF($BL$4="mid",N79,O79)+IF($BL$4="mid",DL79,L79))</f>
        <v>-10210.0210753341</v>
      </c>
      <c r="BN79" s="772" t="n">
        <f aca="false">BY79-IF($BL$4="mid",W79,X79)-$BN$9*(IF($BL$4="mid",N79,O79)+IF($BL$4="mid",DL79,L79))</f>
        <v>-1162.34390988896</v>
      </c>
      <c r="BO79" s="772" t="n">
        <f aca="false">BZ79-IF($BL$4="mid",Z79,AA79)</f>
        <v>51741.3710955472</v>
      </c>
      <c r="BP79" s="772" t="n">
        <f aca="false">CA79-IF($BL$4="mid",AC79,AD79)</f>
        <v>17328.9412775007</v>
      </c>
      <c r="BQ79" s="772" t="n">
        <f aca="false">CB79-IF($BL$4="mid",AF79,AG79)</f>
        <v>18825.9087842868</v>
      </c>
      <c r="BR79" s="772" t="n">
        <f aca="false">CC79-IF($BL$4="mid",AI79,AJ79)</f>
        <v>22072.4512624606</v>
      </c>
      <c r="BS79" s="772" t="n">
        <f aca="false">-IF($BL$4="mid",AK79,AL79)</f>
        <v>-284845.501474551</v>
      </c>
      <c r="BT79" s="772" t="n">
        <f aca="false">-IF($BL$4="mid",AM79,AN79)</f>
        <v>-55221.25</v>
      </c>
      <c r="BW79" s="872" t="n">
        <f aca="false">Breakout!$H$15/12</f>
        <v>3703139.29320554</v>
      </c>
      <c r="BX79" s="872" t="n">
        <f aca="false">Breakout!$H$26/12</f>
        <v>131198.650304066</v>
      </c>
      <c r="BY79" s="872" t="n">
        <f aca="false">Breakout!$H$37/12</f>
        <v>66040.774177282</v>
      </c>
      <c r="BZ79" s="872" t="n">
        <f aca="false">Breakout!$H$48/12</f>
        <v>480384.829276192</v>
      </c>
      <c r="CA79" s="872" t="n">
        <f aca="false">Breakout!$H$59/12</f>
        <v>441990.449764948</v>
      </c>
      <c r="CB79" s="872" t="n">
        <f aca="false">Breakout!$H$70/12</f>
        <v>335346.575450954</v>
      </c>
      <c r="CC79" s="872" t="n">
        <f aca="false">Breakout!$H$81/12</f>
        <v>22072.4512624606</v>
      </c>
      <c r="CE79" s="852" t="n">
        <f aca="false">P79/0.96</f>
        <v>3702307.25439246</v>
      </c>
      <c r="CF79" s="852" t="n">
        <f aca="false">S79/0.96</f>
        <v>131169.171972134</v>
      </c>
      <c r="CG79" s="852" t="n">
        <f aca="false">V79/0.96</f>
        <v>66025.9358244656</v>
      </c>
      <c r="CI79" s="852" t="n">
        <f aca="false">N79</f>
        <v>-715341.083333333</v>
      </c>
      <c r="CJ79" s="852" t="n">
        <f aca="false">O79</f>
        <v>-705333.333333333</v>
      </c>
      <c r="CL79" s="772" t="n">
        <f aca="false">'account mgt'!$H$23/12</f>
        <v>-54375.9795576</v>
      </c>
      <c r="CN79" s="772" t="n">
        <v>0</v>
      </c>
      <c r="CT79" s="772" t="n">
        <f aca="false">CW78</f>
        <v>3565381.79188983</v>
      </c>
      <c r="CU79" s="772" t="n">
        <f aca="false">IF(CT79&lt;0.1,0,CT79*$L$3)</f>
        <v>28136.8046409972</v>
      </c>
      <c r="CV79" s="772" t="n">
        <f aca="false">IF(CT79&lt;0.1,0,PPMT($L$3,A79-14,unwinds!$B$8*12,$K$5))</f>
        <v>739422.072861599</v>
      </c>
      <c r="CW79" s="772" t="n">
        <f aca="false">IF(CT79-CV79&lt;0,0,CT79-CV79)</f>
        <v>2825959.71902823</v>
      </c>
      <c r="CX79" s="772" t="n">
        <f aca="false">IF(CX78-CV79&lt;0,0,CX78-CV79)</f>
        <v>2825959.71902823</v>
      </c>
      <c r="DA79" s="772" t="n">
        <f aca="false">DD78</f>
        <v>21389040.644033</v>
      </c>
      <c r="DB79" s="772" t="n">
        <f aca="false">DA79*$L$3</f>
        <v>168795.179082494</v>
      </c>
      <c r="DC79" s="772" t="n">
        <f aca="false">PPMT($L$3,A79-14,106,$K$5)</f>
        <v>326602.89258912</v>
      </c>
      <c r="DD79" s="772" t="n">
        <f aca="false">DA79-DC79</f>
        <v>21062437.7514439</v>
      </c>
      <c r="DE79" s="772" t="n">
        <f aca="false">DE78-DC79</f>
        <v>21062437.7514439</v>
      </c>
      <c r="DH79" s="417" t="n">
        <v>-715341.083333333</v>
      </c>
      <c r="DI79" s="417" t="n">
        <v>-705333.333333333</v>
      </c>
      <c r="DJ79" s="417"/>
      <c r="DL79" s="417" t="n">
        <f aca="false">PMT($J$3,106,$I$5,,1)</f>
        <v>474832.92700925</v>
      </c>
      <c r="DN79" s="417" t="n">
        <f aca="false">IF($BL$4="mid",DH79,DI79)</f>
        <v>-715341.083333333</v>
      </c>
      <c r="DO79" s="417" t="n">
        <f aca="false">IF($BL$4="mid",DL79,L79)</f>
        <v>474832.92700925</v>
      </c>
      <c r="DQ79" s="772" t="n">
        <f aca="false">BW79-IF($BL$4="mid",Q79,R79)</f>
        <v>452556.793205536</v>
      </c>
      <c r="DR79" s="772" t="n">
        <f aca="false">BX79-IF($BL$4="mid",T79,U79)</f>
        <v>-22235.4288915383</v>
      </c>
      <c r="DS79" s="772"/>
      <c r="DT79" s="772"/>
      <c r="DU79" s="772"/>
      <c r="DV79" s="772"/>
      <c r="DW79" s="772"/>
      <c r="DX79" s="772"/>
    </row>
    <row r="80" customFormat="false" ht="12.75" hidden="false" customHeight="false" outlineLevel="0" collapsed="false">
      <c r="A80" s="767" t="n">
        <v>69</v>
      </c>
      <c r="B80" s="854" t="n">
        <v>38596</v>
      </c>
      <c r="C80" s="417" t="n">
        <v>0</v>
      </c>
      <c r="D80" s="417" t="n">
        <v>0</v>
      </c>
      <c r="E80" s="417" t="n">
        <v>0</v>
      </c>
      <c r="F80" s="417" t="n">
        <v>164916.27366216</v>
      </c>
      <c r="G80" s="417" t="n">
        <v>326602.892589123</v>
      </c>
      <c r="H80" s="417" t="n">
        <v>0</v>
      </c>
      <c r="I80" s="417" t="n">
        <v>491519.166251284</v>
      </c>
      <c r="J80" s="417"/>
      <c r="K80" s="417"/>
      <c r="L80" s="417" t="n">
        <f aca="false">PMT($L$3,106,$K$5,,1)</f>
        <v>491519.166251281</v>
      </c>
      <c r="M80" s="417"/>
      <c r="N80" s="850" t="n">
        <f aca="false">IF(A80&lt;$B$8,0,-$R$5/12)</f>
        <v>-715341.083333333</v>
      </c>
      <c r="O80" s="850" t="n">
        <f aca="false">IF(A80&lt;$B$8,0,-$S$5/12)</f>
        <v>-705333.333333333</v>
      </c>
      <c r="P80" s="872" t="n">
        <f aca="false">Breakout!$H$16/12</f>
        <v>3554214.96421676</v>
      </c>
      <c r="Q80" s="770" t="n">
        <f aca="false">'wholesale services'!$D$110*'wholesale services'!$I$111/12</f>
        <v>3250582.5</v>
      </c>
      <c r="R80" s="770" t="n">
        <v>3320487.5</v>
      </c>
      <c r="S80" s="872" t="n">
        <f aca="false">Breakout!$H$27/12</f>
        <v>125922.405093248</v>
      </c>
      <c r="T80" s="770" t="n">
        <f aca="false">'wholesale services'!$D$113*'wholesale services'!$I$114/12</f>
        <v>153434.079195604</v>
      </c>
      <c r="U80" s="770" t="n">
        <v>156565.38693429</v>
      </c>
      <c r="V80" s="872" t="n">
        <f aca="false">Breakout!$H$38/12</f>
        <v>63384.8983914869</v>
      </c>
      <c r="W80" s="431" t="n">
        <f aca="false">Breakout!$H$39/12</f>
        <v>67203.118087171</v>
      </c>
      <c r="X80" s="431" t="n">
        <v>67925.7322601513</v>
      </c>
      <c r="Y80" s="872" t="n">
        <f aca="false">Breakout!$H$49/12</f>
        <v>461065.818379787</v>
      </c>
      <c r="Z80" s="873" t="n">
        <f aca="false">Breakout!$H$50/12</f>
        <v>428643.458180645</v>
      </c>
      <c r="AA80" s="873" t="n">
        <v>450260.163943753</v>
      </c>
      <c r="AB80" s="872" t="n">
        <f aca="false">Breakout!$H$60/12</f>
        <v>424215.495614165</v>
      </c>
      <c r="AC80" s="873" t="n">
        <f aca="false">Breakout!$H$61/12</f>
        <v>424661.508487447</v>
      </c>
      <c r="AD80" s="873" t="n">
        <v>437902.624565007</v>
      </c>
      <c r="AE80" s="872" t="n">
        <f aca="false">Breakout!$H$71/12</f>
        <v>321860.379071749</v>
      </c>
      <c r="AF80" s="873" t="n">
        <f aca="false">Breakout!$H$72/12</f>
        <v>316520.666666667</v>
      </c>
      <c r="AG80" s="873" t="n">
        <v>316520.666666667</v>
      </c>
      <c r="AH80" s="872" t="n">
        <f aca="false">Breakout!$H$82/12</f>
        <v>21184.792243144</v>
      </c>
      <c r="AI80" s="873" t="n">
        <f aca="false">Breakout!$H$83/12</f>
        <v>0</v>
      </c>
      <c r="AJ80" s="873" t="n">
        <v>0</v>
      </c>
      <c r="AK80" s="874" t="n">
        <f aca="false">Breakout!$H$91/12</f>
        <v>284845.501474551</v>
      </c>
      <c r="AL80" s="874" t="n">
        <v>284845.501474551</v>
      </c>
      <c r="AM80" s="773" t="n">
        <f aca="false">(Breakout!$H$107/12)*-1</f>
        <v>55221.25</v>
      </c>
      <c r="AN80" s="773" t="n">
        <v>55221.25</v>
      </c>
      <c r="AO80" s="774" t="n">
        <f aca="false">(P80+S80+V80)+Y80+AB80+AE80+AH80</f>
        <v>4971848.75301034</v>
      </c>
      <c r="AP80" s="774" t="n">
        <f aca="false">Q80+T80+W80+AA80+AD80+AG80+AJ80+AL80+AN80</f>
        <v>5015969.90393275</v>
      </c>
      <c r="AQ80" s="775" t="n">
        <f aca="false">P80+S80+V80+Y80+AB80+AE80+AH80-Q80-T80-W80-Z80-AC80-AF80-AI80-AK80-AM80-DH80-DL80-CN80</f>
        <v>231244.82724234</v>
      </c>
      <c r="AR80" s="431"/>
      <c r="AS80" s="776" t="n">
        <f aca="false">P80+S80+V80+Y80+AB80+AE80+AH80-R80-U80-X80-AA80-AD80-AG80-AJ80-AL80-AN80-O80-L80-CN80</f>
        <v>95934.0942479749</v>
      </c>
      <c r="AT80" s="431"/>
      <c r="AU80" s="770" t="n">
        <f aca="false">'wholesale services'!$I$110/12</f>
        <v>39106610.7060185</v>
      </c>
      <c r="AV80" s="770" t="n">
        <f aca="false">'wholesale services'!$I$113/12</f>
        <v>17613.2558333333</v>
      </c>
      <c r="AW80" s="431"/>
      <c r="AX80" s="851" t="n">
        <f aca="false">IF(A80&lt;$AX$6,0,-$R$5/12)</f>
        <v>-715341.083333333</v>
      </c>
      <c r="AY80" s="417" t="n">
        <f aca="false">IF(A80&lt;$AX$6,0,-$S$5/12)</f>
        <v>-705333.333333333</v>
      </c>
      <c r="AZ80" s="431"/>
      <c r="BA80" s="772" t="n">
        <f aca="false">P80-IF($BL$4="mid",Q80,R80)-$BL$9*(IF($BL$4="mid",N80,O80)+IF($BL$4="mid",DL80,L80))</f>
        <v>532115.21272464</v>
      </c>
      <c r="BB80" s="772" t="n">
        <f aca="false">S80-IF($BL$4="mid",T80,U80)-$BM$9*(IF($BL$4="mid",N80,O80)+IF($BL$4="mid",DL80,L80))</f>
        <v>-15486.2662861517</v>
      </c>
      <c r="BC80" s="772" t="n">
        <f aca="false">V80-IF($BL$4="mid",W80,X80)-$BN$9*(IF($BL$4="mid",N80,O80)+IF($BL$4="mid",DL80,L80))</f>
        <v>-3818.21969568407</v>
      </c>
      <c r="BD80" s="772" t="n">
        <f aca="false">Y80-IF($BL$4="mid",Z80,AA80)</f>
        <v>32422.360199142</v>
      </c>
      <c r="BE80" s="772" t="n">
        <f aca="false">AB80-IF($BL$4="mid",AC80,AD80)</f>
        <v>-446.012873282598</v>
      </c>
      <c r="BF80" s="772" t="n">
        <f aca="false">AE80-IF($BL$4="mid",AF80,AG80)</f>
        <v>5339.71240508265</v>
      </c>
      <c r="BG80" s="772" t="n">
        <f aca="false">AH80-IF($BL$4="mid",AI80,AJ80)</f>
        <v>21184.792243144</v>
      </c>
      <c r="BH80" s="772" t="n">
        <f aca="false">-IF($BL$4="mid",AK80,AL80)</f>
        <v>-284845.501474551</v>
      </c>
      <c r="BI80" s="772" t="n">
        <f aca="false">-IF($BL$4="mid",AM80,AN80)</f>
        <v>-55221.25</v>
      </c>
      <c r="BL80" s="772" t="n">
        <f aca="false">BW80-IF($BL$4="mid",Q80,R80)-$BL$9*(IF($BL$4="mid",N80,O80)+IF($BL$4="mid",DL80,L80))</f>
        <v>681039.541713415</v>
      </c>
      <c r="BM80" s="772" t="n">
        <f aca="false">BX80-IF($BL$4="mid",T80,U80)-$BM$9*(IF($BL$4="mid",N80,O80)+IF($BL$4="mid",DL80,L80))</f>
        <v>-10210.0210753341</v>
      </c>
      <c r="BN80" s="772" t="n">
        <f aca="false">BY80-IF($BL$4="mid",W80,X80)-$BN$9*(IF($BL$4="mid",N80,O80)+IF($BL$4="mid",DL80,L80))</f>
        <v>-1162.34390988896</v>
      </c>
      <c r="BO80" s="772" t="n">
        <f aca="false">BZ80-IF($BL$4="mid",Z80,AA80)</f>
        <v>51741.3710955472</v>
      </c>
      <c r="BP80" s="772" t="n">
        <f aca="false">CA80-IF($BL$4="mid",AC80,AD80)</f>
        <v>17328.9412775007</v>
      </c>
      <c r="BQ80" s="772" t="n">
        <f aca="false">CB80-IF($BL$4="mid",AF80,AG80)</f>
        <v>18825.9087842868</v>
      </c>
      <c r="BR80" s="772" t="n">
        <f aca="false">CC80-IF($BL$4="mid",AI80,AJ80)</f>
        <v>22072.4512624606</v>
      </c>
      <c r="BS80" s="772" t="n">
        <f aca="false">-IF($BL$4="mid",AK80,AL80)</f>
        <v>-284845.501474551</v>
      </c>
      <c r="BT80" s="772" t="n">
        <f aca="false">-IF($BL$4="mid",AM80,AN80)</f>
        <v>-55221.25</v>
      </c>
      <c r="BW80" s="872" t="n">
        <f aca="false">Breakout!$H$15/12</f>
        <v>3703139.29320554</v>
      </c>
      <c r="BX80" s="872" t="n">
        <f aca="false">Breakout!$H$26/12</f>
        <v>131198.650304066</v>
      </c>
      <c r="BY80" s="872" t="n">
        <f aca="false">Breakout!$H$37/12</f>
        <v>66040.774177282</v>
      </c>
      <c r="BZ80" s="872" t="n">
        <f aca="false">Breakout!$H$48/12</f>
        <v>480384.829276192</v>
      </c>
      <c r="CA80" s="872" t="n">
        <f aca="false">Breakout!$H$59/12</f>
        <v>441990.449764948</v>
      </c>
      <c r="CB80" s="872" t="n">
        <f aca="false">Breakout!$H$70/12</f>
        <v>335346.575450954</v>
      </c>
      <c r="CC80" s="872" t="n">
        <f aca="false">Breakout!$H$81/12</f>
        <v>22072.4512624606</v>
      </c>
      <c r="CE80" s="852" t="n">
        <f aca="false">P80/0.96</f>
        <v>3702307.25439246</v>
      </c>
      <c r="CF80" s="852" t="n">
        <f aca="false">S80/0.96</f>
        <v>131169.171972134</v>
      </c>
      <c r="CG80" s="852" t="n">
        <f aca="false">V80/0.96</f>
        <v>66025.9358244656</v>
      </c>
      <c r="CI80" s="852" t="n">
        <f aca="false">N80</f>
        <v>-715341.083333333</v>
      </c>
      <c r="CJ80" s="852" t="n">
        <f aca="false">O80</f>
        <v>-705333.333333333</v>
      </c>
      <c r="CL80" s="772" t="n">
        <f aca="false">'account mgt'!$H$23/12</f>
        <v>-54375.9795576</v>
      </c>
      <c r="CN80" s="772" t="n">
        <v>0</v>
      </c>
      <c r="CT80" s="772" t="n">
        <f aca="false">CW79</f>
        <v>2825959.71902823</v>
      </c>
      <c r="CU80" s="772" t="n">
        <f aca="false">IF(CT80&lt;0.1,0,CT80*$L$3)</f>
        <v>22301.5321159978</v>
      </c>
      <c r="CV80" s="772" t="n">
        <f aca="false">IF(CT80&lt;0.1,0,PPMT($L$3,A80-14,unwinds!$B$8*12,$K$5))</f>
        <v>745257.345386598</v>
      </c>
      <c r="CW80" s="772" t="n">
        <f aca="false">IF(CT80-CV80&lt;0,0,CT80-CV80)</f>
        <v>2080702.37364163</v>
      </c>
      <c r="CX80" s="772" t="n">
        <f aca="false">IF(CX79-CV80&lt;0,0,CX79-CV80)</f>
        <v>2080702.37364163</v>
      </c>
      <c r="DA80" s="772" t="n">
        <f aca="false">DD79</f>
        <v>21062437.7514439</v>
      </c>
      <c r="DB80" s="772" t="n">
        <f aca="false">DA80*$L$3</f>
        <v>166217.737921812</v>
      </c>
      <c r="DC80" s="772" t="n">
        <f aca="false">PPMT($L$3,A80-14,106,$K$5)</f>
        <v>329180.333749802</v>
      </c>
      <c r="DD80" s="772" t="n">
        <f aca="false">DA80-DC80</f>
        <v>20733257.4176941</v>
      </c>
      <c r="DE80" s="772" t="n">
        <f aca="false">DE79-DC80</f>
        <v>20733257.4176941</v>
      </c>
      <c r="DH80" s="417" t="n">
        <v>-715341.083333333</v>
      </c>
      <c r="DI80" s="417" t="n">
        <v>-705333.333333333</v>
      </c>
      <c r="DJ80" s="417"/>
      <c r="DL80" s="417" t="n">
        <f aca="false">PMT($J$3,106,$I$5,,1)</f>
        <v>474832.92700925</v>
      </c>
      <c r="DN80" s="417" t="n">
        <f aca="false">IF($BL$4="mid",DH80,DI80)</f>
        <v>-715341.083333333</v>
      </c>
      <c r="DO80" s="417" t="n">
        <f aca="false">IF($BL$4="mid",DL80,L80)</f>
        <v>474832.92700925</v>
      </c>
      <c r="DQ80" s="772" t="n">
        <f aca="false">BW80-IF($BL$4="mid",Q80,R80)</f>
        <v>452556.793205536</v>
      </c>
      <c r="DR80" s="772" t="n">
        <f aca="false">BX80-IF($BL$4="mid",T80,U80)</f>
        <v>-22235.4288915383</v>
      </c>
      <c r="DS80" s="772"/>
      <c r="DT80" s="772"/>
      <c r="DU80" s="772"/>
      <c r="DV80" s="772"/>
      <c r="DW80" s="772"/>
      <c r="DX80" s="772"/>
    </row>
    <row r="81" customFormat="false" ht="12.75" hidden="false" customHeight="false" outlineLevel="0" collapsed="false">
      <c r="A81" s="767" t="n">
        <v>70</v>
      </c>
      <c r="B81" s="854" t="n">
        <v>38626</v>
      </c>
      <c r="C81" s="417" t="n">
        <v>0</v>
      </c>
      <c r="D81" s="417" t="n">
        <v>0</v>
      </c>
      <c r="E81" s="417" t="n">
        <v>0</v>
      </c>
      <c r="F81" s="417" t="n">
        <v>162338.832501478</v>
      </c>
      <c r="G81" s="417" t="n">
        <v>329180.333749806</v>
      </c>
      <c r="H81" s="417" t="n">
        <v>0</v>
      </c>
      <c r="I81" s="417" t="n">
        <v>491519.166251284</v>
      </c>
      <c r="J81" s="417"/>
      <c r="K81" s="417"/>
      <c r="L81" s="417" t="n">
        <f aca="false">PMT($L$3,106,$K$5,,1)</f>
        <v>491519.166251281</v>
      </c>
      <c r="M81" s="417"/>
      <c r="N81" s="850" t="n">
        <f aca="false">IF(A81&lt;$B$8,0,-$R$5/12)</f>
        <v>-715341.083333333</v>
      </c>
      <c r="O81" s="850" t="n">
        <f aca="false">IF(A81&lt;$B$8,0,-$S$5/12)</f>
        <v>-705333.333333333</v>
      </c>
      <c r="P81" s="872" t="n">
        <f aca="false">Breakout!$H$16/12</f>
        <v>3554214.96421676</v>
      </c>
      <c r="Q81" s="770" t="n">
        <f aca="false">'wholesale services'!$D$110*'wholesale services'!$I$111/12</f>
        <v>3250582.5</v>
      </c>
      <c r="R81" s="770" t="n">
        <v>3320487.5</v>
      </c>
      <c r="S81" s="872" t="n">
        <f aca="false">Breakout!$H$27/12</f>
        <v>125922.405093248</v>
      </c>
      <c r="T81" s="770" t="n">
        <f aca="false">'wholesale services'!$D$113*'wholesale services'!$I$114/12</f>
        <v>153434.079195604</v>
      </c>
      <c r="U81" s="770" t="n">
        <v>156565.38693429</v>
      </c>
      <c r="V81" s="872" t="n">
        <f aca="false">Breakout!$H$38/12</f>
        <v>63384.8983914869</v>
      </c>
      <c r="W81" s="431" t="n">
        <f aca="false">Breakout!$H$39/12</f>
        <v>67203.118087171</v>
      </c>
      <c r="X81" s="431" t="n">
        <v>67925.7322601513</v>
      </c>
      <c r="Y81" s="872" t="n">
        <f aca="false">Breakout!$H$49/12</f>
        <v>461065.818379787</v>
      </c>
      <c r="Z81" s="873" t="n">
        <f aca="false">Breakout!$H$50/12</f>
        <v>428643.458180645</v>
      </c>
      <c r="AA81" s="873" t="n">
        <v>450260.163943753</v>
      </c>
      <c r="AB81" s="872" t="n">
        <f aca="false">Breakout!$H$60/12</f>
        <v>424215.495614165</v>
      </c>
      <c r="AC81" s="873" t="n">
        <f aca="false">Breakout!$H$61/12</f>
        <v>424661.508487447</v>
      </c>
      <c r="AD81" s="873" t="n">
        <v>437902.624565007</v>
      </c>
      <c r="AE81" s="872" t="n">
        <f aca="false">Breakout!$H$71/12</f>
        <v>321860.379071749</v>
      </c>
      <c r="AF81" s="873" t="n">
        <f aca="false">Breakout!$H$72/12</f>
        <v>316520.666666667</v>
      </c>
      <c r="AG81" s="873" t="n">
        <v>316520.666666667</v>
      </c>
      <c r="AH81" s="872" t="n">
        <f aca="false">Breakout!$H$82/12</f>
        <v>21184.792243144</v>
      </c>
      <c r="AI81" s="873" t="n">
        <f aca="false">Breakout!$H$83/12</f>
        <v>0</v>
      </c>
      <c r="AJ81" s="873" t="n">
        <v>0</v>
      </c>
      <c r="AK81" s="874" t="n">
        <f aca="false">Breakout!$H$91/12</f>
        <v>284845.501474551</v>
      </c>
      <c r="AL81" s="874" t="n">
        <v>284845.501474551</v>
      </c>
      <c r="AM81" s="773" t="n">
        <f aca="false">(Breakout!$H$107/12)*-1</f>
        <v>55221.25</v>
      </c>
      <c r="AN81" s="773" t="n">
        <v>55221.25</v>
      </c>
      <c r="AO81" s="774" t="n">
        <f aca="false">(P81+S81+V81)+Y81+AB81+AE81+AH81</f>
        <v>4971848.75301034</v>
      </c>
      <c r="AP81" s="774" t="n">
        <f aca="false">Q81+T81+W81+AA81+AD81+AG81+AJ81+AL81+AN81</f>
        <v>5015969.90393275</v>
      </c>
      <c r="AQ81" s="775" t="n">
        <f aca="false">P81+S81+V81+Y81+AB81+AE81+AH81-Q81-T81-W81-Z81-AC81-AF81-AI81-AK81-AM81-DH81-DL81-CN81</f>
        <v>231244.82724234</v>
      </c>
      <c r="AR81" s="431"/>
      <c r="AS81" s="776" t="n">
        <f aca="false">P81+S81+V81+Y81+AB81+AE81+AH81-R81-U81-X81-AA81-AD81-AG81-AJ81-AL81-AN81-O81-L81-CN81</f>
        <v>95934.0942479749</v>
      </c>
      <c r="AT81" s="431"/>
      <c r="AU81" s="770" t="n">
        <f aca="false">'wholesale services'!$I$110/12</f>
        <v>39106610.7060185</v>
      </c>
      <c r="AV81" s="770" t="n">
        <f aca="false">'wholesale services'!$I$113/12</f>
        <v>17613.2558333333</v>
      </c>
      <c r="AW81" s="431"/>
      <c r="AX81" s="851" t="n">
        <f aca="false">IF(A81&lt;$AX$6,0,-$R$5/12)</f>
        <v>-715341.083333333</v>
      </c>
      <c r="AY81" s="417" t="n">
        <f aca="false">IF(A81&lt;$AX$6,0,-$S$5/12)</f>
        <v>-705333.333333333</v>
      </c>
      <c r="AZ81" s="431"/>
      <c r="BA81" s="772" t="n">
        <f aca="false">P81-IF($BL$4="mid",Q81,R81)-$BL$9*(IF($BL$4="mid",N81,O81)+IF($BL$4="mid",DL81,L81))</f>
        <v>532115.21272464</v>
      </c>
      <c r="BB81" s="772" t="n">
        <f aca="false">S81-IF($BL$4="mid",T81,U81)-$BM$9*(IF($BL$4="mid",N81,O81)+IF($BL$4="mid",DL81,L81))</f>
        <v>-15486.2662861517</v>
      </c>
      <c r="BC81" s="772" t="n">
        <f aca="false">V81-IF($BL$4="mid",W81,X81)-$BN$9*(IF($BL$4="mid",N81,O81)+IF($BL$4="mid",DL81,L81))</f>
        <v>-3818.21969568407</v>
      </c>
      <c r="BD81" s="772" t="n">
        <f aca="false">Y81-IF($BL$4="mid",Z81,AA81)</f>
        <v>32422.360199142</v>
      </c>
      <c r="BE81" s="772" t="n">
        <f aca="false">AB81-IF($BL$4="mid",AC81,AD81)</f>
        <v>-446.012873282598</v>
      </c>
      <c r="BF81" s="772" t="n">
        <f aca="false">AE81-IF($BL$4="mid",AF81,AG81)</f>
        <v>5339.71240508265</v>
      </c>
      <c r="BG81" s="772" t="n">
        <f aca="false">AH81-IF($BL$4="mid",AI81,AJ81)</f>
        <v>21184.792243144</v>
      </c>
      <c r="BH81" s="772" t="n">
        <f aca="false">-IF($BL$4="mid",AK81,AL81)</f>
        <v>-284845.501474551</v>
      </c>
      <c r="BI81" s="772" t="n">
        <f aca="false">-IF($BL$4="mid",AM81,AN81)</f>
        <v>-55221.25</v>
      </c>
      <c r="BL81" s="772" t="n">
        <f aca="false">BW81-IF($BL$4="mid",Q81,R81)-$BL$9*(IF($BL$4="mid",N81,O81)+IF($BL$4="mid",DL81,L81))</f>
        <v>681039.541713415</v>
      </c>
      <c r="BM81" s="772" t="n">
        <f aca="false">BX81-IF($BL$4="mid",T81,U81)-$BM$9*(IF($BL$4="mid",N81,O81)+IF($BL$4="mid",DL81,L81))</f>
        <v>-10210.0210753341</v>
      </c>
      <c r="BN81" s="772" t="n">
        <f aca="false">BY81-IF($BL$4="mid",W81,X81)-$BN$9*(IF($BL$4="mid",N81,O81)+IF($BL$4="mid",DL81,L81))</f>
        <v>-1162.34390988896</v>
      </c>
      <c r="BO81" s="772" t="n">
        <f aca="false">BZ81-IF($BL$4="mid",Z81,AA81)</f>
        <v>51741.3710955472</v>
      </c>
      <c r="BP81" s="772" t="n">
        <f aca="false">CA81-IF($BL$4="mid",AC81,AD81)</f>
        <v>17328.9412775007</v>
      </c>
      <c r="BQ81" s="772" t="n">
        <f aca="false">CB81-IF($BL$4="mid",AF81,AG81)</f>
        <v>18825.9087842868</v>
      </c>
      <c r="BR81" s="772" t="n">
        <f aca="false">CC81-IF($BL$4="mid",AI81,AJ81)</f>
        <v>22072.4512624606</v>
      </c>
      <c r="BS81" s="772" t="n">
        <f aca="false">-IF($BL$4="mid",AK81,AL81)</f>
        <v>-284845.501474551</v>
      </c>
      <c r="BT81" s="772" t="n">
        <f aca="false">-IF($BL$4="mid",AM81,AN81)</f>
        <v>-55221.25</v>
      </c>
      <c r="BW81" s="872" t="n">
        <f aca="false">Breakout!$H$15/12</f>
        <v>3703139.29320554</v>
      </c>
      <c r="BX81" s="872" t="n">
        <f aca="false">Breakout!$H$26/12</f>
        <v>131198.650304066</v>
      </c>
      <c r="BY81" s="872" t="n">
        <f aca="false">Breakout!$H$37/12</f>
        <v>66040.774177282</v>
      </c>
      <c r="BZ81" s="872" t="n">
        <f aca="false">Breakout!$H$48/12</f>
        <v>480384.829276192</v>
      </c>
      <c r="CA81" s="872" t="n">
        <f aca="false">Breakout!$H$59/12</f>
        <v>441990.449764948</v>
      </c>
      <c r="CB81" s="872" t="n">
        <f aca="false">Breakout!$H$70/12</f>
        <v>335346.575450954</v>
      </c>
      <c r="CC81" s="872" t="n">
        <f aca="false">Breakout!$H$81/12</f>
        <v>22072.4512624606</v>
      </c>
      <c r="CE81" s="852" t="n">
        <f aca="false">P81/0.96</f>
        <v>3702307.25439246</v>
      </c>
      <c r="CF81" s="852" t="n">
        <f aca="false">S81/0.96</f>
        <v>131169.171972134</v>
      </c>
      <c r="CG81" s="852" t="n">
        <f aca="false">V81/0.96</f>
        <v>66025.9358244656</v>
      </c>
      <c r="CI81" s="852" t="n">
        <f aca="false">N81</f>
        <v>-715341.083333333</v>
      </c>
      <c r="CJ81" s="852" t="n">
        <f aca="false">O81</f>
        <v>-705333.333333333</v>
      </c>
      <c r="CL81" s="772" t="n">
        <f aca="false">'account mgt'!$H$23/12</f>
        <v>-54375.9795576</v>
      </c>
      <c r="CN81" s="772" t="n">
        <v>0</v>
      </c>
      <c r="CT81" s="772" t="n">
        <f aca="false">CW80</f>
        <v>2080702.37364163</v>
      </c>
      <c r="CU81" s="772" t="n">
        <f aca="false">IF(CT81&lt;0.1,0,CT81*$L$3)</f>
        <v>16420.2095653219</v>
      </c>
      <c r="CV81" s="772" t="n">
        <f aca="false">IF(CT81&lt;0.1,0,PPMT($L$3,A81-14,unwinds!$B$8*12,$K$5))</f>
        <v>751138.667937274</v>
      </c>
      <c r="CW81" s="772" t="n">
        <f aca="false">IF(CT81-CV81&lt;0,0,CT81-CV81)</f>
        <v>1329563.70570436</v>
      </c>
      <c r="CX81" s="772" t="n">
        <f aca="false">IF(CX80-CV81&lt;0,0,CX80-CV81)</f>
        <v>1329563.70570436</v>
      </c>
      <c r="DA81" s="772" t="n">
        <f aca="false">DD80</f>
        <v>20733257.4176941</v>
      </c>
      <c r="DB81" s="772" t="n">
        <f aca="false">DA81*$L$3</f>
        <v>163619.956454636</v>
      </c>
      <c r="DC81" s="772" t="n">
        <f aca="false">PPMT($L$3,A81-14,106,$K$5)</f>
        <v>331778.115216978</v>
      </c>
      <c r="DD81" s="772" t="n">
        <f aca="false">DA81-DC81</f>
        <v>20401479.3024771</v>
      </c>
      <c r="DE81" s="772" t="n">
        <f aca="false">DE80-DC81</f>
        <v>20401479.3024771</v>
      </c>
      <c r="DH81" s="417" t="n">
        <v>-715341.083333333</v>
      </c>
      <c r="DI81" s="417" t="n">
        <v>-705333.333333333</v>
      </c>
      <c r="DJ81" s="417"/>
      <c r="DL81" s="417" t="n">
        <f aca="false">PMT($J$3,106,$I$5,,1)</f>
        <v>474832.92700925</v>
      </c>
      <c r="DN81" s="417" t="n">
        <f aca="false">IF($BL$4="mid",DH81,DI81)</f>
        <v>-715341.083333333</v>
      </c>
      <c r="DO81" s="417" t="n">
        <f aca="false">IF($BL$4="mid",DL81,L81)</f>
        <v>474832.92700925</v>
      </c>
      <c r="DQ81" s="772" t="n">
        <f aca="false">BW81-IF($BL$4="mid",Q81,R81)</f>
        <v>452556.793205536</v>
      </c>
      <c r="DR81" s="772" t="n">
        <f aca="false">BX81-IF($BL$4="mid",T81,U81)</f>
        <v>-22235.4288915383</v>
      </c>
      <c r="DS81" s="772"/>
      <c r="DT81" s="772"/>
      <c r="DU81" s="772"/>
      <c r="DV81" s="772"/>
      <c r="DW81" s="772"/>
      <c r="DX81" s="772"/>
    </row>
    <row r="82" customFormat="false" ht="12.75" hidden="false" customHeight="false" outlineLevel="0" collapsed="false">
      <c r="A82" s="767" t="n">
        <v>71</v>
      </c>
      <c r="B82" s="854" t="n">
        <v>38657</v>
      </c>
      <c r="C82" s="417" t="n">
        <v>0</v>
      </c>
      <c r="D82" s="417" t="n">
        <v>0</v>
      </c>
      <c r="E82" s="417" t="n">
        <v>0</v>
      </c>
      <c r="F82" s="417" t="n">
        <v>159741.051034302</v>
      </c>
      <c r="G82" s="417" t="n">
        <v>331778.115216981</v>
      </c>
      <c r="H82" s="417" t="n">
        <v>0</v>
      </c>
      <c r="I82" s="417" t="n">
        <v>491519.166251284</v>
      </c>
      <c r="J82" s="417"/>
      <c r="K82" s="417"/>
      <c r="L82" s="417" t="n">
        <f aca="false">PMT($L$3,106,$K$5,,1)</f>
        <v>491519.166251281</v>
      </c>
      <c r="M82" s="417"/>
      <c r="N82" s="850" t="n">
        <f aca="false">IF(A82&lt;$B$8,0,-$R$5/12)</f>
        <v>-715341.083333333</v>
      </c>
      <c r="O82" s="850" t="n">
        <f aca="false">IF(A82&lt;$B$8,0,-$S$5/12)</f>
        <v>-705333.333333333</v>
      </c>
      <c r="P82" s="872" t="n">
        <f aca="false">Breakout!$H$16/12</f>
        <v>3554214.96421676</v>
      </c>
      <c r="Q82" s="770" t="n">
        <f aca="false">'wholesale services'!$D$110*'wholesale services'!$I$111/12</f>
        <v>3250582.5</v>
      </c>
      <c r="R82" s="770" t="n">
        <v>3320487.5</v>
      </c>
      <c r="S82" s="872" t="n">
        <f aca="false">Breakout!$H$27/12</f>
        <v>125922.405093248</v>
      </c>
      <c r="T82" s="770" t="n">
        <f aca="false">'wholesale services'!$D$113*'wholesale services'!$I$114/12</f>
        <v>153434.079195604</v>
      </c>
      <c r="U82" s="770" t="n">
        <v>156565.38693429</v>
      </c>
      <c r="V82" s="872" t="n">
        <f aca="false">Breakout!$H$38/12</f>
        <v>63384.8983914869</v>
      </c>
      <c r="W82" s="431" t="n">
        <f aca="false">Breakout!$H$39/12</f>
        <v>67203.118087171</v>
      </c>
      <c r="X82" s="431" t="n">
        <v>67925.7322601513</v>
      </c>
      <c r="Y82" s="872" t="n">
        <f aca="false">Breakout!$H$49/12</f>
        <v>461065.818379787</v>
      </c>
      <c r="Z82" s="873" t="n">
        <f aca="false">Breakout!$H$50/12</f>
        <v>428643.458180645</v>
      </c>
      <c r="AA82" s="873" t="n">
        <v>450260.163943753</v>
      </c>
      <c r="AB82" s="872" t="n">
        <f aca="false">Breakout!$H$60/12</f>
        <v>424215.495614165</v>
      </c>
      <c r="AC82" s="873" t="n">
        <f aca="false">Breakout!$H$61/12</f>
        <v>424661.508487447</v>
      </c>
      <c r="AD82" s="873" t="n">
        <v>437902.624565007</v>
      </c>
      <c r="AE82" s="872" t="n">
        <f aca="false">Breakout!$H$71/12</f>
        <v>321860.379071749</v>
      </c>
      <c r="AF82" s="873" t="n">
        <f aca="false">Breakout!$H$72/12</f>
        <v>316520.666666667</v>
      </c>
      <c r="AG82" s="873" t="n">
        <v>316520.666666667</v>
      </c>
      <c r="AH82" s="872" t="n">
        <f aca="false">Breakout!$H$82/12</f>
        <v>21184.792243144</v>
      </c>
      <c r="AI82" s="873" t="n">
        <f aca="false">Breakout!$H$83/12</f>
        <v>0</v>
      </c>
      <c r="AJ82" s="873" t="n">
        <v>0</v>
      </c>
      <c r="AK82" s="874" t="n">
        <f aca="false">Breakout!$H$91/12</f>
        <v>284845.501474551</v>
      </c>
      <c r="AL82" s="874" t="n">
        <v>284845.501474551</v>
      </c>
      <c r="AM82" s="773" t="n">
        <f aca="false">(Breakout!$H$107/12)*-1</f>
        <v>55221.25</v>
      </c>
      <c r="AN82" s="773" t="n">
        <v>55221.25</v>
      </c>
      <c r="AO82" s="774" t="n">
        <f aca="false">(P82+S82+V82)+Y82+AB82+AE82+AH82</f>
        <v>4971848.75301034</v>
      </c>
      <c r="AP82" s="774" t="n">
        <f aca="false">Q82+T82+W82+AA82+AD82+AG82+AJ82+AL82+AN82</f>
        <v>5015969.90393275</v>
      </c>
      <c r="AQ82" s="775" t="n">
        <f aca="false">P82+S82+V82+Y82+AB82+AE82+AH82-Q82-T82-W82-Z82-AC82-AF82-AI82-AK82-AM82-DH82-DL82-CN82</f>
        <v>231244.82724234</v>
      </c>
      <c r="AR82" s="431"/>
      <c r="AS82" s="776" t="n">
        <f aca="false">P82+S82+V82+Y82+AB82+AE82+AH82-R82-U82-X82-AA82-AD82-AG82-AJ82-AL82-AN82-O82-L82-CN82</f>
        <v>95934.0942479749</v>
      </c>
      <c r="AT82" s="431"/>
      <c r="AU82" s="770" t="n">
        <f aca="false">'wholesale services'!$I$110/12</f>
        <v>39106610.7060185</v>
      </c>
      <c r="AV82" s="770" t="n">
        <f aca="false">'wholesale services'!$I$113/12</f>
        <v>17613.2558333333</v>
      </c>
      <c r="AW82" s="431"/>
      <c r="AX82" s="851" t="n">
        <f aca="false">IF(A82&lt;$AX$6,0,-$R$5/12)</f>
        <v>-715341.083333333</v>
      </c>
      <c r="AY82" s="417" t="n">
        <f aca="false">IF(A82&lt;$AX$6,0,-$S$5/12)</f>
        <v>-705333.333333333</v>
      </c>
      <c r="AZ82" s="431"/>
      <c r="BA82" s="772" t="n">
        <f aca="false">P82-IF($BL$4="mid",Q82,R82)-$BL$9*(IF($BL$4="mid",N82,O82)+IF($BL$4="mid",DL82,L82))</f>
        <v>532115.21272464</v>
      </c>
      <c r="BB82" s="772" t="n">
        <f aca="false">S82-IF($BL$4="mid",T82,U82)-$BM$9*(IF($BL$4="mid",N82,O82)+IF($BL$4="mid",DL82,L82))</f>
        <v>-15486.2662861517</v>
      </c>
      <c r="BC82" s="772" t="n">
        <f aca="false">V82-IF($BL$4="mid",W82,X82)-$BN$9*(IF($BL$4="mid",N82,O82)+IF($BL$4="mid",DL82,L82))</f>
        <v>-3818.21969568407</v>
      </c>
      <c r="BD82" s="772" t="n">
        <f aca="false">Y82-IF($BL$4="mid",Z82,AA82)</f>
        <v>32422.360199142</v>
      </c>
      <c r="BE82" s="772" t="n">
        <f aca="false">AB82-IF($BL$4="mid",AC82,AD82)</f>
        <v>-446.012873282598</v>
      </c>
      <c r="BF82" s="772" t="n">
        <f aca="false">AE82-IF($BL$4="mid",AF82,AG82)</f>
        <v>5339.71240508265</v>
      </c>
      <c r="BG82" s="772" t="n">
        <f aca="false">AH82-IF($BL$4="mid",AI82,AJ82)</f>
        <v>21184.792243144</v>
      </c>
      <c r="BH82" s="772" t="n">
        <f aca="false">-IF($BL$4="mid",AK82,AL82)</f>
        <v>-284845.501474551</v>
      </c>
      <c r="BI82" s="772" t="n">
        <f aca="false">-IF($BL$4="mid",AM82,AN82)</f>
        <v>-55221.25</v>
      </c>
      <c r="BL82" s="772" t="n">
        <f aca="false">BW82-IF($BL$4="mid",Q82,R82)-$BL$9*(IF($BL$4="mid",N82,O82)+IF($BL$4="mid",DL82,L82))</f>
        <v>681039.541713415</v>
      </c>
      <c r="BM82" s="772" t="n">
        <f aca="false">BX82-IF($BL$4="mid",T82,U82)-$BM$9*(IF($BL$4="mid",N82,O82)+IF($BL$4="mid",DL82,L82))</f>
        <v>-10210.0210753341</v>
      </c>
      <c r="BN82" s="772" t="n">
        <f aca="false">BY82-IF($BL$4="mid",W82,X82)-$BN$9*(IF($BL$4="mid",N82,O82)+IF($BL$4="mid",DL82,L82))</f>
        <v>-1162.34390988896</v>
      </c>
      <c r="BO82" s="772" t="n">
        <f aca="false">BZ82-IF($BL$4="mid",Z82,AA82)</f>
        <v>51741.3710955472</v>
      </c>
      <c r="BP82" s="772" t="n">
        <f aca="false">CA82-IF($BL$4="mid",AC82,AD82)</f>
        <v>17328.9412775007</v>
      </c>
      <c r="BQ82" s="772" t="n">
        <f aca="false">CB82-IF($BL$4="mid",AF82,AG82)</f>
        <v>18825.9087842868</v>
      </c>
      <c r="BR82" s="772" t="n">
        <f aca="false">CC82-IF($BL$4="mid",AI82,AJ82)</f>
        <v>22072.4512624606</v>
      </c>
      <c r="BS82" s="772" t="n">
        <f aca="false">-IF($BL$4="mid",AK82,AL82)</f>
        <v>-284845.501474551</v>
      </c>
      <c r="BT82" s="772" t="n">
        <f aca="false">-IF($BL$4="mid",AM82,AN82)</f>
        <v>-55221.25</v>
      </c>
      <c r="BW82" s="872" t="n">
        <f aca="false">Breakout!$H$15/12</f>
        <v>3703139.29320554</v>
      </c>
      <c r="BX82" s="872" t="n">
        <f aca="false">Breakout!$H$26/12</f>
        <v>131198.650304066</v>
      </c>
      <c r="BY82" s="872" t="n">
        <f aca="false">Breakout!$H$37/12</f>
        <v>66040.774177282</v>
      </c>
      <c r="BZ82" s="872" t="n">
        <f aca="false">Breakout!$H$48/12</f>
        <v>480384.829276192</v>
      </c>
      <c r="CA82" s="872" t="n">
        <f aca="false">Breakout!$H$59/12</f>
        <v>441990.449764948</v>
      </c>
      <c r="CB82" s="872" t="n">
        <f aca="false">Breakout!$H$70/12</f>
        <v>335346.575450954</v>
      </c>
      <c r="CC82" s="872" t="n">
        <f aca="false">Breakout!$H$81/12</f>
        <v>22072.4512624606</v>
      </c>
      <c r="CE82" s="852" t="n">
        <f aca="false">P82/0.96</f>
        <v>3702307.25439246</v>
      </c>
      <c r="CF82" s="852" t="n">
        <f aca="false">S82/0.96</f>
        <v>131169.171972134</v>
      </c>
      <c r="CG82" s="852" t="n">
        <f aca="false">V82/0.96</f>
        <v>66025.9358244656</v>
      </c>
      <c r="CI82" s="852" t="n">
        <f aca="false">N82</f>
        <v>-715341.083333333</v>
      </c>
      <c r="CJ82" s="852" t="n">
        <f aca="false">O82</f>
        <v>-705333.333333333</v>
      </c>
      <c r="CL82" s="772" t="n">
        <f aca="false">'account mgt'!$H$23/12</f>
        <v>-54375.9795576</v>
      </c>
      <c r="CN82" s="772" t="n">
        <v>0</v>
      </c>
      <c r="CT82" s="772" t="n">
        <f aca="false">CW81</f>
        <v>1329563.70570436</v>
      </c>
      <c r="CU82" s="772" t="n">
        <f aca="false">IF(CT82&lt;0.1,0,CT82*$L$3)</f>
        <v>10492.4735775169</v>
      </c>
      <c r="CV82" s="772" t="n">
        <f aca="false">IF(CT82&lt;0.1,0,PPMT($L$3,A82-14,unwinds!$B$8*12,$K$5))</f>
        <v>757066.403925079</v>
      </c>
      <c r="CW82" s="772" t="n">
        <f aca="false">IF(CT82-CV82&lt;0,0,CT82-CV82)</f>
        <v>572497.30177928</v>
      </c>
      <c r="CX82" s="772" t="n">
        <f aca="false">IF(CX81-CV82&lt;0,0,CX81-CV82)</f>
        <v>572497.30177928</v>
      </c>
      <c r="DA82" s="772" t="n">
        <f aca="false">DD81</f>
        <v>20401479.3024771</v>
      </c>
      <c r="DB82" s="772" t="n">
        <f aca="false">DA82*$L$3</f>
        <v>161001.674162049</v>
      </c>
      <c r="DC82" s="772" t="n">
        <f aca="false">PPMT($L$3,A82-14,106,$K$5)</f>
        <v>334396.397509565</v>
      </c>
      <c r="DD82" s="772" t="n">
        <f aca="false">DA82-DC82</f>
        <v>20067082.9049676</v>
      </c>
      <c r="DE82" s="772" t="n">
        <f aca="false">DE81-DC82</f>
        <v>20067082.9049676</v>
      </c>
      <c r="DH82" s="417" t="n">
        <v>-715341.083333333</v>
      </c>
      <c r="DI82" s="417" t="n">
        <v>-705333.333333333</v>
      </c>
      <c r="DJ82" s="417"/>
      <c r="DL82" s="417" t="n">
        <f aca="false">PMT($J$3,106,$I$5,,1)</f>
        <v>474832.92700925</v>
      </c>
      <c r="DN82" s="417" t="n">
        <f aca="false">IF($BL$4="mid",DH82,DI82)</f>
        <v>-715341.083333333</v>
      </c>
      <c r="DO82" s="417" t="n">
        <f aca="false">IF($BL$4="mid",DL82,L82)</f>
        <v>474832.92700925</v>
      </c>
      <c r="DQ82" s="772" t="n">
        <f aca="false">BW82-IF($BL$4="mid",Q82,R82)</f>
        <v>452556.793205536</v>
      </c>
      <c r="DR82" s="772" t="n">
        <f aca="false">BX82-IF($BL$4="mid",T82,U82)</f>
        <v>-22235.4288915383</v>
      </c>
      <c r="DS82" s="772"/>
      <c r="DT82" s="772"/>
      <c r="DU82" s="772"/>
      <c r="DV82" s="772"/>
      <c r="DW82" s="772"/>
      <c r="DX82" s="772"/>
    </row>
    <row r="83" customFormat="false" ht="12.75" hidden="false" customHeight="false" outlineLevel="0" collapsed="false">
      <c r="A83" s="855" t="n">
        <v>72</v>
      </c>
      <c r="B83" s="856" t="n">
        <v>38687</v>
      </c>
      <c r="C83" s="857" t="n">
        <v>0</v>
      </c>
      <c r="D83" s="857" t="n">
        <v>0</v>
      </c>
      <c r="E83" s="857" t="n">
        <v>0</v>
      </c>
      <c r="F83" s="417" t="n">
        <v>157122.768741715</v>
      </c>
      <c r="G83" s="417" t="n">
        <v>334396.397509568</v>
      </c>
      <c r="H83" s="417" t="n">
        <v>0</v>
      </c>
      <c r="I83" s="417" t="n">
        <v>491519.166251284</v>
      </c>
      <c r="J83" s="857"/>
      <c r="K83" s="857"/>
      <c r="L83" s="417" t="n">
        <f aca="false">PMT($L$3,106,$K$5,,1)</f>
        <v>491519.166251281</v>
      </c>
      <c r="M83" s="857"/>
      <c r="N83" s="850" t="n">
        <f aca="false">IF(A83&lt;$B$8,0,-$R$5/12)</f>
        <v>-715341.083333333</v>
      </c>
      <c r="O83" s="850" t="n">
        <f aca="false">IF(A83&lt;$B$8,0,-$S$5/12)</f>
        <v>-705333.333333333</v>
      </c>
      <c r="P83" s="859" t="n">
        <f aca="false">Breakout!$H$16/12</f>
        <v>3554214.96421676</v>
      </c>
      <c r="Q83" s="860" t="n">
        <f aca="false">'wholesale services'!$D$110*'wholesale services'!$I$111/12</f>
        <v>3250582.5</v>
      </c>
      <c r="R83" s="860" t="n">
        <v>3320487.5</v>
      </c>
      <c r="S83" s="859" t="n">
        <f aca="false">Breakout!$H$27/12</f>
        <v>125922.405093248</v>
      </c>
      <c r="T83" s="860" t="n">
        <f aca="false">'wholesale services'!$D$113*'wholesale services'!$I$114/12</f>
        <v>153434.079195604</v>
      </c>
      <c r="U83" s="860" t="n">
        <v>156565.38693429</v>
      </c>
      <c r="V83" s="859" t="n">
        <f aca="false">Breakout!$H$38/12</f>
        <v>63384.8983914869</v>
      </c>
      <c r="W83" s="861" t="n">
        <f aca="false">Breakout!$H$39/12</f>
        <v>67203.118087171</v>
      </c>
      <c r="X83" s="861" t="n">
        <v>67925.7322601513</v>
      </c>
      <c r="Y83" s="859" t="n">
        <f aca="false">Breakout!$H$49/12</f>
        <v>461065.818379787</v>
      </c>
      <c r="Z83" s="860" t="n">
        <f aca="false">Breakout!$H$50/12</f>
        <v>428643.458180645</v>
      </c>
      <c r="AA83" s="860" t="n">
        <v>450260.163943753</v>
      </c>
      <c r="AB83" s="859" t="n">
        <f aca="false">Breakout!$H$60/12</f>
        <v>424215.495614165</v>
      </c>
      <c r="AC83" s="860" t="n">
        <f aca="false">Breakout!$H$61/12</f>
        <v>424661.508487447</v>
      </c>
      <c r="AD83" s="860" t="n">
        <v>437902.624565007</v>
      </c>
      <c r="AE83" s="859" t="n">
        <f aca="false">Breakout!$H$71/12</f>
        <v>321860.379071749</v>
      </c>
      <c r="AF83" s="860" t="n">
        <f aca="false">Breakout!$H$72/12</f>
        <v>316520.666666667</v>
      </c>
      <c r="AG83" s="860" t="n">
        <v>316520.666666667</v>
      </c>
      <c r="AH83" s="859" t="n">
        <f aca="false">Breakout!$H$82/12</f>
        <v>21184.792243144</v>
      </c>
      <c r="AI83" s="860" t="n">
        <f aca="false">Breakout!$H$83/12</f>
        <v>0</v>
      </c>
      <c r="AJ83" s="860" t="n">
        <v>0</v>
      </c>
      <c r="AK83" s="862" t="n">
        <f aca="false">Breakout!$H$91/12</f>
        <v>284845.501474551</v>
      </c>
      <c r="AL83" s="862" t="n">
        <v>284845.501474551</v>
      </c>
      <c r="AM83" s="862" t="n">
        <f aca="false">(Breakout!$H$107/12)*-1</f>
        <v>55221.25</v>
      </c>
      <c r="AN83" s="862" t="n">
        <v>55221.25</v>
      </c>
      <c r="AO83" s="863" t="n">
        <f aca="false">(P83+S83+V83)+Y83+AB83+AE83+AH83</f>
        <v>4971848.75301034</v>
      </c>
      <c r="AP83" s="863" t="n">
        <f aca="false">Q83+T83+W83+AA83+AD83+AG83+AJ83+AL83+AN83</f>
        <v>5015969.90393275</v>
      </c>
      <c r="AQ83" s="775" t="n">
        <f aca="false">P83+S83+V83+Y83+AB83+AE83+AH83-Q83-T83-W83-Z83-AC83-AF83-AI83-AK83-AM83-DH83-DL83-CN83</f>
        <v>231244.82724234</v>
      </c>
      <c r="AR83" s="861" t="n">
        <f aca="false">SUM(AQ72:AQ83)</f>
        <v>2774937.92690807</v>
      </c>
      <c r="AS83" s="776" t="n">
        <f aca="false">P83+S83+V83+Y83+AB83+AE83+AH83-R83-U83-X83-AA83-AD83-AG83-AJ83-AL83-AN83-O83-L83-CN83</f>
        <v>95934.0942479749</v>
      </c>
      <c r="AT83" s="861" t="n">
        <f aca="false">SUM(AS72:AS83)</f>
        <v>1151209.1309757</v>
      </c>
      <c r="AU83" s="860" t="n">
        <f aca="false">'wholesale services'!$I$110/12</f>
        <v>39106610.7060185</v>
      </c>
      <c r="AV83" s="860" t="n">
        <f aca="false">'wholesale services'!$I$113/12</f>
        <v>17613.2558333333</v>
      </c>
      <c r="AW83" s="861"/>
      <c r="AX83" s="851" t="n">
        <f aca="false">IF(A83&lt;$AX$6,0,-$R$5/12)</f>
        <v>-715341.083333333</v>
      </c>
      <c r="AY83" s="417" t="n">
        <f aca="false">IF(A83&lt;$AX$6,0,-$S$5/12)</f>
        <v>-705333.333333333</v>
      </c>
      <c r="AZ83" s="861"/>
      <c r="BA83" s="772" t="n">
        <f aca="false">P83-IF($BL$4="mid",Q83,R83)-$BL$9*(IF($BL$4="mid",N83,O83)+IF($BL$4="mid",DL83,L83))</f>
        <v>532115.21272464</v>
      </c>
      <c r="BB83" s="772" t="n">
        <f aca="false">S83-IF($BL$4="mid",T83,U83)-$BM$9*(IF($BL$4="mid",N83,O83)+IF($BL$4="mid",DL83,L83))</f>
        <v>-15486.2662861517</v>
      </c>
      <c r="BC83" s="772" t="n">
        <f aca="false">V83-IF($BL$4="mid",W83,X83)-$BN$9*(IF($BL$4="mid",N83,O83)+IF($BL$4="mid",DL83,L83))</f>
        <v>-3818.21969568407</v>
      </c>
      <c r="BD83" s="772" t="n">
        <f aca="false">Y83-IF($BL$4="mid",Z83,AA83)</f>
        <v>32422.360199142</v>
      </c>
      <c r="BE83" s="772" t="n">
        <f aca="false">AB83-IF($BL$4="mid",AC83,AD83)</f>
        <v>-446.012873282598</v>
      </c>
      <c r="BF83" s="772" t="n">
        <f aca="false">AE83-IF($BL$4="mid",AF83,AG83)</f>
        <v>5339.71240508265</v>
      </c>
      <c r="BG83" s="772" t="n">
        <f aca="false">AH83-IF($BL$4="mid",AI83,AJ83)</f>
        <v>21184.792243144</v>
      </c>
      <c r="BH83" s="772" t="n">
        <f aca="false">-IF($BL$4="mid",AK83,AL83)</f>
        <v>-284845.501474551</v>
      </c>
      <c r="BI83" s="772" t="n">
        <f aca="false">-IF($BL$4="mid",AM83,AN83)</f>
        <v>-55221.25</v>
      </c>
      <c r="BJ83" s="861"/>
      <c r="BK83" s="431"/>
      <c r="BL83" s="772" t="n">
        <f aca="false">BW83-IF($BL$4="mid",Q83,R83)-$BL$9*(IF($BL$4="mid",N83,O83)+IF($BL$4="mid",DL83,L83))</f>
        <v>681039.541713415</v>
      </c>
      <c r="BM83" s="772" t="n">
        <f aca="false">BX83-IF($BL$4="mid",T83,U83)-$BM$9*(IF($BL$4="mid",N83,O83)+IF($BL$4="mid",DL83,L83))</f>
        <v>-10210.0210753341</v>
      </c>
      <c r="BN83" s="772" t="n">
        <f aca="false">BY83-IF($BL$4="mid",W83,X83)-$BN$9*(IF($BL$4="mid",N83,O83)+IF($BL$4="mid",DL83,L83))</f>
        <v>-1162.34390988896</v>
      </c>
      <c r="BO83" s="772" t="n">
        <f aca="false">BZ83-IF($BL$4="mid",Z83,AA83)</f>
        <v>51741.3710955472</v>
      </c>
      <c r="BP83" s="772" t="n">
        <f aca="false">CA83-IF($BL$4="mid",AC83,AD83)</f>
        <v>17328.9412775007</v>
      </c>
      <c r="BQ83" s="772" t="n">
        <f aca="false">CB83-IF($BL$4="mid",AF83,AG83)</f>
        <v>18825.9087842868</v>
      </c>
      <c r="BR83" s="772" t="n">
        <f aca="false">CC83-IF($BL$4="mid",AI83,AJ83)</f>
        <v>22072.4512624606</v>
      </c>
      <c r="BS83" s="772" t="n">
        <f aca="false">-IF($BL$4="mid",AK83,AL83)</f>
        <v>-284845.501474551</v>
      </c>
      <c r="BT83" s="772" t="n">
        <f aca="false">-IF($BL$4="mid",AM83,AN83)</f>
        <v>-55221.25</v>
      </c>
      <c r="BU83" s="861"/>
      <c r="BV83" s="861"/>
      <c r="BW83" s="859" t="n">
        <f aca="false">Breakout!$H$15/12</f>
        <v>3703139.29320554</v>
      </c>
      <c r="BX83" s="859" t="n">
        <f aca="false">Breakout!$H$26/12</f>
        <v>131198.650304066</v>
      </c>
      <c r="BY83" s="859" t="n">
        <f aca="false">Breakout!$H$37/12</f>
        <v>66040.774177282</v>
      </c>
      <c r="BZ83" s="859" t="n">
        <f aca="false">Breakout!$H$48/12</f>
        <v>480384.829276192</v>
      </c>
      <c r="CA83" s="859" t="n">
        <f aca="false">Breakout!$H$59/12</f>
        <v>441990.449764948</v>
      </c>
      <c r="CB83" s="859" t="n">
        <f aca="false">Breakout!$H$70/12</f>
        <v>335346.575450954</v>
      </c>
      <c r="CC83" s="859" t="n">
        <f aca="false">Breakout!$H$81/12</f>
        <v>22072.4512624606</v>
      </c>
      <c r="CD83" s="861"/>
      <c r="CE83" s="864" t="n">
        <f aca="false">P83/0.96</f>
        <v>3702307.25439246</v>
      </c>
      <c r="CF83" s="864" t="n">
        <f aca="false">S83/0.96</f>
        <v>131169.171972134</v>
      </c>
      <c r="CG83" s="864" t="n">
        <f aca="false">V83/0.96</f>
        <v>66025.9358244656</v>
      </c>
      <c r="CH83" s="861"/>
      <c r="CI83" s="864" t="n">
        <f aca="false">N83</f>
        <v>-715341.083333333</v>
      </c>
      <c r="CJ83" s="864" t="n">
        <f aca="false">O83</f>
        <v>-705333.333333333</v>
      </c>
      <c r="CK83" s="861"/>
      <c r="CL83" s="861" t="n">
        <f aca="false">'account mgt'!$H$23/12</f>
        <v>-54375.9795576</v>
      </c>
      <c r="CM83" s="861"/>
      <c r="CN83" s="772" t="n">
        <v>0</v>
      </c>
      <c r="CO83" s="861"/>
      <c r="CP83" s="861"/>
      <c r="CQ83" s="431"/>
      <c r="CR83" s="431"/>
      <c r="CS83" s="431"/>
      <c r="CT83" s="772" t="n">
        <f aca="false">CW82</f>
        <v>572497.30177928</v>
      </c>
      <c r="CU83" s="772" t="n">
        <f aca="false">IF(CT83&lt;0.1,0,CT83*$L$3)</f>
        <v>4517.95787320815</v>
      </c>
      <c r="CV83" s="772" t="e">
        <f aca="false">IF(CT83&lt;0.1,0,PPMT($L$3,A83-14,unwinds!$B$8*12,$K$5))</f>
        <v>#VALUE!</v>
      </c>
      <c r="CW83" s="772" t="e">
        <f aca="false">IF(CT83-CV83&lt;0,0,CT83-CV83)</f>
        <v>#VALUE!</v>
      </c>
      <c r="CX83" s="772" t="e">
        <f aca="false">IF(CX82-CV83&lt;0,0,CX82-CV83)</f>
        <v>#VALUE!</v>
      </c>
      <c r="CY83" s="861" t="e">
        <f aca="false">CX83</f>
        <v>#VALUE!</v>
      </c>
      <c r="DA83" s="772" t="n">
        <f aca="false">DD82</f>
        <v>20067082.9049676</v>
      </c>
      <c r="DB83" s="772" t="n">
        <f aca="false">DA83*$L$3</f>
        <v>158362.729258369</v>
      </c>
      <c r="DC83" s="772" t="n">
        <f aca="false">PPMT($L$3,A83-14,106,$K$5)</f>
        <v>337035.342413245</v>
      </c>
      <c r="DD83" s="772" t="n">
        <f aca="false">DA83-DC83</f>
        <v>19730047.5625543</v>
      </c>
      <c r="DE83" s="772" t="n">
        <f aca="false">DE82-DC83</f>
        <v>19730047.5625543</v>
      </c>
      <c r="DF83" s="861" t="n">
        <f aca="false">DE83</f>
        <v>19730047.5625543</v>
      </c>
      <c r="DG83" s="861"/>
      <c r="DH83" s="417" t="n">
        <v>-715341.083333333</v>
      </c>
      <c r="DI83" s="417" t="n">
        <v>-705333.333333333</v>
      </c>
      <c r="DJ83" s="417"/>
      <c r="DK83" s="861"/>
      <c r="DL83" s="417" t="n">
        <f aca="false">PMT($J$3,106,$I$5,,1)</f>
        <v>474832.92700925</v>
      </c>
      <c r="DM83" s="861"/>
      <c r="DN83" s="417" t="n">
        <f aca="false">IF($BL$4="mid",DH83,DI83)</f>
        <v>-715341.083333333</v>
      </c>
      <c r="DO83" s="417" t="n">
        <f aca="false">IF($BL$4="mid",DL83,L83)</f>
        <v>474832.92700925</v>
      </c>
      <c r="DP83" s="861"/>
      <c r="DQ83" s="772" t="n">
        <f aca="false">BW83-IF($BL$4="mid",Q83,R83)</f>
        <v>452556.793205536</v>
      </c>
      <c r="DR83" s="772" t="n">
        <f aca="false">BX83-IF($BL$4="mid",T83,U83)</f>
        <v>-22235.4288915383</v>
      </c>
      <c r="DS83" s="861"/>
      <c r="DT83" s="861"/>
      <c r="DU83" s="861"/>
      <c r="DV83" s="861"/>
      <c r="DW83" s="861"/>
      <c r="DX83" s="861"/>
    </row>
    <row r="84" customFormat="false" ht="12.75" hidden="false" customHeight="false" outlineLevel="0" collapsed="false">
      <c r="A84" s="866" t="n">
        <v>73</v>
      </c>
      <c r="B84" s="854" t="n">
        <v>38718</v>
      </c>
      <c r="C84" s="417" t="n">
        <v>0</v>
      </c>
      <c r="D84" s="417" t="n">
        <v>0</v>
      </c>
      <c r="E84" s="417" t="n">
        <v>0</v>
      </c>
      <c r="F84" s="417" t="n">
        <v>154483.823838035</v>
      </c>
      <c r="G84" s="417" t="n">
        <v>337035.342413248</v>
      </c>
      <c r="H84" s="417" t="n">
        <v>0</v>
      </c>
      <c r="I84" s="417" t="n">
        <v>491519.166251284</v>
      </c>
      <c r="J84" s="417"/>
      <c r="K84" s="417"/>
      <c r="L84" s="417" t="n">
        <f aca="false">PMT($L$3,106,$K$5,,1)</f>
        <v>491519.166251281</v>
      </c>
      <c r="M84" s="417"/>
      <c r="N84" s="850" t="n">
        <f aca="false">IF(A84&lt;$B$8,0,-$R$5/12)</f>
        <v>-715341.083333333</v>
      </c>
      <c r="O84" s="850" t="n">
        <f aca="false">IF(A84&lt;$B$8,0,-$S$5/12)</f>
        <v>-705333.333333333</v>
      </c>
      <c r="P84" s="868" t="n">
        <f aca="false">Breakout!$I$16/12</f>
        <v>3591047.66678052</v>
      </c>
      <c r="Q84" s="770" t="n">
        <f aca="false">'wholesale services'!$D$110*'wholesale services'!$J$111/12</f>
        <v>3250582.5</v>
      </c>
      <c r="R84" s="770" t="n">
        <v>3320487.5</v>
      </c>
      <c r="S84" s="868" t="n">
        <f aca="false">Breakout!$I$27/12</f>
        <v>127227.352188348</v>
      </c>
      <c r="T84" s="770" t="n">
        <f aca="false">'wholesale services'!$D$113*'wholesale services'!$J$114/12</f>
        <v>157513.62559584</v>
      </c>
      <c r="U84" s="770" t="n">
        <v>160728.18938351</v>
      </c>
      <c r="V84" s="868" t="n">
        <f aca="false">Breakout!$I$38/12</f>
        <v>64041.7627435289</v>
      </c>
      <c r="W84" s="869" t="n">
        <f aca="false">Breakout!$I$39/12</f>
        <v>69219.2116297861</v>
      </c>
      <c r="X84" s="869" t="n">
        <v>69963.5042279559</v>
      </c>
      <c r="Y84" s="868" t="n">
        <f aca="false">Breakout!$I$49/12</f>
        <v>465843.891828263</v>
      </c>
      <c r="Z84" s="870" t="n">
        <f aca="false">Breakout!$I$50/12</f>
        <v>436359.040427897</v>
      </c>
      <c r="AA84" s="870" t="n">
        <v>458364.84689474</v>
      </c>
      <c r="AB84" s="868" t="n">
        <f aca="false">Breakout!$I$60/12</f>
        <v>428611.685301678</v>
      </c>
      <c r="AC84" s="870" t="n">
        <f aca="false">Breakout!$I$61/12</f>
        <v>432305.415640221</v>
      </c>
      <c r="AD84" s="870" t="n">
        <v>445784.871807177</v>
      </c>
      <c r="AE84" s="868" t="n">
        <f aca="false">Breakout!$I$71/12</f>
        <v>325195.851947972</v>
      </c>
      <c r="AF84" s="870" t="n">
        <f aca="false">Breakout!$I$72/12</f>
        <v>316520.666666667</v>
      </c>
      <c r="AG84" s="870" t="n">
        <v>316520.666666667</v>
      </c>
      <c r="AH84" s="868" t="n">
        <f aca="false">Breakout!$I$82/12</f>
        <v>21404.332467757</v>
      </c>
      <c r="AI84" s="870" t="n">
        <f aca="false">Breakout!$I$83/12</f>
        <v>0</v>
      </c>
      <c r="AJ84" s="870" t="n">
        <v>0</v>
      </c>
      <c r="AK84" s="871" t="n">
        <f aca="false">Breakout!$I$91/12</f>
        <v>287797.385290827</v>
      </c>
      <c r="AL84" s="871" t="n">
        <v>287797.385290827</v>
      </c>
      <c r="AM84" s="773" t="n">
        <f aca="false">(Breakout!$I$107/12)*-1</f>
        <v>55221.25</v>
      </c>
      <c r="AN84" s="773" t="n">
        <v>55221.25</v>
      </c>
      <c r="AO84" s="774" t="n">
        <f aca="false">(P84+S84+V84)+Y84+AB84+AE84+AH84</f>
        <v>5023372.54325807</v>
      </c>
      <c r="AP84" s="774" t="n">
        <f aca="false">Q84+T84+W84+AA84+AD84+AG84+AJ84+AL84+AN84</f>
        <v>5041004.35788504</v>
      </c>
      <c r="AQ84" s="775" t="n">
        <f aca="false">P84+S84+V84+Y84+AB84+AE84+AH84-Q84-T84-W84-Z84-AC84-AF84-AI84-AK84-AM84-DH84-DL84-CN84</f>
        <v>258361.604330916</v>
      </c>
      <c r="AR84" s="869"/>
      <c r="AS84" s="776" t="n">
        <f aca="false">P84+S84+V84+Y84+AB84+AE84+AH84-R84-U84-X84-AA84-AD84-AG84-AJ84-AL84-AN84-O84-L84-CN84</f>
        <v>122318.496069245</v>
      </c>
      <c r="AT84" s="869"/>
      <c r="AU84" s="770" t="n">
        <f aca="false">'wholesale services'!$J$110/12</f>
        <v>39106610.7060185</v>
      </c>
      <c r="AV84" s="770" t="n">
        <f aca="false">'wholesale services'!$J$113/12</f>
        <v>17613.2558333333</v>
      </c>
      <c r="AW84" s="869"/>
      <c r="AX84" s="851" t="n">
        <f aca="false">IF(A84&lt;$AX$6,0,-$R$5/12)</f>
        <v>-715341.083333333</v>
      </c>
      <c r="AY84" s="417" t="n">
        <f aca="false">IF(A84&lt;$AX$6,0,-$S$5/12)</f>
        <v>-705333.333333333</v>
      </c>
      <c r="AZ84" s="431"/>
      <c r="BA84" s="772" t="n">
        <f aca="false">P84-IF($BL$4="mid",Q84,R84)-$BL$9*(IF($BL$4="mid",N84,O84)+IF($BL$4="mid",DL84,L84))</f>
        <v>568947.915288402</v>
      </c>
      <c r="BB84" s="772" t="n">
        <f aca="false">S84-IF($BL$4="mid",T84,U84)-$BM$9*(IF($BL$4="mid",N84,O84)+IF($BL$4="mid",DL84,L84))</f>
        <v>-18260.8655912885</v>
      </c>
      <c r="BC84" s="772" t="n">
        <f aca="false">V84-IF($BL$4="mid",W84,X84)-$BN$9*(IF($BL$4="mid",N84,O84)+IF($BL$4="mid",DL84,L84))</f>
        <v>-5177.44888625726</v>
      </c>
      <c r="BD84" s="772" t="n">
        <f aca="false">Y84-IF($BL$4="mid",Z84,AA84)</f>
        <v>29484.8514003665</v>
      </c>
      <c r="BE84" s="772" t="n">
        <f aca="false">AB84-IF($BL$4="mid",AC84,AD84)</f>
        <v>-3693.73033854307</v>
      </c>
      <c r="BF84" s="772" t="n">
        <f aca="false">AE84-IF($BL$4="mid",AF84,AG84)</f>
        <v>8675.18528130534</v>
      </c>
      <c r="BG84" s="772" t="n">
        <f aca="false">AH84-IF($BL$4="mid",AI84,AJ84)</f>
        <v>21404.332467757</v>
      </c>
      <c r="BH84" s="772" t="n">
        <f aca="false">-IF($BL$4="mid",AK84,AL84)</f>
        <v>-287797.385290827</v>
      </c>
      <c r="BI84" s="772" t="n">
        <f aca="false">-IF($BL$4="mid",AM84,AN84)</f>
        <v>-55221.25</v>
      </c>
      <c r="BJ84" s="869"/>
      <c r="BK84" s="431"/>
      <c r="BL84" s="772" t="n">
        <f aca="false">BW84-IF($BL$4="mid",Q84,R84)-$BL$9*(IF($BL$4="mid",N84,O84)+IF($BL$4="mid",DL84,L84))</f>
        <v>719584.874060549</v>
      </c>
      <c r="BM84" s="772" t="n">
        <f aca="false">BX84-IF($BL$4="mid",T84,U84)-$BM$9*(IF($BL$4="mid",N84,O84)+IF($BL$4="mid",DL84,L84))</f>
        <v>-12923.9435605466</v>
      </c>
      <c r="BN84" s="772" t="n">
        <f aca="false">BY84-IF($BL$4="mid",W84,X84)-$BN$9*(IF($BL$4="mid",N84,O84)+IF($BL$4="mid",DL84,L84))</f>
        <v>-2491.0305289255</v>
      </c>
      <c r="BO84" s="772" t="n">
        <f aca="false">BZ84-IF($BL$4="mid",Z84,AA84)</f>
        <v>49026.0309220803</v>
      </c>
      <c r="BP84" s="772" t="n">
        <f aca="false">CA84-IF($BL$4="mid",AC84,AD84)</f>
        <v>14285.6357849742</v>
      </c>
      <c r="BQ84" s="772" t="n">
        <f aca="false">CB84-IF($BL$4="mid",AF84,AG84)</f>
        <v>22316.4729188704</v>
      </c>
      <c r="BR84" s="772" t="n">
        <f aca="false">CC84-IF($BL$4="mid",AI84,AJ84)</f>
        <v>22302.1995657957</v>
      </c>
      <c r="BS84" s="772" t="n">
        <f aca="false">-IF($BL$4="mid",AK84,AL84)</f>
        <v>-287797.385290827</v>
      </c>
      <c r="BT84" s="772" t="n">
        <f aca="false">-IF($BL$4="mid",AM84,AN84)</f>
        <v>-55221.25</v>
      </c>
      <c r="BU84" s="869"/>
      <c r="BV84" s="869"/>
      <c r="BW84" s="868" t="n">
        <f aca="false">Breakout!$I$15/12</f>
        <v>3741684.62555267</v>
      </c>
      <c r="BX84" s="868" t="n">
        <f aca="false">Breakout!$I$26/12</f>
        <v>132564.274219089</v>
      </c>
      <c r="BY84" s="868" t="n">
        <f aca="false">Breakout!$I$37/12</f>
        <v>66728.1811008606</v>
      </c>
      <c r="BZ84" s="868" t="n">
        <f aca="false">Breakout!$I$48/12</f>
        <v>485385.071349977</v>
      </c>
      <c r="CA84" s="868" t="n">
        <f aca="false">Breakout!$I$59/12</f>
        <v>446591.051425195</v>
      </c>
      <c r="CB84" s="868" t="n">
        <f aca="false">Breakout!$I$70/12</f>
        <v>338837.139585537</v>
      </c>
      <c r="CC84" s="868" t="n">
        <f aca="false">Breakout!$I$81/12</f>
        <v>22302.1995657957</v>
      </c>
      <c r="CD84" s="869"/>
      <c r="CE84" s="852" t="n">
        <f aca="false">P84/0.96</f>
        <v>3740674.65289638</v>
      </c>
      <c r="CF84" s="852" t="n">
        <f aca="false">S84/0.96</f>
        <v>132528.491862862</v>
      </c>
      <c r="CG84" s="852" t="n">
        <f aca="false">V84/0.96</f>
        <v>66710.1695245092</v>
      </c>
      <c r="CH84" s="869"/>
      <c r="CI84" s="852" t="n">
        <f aca="false">N84</f>
        <v>-715341.083333333</v>
      </c>
      <c r="CJ84" s="852" t="n">
        <f aca="false">O84</f>
        <v>-705333.333333333</v>
      </c>
      <c r="CK84" s="869"/>
      <c r="CL84" s="772" t="n">
        <f aca="false">'account mgt'!$I$23/12</f>
        <v>-55463.499148752</v>
      </c>
      <c r="CM84" s="869"/>
      <c r="CN84" s="772" t="n">
        <v>0</v>
      </c>
      <c r="CO84" s="869"/>
      <c r="CP84" s="869"/>
      <c r="CQ84" s="431"/>
      <c r="CR84" s="431"/>
      <c r="CS84" s="431"/>
      <c r="CT84" s="772" t="e">
        <f aca="false">CW83</f>
        <v>#VALUE!</v>
      </c>
      <c r="CU84" s="772" t="e">
        <f aca="false">IF(CT84&lt;0.1,0,CT84*$L$3)</f>
        <v>#VALUE!</v>
      </c>
      <c r="CV84" s="772" t="e">
        <f aca="false">IF(CT84&lt;0.1,0,PPMT($L$3,A84-14,unwinds!$B$8*12,$K$5))</f>
        <v>#VALUE!</v>
      </c>
      <c r="CW84" s="772" t="e">
        <f aca="false">IF(CT84-CV84&lt;0,0,CT84-CV84)</f>
        <v>#VALUE!</v>
      </c>
      <c r="CX84" s="772" t="e">
        <f aca="false">IF(CX83-CV84&lt;0,0,CX83-CV84)</f>
        <v>#VALUE!</v>
      </c>
      <c r="CY84" s="869"/>
      <c r="DA84" s="772" t="n">
        <f aca="false">DD83</f>
        <v>19730047.5625543</v>
      </c>
      <c r="DB84" s="772" t="n">
        <f aca="false">DA84*$L$3</f>
        <v>155702.958681158</v>
      </c>
      <c r="DC84" s="772" t="n">
        <f aca="false">PPMT($L$3,A84-14,106,$K$5)</f>
        <v>339695.112990456</v>
      </c>
      <c r="DD84" s="772" t="n">
        <f aca="false">DA84-DC84</f>
        <v>19390352.4495639</v>
      </c>
      <c r="DE84" s="772" t="n">
        <f aca="false">DE83-DC84</f>
        <v>19390352.4495639</v>
      </c>
      <c r="DF84" s="869"/>
      <c r="DG84" s="869"/>
      <c r="DH84" s="417" t="n">
        <v>-715341.083333333</v>
      </c>
      <c r="DI84" s="417" t="n">
        <v>-705333.333333333</v>
      </c>
      <c r="DJ84" s="417"/>
      <c r="DK84" s="869"/>
      <c r="DL84" s="417" t="n">
        <f aca="false">PMT($J$3,106,$I$5,,1)</f>
        <v>474832.92700925</v>
      </c>
      <c r="DM84" s="869"/>
      <c r="DN84" s="417" t="n">
        <f aca="false">IF($BL$4="mid",DH84,DI84)</f>
        <v>-715341.083333333</v>
      </c>
      <c r="DO84" s="417" t="n">
        <f aca="false">IF($BL$4="mid",DL84,L84)</f>
        <v>474832.92700925</v>
      </c>
      <c r="DP84" s="869"/>
      <c r="DQ84" s="772" t="n">
        <f aca="false">BW84-IF($BL$4="mid",Q84,R84)</f>
        <v>491102.12555267</v>
      </c>
      <c r="DR84" s="772" t="n">
        <f aca="false">BX84-IF($BL$4="mid",T84,U84)</f>
        <v>-24949.3513767508</v>
      </c>
      <c r="DS84" s="869"/>
      <c r="DT84" s="869"/>
      <c r="DU84" s="869"/>
      <c r="DV84" s="869"/>
      <c r="DW84" s="869"/>
      <c r="DX84" s="869"/>
    </row>
    <row r="85" customFormat="false" ht="12.75" hidden="false" customHeight="false" outlineLevel="0" collapsed="false">
      <c r="A85" s="767" t="n">
        <v>74</v>
      </c>
      <c r="B85" s="854" t="n">
        <v>38749</v>
      </c>
      <c r="C85" s="417" t="n">
        <v>0</v>
      </c>
      <c r="D85" s="417" t="n">
        <v>0</v>
      </c>
      <c r="E85" s="417" t="n">
        <v>0</v>
      </c>
      <c r="F85" s="417" t="n">
        <v>151824.053260824</v>
      </c>
      <c r="G85" s="417" t="n">
        <v>339695.112990459</v>
      </c>
      <c r="H85" s="417" t="n">
        <v>0</v>
      </c>
      <c r="I85" s="417" t="n">
        <v>491519.166251284</v>
      </c>
      <c r="J85" s="417"/>
      <c r="K85" s="417"/>
      <c r="L85" s="417" t="n">
        <f aca="false">PMT($L$3,106,$K$5,,1)</f>
        <v>491519.166251281</v>
      </c>
      <c r="M85" s="417"/>
      <c r="N85" s="850" t="n">
        <f aca="false">IF(A85&lt;$B$8,0,-$R$5/12)</f>
        <v>-715341.083333333</v>
      </c>
      <c r="O85" s="850" t="n">
        <f aca="false">IF(A85&lt;$B$8,0,-$S$5/12)</f>
        <v>-705333.333333333</v>
      </c>
      <c r="P85" s="872" t="n">
        <f aca="false">Breakout!$I$16/12</f>
        <v>3591047.66678052</v>
      </c>
      <c r="Q85" s="770" t="n">
        <f aca="false">'wholesale services'!$D$110*'wholesale services'!$J$111/12</f>
        <v>3250582.5</v>
      </c>
      <c r="R85" s="770" t="n">
        <v>3320487.5</v>
      </c>
      <c r="S85" s="872" t="n">
        <f aca="false">Breakout!$I$27/12</f>
        <v>127227.352188348</v>
      </c>
      <c r="T85" s="770" t="n">
        <f aca="false">'wholesale services'!$D$113*'wholesale services'!$J$114/12</f>
        <v>157513.62559584</v>
      </c>
      <c r="U85" s="770" t="n">
        <v>160728.18938351</v>
      </c>
      <c r="V85" s="872" t="n">
        <f aca="false">Breakout!$I$38/12</f>
        <v>64041.7627435289</v>
      </c>
      <c r="W85" s="431" t="n">
        <f aca="false">Breakout!$I$39/12</f>
        <v>69219.2116297861</v>
      </c>
      <c r="X85" s="431" t="n">
        <v>69963.5042279559</v>
      </c>
      <c r="Y85" s="872" t="n">
        <f aca="false">Breakout!$I$49/12</f>
        <v>465843.891828263</v>
      </c>
      <c r="Z85" s="873" t="n">
        <f aca="false">Breakout!$I$50/12</f>
        <v>436359.040427897</v>
      </c>
      <c r="AA85" s="873" t="n">
        <v>458364.84689474</v>
      </c>
      <c r="AB85" s="872" t="n">
        <f aca="false">Breakout!$I$60/12</f>
        <v>428611.685301678</v>
      </c>
      <c r="AC85" s="873" t="n">
        <f aca="false">Breakout!$I$61/12</f>
        <v>432305.415640221</v>
      </c>
      <c r="AD85" s="873" t="n">
        <v>445784.871807177</v>
      </c>
      <c r="AE85" s="872" t="n">
        <f aca="false">Breakout!$I$71/12</f>
        <v>325195.851947972</v>
      </c>
      <c r="AF85" s="873" t="n">
        <f aca="false">Breakout!$I$72/12</f>
        <v>316520.666666667</v>
      </c>
      <c r="AG85" s="873" t="n">
        <v>316520.666666667</v>
      </c>
      <c r="AH85" s="872" t="n">
        <f aca="false">Breakout!$I$82/12</f>
        <v>21404.332467757</v>
      </c>
      <c r="AI85" s="873" t="n">
        <f aca="false">Breakout!$I$83/12</f>
        <v>0</v>
      </c>
      <c r="AJ85" s="873" t="n">
        <v>0</v>
      </c>
      <c r="AK85" s="874" t="n">
        <f aca="false">Breakout!$I$91/12</f>
        <v>287797.385290827</v>
      </c>
      <c r="AL85" s="874" t="n">
        <v>287797.385290827</v>
      </c>
      <c r="AM85" s="773" t="n">
        <f aca="false">(Breakout!$I$107/12)*-1</f>
        <v>55221.25</v>
      </c>
      <c r="AN85" s="773" t="n">
        <v>55221.25</v>
      </c>
      <c r="AO85" s="774" t="n">
        <f aca="false">(P85+S85+V85)+Y85+AB85+AE85+AH85</f>
        <v>5023372.54325807</v>
      </c>
      <c r="AP85" s="774" t="n">
        <f aca="false">Q85+T85+W85+AA85+AD85+AG85+AJ85+AL85+AN85</f>
        <v>5041004.35788504</v>
      </c>
      <c r="AQ85" s="775" t="n">
        <f aca="false">P85+S85+V85+Y85+AB85+AE85+AH85-Q85-T85-W85-Z85-AC85-AF85-AI85-AK85-AM85-DH85-DL85-CN85</f>
        <v>258361.604330916</v>
      </c>
      <c r="AR85" s="431"/>
      <c r="AS85" s="776" t="n">
        <f aca="false">P85+S85+V85+Y85+AB85+AE85+AH85-R85-U85-X85-AA85-AD85-AG85-AJ85-AL85-AN85-O85-L85-CN85</f>
        <v>122318.496069245</v>
      </c>
      <c r="AT85" s="431"/>
      <c r="AU85" s="770" t="n">
        <f aca="false">'wholesale services'!$J$110/12</f>
        <v>39106610.7060185</v>
      </c>
      <c r="AV85" s="770" t="n">
        <f aca="false">'wholesale services'!$J$113/12</f>
        <v>17613.2558333333</v>
      </c>
      <c r="AW85" s="431"/>
      <c r="AX85" s="851" t="n">
        <f aca="false">IF(A85&lt;$AX$6,0,-$R$5/12)</f>
        <v>-715341.083333333</v>
      </c>
      <c r="AY85" s="417" t="n">
        <f aca="false">IF(A85&lt;$AX$6,0,-$S$5/12)</f>
        <v>-705333.333333333</v>
      </c>
      <c r="AZ85" s="431"/>
      <c r="BA85" s="772" t="n">
        <f aca="false">P85-IF($BL$4="mid",Q85,R85)-$BL$9*(IF($BL$4="mid",N85,O85)+IF($BL$4="mid",DL85,L85))</f>
        <v>568947.915288402</v>
      </c>
      <c r="BB85" s="772" t="n">
        <f aca="false">S85-IF($BL$4="mid",T85,U85)-$BM$9*(IF($BL$4="mid",N85,O85)+IF($BL$4="mid",DL85,L85))</f>
        <v>-18260.8655912885</v>
      </c>
      <c r="BC85" s="772" t="n">
        <f aca="false">V85-IF($BL$4="mid",W85,X85)-$BN$9*(IF($BL$4="mid",N85,O85)+IF($BL$4="mid",DL85,L85))</f>
        <v>-5177.44888625726</v>
      </c>
      <c r="BD85" s="772" t="n">
        <f aca="false">Y85-IF($BL$4="mid",Z85,AA85)</f>
        <v>29484.8514003665</v>
      </c>
      <c r="BE85" s="772" t="n">
        <f aca="false">AB85-IF($BL$4="mid",AC85,AD85)</f>
        <v>-3693.73033854307</v>
      </c>
      <c r="BF85" s="772" t="n">
        <f aca="false">AE85-IF($BL$4="mid",AF85,AG85)</f>
        <v>8675.18528130534</v>
      </c>
      <c r="BG85" s="772" t="n">
        <f aca="false">AH85-IF($BL$4="mid",AI85,AJ85)</f>
        <v>21404.332467757</v>
      </c>
      <c r="BH85" s="772" t="n">
        <f aca="false">-IF($BL$4="mid",AK85,AL85)</f>
        <v>-287797.385290827</v>
      </c>
      <c r="BI85" s="772" t="n">
        <f aca="false">-IF($BL$4="mid",AM85,AN85)</f>
        <v>-55221.25</v>
      </c>
      <c r="BL85" s="772" t="n">
        <f aca="false">BW85-IF($BL$4="mid",Q85,R85)-$BL$9*(IF($BL$4="mid",N85,O85)+IF($BL$4="mid",DL85,L85))</f>
        <v>719584.874060549</v>
      </c>
      <c r="BM85" s="772" t="n">
        <f aca="false">BX85-IF($BL$4="mid",T85,U85)-$BM$9*(IF($BL$4="mid",N85,O85)+IF($BL$4="mid",DL85,L85))</f>
        <v>-12923.9435605466</v>
      </c>
      <c r="BN85" s="772" t="n">
        <f aca="false">BY85-IF($BL$4="mid",W85,X85)-$BN$9*(IF($BL$4="mid",N85,O85)+IF($BL$4="mid",DL85,L85))</f>
        <v>-2491.0305289255</v>
      </c>
      <c r="BO85" s="772" t="n">
        <f aca="false">BZ85-IF($BL$4="mid",Z85,AA85)</f>
        <v>49026.0309220803</v>
      </c>
      <c r="BP85" s="772" t="n">
        <f aca="false">CA85-IF($BL$4="mid",AC85,AD85)</f>
        <v>14285.6357849742</v>
      </c>
      <c r="BQ85" s="772" t="n">
        <f aca="false">CB85-IF($BL$4="mid",AF85,AG85)</f>
        <v>22316.4729188704</v>
      </c>
      <c r="BR85" s="772" t="n">
        <f aca="false">CC85-IF($BL$4="mid",AI85,AJ85)</f>
        <v>22302.1995657957</v>
      </c>
      <c r="BS85" s="772" t="n">
        <f aca="false">-IF($BL$4="mid",AK85,AL85)</f>
        <v>-287797.385290827</v>
      </c>
      <c r="BT85" s="772" t="n">
        <f aca="false">-IF($BL$4="mid",AM85,AN85)</f>
        <v>-55221.25</v>
      </c>
      <c r="BW85" s="872" t="n">
        <f aca="false">Breakout!$I$15/12</f>
        <v>3741684.62555267</v>
      </c>
      <c r="BX85" s="872" t="n">
        <f aca="false">Breakout!$I$26/12</f>
        <v>132564.274219089</v>
      </c>
      <c r="BY85" s="872" t="n">
        <f aca="false">Breakout!$I$37/12</f>
        <v>66728.1811008606</v>
      </c>
      <c r="BZ85" s="872" t="n">
        <f aca="false">Breakout!$I$48/12</f>
        <v>485385.071349977</v>
      </c>
      <c r="CA85" s="872" t="n">
        <f aca="false">Breakout!$I$59/12</f>
        <v>446591.051425195</v>
      </c>
      <c r="CB85" s="872" t="n">
        <f aca="false">Breakout!$I$70/12</f>
        <v>338837.139585537</v>
      </c>
      <c r="CC85" s="872" t="n">
        <f aca="false">Breakout!$I$81/12</f>
        <v>22302.1995657957</v>
      </c>
      <c r="CE85" s="852" t="n">
        <f aca="false">P85/0.96</f>
        <v>3740674.65289638</v>
      </c>
      <c r="CF85" s="852" t="n">
        <f aca="false">S85/0.96</f>
        <v>132528.491862862</v>
      </c>
      <c r="CG85" s="852" t="n">
        <f aca="false">V85/0.96</f>
        <v>66710.1695245092</v>
      </c>
      <c r="CI85" s="852" t="n">
        <f aca="false">N85</f>
        <v>-715341.083333333</v>
      </c>
      <c r="CJ85" s="852" t="n">
        <f aca="false">O85</f>
        <v>-705333.333333333</v>
      </c>
      <c r="CL85" s="772" t="n">
        <f aca="false">'account mgt'!$I$23/12</f>
        <v>-55463.499148752</v>
      </c>
      <c r="CN85" s="772" t="n">
        <v>0</v>
      </c>
      <c r="CT85" s="772" t="e">
        <f aca="false">CW84</f>
        <v>#VALUE!</v>
      </c>
      <c r="CU85" s="772" t="e">
        <f aca="false">IF(CT85&lt;0.1,0,CT85*$L$3)</f>
        <v>#VALUE!</v>
      </c>
      <c r="CV85" s="772" t="e">
        <f aca="false">IF(CT85&lt;0.1,0,PPMT($L$3,A85-14,unwinds!$B$8*12,$K$5))</f>
        <v>#VALUE!</v>
      </c>
      <c r="CW85" s="772" t="e">
        <f aca="false">IF(CT85-CV85&lt;0,0,CT85-CV85)</f>
        <v>#VALUE!</v>
      </c>
      <c r="CX85" s="772" t="e">
        <f aca="false">IF(CX84-CV85&lt;0,0,CX84-CV85)</f>
        <v>#VALUE!</v>
      </c>
      <c r="DA85" s="772" t="n">
        <f aca="false">DD84</f>
        <v>19390352.4495639</v>
      </c>
      <c r="DB85" s="772" t="n">
        <f aca="false">DA85*$L$3</f>
        <v>153022.198081141</v>
      </c>
      <c r="DC85" s="772" t="n">
        <f aca="false">PPMT($L$3,A85-14,106,$K$5)</f>
        <v>342375.873590472</v>
      </c>
      <c r="DD85" s="772" t="n">
        <f aca="false">DA85-DC85</f>
        <v>19047976.5759734</v>
      </c>
      <c r="DE85" s="772" t="n">
        <f aca="false">DE84-DC85</f>
        <v>19047976.5759734</v>
      </c>
      <c r="DH85" s="417" t="n">
        <v>-715341.083333333</v>
      </c>
      <c r="DI85" s="417" t="n">
        <v>-705333.333333333</v>
      </c>
      <c r="DJ85" s="417"/>
      <c r="DL85" s="417" t="n">
        <f aca="false">PMT($J$3,106,$I$5,,1)</f>
        <v>474832.92700925</v>
      </c>
      <c r="DN85" s="417" t="n">
        <f aca="false">IF($BL$4="mid",DH85,DI85)</f>
        <v>-715341.083333333</v>
      </c>
      <c r="DO85" s="417" t="n">
        <f aca="false">IF($BL$4="mid",DL85,L85)</f>
        <v>474832.92700925</v>
      </c>
      <c r="DQ85" s="772" t="n">
        <f aca="false">BW85-IF($BL$4="mid",Q85,R85)</f>
        <v>491102.12555267</v>
      </c>
      <c r="DR85" s="772" t="n">
        <f aca="false">BX85-IF($BL$4="mid",T85,U85)</f>
        <v>-24949.3513767508</v>
      </c>
      <c r="DS85" s="772"/>
      <c r="DT85" s="772"/>
      <c r="DU85" s="772"/>
      <c r="DV85" s="772"/>
      <c r="DW85" s="772"/>
      <c r="DX85" s="772"/>
    </row>
    <row r="86" customFormat="false" ht="12.75" hidden="false" customHeight="false" outlineLevel="0" collapsed="false">
      <c r="A86" s="767" t="n">
        <v>75</v>
      </c>
      <c r="B86" s="854" t="n">
        <v>38777</v>
      </c>
      <c r="C86" s="417" t="n">
        <v>0</v>
      </c>
      <c r="D86" s="417" t="n">
        <v>0</v>
      </c>
      <c r="E86" s="417" t="n">
        <v>0</v>
      </c>
      <c r="F86" s="417" t="n">
        <v>149143.292660808</v>
      </c>
      <c r="G86" s="417" t="n">
        <v>342375.873590476</v>
      </c>
      <c r="H86" s="417" t="n">
        <v>0</v>
      </c>
      <c r="I86" s="417" t="n">
        <v>491519.166251284</v>
      </c>
      <c r="J86" s="417"/>
      <c r="K86" s="417"/>
      <c r="L86" s="417" t="n">
        <f aca="false">PMT($L$3,106,$K$5,,1)</f>
        <v>491519.166251281</v>
      </c>
      <c r="M86" s="417"/>
      <c r="N86" s="850" t="n">
        <f aca="false">IF(A86&lt;$B$8,0,-$R$5/12)</f>
        <v>-715341.083333333</v>
      </c>
      <c r="O86" s="850" t="n">
        <f aca="false">IF(A86&lt;$B$8,0,-$S$5/12)</f>
        <v>-705333.333333333</v>
      </c>
      <c r="P86" s="872" t="n">
        <f aca="false">Breakout!$I$16/12</f>
        <v>3591047.66678052</v>
      </c>
      <c r="Q86" s="770" t="n">
        <f aca="false">'wholesale services'!$D$110*'wholesale services'!$J$111/12</f>
        <v>3250582.5</v>
      </c>
      <c r="R86" s="770" t="n">
        <v>3320487.5</v>
      </c>
      <c r="S86" s="872" t="n">
        <f aca="false">Breakout!$I$27/12</f>
        <v>127227.352188348</v>
      </c>
      <c r="T86" s="770" t="n">
        <f aca="false">'wholesale services'!$D$113*'wholesale services'!$J$114/12</f>
        <v>157513.62559584</v>
      </c>
      <c r="U86" s="770" t="n">
        <v>160728.18938351</v>
      </c>
      <c r="V86" s="872" t="n">
        <f aca="false">Breakout!$I$38/12</f>
        <v>64041.7627435289</v>
      </c>
      <c r="W86" s="431" t="n">
        <f aca="false">Breakout!$I$39/12</f>
        <v>69219.2116297861</v>
      </c>
      <c r="X86" s="431" t="n">
        <v>69963.5042279559</v>
      </c>
      <c r="Y86" s="872" t="n">
        <f aca="false">Breakout!$I$49/12</f>
        <v>465843.891828263</v>
      </c>
      <c r="Z86" s="873" t="n">
        <f aca="false">Breakout!$I$50/12</f>
        <v>436359.040427897</v>
      </c>
      <c r="AA86" s="873" t="n">
        <v>458364.84689474</v>
      </c>
      <c r="AB86" s="872" t="n">
        <f aca="false">Breakout!$I$60/12</f>
        <v>428611.685301678</v>
      </c>
      <c r="AC86" s="873" t="n">
        <f aca="false">Breakout!$I$61/12</f>
        <v>432305.415640221</v>
      </c>
      <c r="AD86" s="873" t="n">
        <v>445784.871807177</v>
      </c>
      <c r="AE86" s="872" t="n">
        <f aca="false">Breakout!$I$71/12</f>
        <v>325195.851947972</v>
      </c>
      <c r="AF86" s="873" t="n">
        <f aca="false">Breakout!$I$72/12</f>
        <v>316520.666666667</v>
      </c>
      <c r="AG86" s="873" t="n">
        <v>316520.666666667</v>
      </c>
      <c r="AH86" s="872" t="n">
        <f aca="false">Breakout!$I$82/12</f>
        <v>21404.332467757</v>
      </c>
      <c r="AI86" s="873" t="n">
        <f aca="false">Breakout!$I$83/12</f>
        <v>0</v>
      </c>
      <c r="AJ86" s="873" t="n">
        <v>0</v>
      </c>
      <c r="AK86" s="874" t="n">
        <f aca="false">Breakout!$I$91/12</f>
        <v>287797.385290827</v>
      </c>
      <c r="AL86" s="874" t="n">
        <v>287797.385290827</v>
      </c>
      <c r="AM86" s="773" t="n">
        <f aca="false">(Breakout!$I$107/12)*-1</f>
        <v>55221.25</v>
      </c>
      <c r="AN86" s="773" t="n">
        <v>55221.25</v>
      </c>
      <c r="AO86" s="774" t="n">
        <f aca="false">(P86+S86+V86)+Y86+AB86+AE86+AH86</f>
        <v>5023372.54325807</v>
      </c>
      <c r="AP86" s="774" t="n">
        <f aca="false">Q86+T86+W86+AA86+AD86+AG86+AJ86+AL86+AN86</f>
        <v>5041004.35788504</v>
      </c>
      <c r="AQ86" s="775" t="n">
        <f aca="false">P86+S86+V86+Y86+AB86+AE86+AH86-Q86-T86-W86-Z86-AC86-AF86-AI86-AK86-AM86-DH86-DL86-CN86</f>
        <v>258361.604330916</v>
      </c>
      <c r="AR86" s="431"/>
      <c r="AS86" s="776" t="n">
        <f aca="false">P86+S86+V86+Y86+AB86+AE86+AH86-R86-U86-X86-AA86-AD86-AG86-AJ86-AL86-AN86-O86-L86-CN86</f>
        <v>122318.496069245</v>
      </c>
      <c r="AT86" s="431"/>
      <c r="AU86" s="770" t="n">
        <f aca="false">'wholesale services'!$J$110/12</f>
        <v>39106610.7060185</v>
      </c>
      <c r="AV86" s="770" t="n">
        <f aca="false">'wholesale services'!$J$113/12</f>
        <v>17613.2558333333</v>
      </c>
      <c r="AW86" s="431"/>
      <c r="AX86" s="851" t="n">
        <f aca="false">IF(A86&lt;$AX$6,0,-$R$5/12)</f>
        <v>-715341.083333333</v>
      </c>
      <c r="AY86" s="417" t="n">
        <f aca="false">IF(A86&lt;$AX$6,0,-$S$5/12)</f>
        <v>-705333.333333333</v>
      </c>
      <c r="AZ86" s="431"/>
      <c r="BA86" s="772" t="n">
        <f aca="false">P86-IF($BL$4="mid",Q86,R86)-$BL$9*(IF($BL$4="mid",N86,O86)+IF($BL$4="mid",DL86,L86))</f>
        <v>568947.915288402</v>
      </c>
      <c r="BB86" s="772" t="n">
        <f aca="false">S86-IF($BL$4="mid",T86,U86)-$BM$9*(IF($BL$4="mid",N86,O86)+IF($BL$4="mid",DL86,L86))</f>
        <v>-18260.8655912885</v>
      </c>
      <c r="BC86" s="772" t="n">
        <f aca="false">V86-IF($BL$4="mid",W86,X86)-$BN$9*(IF($BL$4="mid",N86,O86)+IF($BL$4="mid",DL86,L86))</f>
        <v>-5177.44888625726</v>
      </c>
      <c r="BD86" s="772" t="n">
        <f aca="false">Y86-IF($BL$4="mid",Z86,AA86)</f>
        <v>29484.8514003665</v>
      </c>
      <c r="BE86" s="772" t="n">
        <f aca="false">AB86-IF($BL$4="mid",AC86,AD86)</f>
        <v>-3693.73033854307</v>
      </c>
      <c r="BF86" s="772" t="n">
        <f aca="false">AE86-IF($BL$4="mid",AF86,AG86)</f>
        <v>8675.18528130534</v>
      </c>
      <c r="BG86" s="772" t="n">
        <f aca="false">AH86-IF($BL$4="mid",AI86,AJ86)</f>
        <v>21404.332467757</v>
      </c>
      <c r="BH86" s="772" t="n">
        <f aca="false">-IF($BL$4="mid",AK86,AL86)</f>
        <v>-287797.385290827</v>
      </c>
      <c r="BI86" s="772" t="n">
        <f aca="false">-IF($BL$4="mid",AM86,AN86)</f>
        <v>-55221.25</v>
      </c>
      <c r="BL86" s="772" t="n">
        <f aca="false">BW86-IF($BL$4="mid",Q86,R86)-$BL$9*(IF($BL$4="mid",N86,O86)+IF($BL$4="mid",DL86,L86))</f>
        <v>719584.874060549</v>
      </c>
      <c r="BM86" s="772" t="n">
        <f aca="false">BX86-IF($BL$4="mid",T86,U86)-$BM$9*(IF($BL$4="mid",N86,O86)+IF($BL$4="mid",DL86,L86))</f>
        <v>-12923.9435605466</v>
      </c>
      <c r="BN86" s="772" t="n">
        <f aca="false">BY86-IF($BL$4="mid",W86,X86)-$BN$9*(IF($BL$4="mid",N86,O86)+IF($BL$4="mid",DL86,L86))</f>
        <v>-2491.0305289255</v>
      </c>
      <c r="BO86" s="772" t="n">
        <f aca="false">BZ86-IF($BL$4="mid",Z86,AA86)</f>
        <v>49026.0309220803</v>
      </c>
      <c r="BP86" s="772" t="n">
        <f aca="false">CA86-IF($BL$4="mid",AC86,AD86)</f>
        <v>14285.6357849742</v>
      </c>
      <c r="BQ86" s="772" t="n">
        <f aca="false">CB86-IF($BL$4="mid",AF86,AG86)</f>
        <v>22316.4729188704</v>
      </c>
      <c r="BR86" s="772" t="n">
        <f aca="false">CC86-IF($BL$4="mid",AI86,AJ86)</f>
        <v>22302.1995657957</v>
      </c>
      <c r="BS86" s="772" t="n">
        <f aca="false">-IF($BL$4="mid",AK86,AL86)</f>
        <v>-287797.385290827</v>
      </c>
      <c r="BT86" s="772" t="n">
        <f aca="false">-IF($BL$4="mid",AM86,AN86)</f>
        <v>-55221.25</v>
      </c>
      <c r="BW86" s="872" t="n">
        <f aca="false">Breakout!$I$15/12</f>
        <v>3741684.62555267</v>
      </c>
      <c r="BX86" s="872" t="n">
        <f aca="false">Breakout!$I$26/12</f>
        <v>132564.274219089</v>
      </c>
      <c r="BY86" s="872" t="n">
        <f aca="false">Breakout!$I$37/12</f>
        <v>66728.1811008606</v>
      </c>
      <c r="BZ86" s="872" t="n">
        <f aca="false">Breakout!$I$48/12</f>
        <v>485385.071349977</v>
      </c>
      <c r="CA86" s="872" t="n">
        <f aca="false">Breakout!$I$59/12</f>
        <v>446591.051425195</v>
      </c>
      <c r="CB86" s="872" t="n">
        <f aca="false">Breakout!$I$70/12</f>
        <v>338837.139585537</v>
      </c>
      <c r="CC86" s="872" t="n">
        <f aca="false">Breakout!$I$81/12</f>
        <v>22302.1995657957</v>
      </c>
      <c r="CE86" s="852" t="n">
        <f aca="false">P86/0.96</f>
        <v>3740674.65289638</v>
      </c>
      <c r="CF86" s="852" t="n">
        <f aca="false">S86/0.96</f>
        <v>132528.491862862</v>
      </c>
      <c r="CG86" s="852" t="n">
        <f aca="false">V86/0.96</f>
        <v>66710.1695245092</v>
      </c>
      <c r="CI86" s="852" t="n">
        <f aca="false">N86</f>
        <v>-715341.083333333</v>
      </c>
      <c r="CJ86" s="852" t="n">
        <f aca="false">O86</f>
        <v>-705333.333333333</v>
      </c>
      <c r="CL86" s="772" t="n">
        <f aca="false">'account mgt'!$I$23/12</f>
        <v>-55463.499148752</v>
      </c>
      <c r="CN86" s="772" t="n">
        <v>0</v>
      </c>
      <c r="CT86" s="772" t="e">
        <f aca="false">CW85</f>
        <v>#VALUE!</v>
      </c>
      <c r="CU86" s="772" t="e">
        <f aca="false">IF(CT86&lt;0.1,0,CT86*$L$3)</f>
        <v>#VALUE!</v>
      </c>
      <c r="CV86" s="772" t="e">
        <f aca="false">IF(CT86&lt;0.1,0,PPMT($L$3,A86-14,unwinds!$B$8*12,$K$5))</f>
        <v>#VALUE!</v>
      </c>
      <c r="CW86" s="772" t="e">
        <f aca="false">IF(CT86-CV86&lt;0,0,CT86-CV86)</f>
        <v>#VALUE!</v>
      </c>
      <c r="CX86" s="772" t="e">
        <f aca="false">IF(CX85-CV86&lt;0,0,CX85-CV86)</f>
        <v>#VALUE!</v>
      </c>
      <c r="DA86" s="772" t="n">
        <f aca="false">DD85</f>
        <v>19047976.5759734</v>
      </c>
      <c r="DB86" s="772" t="n">
        <f aca="false">DA86*$L$3</f>
        <v>150320.281812057</v>
      </c>
      <c r="DC86" s="772" t="n">
        <f aca="false">PPMT($L$3,A86-14,106,$K$5)</f>
        <v>345077.789859557</v>
      </c>
      <c r="DD86" s="772" t="n">
        <f aca="false">DA86-DC86</f>
        <v>18702898.7861138</v>
      </c>
      <c r="DE86" s="772" t="n">
        <f aca="false">DE85-DC86</f>
        <v>18702898.7861138</v>
      </c>
      <c r="DH86" s="417" t="n">
        <v>-715341.083333333</v>
      </c>
      <c r="DI86" s="417" t="n">
        <v>-705333.333333333</v>
      </c>
      <c r="DJ86" s="417"/>
      <c r="DL86" s="417" t="n">
        <f aca="false">PMT($J$3,106,$I$5,,1)</f>
        <v>474832.92700925</v>
      </c>
      <c r="DN86" s="417" t="n">
        <f aca="false">IF($BL$4="mid",DH86,DI86)</f>
        <v>-715341.083333333</v>
      </c>
      <c r="DO86" s="417" t="n">
        <f aca="false">IF($BL$4="mid",DL86,L86)</f>
        <v>474832.92700925</v>
      </c>
      <c r="DQ86" s="772" t="n">
        <f aca="false">BW86-IF($BL$4="mid",Q86,R86)</f>
        <v>491102.12555267</v>
      </c>
      <c r="DR86" s="772" t="n">
        <f aca="false">BX86-IF($BL$4="mid",T86,U86)</f>
        <v>-24949.3513767508</v>
      </c>
      <c r="DS86" s="772"/>
      <c r="DT86" s="772"/>
      <c r="DU86" s="772"/>
      <c r="DV86" s="772"/>
      <c r="DW86" s="772"/>
      <c r="DX86" s="772"/>
    </row>
    <row r="87" customFormat="false" ht="12.75" hidden="false" customHeight="false" outlineLevel="0" collapsed="false">
      <c r="A87" s="767" t="n">
        <v>76</v>
      </c>
      <c r="B87" s="854" t="n">
        <v>38808</v>
      </c>
      <c r="C87" s="417" t="n">
        <v>0</v>
      </c>
      <c r="D87" s="417" t="n">
        <v>0</v>
      </c>
      <c r="E87" s="417" t="n">
        <v>0</v>
      </c>
      <c r="F87" s="417" t="n">
        <v>146441.376391723</v>
      </c>
      <c r="G87" s="417" t="n">
        <v>345077.78985956</v>
      </c>
      <c r="H87" s="417" t="n">
        <v>0</v>
      </c>
      <c r="I87" s="417" t="n">
        <v>491519.166251284</v>
      </c>
      <c r="J87" s="417"/>
      <c r="K87" s="417"/>
      <c r="L87" s="417" t="n">
        <f aca="false">PMT($L$3,106,$K$5,,1)</f>
        <v>491519.166251281</v>
      </c>
      <c r="M87" s="417"/>
      <c r="N87" s="850" t="n">
        <f aca="false">IF(A87&lt;$B$8,0,-$R$5/12)</f>
        <v>-715341.083333333</v>
      </c>
      <c r="O87" s="850" t="n">
        <f aca="false">IF(A87&lt;$B$8,0,-$S$5/12)</f>
        <v>-705333.333333333</v>
      </c>
      <c r="P87" s="872" t="n">
        <f aca="false">Breakout!$I$16/12</f>
        <v>3591047.66678052</v>
      </c>
      <c r="Q87" s="770" t="n">
        <f aca="false">'wholesale services'!$D$110*'wholesale services'!$J$111/12</f>
        <v>3250582.5</v>
      </c>
      <c r="R87" s="770" t="n">
        <v>3320487.5</v>
      </c>
      <c r="S87" s="872" t="n">
        <f aca="false">Breakout!$I$27/12</f>
        <v>127227.352188348</v>
      </c>
      <c r="T87" s="770" t="n">
        <f aca="false">'wholesale services'!$D$113*'wholesale services'!$J$114/12</f>
        <v>157513.62559584</v>
      </c>
      <c r="U87" s="770" t="n">
        <v>160728.18938351</v>
      </c>
      <c r="V87" s="872" t="n">
        <f aca="false">Breakout!$I$38/12</f>
        <v>64041.7627435289</v>
      </c>
      <c r="W87" s="431" t="n">
        <f aca="false">Breakout!$I$39/12</f>
        <v>69219.2116297861</v>
      </c>
      <c r="X87" s="431" t="n">
        <v>69963.5042279559</v>
      </c>
      <c r="Y87" s="872" t="n">
        <f aca="false">Breakout!$I$49/12</f>
        <v>465843.891828263</v>
      </c>
      <c r="Z87" s="873" t="n">
        <f aca="false">Breakout!$I$50/12</f>
        <v>436359.040427897</v>
      </c>
      <c r="AA87" s="873" t="n">
        <v>458364.84689474</v>
      </c>
      <c r="AB87" s="872" t="n">
        <f aca="false">Breakout!$I$60/12</f>
        <v>428611.685301678</v>
      </c>
      <c r="AC87" s="873" t="n">
        <f aca="false">Breakout!$I$61/12</f>
        <v>432305.415640221</v>
      </c>
      <c r="AD87" s="873" t="n">
        <v>445784.871807177</v>
      </c>
      <c r="AE87" s="872" t="n">
        <f aca="false">Breakout!$I$71/12</f>
        <v>325195.851947972</v>
      </c>
      <c r="AF87" s="873" t="n">
        <f aca="false">Breakout!$I$72/12</f>
        <v>316520.666666667</v>
      </c>
      <c r="AG87" s="873" t="n">
        <v>316520.666666667</v>
      </c>
      <c r="AH87" s="872" t="n">
        <f aca="false">Breakout!$I$82/12</f>
        <v>21404.332467757</v>
      </c>
      <c r="AI87" s="873" t="n">
        <f aca="false">Breakout!$I$83/12</f>
        <v>0</v>
      </c>
      <c r="AJ87" s="873" t="n">
        <v>0</v>
      </c>
      <c r="AK87" s="874" t="n">
        <f aca="false">Breakout!$I$91/12</f>
        <v>287797.385290827</v>
      </c>
      <c r="AL87" s="874" t="n">
        <v>287797.385290827</v>
      </c>
      <c r="AM87" s="773" t="n">
        <f aca="false">(Breakout!$I$107/12)*-1</f>
        <v>55221.25</v>
      </c>
      <c r="AN87" s="773" t="n">
        <v>55221.25</v>
      </c>
      <c r="AO87" s="774" t="n">
        <f aca="false">(P87+S87+V87)+Y87+AB87+AE87+AH87</f>
        <v>5023372.54325807</v>
      </c>
      <c r="AP87" s="774" t="n">
        <f aca="false">Q87+T87+W87+AA87+AD87+AG87+AJ87+AL87+AN87</f>
        <v>5041004.35788504</v>
      </c>
      <c r="AQ87" s="775" t="n">
        <f aca="false">P87+S87+V87+Y87+AB87+AE87+AH87-Q87-T87-W87-Z87-AC87-AF87-AI87-AK87-AM87-DH87-DL87-CN87</f>
        <v>258361.604330916</v>
      </c>
      <c r="AR87" s="431"/>
      <c r="AS87" s="776" t="n">
        <f aca="false">P87+S87+V87+Y87+AB87+AE87+AH87-R87-U87-X87-AA87-AD87-AG87-AJ87-AL87-AN87-O87-L87-CN87</f>
        <v>122318.496069245</v>
      </c>
      <c r="AT87" s="431"/>
      <c r="AU87" s="770" t="n">
        <f aca="false">'wholesale services'!$J$110/12</f>
        <v>39106610.7060185</v>
      </c>
      <c r="AV87" s="770" t="n">
        <f aca="false">'wholesale services'!$J$113/12</f>
        <v>17613.2558333333</v>
      </c>
      <c r="AW87" s="431"/>
      <c r="AX87" s="851" t="n">
        <f aca="false">IF(A87&lt;$AX$6,0,-$R$5/12)</f>
        <v>-715341.083333333</v>
      </c>
      <c r="AY87" s="417" t="n">
        <f aca="false">IF(A87&lt;$AX$6,0,-$S$5/12)</f>
        <v>-705333.333333333</v>
      </c>
      <c r="AZ87" s="431"/>
      <c r="BA87" s="772" t="n">
        <f aca="false">P87-IF($BL$4="mid",Q87,R87)-$BL$9*(IF($BL$4="mid",N87,O87)+IF($BL$4="mid",DL87,L87))</f>
        <v>568947.915288402</v>
      </c>
      <c r="BB87" s="772" t="n">
        <f aca="false">S87-IF($BL$4="mid",T87,U87)-$BM$9*(IF($BL$4="mid",N87,O87)+IF($BL$4="mid",DL87,L87))</f>
        <v>-18260.8655912885</v>
      </c>
      <c r="BC87" s="772" t="n">
        <f aca="false">V87-IF($BL$4="mid",W87,X87)-$BN$9*(IF($BL$4="mid",N87,O87)+IF($BL$4="mid",DL87,L87))</f>
        <v>-5177.44888625726</v>
      </c>
      <c r="BD87" s="772" t="n">
        <f aca="false">Y87-IF($BL$4="mid",Z87,AA87)</f>
        <v>29484.8514003665</v>
      </c>
      <c r="BE87" s="772" t="n">
        <f aca="false">AB87-IF($BL$4="mid",AC87,AD87)</f>
        <v>-3693.73033854307</v>
      </c>
      <c r="BF87" s="772" t="n">
        <f aca="false">AE87-IF($BL$4="mid",AF87,AG87)</f>
        <v>8675.18528130534</v>
      </c>
      <c r="BG87" s="772" t="n">
        <f aca="false">AH87-IF($BL$4="mid",AI87,AJ87)</f>
        <v>21404.332467757</v>
      </c>
      <c r="BH87" s="772" t="n">
        <f aca="false">-IF($BL$4="mid",AK87,AL87)</f>
        <v>-287797.385290827</v>
      </c>
      <c r="BI87" s="772" t="n">
        <f aca="false">-IF($BL$4="mid",AM87,AN87)</f>
        <v>-55221.25</v>
      </c>
      <c r="BL87" s="772" t="n">
        <f aca="false">BW87-IF($BL$4="mid",Q87,R87)-$BL$9*(IF($BL$4="mid",N87,O87)+IF($BL$4="mid",DL87,L87))</f>
        <v>719584.874060549</v>
      </c>
      <c r="BM87" s="772" t="n">
        <f aca="false">BX87-IF($BL$4="mid",T87,U87)-$BM$9*(IF($BL$4="mid",N87,O87)+IF($BL$4="mid",DL87,L87))</f>
        <v>-12923.9435605466</v>
      </c>
      <c r="BN87" s="772" t="n">
        <f aca="false">BY87-IF($BL$4="mid",W87,X87)-$BN$9*(IF($BL$4="mid",N87,O87)+IF($BL$4="mid",DL87,L87))</f>
        <v>-2491.0305289255</v>
      </c>
      <c r="BO87" s="772" t="n">
        <f aca="false">BZ87-IF($BL$4="mid",Z87,AA87)</f>
        <v>49026.0309220803</v>
      </c>
      <c r="BP87" s="772" t="n">
        <f aca="false">CA87-IF($BL$4="mid",AC87,AD87)</f>
        <v>14285.6357849742</v>
      </c>
      <c r="BQ87" s="772" t="n">
        <f aca="false">CB87-IF($BL$4="mid",AF87,AG87)</f>
        <v>22316.4729188704</v>
      </c>
      <c r="BR87" s="772" t="n">
        <f aca="false">CC87-IF($BL$4="mid",AI87,AJ87)</f>
        <v>22302.1995657957</v>
      </c>
      <c r="BS87" s="772" t="n">
        <f aca="false">-IF($BL$4="mid",AK87,AL87)</f>
        <v>-287797.385290827</v>
      </c>
      <c r="BT87" s="772" t="n">
        <f aca="false">-IF($BL$4="mid",AM87,AN87)</f>
        <v>-55221.25</v>
      </c>
      <c r="BW87" s="872" t="n">
        <f aca="false">Breakout!$I$15/12</f>
        <v>3741684.62555267</v>
      </c>
      <c r="BX87" s="872" t="n">
        <f aca="false">Breakout!$I$26/12</f>
        <v>132564.274219089</v>
      </c>
      <c r="BY87" s="872" t="n">
        <f aca="false">Breakout!$I$37/12</f>
        <v>66728.1811008606</v>
      </c>
      <c r="BZ87" s="872" t="n">
        <f aca="false">Breakout!$I$48/12</f>
        <v>485385.071349977</v>
      </c>
      <c r="CA87" s="872" t="n">
        <f aca="false">Breakout!$I$59/12</f>
        <v>446591.051425195</v>
      </c>
      <c r="CB87" s="872" t="n">
        <f aca="false">Breakout!$I$70/12</f>
        <v>338837.139585537</v>
      </c>
      <c r="CC87" s="872" t="n">
        <f aca="false">Breakout!$I$81/12</f>
        <v>22302.1995657957</v>
      </c>
      <c r="CE87" s="852" t="n">
        <f aca="false">P87/0.96</f>
        <v>3740674.65289638</v>
      </c>
      <c r="CF87" s="852" t="n">
        <f aca="false">S87/0.96</f>
        <v>132528.491862862</v>
      </c>
      <c r="CG87" s="852" t="n">
        <f aca="false">V87/0.96</f>
        <v>66710.1695245092</v>
      </c>
      <c r="CI87" s="852" t="n">
        <f aca="false">N87</f>
        <v>-715341.083333333</v>
      </c>
      <c r="CJ87" s="852" t="n">
        <f aca="false">O87</f>
        <v>-705333.333333333</v>
      </c>
      <c r="CL87" s="772" t="n">
        <f aca="false">'account mgt'!$I$23/12</f>
        <v>-55463.499148752</v>
      </c>
      <c r="CN87" s="772" t="n">
        <v>0</v>
      </c>
      <c r="CT87" s="772" t="e">
        <f aca="false">CW86</f>
        <v>#VALUE!</v>
      </c>
      <c r="CU87" s="772" t="e">
        <f aca="false">IF(CT87&lt;0.1,0,CT87*$L$3)</f>
        <v>#VALUE!</v>
      </c>
      <c r="CV87" s="772" t="e">
        <f aca="false">IF(CT87&lt;0.1,0,PPMT($L$3,A87-14,unwinds!$B$8*12,$K$5))</f>
        <v>#VALUE!</v>
      </c>
      <c r="CW87" s="772" t="e">
        <f aca="false">IF(CT87-CV87&lt;0,0,CT87-CV87)</f>
        <v>#VALUE!</v>
      </c>
      <c r="CX87" s="772" t="e">
        <f aca="false">IF(CX86-CV87&lt;0,0,CX86-CV87)</f>
        <v>#VALUE!</v>
      </c>
      <c r="DA87" s="772" t="n">
        <f aca="false">DD86</f>
        <v>18702898.7861138</v>
      </c>
      <c r="DB87" s="772" t="n">
        <f aca="false">DA87*$L$3</f>
        <v>147597.042920415</v>
      </c>
      <c r="DC87" s="772" t="n">
        <f aca="false">PPMT($L$3,A87-14,106,$K$5)</f>
        <v>347801.028751199</v>
      </c>
      <c r="DD87" s="772" t="n">
        <f aca="false">DA87-DC87</f>
        <v>18355097.7573626</v>
      </c>
      <c r="DE87" s="772" t="n">
        <f aca="false">DE86-DC87</f>
        <v>18355097.7573626</v>
      </c>
      <c r="DH87" s="417" t="n">
        <v>-715341.083333333</v>
      </c>
      <c r="DI87" s="417" t="n">
        <v>-705333.333333333</v>
      </c>
      <c r="DJ87" s="417"/>
      <c r="DL87" s="417" t="n">
        <f aca="false">PMT($J$3,106,$I$5,,1)</f>
        <v>474832.92700925</v>
      </c>
      <c r="DN87" s="417" t="n">
        <f aca="false">IF($BL$4="mid",DH87,DI87)</f>
        <v>-715341.083333333</v>
      </c>
      <c r="DO87" s="417" t="n">
        <f aca="false">IF($BL$4="mid",DL87,L87)</f>
        <v>474832.92700925</v>
      </c>
      <c r="DQ87" s="772" t="n">
        <f aca="false">BW87-IF($BL$4="mid",Q87,R87)</f>
        <v>491102.12555267</v>
      </c>
      <c r="DR87" s="772" t="n">
        <f aca="false">BX87-IF($BL$4="mid",T87,U87)</f>
        <v>-24949.3513767508</v>
      </c>
      <c r="DS87" s="772"/>
      <c r="DT87" s="772"/>
      <c r="DU87" s="772"/>
      <c r="DV87" s="772"/>
      <c r="DW87" s="772"/>
      <c r="DX87" s="772"/>
    </row>
    <row r="88" customFormat="false" ht="12.75" hidden="false" customHeight="false" outlineLevel="0" collapsed="false">
      <c r="A88" s="767" t="n">
        <v>77</v>
      </c>
      <c r="B88" s="854" t="n">
        <v>38838</v>
      </c>
      <c r="C88" s="417" t="n">
        <v>0</v>
      </c>
      <c r="D88" s="417" t="n">
        <v>0</v>
      </c>
      <c r="E88" s="417" t="n">
        <v>0</v>
      </c>
      <c r="F88" s="417" t="n">
        <v>143718.137500081</v>
      </c>
      <c r="G88" s="417" t="n">
        <v>347801.028751202</v>
      </c>
      <c r="H88" s="417" t="n">
        <v>0</v>
      </c>
      <c r="I88" s="417" t="n">
        <v>491519.166251284</v>
      </c>
      <c r="J88" s="417"/>
      <c r="K88" s="417"/>
      <c r="L88" s="417" t="n">
        <f aca="false">PMT($L$3,106,$K$5,,1)</f>
        <v>491519.166251281</v>
      </c>
      <c r="M88" s="417"/>
      <c r="N88" s="850" t="n">
        <f aca="false">IF(A88&lt;$B$8,0,-$R$5/12)</f>
        <v>-715341.083333333</v>
      </c>
      <c r="O88" s="850" t="n">
        <f aca="false">IF(A88&lt;$B$8,0,-$S$5/12)</f>
        <v>-705333.333333333</v>
      </c>
      <c r="P88" s="872" t="n">
        <f aca="false">Breakout!$I$16/12</f>
        <v>3591047.66678052</v>
      </c>
      <c r="Q88" s="770" t="n">
        <f aca="false">'wholesale services'!$D$110*'wholesale services'!$J$111/12</f>
        <v>3250582.5</v>
      </c>
      <c r="R88" s="770" t="n">
        <v>3320487.5</v>
      </c>
      <c r="S88" s="872" t="n">
        <f aca="false">Breakout!$I$27/12</f>
        <v>127227.352188348</v>
      </c>
      <c r="T88" s="770" t="n">
        <f aca="false">'wholesale services'!$D$113*'wholesale services'!$J$114/12</f>
        <v>157513.62559584</v>
      </c>
      <c r="U88" s="770" t="n">
        <v>160728.18938351</v>
      </c>
      <c r="V88" s="872" t="n">
        <f aca="false">Breakout!$I$38/12</f>
        <v>64041.7627435289</v>
      </c>
      <c r="W88" s="431" t="n">
        <f aca="false">Breakout!$I$39/12</f>
        <v>69219.2116297861</v>
      </c>
      <c r="X88" s="431" t="n">
        <v>69963.5042279559</v>
      </c>
      <c r="Y88" s="872" t="n">
        <f aca="false">Breakout!$I$49/12</f>
        <v>465843.891828263</v>
      </c>
      <c r="Z88" s="873" t="n">
        <f aca="false">Breakout!$I$50/12</f>
        <v>436359.040427897</v>
      </c>
      <c r="AA88" s="873" t="n">
        <v>458364.84689474</v>
      </c>
      <c r="AB88" s="872" t="n">
        <f aca="false">Breakout!$I$60/12</f>
        <v>428611.685301678</v>
      </c>
      <c r="AC88" s="873" t="n">
        <f aca="false">Breakout!$I$61/12</f>
        <v>432305.415640221</v>
      </c>
      <c r="AD88" s="873" t="n">
        <v>445784.871807177</v>
      </c>
      <c r="AE88" s="872" t="n">
        <f aca="false">Breakout!$I$71/12</f>
        <v>325195.851947972</v>
      </c>
      <c r="AF88" s="873" t="n">
        <f aca="false">Breakout!$I$72/12</f>
        <v>316520.666666667</v>
      </c>
      <c r="AG88" s="873" t="n">
        <v>316520.666666667</v>
      </c>
      <c r="AH88" s="872" t="n">
        <f aca="false">Breakout!$I$82/12</f>
        <v>21404.332467757</v>
      </c>
      <c r="AI88" s="873" t="n">
        <f aca="false">Breakout!$I$83/12</f>
        <v>0</v>
      </c>
      <c r="AJ88" s="873" t="n">
        <v>0</v>
      </c>
      <c r="AK88" s="874" t="n">
        <f aca="false">Breakout!$I$91/12</f>
        <v>287797.385290827</v>
      </c>
      <c r="AL88" s="874" t="n">
        <v>287797.385290827</v>
      </c>
      <c r="AM88" s="773" t="n">
        <f aca="false">(Breakout!$I$107/12)*-1</f>
        <v>55221.25</v>
      </c>
      <c r="AN88" s="773" t="n">
        <v>55221.25</v>
      </c>
      <c r="AO88" s="774" t="n">
        <f aca="false">(P88+S88+V88)+Y88+AB88+AE88+AH88</f>
        <v>5023372.54325807</v>
      </c>
      <c r="AP88" s="774" t="n">
        <f aca="false">Q88+T88+W88+AA88+AD88+AG88+AJ88+AL88+AN88</f>
        <v>5041004.35788504</v>
      </c>
      <c r="AQ88" s="775" t="n">
        <f aca="false">P88+S88+V88+Y88+AB88+AE88+AH88-Q88-T88-W88-Z88-AC88-AF88-AI88-AK88-AM88-DH88-DL88-CN88</f>
        <v>258361.604330916</v>
      </c>
      <c r="AR88" s="431"/>
      <c r="AS88" s="776" t="n">
        <f aca="false">P88+S88+V88+Y88+AB88+AE88+AH88-R88-U88-X88-AA88-AD88-AG88-AJ88-AL88-AN88-O88-L88-CN88</f>
        <v>122318.496069245</v>
      </c>
      <c r="AT88" s="431"/>
      <c r="AU88" s="770" t="n">
        <f aca="false">'wholesale services'!$J$110/12</f>
        <v>39106610.7060185</v>
      </c>
      <c r="AV88" s="770" t="n">
        <f aca="false">'wholesale services'!$J$113/12</f>
        <v>17613.2558333333</v>
      </c>
      <c r="AW88" s="431"/>
      <c r="AX88" s="851" t="n">
        <f aca="false">IF(A88&lt;$AX$6,0,-$R$5/12)</f>
        <v>-715341.083333333</v>
      </c>
      <c r="AY88" s="417" t="n">
        <f aca="false">IF(A88&lt;$AX$6,0,-$S$5/12)</f>
        <v>-705333.333333333</v>
      </c>
      <c r="AZ88" s="431"/>
      <c r="BA88" s="772" t="n">
        <f aca="false">P88-IF($BL$4="mid",Q88,R88)-$BL$9*(IF($BL$4="mid",N88,O88)+IF($BL$4="mid",DL88,L88))</f>
        <v>568947.915288402</v>
      </c>
      <c r="BB88" s="772" t="n">
        <f aca="false">S88-IF($BL$4="mid",T88,U88)-$BM$9*(IF($BL$4="mid",N88,O88)+IF($BL$4="mid",DL88,L88))</f>
        <v>-18260.8655912885</v>
      </c>
      <c r="BC88" s="772" t="n">
        <f aca="false">V88-IF($BL$4="mid",W88,X88)-$BN$9*(IF($BL$4="mid",N88,O88)+IF($BL$4="mid",DL88,L88))</f>
        <v>-5177.44888625726</v>
      </c>
      <c r="BD88" s="772" t="n">
        <f aca="false">Y88-IF($BL$4="mid",Z88,AA88)</f>
        <v>29484.8514003665</v>
      </c>
      <c r="BE88" s="772" t="n">
        <f aca="false">AB88-IF($BL$4="mid",AC88,AD88)</f>
        <v>-3693.73033854307</v>
      </c>
      <c r="BF88" s="772" t="n">
        <f aca="false">AE88-IF($BL$4="mid",AF88,AG88)</f>
        <v>8675.18528130534</v>
      </c>
      <c r="BG88" s="772" t="n">
        <f aca="false">AH88-IF($BL$4="mid",AI88,AJ88)</f>
        <v>21404.332467757</v>
      </c>
      <c r="BH88" s="772" t="n">
        <f aca="false">-IF($BL$4="mid",AK88,AL88)</f>
        <v>-287797.385290827</v>
      </c>
      <c r="BI88" s="772" t="n">
        <f aca="false">-IF($BL$4="mid",AM88,AN88)</f>
        <v>-55221.25</v>
      </c>
      <c r="BL88" s="772" t="n">
        <f aca="false">BW88-IF($BL$4="mid",Q88,R88)-$BL$9*(IF($BL$4="mid",N88,O88)+IF($BL$4="mid",DL88,L88))</f>
        <v>719584.874060549</v>
      </c>
      <c r="BM88" s="772" t="n">
        <f aca="false">BX88-IF($BL$4="mid",T88,U88)-$BM$9*(IF($BL$4="mid",N88,O88)+IF($BL$4="mid",DL88,L88))</f>
        <v>-12923.9435605466</v>
      </c>
      <c r="BN88" s="772" t="n">
        <f aca="false">BY88-IF($BL$4="mid",W88,X88)-$BN$9*(IF($BL$4="mid",N88,O88)+IF($BL$4="mid",DL88,L88))</f>
        <v>-2491.0305289255</v>
      </c>
      <c r="BO88" s="772" t="n">
        <f aca="false">BZ88-IF($BL$4="mid",Z88,AA88)</f>
        <v>49026.0309220803</v>
      </c>
      <c r="BP88" s="772" t="n">
        <f aca="false">CA88-IF($BL$4="mid",AC88,AD88)</f>
        <v>14285.6357849742</v>
      </c>
      <c r="BQ88" s="772" t="n">
        <f aca="false">CB88-IF($BL$4="mid",AF88,AG88)</f>
        <v>22316.4729188704</v>
      </c>
      <c r="BR88" s="772" t="n">
        <f aca="false">CC88-IF($BL$4="mid",AI88,AJ88)</f>
        <v>22302.1995657957</v>
      </c>
      <c r="BS88" s="772" t="n">
        <f aca="false">-IF($BL$4="mid",AK88,AL88)</f>
        <v>-287797.385290827</v>
      </c>
      <c r="BT88" s="772" t="n">
        <f aca="false">-IF($BL$4="mid",AM88,AN88)</f>
        <v>-55221.25</v>
      </c>
      <c r="BW88" s="872" t="n">
        <f aca="false">Breakout!$I$15/12</f>
        <v>3741684.62555267</v>
      </c>
      <c r="BX88" s="872" t="n">
        <f aca="false">Breakout!$I$26/12</f>
        <v>132564.274219089</v>
      </c>
      <c r="BY88" s="872" t="n">
        <f aca="false">Breakout!$I$37/12</f>
        <v>66728.1811008606</v>
      </c>
      <c r="BZ88" s="872" t="n">
        <f aca="false">Breakout!$I$48/12</f>
        <v>485385.071349977</v>
      </c>
      <c r="CA88" s="872" t="n">
        <f aca="false">Breakout!$I$59/12</f>
        <v>446591.051425195</v>
      </c>
      <c r="CB88" s="872" t="n">
        <f aca="false">Breakout!$I$70/12</f>
        <v>338837.139585537</v>
      </c>
      <c r="CC88" s="872" t="n">
        <f aca="false">Breakout!$I$81/12</f>
        <v>22302.1995657957</v>
      </c>
      <c r="CE88" s="852" t="n">
        <f aca="false">P88/0.96</f>
        <v>3740674.65289638</v>
      </c>
      <c r="CF88" s="852" t="n">
        <f aca="false">S88/0.96</f>
        <v>132528.491862862</v>
      </c>
      <c r="CG88" s="852" t="n">
        <f aca="false">V88/0.96</f>
        <v>66710.1695245092</v>
      </c>
      <c r="CI88" s="852" t="n">
        <f aca="false">N88</f>
        <v>-715341.083333333</v>
      </c>
      <c r="CJ88" s="852" t="n">
        <f aca="false">O88</f>
        <v>-705333.333333333</v>
      </c>
      <c r="CL88" s="772" t="n">
        <f aca="false">'account mgt'!$I$23/12</f>
        <v>-55463.499148752</v>
      </c>
      <c r="CN88" s="772" t="n">
        <v>0</v>
      </c>
      <c r="CT88" s="772" t="e">
        <f aca="false">CW87</f>
        <v>#VALUE!</v>
      </c>
      <c r="CU88" s="772" t="e">
        <f aca="false">IF(CT88&lt;0.1,0,CT88*$L$3)</f>
        <v>#VALUE!</v>
      </c>
      <c r="CV88" s="772" t="e">
        <f aca="false">IF(CT88&lt;0.1,0,PPMT($L$3,A88-14,unwinds!$B$8*12,$K$5))</f>
        <v>#VALUE!</v>
      </c>
      <c r="CW88" s="772" t="e">
        <f aca="false">IF(CT88-CV88&lt;0,0,CT88-CV88)</f>
        <v>#VALUE!</v>
      </c>
      <c r="CX88" s="772" t="e">
        <f aca="false">IF(CX87-CV88&lt;0,0,CX87-CV88)</f>
        <v>#VALUE!</v>
      </c>
      <c r="DA88" s="772" t="n">
        <f aca="false">DD87</f>
        <v>18355097.7573626</v>
      </c>
      <c r="DB88" s="772" t="n">
        <f aca="false">DA88*$L$3</f>
        <v>144852.313135187</v>
      </c>
      <c r="DC88" s="772" t="n">
        <f aca="false">PPMT($L$3,A88-14,106,$K$5)</f>
        <v>350545.758536427</v>
      </c>
      <c r="DD88" s="772" t="n">
        <f aca="false">DA88-DC88</f>
        <v>18004551.9988262</v>
      </c>
      <c r="DE88" s="772" t="n">
        <f aca="false">DE87-DC88</f>
        <v>18004551.9988262</v>
      </c>
      <c r="DH88" s="417" t="n">
        <v>-715341.083333333</v>
      </c>
      <c r="DI88" s="417" t="n">
        <v>-705333.333333333</v>
      </c>
      <c r="DJ88" s="417"/>
      <c r="DL88" s="417" t="n">
        <f aca="false">PMT($J$3,106,$I$5,,1)</f>
        <v>474832.92700925</v>
      </c>
      <c r="DN88" s="417" t="n">
        <f aca="false">IF($BL$4="mid",DH88,DI88)</f>
        <v>-715341.083333333</v>
      </c>
      <c r="DO88" s="417" t="n">
        <f aca="false">IF($BL$4="mid",DL88,L88)</f>
        <v>474832.92700925</v>
      </c>
      <c r="DQ88" s="772" t="n">
        <f aca="false">BW88-IF($BL$4="mid",Q88,R88)</f>
        <v>491102.12555267</v>
      </c>
      <c r="DR88" s="772" t="n">
        <f aca="false">BX88-IF($BL$4="mid",T88,U88)</f>
        <v>-24949.3513767508</v>
      </c>
      <c r="DS88" s="772"/>
      <c r="DT88" s="772"/>
      <c r="DU88" s="772"/>
      <c r="DV88" s="772"/>
      <c r="DW88" s="772"/>
      <c r="DX88" s="772"/>
    </row>
    <row r="89" customFormat="false" ht="12.75" hidden="false" customHeight="false" outlineLevel="0" collapsed="false">
      <c r="A89" s="767" t="n">
        <v>78</v>
      </c>
      <c r="B89" s="854" t="n">
        <v>38869</v>
      </c>
      <c r="C89" s="417" t="n">
        <v>0</v>
      </c>
      <c r="D89" s="417" t="n">
        <v>0</v>
      </c>
      <c r="E89" s="417" t="n">
        <v>0</v>
      </c>
      <c r="F89" s="417" t="n">
        <v>140973.407714853</v>
      </c>
      <c r="G89" s="417" t="n">
        <v>350545.75853643</v>
      </c>
      <c r="H89" s="417" t="n">
        <v>0</v>
      </c>
      <c r="I89" s="417" t="n">
        <v>491519.166251284</v>
      </c>
      <c r="J89" s="417"/>
      <c r="K89" s="417"/>
      <c r="L89" s="417" t="n">
        <f aca="false">PMT($L$3,106,$K$5,,1)</f>
        <v>491519.166251281</v>
      </c>
      <c r="M89" s="417"/>
      <c r="N89" s="850" t="n">
        <f aca="false">IF(A89&lt;$B$8,0,-$R$5/12)</f>
        <v>-715341.083333333</v>
      </c>
      <c r="O89" s="850" t="n">
        <f aca="false">IF(A89&lt;$B$8,0,-$S$5/12)</f>
        <v>-705333.333333333</v>
      </c>
      <c r="P89" s="872" t="n">
        <f aca="false">Breakout!$I$16/12</f>
        <v>3591047.66678052</v>
      </c>
      <c r="Q89" s="770" t="n">
        <f aca="false">'wholesale services'!$D$110*'wholesale services'!$J$111/12</f>
        <v>3250582.5</v>
      </c>
      <c r="R89" s="770" t="n">
        <v>3320487.5</v>
      </c>
      <c r="S89" s="872" t="n">
        <f aca="false">Breakout!$I$27/12</f>
        <v>127227.352188348</v>
      </c>
      <c r="T89" s="770" t="n">
        <f aca="false">'wholesale services'!$D$113*'wholesale services'!$J$114/12</f>
        <v>157513.62559584</v>
      </c>
      <c r="U89" s="770" t="n">
        <v>160728.18938351</v>
      </c>
      <c r="V89" s="872" t="n">
        <f aca="false">Breakout!$I$38/12</f>
        <v>64041.7627435289</v>
      </c>
      <c r="W89" s="431" t="n">
        <f aca="false">Breakout!$I$39/12</f>
        <v>69219.2116297861</v>
      </c>
      <c r="X89" s="431" t="n">
        <v>69963.5042279559</v>
      </c>
      <c r="Y89" s="872" t="n">
        <f aca="false">Breakout!$I$49/12</f>
        <v>465843.891828263</v>
      </c>
      <c r="Z89" s="873" t="n">
        <f aca="false">Breakout!$I$50/12</f>
        <v>436359.040427897</v>
      </c>
      <c r="AA89" s="873" t="n">
        <v>458364.84689474</v>
      </c>
      <c r="AB89" s="872" t="n">
        <f aca="false">Breakout!$I$60/12</f>
        <v>428611.685301678</v>
      </c>
      <c r="AC89" s="873" t="n">
        <f aca="false">Breakout!$I$61/12</f>
        <v>432305.415640221</v>
      </c>
      <c r="AD89" s="873" t="n">
        <v>445784.871807177</v>
      </c>
      <c r="AE89" s="872" t="n">
        <f aca="false">Breakout!$I$71/12</f>
        <v>325195.851947972</v>
      </c>
      <c r="AF89" s="873" t="n">
        <f aca="false">Breakout!$I$72/12</f>
        <v>316520.666666667</v>
      </c>
      <c r="AG89" s="873" t="n">
        <v>316520.666666667</v>
      </c>
      <c r="AH89" s="872" t="n">
        <f aca="false">Breakout!$I$82/12</f>
        <v>21404.332467757</v>
      </c>
      <c r="AI89" s="873" t="n">
        <f aca="false">Breakout!$I$83/12</f>
        <v>0</v>
      </c>
      <c r="AJ89" s="873" t="n">
        <v>0</v>
      </c>
      <c r="AK89" s="874" t="n">
        <f aca="false">Breakout!$I$91/12</f>
        <v>287797.385290827</v>
      </c>
      <c r="AL89" s="874" t="n">
        <v>287797.385290827</v>
      </c>
      <c r="AM89" s="773" t="n">
        <f aca="false">(Breakout!$I$107/12)*-1</f>
        <v>55221.25</v>
      </c>
      <c r="AN89" s="773" t="n">
        <v>55221.25</v>
      </c>
      <c r="AO89" s="774" t="n">
        <f aca="false">(P89+S89+V89)+Y89+AB89+AE89+AH89</f>
        <v>5023372.54325807</v>
      </c>
      <c r="AP89" s="774" t="n">
        <f aca="false">Q89+T89+W89+AA89+AD89+AG89+AJ89+AL89+AN89</f>
        <v>5041004.35788504</v>
      </c>
      <c r="AQ89" s="775" t="n">
        <f aca="false">P89+S89+V89+Y89+AB89+AE89+AH89-Q89-T89-W89-Z89-AC89-AF89-AI89-AK89-AM89-DH89-DL89-CN89</f>
        <v>258361.604330916</v>
      </c>
      <c r="AR89" s="431"/>
      <c r="AS89" s="776" t="n">
        <f aca="false">P89+S89+V89+Y89+AB89+AE89+AH89-R89-U89-X89-AA89-AD89-AG89-AJ89-AL89-AN89-O89-L89-CN89</f>
        <v>122318.496069245</v>
      </c>
      <c r="AT89" s="431"/>
      <c r="AU89" s="770" t="n">
        <f aca="false">'wholesale services'!$J$110/12</f>
        <v>39106610.7060185</v>
      </c>
      <c r="AV89" s="770" t="n">
        <f aca="false">'wholesale services'!$J$113/12</f>
        <v>17613.2558333333</v>
      </c>
      <c r="AW89" s="431"/>
      <c r="AX89" s="851" t="n">
        <f aca="false">IF(A89&lt;$AX$6,0,-$R$5/12)</f>
        <v>-715341.083333333</v>
      </c>
      <c r="AY89" s="417" t="n">
        <f aca="false">IF(A89&lt;$AX$6,0,-$S$5/12)</f>
        <v>-705333.333333333</v>
      </c>
      <c r="AZ89" s="431"/>
      <c r="BA89" s="772" t="n">
        <f aca="false">P89-IF($BL$4="mid",Q89,R89)-$BL$9*(IF($BL$4="mid",N89,O89)+IF($BL$4="mid",DL89,L89))</f>
        <v>568947.915288402</v>
      </c>
      <c r="BB89" s="772" t="n">
        <f aca="false">S89-IF($BL$4="mid",T89,U89)-$BM$9*(IF($BL$4="mid",N89,O89)+IF($BL$4="mid",DL89,L89))</f>
        <v>-18260.8655912885</v>
      </c>
      <c r="BC89" s="772" t="n">
        <f aca="false">V89-IF($BL$4="mid",W89,X89)-$BN$9*(IF($BL$4="mid",N89,O89)+IF($BL$4="mid",DL89,L89))</f>
        <v>-5177.44888625726</v>
      </c>
      <c r="BD89" s="772" t="n">
        <f aca="false">Y89-IF($BL$4="mid",Z89,AA89)</f>
        <v>29484.8514003665</v>
      </c>
      <c r="BE89" s="772" t="n">
        <f aca="false">AB89-IF($BL$4="mid",AC89,AD89)</f>
        <v>-3693.73033854307</v>
      </c>
      <c r="BF89" s="772" t="n">
        <f aca="false">AE89-IF($BL$4="mid",AF89,AG89)</f>
        <v>8675.18528130534</v>
      </c>
      <c r="BG89" s="772" t="n">
        <f aca="false">AH89-IF($BL$4="mid",AI89,AJ89)</f>
        <v>21404.332467757</v>
      </c>
      <c r="BH89" s="772" t="n">
        <f aca="false">-IF($BL$4="mid",AK89,AL89)</f>
        <v>-287797.385290827</v>
      </c>
      <c r="BI89" s="772" t="n">
        <f aca="false">-IF($BL$4="mid",AM89,AN89)</f>
        <v>-55221.25</v>
      </c>
      <c r="BL89" s="772" t="n">
        <f aca="false">BW89-IF($BL$4="mid",Q89,R89)-$BL$9*(IF($BL$4="mid",N89,O89)+IF($BL$4="mid",DL89,L89))</f>
        <v>719584.874060549</v>
      </c>
      <c r="BM89" s="772" t="n">
        <f aca="false">BX89-IF($BL$4="mid",T89,U89)-$BM$9*(IF($BL$4="mid",N89,O89)+IF($BL$4="mid",DL89,L89))</f>
        <v>-12923.9435605466</v>
      </c>
      <c r="BN89" s="772" t="n">
        <f aca="false">BY89-IF($BL$4="mid",W89,X89)-$BN$9*(IF($BL$4="mid",N89,O89)+IF($BL$4="mid",DL89,L89))</f>
        <v>-2491.0305289255</v>
      </c>
      <c r="BO89" s="772" t="n">
        <f aca="false">BZ89-IF($BL$4="mid",Z89,AA89)</f>
        <v>49026.0309220803</v>
      </c>
      <c r="BP89" s="772" t="n">
        <f aca="false">CA89-IF($BL$4="mid",AC89,AD89)</f>
        <v>14285.6357849742</v>
      </c>
      <c r="BQ89" s="772" t="n">
        <f aca="false">CB89-IF($BL$4="mid",AF89,AG89)</f>
        <v>22316.4729188704</v>
      </c>
      <c r="BR89" s="772" t="n">
        <f aca="false">CC89-IF($BL$4="mid",AI89,AJ89)</f>
        <v>22302.1995657957</v>
      </c>
      <c r="BS89" s="772" t="n">
        <f aca="false">-IF($BL$4="mid",AK89,AL89)</f>
        <v>-287797.385290827</v>
      </c>
      <c r="BT89" s="772" t="n">
        <f aca="false">-IF($BL$4="mid",AM89,AN89)</f>
        <v>-55221.25</v>
      </c>
      <c r="BW89" s="872" t="n">
        <f aca="false">Breakout!$I$15/12</f>
        <v>3741684.62555267</v>
      </c>
      <c r="BX89" s="872" t="n">
        <f aca="false">Breakout!$I$26/12</f>
        <v>132564.274219089</v>
      </c>
      <c r="BY89" s="872" t="n">
        <f aca="false">Breakout!$I$37/12</f>
        <v>66728.1811008606</v>
      </c>
      <c r="BZ89" s="872" t="n">
        <f aca="false">Breakout!$I$48/12</f>
        <v>485385.071349977</v>
      </c>
      <c r="CA89" s="872" t="n">
        <f aca="false">Breakout!$I$59/12</f>
        <v>446591.051425195</v>
      </c>
      <c r="CB89" s="872" t="n">
        <f aca="false">Breakout!$I$70/12</f>
        <v>338837.139585537</v>
      </c>
      <c r="CC89" s="872" t="n">
        <f aca="false">Breakout!$I$81/12</f>
        <v>22302.1995657957</v>
      </c>
      <c r="CE89" s="852" t="n">
        <f aca="false">P89/0.96</f>
        <v>3740674.65289638</v>
      </c>
      <c r="CF89" s="852" t="n">
        <f aca="false">S89/0.96</f>
        <v>132528.491862862</v>
      </c>
      <c r="CG89" s="852" t="n">
        <f aca="false">V89/0.96</f>
        <v>66710.1695245092</v>
      </c>
      <c r="CI89" s="852" t="n">
        <f aca="false">N89</f>
        <v>-715341.083333333</v>
      </c>
      <c r="CJ89" s="852" t="n">
        <f aca="false">O89</f>
        <v>-705333.333333333</v>
      </c>
      <c r="CL89" s="772" t="n">
        <f aca="false">'account mgt'!$I$23/12</f>
        <v>-55463.499148752</v>
      </c>
      <c r="CN89" s="772" t="n">
        <v>0</v>
      </c>
      <c r="CT89" s="772" t="e">
        <f aca="false">CW88</f>
        <v>#VALUE!</v>
      </c>
      <c r="CU89" s="772" t="e">
        <f aca="false">IF(CT89&lt;0.1,0,CT89*$L$3)</f>
        <v>#VALUE!</v>
      </c>
      <c r="CV89" s="772" t="e">
        <f aca="false">IF(CT89&lt;0.1,0,PPMT($L$3,A89-14,unwinds!$B$8*12,$K$5))</f>
        <v>#VALUE!</v>
      </c>
      <c r="CW89" s="772" t="e">
        <f aca="false">IF(CT89-CV89&lt;0,0,CT89-CV89)</f>
        <v>#VALUE!</v>
      </c>
      <c r="CX89" s="772" t="e">
        <f aca="false">IF(CX88-CV89&lt;0,0,CX88-CV89)</f>
        <v>#VALUE!</v>
      </c>
      <c r="DA89" s="772" t="n">
        <f aca="false">DD88</f>
        <v>18004551.9988262</v>
      </c>
      <c r="DB89" s="772" t="n">
        <f aca="false">DA89*$L$3</f>
        <v>142085.922857404</v>
      </c>
      <c r="DC89" s="772" t="n">
        <f aca="false">PPMT($L$3,A89-14,106,$K$5)</f>
        <v>353312.14881421</v>
      </c>
      <c r="DD89" s="772" t="n">
        <f aca="false">DA89-DC89</f>
        <v>17651239.850012</v>
      </c>
      <c r="DE89" s="772" t="n">
        <f aca="false">DE88-DC89</f>
        <v>17651239.850012</v>
      </c>
      <c r="DH89" s="417" t="n">
        <v>-715341.083333333</v>
      </c>
      <c r="DI89" s="417" t="n">
        <v>-705333.333333333</v>
      </c>
      <c r="DJ89" s="417"/>
      <c r="DL89" s="417" t="n">
        <f aca="false">PMT($J$3,106,$I$5,,1)</f>
        <v>474832.92700925</v>
      </c>
      <c r="DN89" s="417" t="n">
        <f aca="false">IF($BL$4="mid",DH89,DI89)</f>
        <v>-715341.083333333</v>
      </c>
      <c r="DO89" s="417" t="n">
        <f aca="false">IF($BL$4="mid",DL89,L89)</f>
        <v>474832.92700925</v>
      </c>
      <c r="DQ89" s="772" t="n">
        <f aca="false">BW89-IF($BL$4="mid",Q89,R89)</f>
        <v>491102.12555267</v>
      </c>
      <c r="DR89" s="772" t="n">
        <f aca="false">BX89-IF($BL$4="mid",T89,U89)</f>
        <v>-24949.3513767508</v>
      </c>
      <c r="DS89" s="772"/>
      <c r="DT89" s="772"/>
      <c r="DU89" s="772"/>
      <c r="DV89" s="772"/>
      <c r="DW89" s="772"/>
      <c r="DX89" s="772"/>
    </row>
    <row r="90" customFormat="false" ht="12.75" hidden="false" customHeight="false" outlineLevel="0" collapsed="false">
      <c r="A90" s="767" t="n">
        <v>79</v>
      </c>
      <c r="B90" s="854" t="n">
        <v>38899</v>
      </c>
      <c r="C90" s="417" t="n">
        <v>0</v>
      </c>
      <c r="D90" s="417" t="n">
        <v>0</v>
      </c>
      <c r="E90" s="417" t="n">
        <v>0</v>
      </c>
      <c r="F90" s="417" t="n">
        <v>138207.01743707</v>
      </c>
      <c r="G90" s="417" t="n">
        <v>353312.148814214</v>
      </c>
      <c r="H90" s="417" t="n">
        <v>0</v>
      </c>
      <c r="I90" s="417" t="n">
        <v>491519.166251284</v>
      </c>
      <c r="J90" s="417"/>
      <c r="K90" s="417"/>
      <c r="L90" s="417" t="n">
        <f aca="false">PMT($L$3,106,$K$5,,1)</f>
        <v>491519.166251281</v>
      </c>
      <c r="M90" s="417"/>
      <c r="N90" s="850" t="n">
        <f aca="false">IF(A90&lt;$B$8,0,-$R$5/12)</f>
        <v>-715341.083333333</v>
      </c>
      <c r="O90" s="850" t="n">
        <f aca="false">IF(A90&lt;$B$8,0,-$S$5/12)</f>
        <v>-705333.333333333</v>
      </c>
      <c r="P90" s="872" t="n">
        <f aca="false">Breakout!$I$16/12</f>
        <v>3591047.66678052</v>
      </c>
      <c r="Q90" s="770" t="n">
        <f aca="false">'wholesale services'!$D$110*'wholesale services'!$J$111/12</f>
        <v>3250582.5</v>
      </c>
      <c r="R90" s="770" t="n">
        <v>3320487.5</v>
      </c>
      <c r="S90" s="872" t="n">
        <f aca="false">Breakout!$I$27/12</f>
        <v>127227.352188348</v>
      </c>
      <c r="T90" s="770" t="n">
        <f aca="false">'wholesale services'!$D$113*'wholesale services'!$J$114/12</f>
        <v>157513.62559584</v>
      </c>
      <c r="U90" s="770" t="n">
        <v>160728.18938351</v>
      </c>
      <c r="V90" s="872" t="n">
        <f aca="false">Breakout!$I$38/12</f>
        <v>64041.7627435289</v>
      </c>
      <c r="W90" s="431" t="n">
        <f aca="false">Breakout!$I$39/12</f>
        <v>69219.2116297861</v>
      </c>
      <c r="X90" s="431" t="n">
        <v>69963.5042279559</v>
      </c>
      <c r="Y90" s="872" t="n">
        <f aca="false">Breakout!$I$49/12</f>
        <v>465843.891828263</v>
      </c>
      <c r="Z90" s="873" t="n">
        <f aca="false">Breakout!$I$50/12</f>
        <v>436359.040427897</v>
      </c>
      <c r="AA90" s="873" t="n">
        <v>458364.84689474</v>
      </c>
      <c r="AB90" s="872" t="n">
        <f aca="false">Breakout!$I$60/12</f>
        <v>428611.685301678</v>
      </c>
      <c r="AC90" s="873" t="n">
        <f aca="false">Breakout!$I$61/12</f>
        <v>432305.415640221</v>
      </c>
      <c r="AD90" s="873" t="n">
        <v>445784.871807177</v>
      </c>
      <c r="AE90" s="872" t="n">
        <f aca="false">Breakout!$I$71/12</f>
        <v>325195.851947972</v>
      </c>
      <c r="AF90" s="873" t="n">
        <f aca="false">Breakout!$I$72/12</f>
        <v>316520.666666667</v>
      </c>
      <c r="AG90" s="873" t="n">
        <v>316520.666666667</v>
      </c>
      <c r="AH90" s="872" t="n">
        <f aca="false">Breakout!$I$82/12</f>
        <v>21404.332467757</v>
      </c>
      <c r="AI90" s="873" t="n">
        <f aca="false">Breakout!$I$83/12</f>
        <v>0</v>
      </c>
      <c r="AJ90" s="873" t="n">
        <v>0</v>
      </c>
      <c r="AK90" s="874" t="n">
        <f aca="false">Breakout!$I$91/12</f>
        <v>287797.385290827</v>
      </c>
      <c r="AL90" s="874" t="n">
        <v>287797.385290827</v>
      </c>
      <c r="AM90" s="773" t="n">
        <f aca="false">(Breakout!$I$107/12)*-1</f>
        <v>55221.25</v>
      </c>
      <c r="AN90" s="773" t="n">
        <v>55221.25</v>
      </c>
      <c r="AO90" s="774" t="n">
        <f aca="false">(P90+S90+V90)+Y90+AB90+AE90+AH90</f>
        <v>5023372.54325807</v>
      </c>
      <c r="AP90" s="774" t="n">
        <f aca="false">Q90+T90+W90+AA90+AD90+AG90+AJ90+AL90+AN90</f>
        <v>5041004.35788504</v>
      </c>
      <c r="AQ90" s="775" t="n">
        <f aca="false">P90+S90+V90+Y90+AB90+AE90+AH90-Q90-T90-W90-Z90-AC90-AF90-AI90-AK90-AM90-DH90-DL90-CN90</f>
        <v>258361.604330916</v>
      </c>
      <c r="AR90" s="431"/>
      <c r="AS90" s="776" t="n">
        <f aca="false">P90+S90+V90+Y90+AB90+AE90+AH90-R90-U90-X90-AA90-AD90-AG90-AJ90-AL90-AN90-O90-L90-CN90</f>
        <v>122318.496069245</v>
      </c>
      <c r="AT90" s="431"/>
      <c r="AU90" s="770" t="n">
        <f aca="false">'wholesale services'!$J$110/12</f>
        <v>39106610.7060185</v>
      </c>
      <c r="AV90" s="770" t="n">
        <f aca="false">'wholesale services'!$J$113/12</f>
        <v>17613.2558333333</v>
      </c>
      <c r="AW90" s="431"/>
      <c r="AX90" s="851" t="n">
        <f aca="false">IF(A90&lt;$AX$6,0,-$R$5/12)</f>
        <v>-715341.083333333</v>
      </c>
      <c r="AY90" s="417" t="n">
        <f aca="false">IF(A90&lt;$AX$6,0,-$S$5/12)</f>
        <v>-705333.333333333</v>
      </c>
      <c r="AZ90" s="431"/>
      <c r="BA90" s="772" t="n">
        <f aca="false">P90-IF($BL$4="mid",Q90,R90)-$BL$9*(IF($BL$4="mid",N90,O90)+IF($BL$4="mid",DL90,L90))</f>
        <v>568947.915288402</v>
      </c>
      <c r="BB90" s="772" t="n">
        <f aca="false">S90-IF($BL$4="mid",T90,U90)-$BM$9*(IF($BL$4="mid",N90,O90)+IF($BL$4="mid",DL90,L90))</f>
        <v>-18260.8655912885</v>
      </c>
      <c r="BC90" s="772" t="n">
        <f aca="false">V90-IF($BL$4="mid",W90,X90)-$BN$9*(IF($BL$4="mid",N90,O90)+IF($BL$4="mid",DL90,L90))</f>
        <v>-5177.44888625726</v>
      </c>
      <c r="BD90" s="772" t="n">
        <f aca="false">Y90-IF($BL$4="mid",Z90,AA90)</f>
        <v>29484.8514003665</v>
      </c>
      <c r="BE90" s="772" t="n">
        <f aca="false">AB90-IF($BL$4="mid",AC90,AD90)</f>
        <v>-3693.73033854307</v>
      </c>
      <c r="BF90" s="772" t="n">
        <f aca="false">AE90-IF($BL$4="mid",AF90,AG90)</f>
        <v>8675.18528130534</v>
      </c>
      <c r="BG90" s="772" t="n">
        <f aca="false">AH90-IF($BL$4="mid",AI90,AJ90)</f>
        <v>21404.332467757</v>
      </c>
      <c r="BH90" s="772" t="n">
        <f aca="false">-IF($BL$4="mid",AK90,AL90)</f>
        <v>-287797.385290827</v>
      </c>
      <c r="BI90" s="772" t="n">
        <f aca="false">-IF($BL$4="mid",AM90,AN90)</f>
        <v>-55221.25</v>
      </c>
      <c r="BL90" s="772" t="n">
        <f aca="false">BW90-IF($BL$4="mid",Q90,R90)-$BL$9*(IF($BL$4="mid",N90,O90)+IF($BL$4="mid",DL90,L90))</f>
        <v>719584.874060549</v>
      </c>
      <c r="BM90" s="772" t="n">
        <f aca="false">BX90-IF($BL$4="mid",T90,U90)-$BM$9*(IF($BL$4="mid",N90,O90)+IF($BL$4="mid",DL90,L90))</f>
        <v>-12923.9435605466</v>
      </c>
      <c r="BN90" s="772" t="n">
        <f aca="false">BY90-IF($BL$4="mid",W90,X90)-$BN$9*(IF($BL$4="mid",N90,O90)+IF($BL$4="mid",DL90,L90))</f>
        <v>-2491.0305289255</v>
      </c>
      <c r="BO90" s="772" t="n">
        <f aca="false">BZ90-IF($BL$4="mid",Z90,AA90)</f>
        <v>49026.0309220803</v>
      </c>
      <c r="BP90" s="772" t="n">
        <f aca="false">CA90-IF($BL$4="mid",AC90,AD90)</f>
        <v>14285.6357849742</v>
      </c>
      <c r="BQ90" s="772" t="n">
        <f aca="false">CB90-IF($BL$4="mid",AF90,AG90)</f>
        <v>22316.4729188704</v>
      </c>
      <c r="BR90" s="772" t="n">
        <f aca="false">CC90-IF($BL$4="mid",AI90,AJ90)</f>
        <v>22302.1995657957</v>
      </c>
      <c r="BS90" s="772" t="n">
        <f aca="false">-IF($BL$4="mid",AK90,AL90)</f>
        <v>-287797.385290827</v>
      </c>
      <c r="BT90" s="772" t="n">
        <f aca="false">-IF($BL$4="mid",AM90,AN90)</f>
        <v>-55221.25</v>
      </c>
      <c r="BW90" s="872" t="n">
        <f aca="false">Breakout!$I$15/12</f>
        <v>3741684.62555267</v>
      </c>
      <c r="BX90" s="872" t="n">
        <f aca="false">Breakout!$I$26/12</f>
        <v>132564.274219089</v>
      </c>
      <c r="BY90" s="872" t="n">
        <f aca="false">Breakout!$I$37/12</f>
        <v>66728.1811008606</v>
      </c>
      <c r="BZ90" s="872" t="n">
        <f aca="false">Breakout!$I$48/12</f>
        <v>485385.071349977</v>
      </c>
      <c r="CA90" s="872" t="n">
        <f aca="false">Breakout!$I$59/12</f>
        <v>446591.051425195</v>
      </c>
      <c r="CB90" s="872" t="n">
        <f aca="false">Breakout!$I$70/12</f>
        <v>338837.139585537</v>
      </c>
      <c r="CC90" s="872" t="n">
        <f aca="false">Breakout!$I$81/12</f>
        <v>22302.1995657957</v>
      </c>
      <c r="CE90" s="852" t="n">
        <f aca="false">P90/0.96</f>
        <v>3740674.65289638</v>
      </c>
      <c r="CF90" s="852" t="n">
        <f aca="false">S90/0.96</f>
        <v>132528.491862862</v>
      </c>
      <c r="CG90" s="852" t="n">
        <f aca="false">V90/0.96</f>
        <v>66710.1695245092</v>
      </c>
      <c r="CI90" s="852" t="n">
        <f aca="false">N90</f>
        <v>-715341.083333333</v>
      </c>
      <c r="CJ90" s="852" t="n">
        <f aca="false">O90</f>
        <v>-705333.333333333</v>
      </c>
      <c r="CL90" s="772" t="n">
        <f aca="false">'account mgt'!$I$23/12</f>
        <v>-55463.499148752</v>
      </c>
      <c r="CN90" s="772" t="n">
        <v>0</v>
      </c>
      <c r="CT90" s="772" t="e">
        <f aca="false">CW89</f>
        <v>#VALUE!</v>
      </c>
      <c r="CU90" s="772" t="e">
        <f aca="false">IF(CT90&lt;0.1,0,CT90*$L$3)</f>
        <v>#VALUE!</v>
      </c>
      <c r="CV90" s="772" t="e">
        <f aca="false">IF(CT90&lt;0.1,0,PPMT($L$3,A90-14,unwinds!$B$8*12,$K$5))</f>
        <v>#VALUE!</v>
      </c>
      <c r="CW90" s="772" t="e">
        <f aca="false">IF(CT90-CV90&lt;0,0,CT90-CV90)</f>
        <v>#VALUE!</v>
      </c>
      <c r="CX90" s="772" t="e">
        <f aca="false">IF(CX89-CV90&lt;0,0,CX89-CV90)</f>
        <v>#VALUE!</v>
      </c>
      <c r="DA90" s="772" t="n">
        <f aca="false">DD89</f>
        <v>17651239.850012</v>
      </c>
      <c r="DB90" s="772" t="n">
        <f aca="false">DA90*$L$3</f>
        <v>139297.701149678</v>
      </c>
      <c r="DC90" s="772" t="n">
        <f aca="false">PPMT($L$3,A90-14,106,$K$5)</f>
        <v>356100.370521936</v>
      </c>
      <c r="DD90" s="772" t="n">
        <f aca="false">DA90-DC90</f>
        <v>17295139.4794901</v>
      </c>
      <c r="DE90" s="772" t="n">
        <f aca="false">DE89-DC90</f>
        <v>17295139.4794901</v>
      </c>
      <c r="DH90" s="417" t="n">
        <v>-715341.083333333</v>
      </c>
      <c r="DI90" s="417" t="n">
        <v>-705333.333333333</v>
      </c>
      <c r="DJ90" s="417"/>
      <c r="DL90" s="417" t="n">
        <f aca="false">PMT($J$3,106,$I$5,,1)</f>
        <v>474832.92700925</v>
      </c>
      <c r="DN90" s="417" t="n">
        <f aca="false">IF($BL$4="mid",DH90,DI90)</f>
        <v>-715341.083333333</v>
      </c>
      <c r="DO90" s="417" t="n">
        <f aca="false">IF($BL$4="mid",DL90,L90)</f>
        <v>474832.92700925</v>
      </c>
      <c r="DQ90" s="772" t="n">
        <f aca="false">BW90-IF($BL$4="mid",Q90,R90)</f>
        <v>491102.12555267</v>
      </c>
      <c r="DR90" s="772" t="n">
        <f aca="false">BX90-IF($BL$4="mid",T90,U90)</f>
        <v>-24949.3513767508</v>
      </c>
      <c r="DS90" s="772"/>
      <c r="DT90" s="772"/>
      <c r="DU90" s="772"/>
      <c r="DV90" s="772"/>
      <c r="DW90" s="772"/>
      <c r="DX90" s="772"/>
    </row>
    <row r="91" customFormat="false" ht="12.75" hidden="false" customHeight="false" outlineLevel="0" collapsed="false">
      <c r="A91" s="767" t="n">
        <v>80</v>
      </c>
      <c r="B91" s="854" t="n">
        <v>38930</v>
      </c>
      <c r="C91" s="417" t="n">
        <v>0</v>
      </c>
      <c r="D91" s="417" t="n">
        <v>0</v>
      </c>
      <c r="E91" s="417" t="n">
        <v>0</v>
      </c>
      <c r="F91" s="417" t="n">
        <v>135418.795729344</v>
      </c>
      <c r="G91" s="417" t="n">
        <v>356100.370521939</v>
      </c>
      <c r="H91" s="417" t="n">
        <v>0</v>
      </c>
      <c r="I91" s="417" t="n">
        <v>491519.166251284</v>
      </c>
      <c r="J91" s="417"/>
      <c r="K91" s="417"/>
      <c r="L91" s="417" t="n">
        <f aca="false">PMT($L$3,106,$K$5,,1)</f>
        <v>491519.166251281</v>
      </c>
      <c r="M91" s="417"/>
      <c r="N91" s="850" t="n">
        <f aca="false">IF(A91&lt;$B$8,0,-$R$5/12)</f>
        <v>-715341.083333333</v>
      </c>
      <c r="O91" s="850" t="n">
        <f aca="false">IF(A91&lt;$B$8,0,-$S$5/12)</f>
        <v>-705333.333333333</v>
      </c>
      <c r="P91" s="872" t="n">
        <f aca="false">Breakout!$I$16/12</f>
        <v>3591047.66678052</v>
      </c>
      <c r="Q91" s="770" t="n">
        <f aca="false">'wholesale services'!$D$110*'wholesale services'!$J$111/12</f>
        <v>3250582.5</v>
      </c>
      <c r="R91" s="770" t="n">
        <v>3320487.5</v>
      </c>
      <c r="S91" s="872" t="n">
        <f aca="false">Breakout!$I$27/12</f>
        <v>127227.352188348</v>
      </c>
      <c r="T91" s="770" t="n">
        <f aca="false">'wholesale services'!$D$113*'wholesale services'!$J$114/12</f>
        <v>157513.62559584</v>
      </c>
      <c r="U91" s="770" t="n">
        <v>160728.18938351</v>
      </c>
      <c r="V91" s="872" t="n">
        <f aca="false">Breakout!$I$38/12</f>
        <v>64041.7627435289</v>
      </c>
      <c r="W91" s="431" t="n">
        <f aca="false">Breakout!$I$39/12</f>
        <v>69219.2116297861</v>
      </c>
      <c r="X91" s="431" t="n">
        <v>69963.5042279559</v>
      </c>
      <c r="Y91" s="872" t="n">
        <f aca="false">Breakout!$I$49/12</f>
        <v>465843.891828263</v>
      </c>
      <c r="Z91" s="873" t="n">
        <f aca="false">Breakout!$I$50/12</f>
        <v>436359.040427897</v>
      </c>
      <c r="AA91" s="873" t="n">
        <v>458364.84689474</v>
      </c>
      <c r="AB91" s="872" t="n">
        <f aca="false">Breakout!$I$60/12</f>
        <v>428611.685301678</v>
      </c>
      <c r="AC91" s="873" t="n">
        <f aca="false">Breakout!$I$61/12</f>
        <v>432305.415640221</v>
      </c>
      <c r="AD91" s="873" t="n">
        <v>445784.871807177</v>
      </c>
      <c r="AE91" s="872" t="n">
        <f aca="false">Breakout!$I$71/12</f>
        <v>325195.851947972</v>
      </c>
      <c r="AF91" s="873" t="n">
        <f aca="false">Breakout!$I$72/12</f>
        <v>316520.666666667</v>
      </c>
      <c r="AG91" s="873" t="n">
        <v>316520.666666667</v>
      </c>
      <c r="AH91" s="872" t="n">
        <f aca="false">Breakout!$I$82/12</f>
        <v>21404.332467757</v>
      </c>
      <c r="AI91" s="873" t="n">
        <f aca="false">Breakout!$I$83/12</f>
        <v>0</v>
      </c>
      <c r="AJ91" s="873" t="n">
        <v>0</v>
      </c>
      <c r="AK91" s="874" t="n">
        <f aca="false">Breakout!$I$91/12</f>
        <v>287797.385290827</v>
      </c>
      <c r="AL91" s="874" t="n">
        <v>287797.385290827</v>
      </c>
      <c r="AM91" s="773" t="n">
        <f aca="false">(Breakout!$I$107/12)*-1</f>
        <v>55221.25</v>
      </c>
      <c r="AN91" s="773" t="n">
        <v>55221.25</v>
      </c>
      <c r="AO91" s="774" t="n">
        <f aca="false">(P91+S91+V91)+Y91+AB91+AE91+AH91</f>
        <v>5023372.54325807</v>
      </c>
      <c r="AP91" s="774" t="n">
        <f aca="false">Q91+T91+W91+AA91+AD91+AG91+AJ91+AL91+AN91</f>
        <v>5041004.35788504</v>
      </c>
      <c r="AQ91" s="775" t="n">
        <f aca="false">P91+S91+V91+Y91+AB91+AE91+AH91-Q91-T91-W91-Z91-AC91-AF91-AI91-AK91-AM91-DH91-DL91-CN91</f>
        <v>258361.604330916</v>
      </c>
      <c r="AR91" s="431"/>
      <c r="AS91" s="776" t="n">
        <f aca="false">P91+S91+V91+Y91+AB91+AE91+AH91-R91-U91-X91-AA91-AD91-AG91-AJ91-AL91-AN91-O91-L91-CN91</f>
        <v>122318.496069245</v>
      </c>
      <c r="AT91" s="431"/>
      <c r="AU91" s="770" t="n">
        <f aca="false">'wholesale services'!$J$110/12</f>
        <v>39106610.7060185</v>
      </c>
      <c r="AV91" s="770" t="n">
        <f aca="false">'wholesale services'!$J$113/12</f>
        <v>17613.2558333333</v>
      </c>
      <c r="AW91" s="431"/>
      <c r="AX91" s="851" t="n">
        <f aca="false">IF(A91&lt;$AX$6,0,-$R$5/12)</f>
        <v>-715341.083333333</v>
      </c>
      <c r="AY91" s="417" t="n">
        <f aca="false">IF(A91&lt;$AX$6,0,-$S$5/12)</f>
        <v>-705333.333333333</v>
      </c>
      <c r="AZ91" s="431"/>
      <c r="BA91" s="772" t="n">
        <f aca="false">P91-IF($BL$4="mid",Q91,R91)-$BL$9*(IF($BL$4="mid",N91,O91)+IF($BL$4="mid",DL91,L91))</f>
        <v>568947.915288402</v>
      </c>
      <c r="BB91" s="772" t="n">
        <f aca="false">S91-IF($BL$4="mid",T91,U91)-$BM$9*(IF($BL$4="mid",N91,O91)+IF($BL$4="mid",DL91,L91))</f>
        <v>-18260.8655912885</v>
      </c>
      <c r="BC91" s="772" t="n">
        <f aca="false">V91-IF($BL$4="mid",W91,X91)-$BN$9*(IF($BL$4="mid",N91,O91)+IF($BL$4="mid",DL91,L91))</f>
        <v>-5177.44888625726</v>
      </c>
      <c r="BD91" s="772" t="n">
        <f aca="false">Y91-IF($BL$4="mid",Z91,AA91)</f>
        <v>29484.8514003665</v>
      </c>
      <c r="BE91" s="772" t="n">
        <f aca="false">AB91-IF($BL$4="mid",AC91,AD91)</f>
        <v>-3693.73033854307</v>
      </c>
      <c r="BF91" s="772" t="n">
        <f aca="false">AE91-IF($BL$4="mid",AF91,AG91)</f>
        <v>8675.18528130534</v>
      </c>
      <c r="BG91" s="772" t="n">
        <f aca="false">AH91-IF($BL$4="mid",AI91,AJ91)</f>
        <v>21404.332467757</v>
      </c>
      <c r="BH91" s="772" t="n">
        <f aca="false">-IF($BL$4="mid",AK91,AL91)</f>
        <v>-287797.385290827</v>
      </c>
      <c r="BI91" s="772" t="n">
        <f aca="false">-IF($BL$4="mid",AM91,AN91)</f>
        <v>-55221.25</v>
      </c>
      <c r="BL91" s="772" t="n">
        <f aca="false">BW91-IF($BL$4="mid",Q91,R91)-$BL$9*(IF($BL$4="mid",N91,O91)+IF($BL$4="mid",DL91,L91))</f>
        <v>719584.874060549</v>
      </c>
      <c r="BM91" s="772" t="n">
        <f aca="false">BX91-IF($BL$4="mid",T91,U91)-$BM$9*(IF($BL$4="mid",N91,O91)+IF($BL$4="mid",DL91,L91))</f>
        <v>-12923.9435605466</v>
      </c>
      <c r="BN91" s="772" t="n">
        <f aca="false">BY91-IF($BL$4="mid",W91,X91)-$BN$9*(IF($BL$4="mid",N91,O91)+IF($BL$4="mid",DL91,L91))</f>
        <v>-2491.0305289255</v>
      </c>
      <c r="BO91" s="772" t="n">
        <f aca="false">BZ91-IF($BL$4="mid",Z91,AA91)</f>
        <v>49026.0309220803</v>
      </c>
      <c r="BP91" s="772" t="n">
        <f aca="false">CA91-IF($BL$4="mid",AC91,AD91)</f>
        <v>14285.6357849742</v>
      </c>
      <c r="BQ91" s="772" t="n">
        <f aca="false">CB91-IF($BL$4="mid",AF91,AG91)</f>
        <v>22316.4729188704</v>
      </c>
      <c r="BR91" s="772" t="n">
        <f aca="false">CC91-IF($BL$4="mid",AI91,AJ91)</f>
        <v>22302.1995657957</v>
      </c>
      <c r="BS91" s="772" t="n">
        <f aca="false">-IF($BL$4="mid",AK91,AL91)</f>
        <v>-287797.385290827</v>
      </c>
      <c r="BT91" s="772" t="n">
        <f aca="false">-IF($BL$4="mid",AM91,AN91)</f>
        <v>-55221.25</v>
      </c>
      <c r="BW91" s="872" t="n">
        <f aca="false">Breakout!$I$15/12</f>
        <v>3741684.62555267</v>
      </c>
      <c r="BX91" s="872" t="n">
        <f aca="false">Breakout!$I$26/12</f>
        <v>132564.274219089</v>
      </c>
      <c r="BY91" s="872" t="n">
        <f aca="false">Breakout!$I$37/12</f>
        <v>66728.1811008606</v>
      </c>
      <c r="BZ91" s="872" t="n">
        <f aca="false">Breakout!$I$48/12</f>
        <v>485385.071349977</v>
      </c>
      <c r="CA91" s="872" t="n">
        <f aca="false">Breakout!$I$59/12</f>
        <v>446591.051425195</v>
      </c>
      <c r="CB91" s="872" t="n">
        <f aca="false">Breakout!$I$70/12</f>
        <v>338837.139585537</v>
      </c>
      <c r="CC91" s="872" t="n">
        <f aca="false">Breakout!$I$81/12</f>
        <v>22302.1995657957</v>
      </c>
      <c r="CE91" s="852" t="n">
        <f aca="false">P91/0.96</f>
        <v>3740674.65289638</v>
      </c>
      <c r="CF91" s="852" t="n">
        <f aca="false">S91/0.96</f>
        <v>132528.491862862</v>
      </c>
      <c r="CG91" s="852" t="n">
        <f aca="false">V91/0.96</f>
        <v>66710.1695245092</v>
      </c>
      <c r="CI91" s="852" t="n">
        <f aca="false">N91</f>
        <v>-715341.083333333</v>
      </c>
      <c r="CJ91" s="852" t="n">
        <f aca="false">O91</f>
        <v>-705333.333333333</v>
      </c>
      <c r="CL91" s="772" t="n">
        <f aca="false">'account mgt'!$I$23/12</f>
        <v>-55463.499148752</v>
      </c>
      <c r="CN91" s="772" t="n">
        <v>0</v>
      </c>
      <c r="CT91" s="772" t="e">
        <f aca="false">CW90</f>
        <v>#VALUE!</v>
      </c>
      <c r="CU91" s="772" t="e">
        <f aca="false">IF(CT91&lt;0.1,0,CT91*$L$3)</f>
        <v>#VALUE!</v>
      </c>
      <c r="CV91" s="772" t="e">
        <f aca="false">IF(CT91&lt;0.1,0,PPMT($L$3,A91-14,unwinds!$B$8*12,$K$5))</f>
        <v>#VALUE!</v>
      </c>
      <c r="CW91" s="772" t="e">
        <f aca="false">IF(CT91-CV91&lt;0,0,CT91-CV91)</f>
        <v>#VALUE!</v>
      </c>
      <c r="CX91" s="772" t="e">
        <f aca="false">IF(CX90-CV91&lt;0,0,CX90-CV91)</f>
        <v>#VALUE!</v>
      </c>
      <c r="DA91" s="772" t="n">
        <f aca="false">DD90</f>
        <v>17295139.4794901</v>
      </c>
      <c r="DB91" s="772" t="n">
        <f aca="false">DA91*$L$3</f>
        <v>136487.475725642</v>
      </c>
      <c r="DC91" s="772" t="n">
        <f aca="false">PPMT($L$3,A91-14,106,$K$5)</f>
        <v>358910.595945971</v>
      </c>
      <c r="DD91" s="772" t="n">
        <f aca="false">DA91-DC91</f>
        <v>16936228.8835441</v>
      </c>
      <c r="DE91" s="772" t="n">
        <f aca="false">DE90-DC91</f>
        <v>16936228.8835441</v>
      </c>
      <c r="DH91" s="417" t="n">
        <v>-715341.083333333</v>
      </c>
      <c r="DI91" s="417" t="n">
        <v>-705333.333333333</v>
      </c>
      <c r="DJ91" s="417"/>
      <c r="DL91" s="417" t="n">
        <f aca="false">PMT($J$3,106,$I$5,,1)</f>
        <v>474832.92700925</v>
      </c>
      <c r="DN91" s="417" t="n">
        <f aca="false">IF($BL$4="mid",DH91,DI91)</f>
        <v>-715341.083333333</v>
      </c>
      <c r="DO91" s="417" t="n">
        <f aca="false">IF($BL$4="mid",DL91,L91)</f>
        <v>474832.92700925</v>
      </c>
      <c r="DQ91" s="772" t="n">
        <f aca="false">BW91-IF($BL$4="mid",Q91,R91)</f>
        <v>491102.12555267</v>
      </c>
      <c r="DR91" s="772" t="n">
        <f aca="false">BX91-IF($BL$4="mid",T91,U91)</f>
        <v>-24949.3513767508</v>
      </c>
      <c r="DS91" s="772"/>
      <c r="DT91" s="772"/>
      <c r="DU91" s="772"/>
      <c r="DV91" s="772"/>
      <c r="DW91" s="772"/>
      <c r="DX91" s="772"/>
    </row>
    <row r="92" customFormat="false" ht="12.75" hidden="false" customHeight="false" outlineLevel="0" collapsed="false">
      <c r="A92" s="767" t="n">
        <v>81</v>
      </c>
      <c r="B92" s="854" t="n">
        <v>38961</v>
      </c>
      <c r="C92" s="417" t="n">
        <v>0</v>
      </c>
      <c r="D92" s="417" t="n">
        <v>0</v>
      </c>
      <c r="E92" s="417" t="n">
        <v>0</v>
      </c>
      <c r="F92" s="417" t="n">
        <v>132608.570305309</v>
      </c>
      <c r="G92" s="417" t="n">
        <v>358910.595945975</v>
      </c>
      <c r="H92" s="417" t="n">
        <v>0</v>
      </c>
      <c r="I92" s="417" t="n">
        <v>491519.166251284</v>
      </c>
      <c r="J92" s="417"/>
      <c r="K92" s="417"/>
      <c r="L92" s="417" t="n">
        <f aca="false">PMT($L$3,106,$K$5,,1)</f>
        <v>491519.166251281</v>
      </c>
      <c r="M92" s="417"/>
      <c r="N92" s="850" t="n">
        <f aca="false">IF(A92&lt;$B$8,0,-$R$5/12)</f>
        <v>-715341.083333333</v>
      </c>
      <c r="O92" s="850" t="n">
        <f aca="false">IF(A92&lt;$B$8,0,-$S$5/12)</f>
        <v>-705333.333333333</v>
      </c>
      <c r="P92" s="872" t="n">
        <f aca="false">Breakout!$I$16/12</f>
        <v>3591047.66678052</v>
      </c>
      <c r="Q92" s="770" t="n">
        <f aca="false">'wholesale services'!$D$110*'wholesale services'!$J$111/12</f>
        <v>3250582.5</v>
      </c>
      <c r="R92" s="770" t="n">
        <v>3320487.5</v>
      </c>
      <c r="S92" s="872" t="n">
        <f aca="false">Breakout!$I$27/12</f>
        <v>127227.352188348</v>
      </c>
      <c r="T92" s="770" t="n">
        <f aca="false">'wholesale services'!$D$113*'wholesale services'!$J$114/12</f>
        <v>157513.62559584</v>
      </c>
      <c r="U92" s="770" t="n">
        <v>160728.18938351</v>
      </c>
      <c r="V92" s="872" t="n">
        <f aca="false">Breakout!$I$38/12</f>
        <v>64041.7627435289</v>
      </c>
      <c r="W92" s="431" t="n">
        <f aca="false">Breakout!$I$39/12</f>
        <v>69219.2116297861</v>
      </c>
      <c r="X92" s="431" t="n">
        <v>69963.5042279559</v>
      </c>
      <c r="Y92" s="872" t="n">
        <f aca="false">Breakout!$I$49/12</f>
        <v>465843.891828263</v>
      </c>
      <c r="Z92" s="873" t="n">
        <f aca="false">Breakout!$I$50/12</f>
        <v>436359.040427897</v>
      </c>
      <c r="AA92" s="873" t="n">
        <v>458364.84689474</v>
      </c>
      <c r="AB92" s="872" t="n">
        <f aca="false">Breakout!$I$60/12</f>
        <v>428611.685301678</v>
      </c>
      <c r="AC92" s="873" t="n">
        <f aca="false">Breakout!$I$61/12</f>
        <v>432305.415640221</v>
      </c>
      <c r="AD92" s="873" t="n">
        <v>445784.871807177</v>
      </c>
      <c r="AE92" s="872" t="n">
        <f aca="false">Breakout!$I$71/12</f>
        <v>325195.851947972</v>
      </c>
      <c r="AF92" s="873" t="n">
        <f aca="false">Breakout!$I$72/12</f>
        <v>316520.666666667</v>
      </c>
      <c r="AG92" s="873" t="n">
        <v>316520.666666667</v>
      </c>
      <c r="AH92" s="872" t="n">
        <f aca="false">Breakout!$I$82/12</f>
        <v>21404.332467757</v>
      </c>
      <c r="AI92" s="873" t="n">
        <f aca="false">Breakout!$I$83/12</f>
        <v>0</v>
      </c>
      <c r="AJ92" s="873" t="n">
        <v>0</v>
      </c>
      <c r="AK92" s="874" t="n">
        <f aca="false">Breakout!$I$91/12</f>
        <v>287797.385290827</v>
      </c>
      <c r="AL92" s="874" t="n">
        <v>287797.385290827</v>
      </c>
      <c r="AM92" s="773" t="n">
        <f aca="false">(Breakout!$I$107/12)*-1</f>
        <v>55221.25</v>
      </c>
      <c r="AN92" s="773" t="n">
        <v>55221.25</v>
      </c>
      <c r="AO92" s="774" t="n">
        <f aca="false">(P92+S92+V92)+Y92+AB92+AE92+AH92</f>
        <v>5023372.54325807</v>
      </c>
      <c r="AP92" s="774" t="n">
        <f aca="false">Q92+T92+W92+AA92+AD92+AG92+AJ92+AL92+AN92</f>
        <v>5041004.35788504</v>
      </c>
      <c r="AQ92" s="775" t="n">
        <f aca="false">P92+S92+V92+Y92+AB92+AE92+AH92-Q92-T92-W92-Z92-AC92-AF92-AI92-AK92-AM92-DH92-DL92-CN92</f>
        <v>258361.604330916</v>
      </c>
      <c r="AR92" s="431"/>
      <c r="AS92" s="776" t="n">
        <f aca="false">P92+S92+V92+Y92+AB92+AE92+AH92-R92-U92-X92-AA92-AD92-AG92-AJ92-AL92-AN92-O92-L92-CN92</f>
        <v>122318.496069245</v>
      </c>
      <c r="AT92" s="431"/>
      <c r="AU92" s="770" t="n">
        <f aca="false">'wholesale services'!$J$110/12</f>
        <v>39106610.7060185</v>
      </c>
      <c r="AV92" s="770" t="n">
        <f aca="false">'wholesale services'!$J$113/12</f>
        <v>17613.2558333333</v>
      </c>
      <c r="AW92" s="431"/>
      <c r="AX92" s="851" t="n">
        <f aca="false">IF(A92&lt;$AX$6,0,-$R$5/12)</f>
        <v>-715341.083333333</v>
      </c>
      <c r="AY92" s="417" t="n">
        <f aca="false">IF(A92&lt;$AX$6,0,-$S$5/12)</f>
        <v>-705333.333333333</v>
      </c>
      <c r="AZ92" s="431"/>
      <c r="BA92" s="772" t="n">
        <f aca="false">P92-IF($BL$4="mid",Q92,R92)-$BL$9*(IF($BL$4="mid",N92,O92)+IF($BL$4="mid",DL92,L92))</f>
        <v>568947.915288402</v>
      </c>
      <c r="BB92" s="772" t="n">
        <f aca="false">S92-IF($BL$4="mid",T92,U92)-$BM$9*(IF($BL$4="mid",N92,O92)+IF($BL$4="mid",DL92,L92))</f>
        <v>-18260.8655912885</v>
      </c>
      <c r="BC92" s="772" t="n">
        <f aca="false">V92-IF($BL$4="mid",W92,X92)-$BN$9*(IF($BL$4="mid",N92,O92)+IF($BL$4="mid",DL92,L92))</f>
        <v>-5177.44888625726</v>
      </c>
      <c r="BD92" s="772" t="n">
        <f aca="false">Y92-IF($BL$4="mid",Z92,AA92)</f>
        <v>29484.8514003665</v>
      </c>
      <c r="BE92" s="772" t="n">
        <f aca="false">AB92-IF($BL$4="mid",AC92,AD92)</f>
        <v>-3693.73033854307</v>
      </c>
      <c r="BF92" s="772" t="n">
        <f aca="false">AE92-IF($BL$4="mid",AF92,AG92)</f>
        <v>8675.18528130534</v>
      </c>
      <c r="BG92" s="772" t="n">
        <f aca="false">AH92-IF($BL$4="mid",AI92,AJ92)</f>
        <v>21404.332467757</v>
      </c>
      <c r="BH92" s="772" t="n">
        <f aca="false">-IF($BL$4="mid",AK92,AL92)</f>
        <v>-287797.385290827</v>
      </c>
      <c r="BI92" s="772" t="n">
        <f aca="false">-IF($BL$4="mid",AM92,AN92)</f>
        <v>-55221.25</v>
      </c>
      <c r="BL92" s="772" t="n">
        <f aca="false">BW92-IF($BL$4="mid",Q92,R92)-$BL$9*(IF($BL$4="mid",N92,O92)+IF($BL$4="mid",DL92,L92))</f>
        <v>719584.874060549</v>
      </c>
      <c r="BM92" s="772" t="n">
        <f aca="false">BX92-IF($BL$4="mid",T92,U92)-$BM$9*(IF($BL$4="mid",N92,O92)+IF($BL$4="mid",DL92,L92))</f>
        <v>-12923.9435605466</v>
      </c>
      <c r="BN92" s="772" t="n">
        <f aca="false">BY92-IF($BL$4="mid",W92,X92)-$BN$9*(IF($BL$4="mid",N92,O92)+IF($BL$4="mid",DL92,L92))</f>
        <v>-2491.0305289255</v>
      </c>
      <c r="BO92" s="772" t="n">
        <f aca="false">BZ92-IF($BL$4="mid",Z92,AA92)</f>
        <v>49026.0309220803</v>
      </c>
      <c r="BP92" s="772" t="n">
        <f aca="false">CA92-IF($BL$4="mid",AC92,AD92)</f>
        <v>14285.6357849742</v>
      </c>
      <c r="BQ92" s="772" t="n">
        <f aca="false">CB92-IF($BL$4="mid",AF92,AG92)</f>
        <v>22316.4729188704</v>
      </c>
      <c r="BR92" s="772" t="n">
        <f aca="false">CC92-IF($BL$4="mid",AI92,AJ92)</f>
        <v>22302.1995657957</v>
      </c>
      <c r="BS92" s="772" t="n">
        <f aca="false">-IF($BL$4="mid",AK92,AL92)</f>
        <v>-287797.385290827</v>
      </c>
      <c r="BT92" s="772" t="n">
        <f aca="false">-IF($BL$4="mid",AM92,AN92)</f>
        <v>-55221.25</v>
      </c>
      <c r="BW92" s="872" t="n">
        <f aca="false">Breakout!$I$15/12</f>
        <v>3741684.62555267</v>
      </c>
      <c r="BX92" s="872" t="n">
        <f aca="false">Breakout!$I$26/12</f>
        <v>132564.274219089</v>
      </c>
      <c r="BY92" s="872" t="n">
        <f aca="false">Breakout!$I$37/12</f>
        <v>66728.1811008606</v>
      </c>
      <c r="BZ92" s="872" t="n">
        <f aca="false">Breakout!$I$48/12</f>
        <v>485385.071349977</v>
      </c>
      <c r="CA92" s="872" t="n">
        <f aca="false">Breakout!$I$59/12</f>
        <v>446591.051425195</v>
      </c>
      <c r="CB92" s="872" t="n">
        <f aca="false">Breakout!$I$70/12</f>
        <v>338837.139585537</v>
      </c>
      <c r="CC92" s="872" t="n">
        <f aca="false">Breakout!$I$81/12</f>
        <v>22302.1995657957</v>
      </c>
      <c r="CE92" s="852" t="n">
        <f aca="false">P92/0.96</f>
        <v>3740674.65289638</v>
      </c>
      <c r="CF92" s="852" t="n">
        <f aca="false">S92/0.96</f>
        <v>132528.491862862</v>
      </c>
      <c r="CG92" s="852" t="n">
        <f aca="false">V92/0.96</f>
        <v>66710.1695245092</v>
      </c>
      <c r="CI92" s="852" t="n">
        <f aca="false">N92</f>
        <v>-715341.083333333</v>
      </c>
      <c r="CJ92" s="852" t="n">
        <f aca="false">O92</f>
        <v>-705333.333333333</v>
      </c>
      <c r="CL92" s="772" t="n">
        <f aca="false">'account mgt'!$I$23/12</f>
        <v>-55463.499148752</v>
      </c>
      <c r="CN92" s="772" t="n">
        <v>0</v>
      </c>
      <c r="CT92" s="772" t="e">
        <f aca="false">CW91</f>
        <v>#VALUE!</v>
      </c>
      <c r="CU92" s="772" t="e">
        <f aca="false">IF(CT92&lt;0.1,0,CT92*$L$3)</f>
        <v>#VALUE!</v>
      </c>
      <c r="CV92" s="772" t="e">
        <f aca="false">IF(CT92&lt;0.1,0,PPMT($L$3,A92-14,unwinds!$B$8*12,$K$5))</f>
        <v>#VALUE!</v>
      </c>
      <c r="CW92" s="772" t="e">
        <f aca="false">IF(CT92-CV92&lt;0,0,CT92-CV92)</f>
        <v>#VALUE!</v>
      </c>
      <c r="CX92" s="772" t="e">
        <f aca="false">IF(CX91-CV92&lt;0,0,CX91-CV92)</f>
        <v>#VALUE!</v>
      </c>
      <c r="DA92" s="772" t="n">
        <f aca="false">DD91</f>
        <v>16936228.8835441</v>
      </c>
      <c r="DB92" s="772" t="n">
        <f aca="false">DA92*$L$3</f>
        <v>133655.072939302</v>
      </c>
      <c r="DC92" s="772" t="n">
        <f aca="false">PPMT($L$3,A92-14,106,$K$5)</f>
        <v>361742.998732311</v>
      </c>
      <c r="DD92" s="772" t="n">
        <f aca="false">DA92-DC92</f>
        <v>16574485.8848118</v>
      </c>
      <c r="DE92" s="772" t="n">
        <f aca="false">DE91-DC92</f>
        <v>16574485.8848118</v>
      </c>
      <c r="DH92" s="417" t="n">
        <v>-715341.083333333</v>
      </c>
      <c r="DI92" s="417" t="n">
        <v>-705333.333333333</v>
      </c>
      <c r="DJ92" s="417"/>
      <c r="DL92" s="417" t="n">
        <f aca="false">PMT($J$3,106,$I$5,,1)</f>
        <v>474832.92700925</v>
      </c>
      <c r="DN92" s="417" t="n">
        <f aca="false">IF($BL$4="mid",DH92,DI92)</f>
        <v>-715341.083333333</v>
      </c>
      <c r="DO92" s="417" t="n">
        <f aca="false">IF($BL$4="mid",DL92,L92)</f>
        <v>474832.92700925</v>
      </c>
      <c r="DQ92" s="772" t="n">
        <f aca="false">BW92-IF($BL$4="mid",Q92,R92)</f>
        <v>491102.12555267</v>
      </c>
      <c r="DR92" s="772" t="n">
        <f aca="false">BX92-IF($BL$4="mid",T92,U92)</f>
        <v>-24949.3513767508</v>
      </c>
      <c r="DS92" s="772"/>
      <c r="DT92" s="772"/>
      <c r="DU92" s="772"/>
      <c r="DV92" s="772"/>
      <c r="DW92" s="772"/>
      <c r="DX92" s="772"/>
    </row>
    <row r="93" customFormat="false" ht="12.75" hidden="false" customHeight="false" outlineLevel="0" collapsed="false">
      <c r="A93" s="767" t="n">
        <v>82</v>
      </c>
      <c r="B93" s="854" t="n">
        <v>38991</v>
      </c>
      <c r="C93" s="417" t="n">
        <v>0</v>
      </c>
      <c r="D93" s="417" t="n">
        <v>0</v>
      </c>
      <c r="E93" s="417" t="n">
        <v>0</v>
      </c>
      <c r="F93" s="417" t="n">
        <v>129776.167518968</v>
      </c>
      <c r="G93" s="417" t="n">
        <v>361742.998732315</v>
      </c>
      <c r="H93" s="417" t="n">
        <v>0</v>
      </c>
      <c r="I93" s="417" t="n">
        <v>491519.166251284</v>
      </c>
      <c r="J93" s="417"/>
      <c r="K93" s="417"/>
      <c r="L93" s="417" t="n">
        <f aca="false">PMT($L$3,106,$K$5,,1)</f>
        <v>491519.166251281</v>
      </c>
      <c r="M93" s="417"/>
      <c r="N93" s="850" t="n">
        <f aca="false">IF(A93&lt;$B$8,0,-$R$5/12)</f>
        <v>-715341.083333333</v>
      </c>
      <c r="O93" s="850" t="n">
        <f aca="false">IF(A93&lt;$B$8,0,-$S$5/12)</f>
        <v>-705333.333333333</v>
      </c>
      <c r="P93" s="872" t="n">
        <f aca="false">Breakout!$I$16/12</f>
        <v>3591047.66678052</v>
      </c>
      <c r="Q93" s="770" t="n">
        <f aca="false">'wholesale services'!$D$110*'wholesale services'!$J$111/12</f>
        <v>3250582.5</v>
      </c>
      <c r="R93" s="770" t="n">
        <v>3320487.5</v>
      </c>
      <c r="S93" s="872" t="n">
        <f aca="false">Breakout!$I$27/12</f>
        <v>127227.352188348</v>
      </c>
      <c r="T93" s="770" t="n">
        <f aca="false">'wholesale services'!$D$113*'wholesale services'!$J$114/12</f>
        <v>157513.62559584</v>
      </c>
      <c r="U93" s="770" t="n">
        <v>160728.18938351</v>
      </c>
      <c r="V93" s="872" t="n">
        <f aca="false">Breakout!$I$38/12</f>
        <v>64041.7627435289</v>
      </c>
      <c r="W93" s="431" t="n">
        <f aca="false">Breakout!$I$39/12</f>
        <v>69219.2116297861</v>
      </c>
      <c r="X93" s="431" t="n">
        <v>69963.5042279559</v>
      </c>
      <c r="Y93" s="872" t="n">
        <f aca="false">Breakout!$I$49/12</f>
        <v>465843.891828263</v>
      </c>
      <c r="Z93" s="873" t="n">
        <f aca="false">Breakout!$I$50/12</f>
        <v>436359.040427897</v>
      </c>
      <c r="AA93" s="873" t="n">
        <v>458364.84689474</v>
      </c>
      <c r="AB93" s="872" t="n">
        <f aca="false">Breakout!$I$60/12</f>
        <v>428611.685301678</v>
      </c>
      <c r="AC93" s="873" t="n">
        <f aca="false">Breakout!$I$61/12</f>
        <v>432305.415640221</v>
      </c>
      <c r="AD93" s="873" t="n">
        <v>445784.871807177</v>
      </c>
      <c r="AE93" s="872" t="n">
        <f aca="false">Breakout!$I$71/12</f>
        <v>325195.851947972</v>
      </c>
      <c r="AF93" s="873" t="n">
        <f aca="false">Breakout!$I$72/12</f>
        <v>316520.666666667</v>
      </c>
      <c r="AG93" s="873" t="n">
        <v>316520.666666667</v>
      </c>
      <c r="AH93" s="872" t="n">
        <f aca="false">Breakout!$I$82/12</f>
        <v>21404.332467757</v>
      </c>
      <c r="AI93" s="873" t="n">
        <f aca="false">Breakout!$I$83/12</f>
        <v>0</v>
      </c>
      <c r="AJ93" s="873" t="n">
        <v>0</v>
      </c>
      <c r="AK93" s="874" t="n">
        <f aca="false">Breakout!$I$91/12</f>
        <v>287797.385290827</v>
      </c>
      <c r="AL93" s="874" t="n">
        <v>287797.385290827</v>
      </c>
      <c r="AM93" s="773" t="n">
        <f aca="false">(Breakout!$I$107/12)*-1</f>
        <v>55221.25</v>
      </c>
      <c r="AN93" s="773" t="n">
        <v>55221.25</v>
      </c>
      <c r="AO93" s="774" t="n">
        <f aca="false">(P93+S93+V93)+Y93+AB93+AE93+AH93</f>
        <v>5023372.54325807</v>
      </c>
      <c r="AP93" s="774" t="n">
        <f aca="false">Q93+T93+W93+AA93+AD93+AG93+AJ93+AL93+AN93</f>
        <v>5041004.35788504</v>
      </c>
      <c r="AQ93" s="775" t="n">
        <f aca="false">P93+S93+V93+Y93+AB93+AE93+AH93-Q93-T93-W93-Z93-AC93-AF93-AI93-AK93-AM93-DH93-DL93-CN93</f>
        <v>258361.604330916</v>
      </c>
      <c r="AR93" s="431"/>
      <c r="AS93" s="776" t="n">
        <f aca="false">P93+S93+V93+Y93+AB93+AE93+AH93-R93-U93-X93-AA93-AD93-AG93-AJ93-AL93-AN93-O93-L93-CN93</f>
        <v>122318.496069245</v>
      </c>
      <c r="AT93" s="431"/>
      <c r="AU93" s="770" t="n">
        <f aca="false">'wholesale services'!$J$110/12</f>
        <v>39106610.7060185</v>
      </c>
      <c r="AV93" s="770" t="n">
        <f aca="false">'wholesale services'!$J$113/12</f>
        <v>17613.2558333333</v>
      </c>
      <c r="AW93" s="431"/>
      <c r="AX93" s="851" t="n">
        <f aca="false">IF(A93&lt;$AX$6,0,-$R$5/12)</f>
        <v>-715341.083333333</v>
      </c>
      <c r="AY93" s="417" t="n">
        <f aca="false">IF(A93&lt;$AX$6,0,-$S$5/12)</f>
        <v>-705333.333333333</v>
      </c>
      <c r="AZ93" s="431"/>
      <c r="BA93" s="772" t="n">
        <f aca="false">P93-IF($BL$4="mid",Q93,R93)-$BL$9*(IF($BL$4="mid",N93,O93)+IF($BL$4="mid",DL93,L93))</f>
        <v>568947.915288402</v>
      </c>
      <c r="BB93" s="772" t="n">
        <f aca="false">S93-IF($BL$4="mid",T93,U93)-$BM$9*(IF($BL$4="mid",N93,O93)+IF($BL$4="mid",DL93,L93))</f>
        <v>-18260.8655912885</v>
      </c>
      <c r="BC93" s="772" t="n">
        <f aca="false">V93-IF($BL$4="mid",W93,X93)-$BN$9*(IF($BL$4="mid",N93,O93)+IF($BL$4="mid",DL93,L93))</f>
        <v>-5177.44888625726</v>
      </c>
      <c r="BD93" s="772" t="n">
        <f aca="false">Y93-IF($BL$4="mid",Z93,AA93)</f>
        <v>29484.8514003665</v>
      </c>
      <c r="BE93" s="772" t="n">
        <f aca="false">AB93-IF($BL$4="mid",AC93,AD93)</f>
        <v>-3693.73033854307</v>
      </c>
      <c r="BF93" s="772" t="n">
        <f aca="false">AE93-IF($BL$4="mid",AF93,AG93)</f>
        <v>8675.18528130534</v>
      </c>
      <c r="BG93" s="772" t="n">
        <f aca="false">AH93-IF($BL$4="mid",AI93,AJ93)</f>
        <v>21404.332467757</v>
      </c>
      <c r="BH93" s="772" t="n">
        <f aca="false">-IF($BL$4="mid",AK93,AL93)</f>
        <v>-287797.385290827</v>
      </c>
      <c r="BI93" s="772" t="n">
        <f aca="false">-IF($BL$4="mid",AM93,AN93)</f>
        <v>-55221.25</v>
      </c>
      <c r="BL93" s="772" t="n">
        <f aca="false">BW93-IF($BL$4="mid",Q93,R93)-$BL$9*(IF($BL$4="mid",N93,O93)+IF($BL$4="mid",DL93,L93))</f>
        <v>719584.874060549</v>
      </c>
      <c r="BM93" s="772" t="n">
        <f aca="false">BX93-IF($BL$4="mid",T93,U93)-$BM$9*(IF($BL$4="mid",N93,O93)+IF($BL$4="mid",DL93,L93))</f>
        <v>-12923.9435605466</v>
      </c>
      <c r="BN93" s="772" t="n">
        <f aca="false">BY93-IF($BL$4="mid",W93,X93)-$BN$9*(IF($BL$4="mid",N93,O93)+IF($BL$4="mid",DL93,L93))</f>
        <v>-2491.0305289255</v>
      </c>
      <c r="BO93" s="772" t="n">
        <f aca="false">BZ93-IF($BL$4="mid",Z93,AA93)</f>
        <v>49026.0309220803</v>
      </c>
      <c r="BP93" s="772" t="n">
        <f aca="false">CA93-IF($BL$4="mid",AC93,AD93)</f>
        <v>14285.6357849742</v>
      </c>
      <c r="BQ93" s="772" t="n">
        <f aca="false">CB93-IF($BL$4="mid",AF93,AG93)</f>
        <v>22316.4729188704</v>
      </c>
      <c r="BR93" s="772" t="n">
        <f aca="false">CC93-IF($BL$4="mid",AI93,AJ93)</f>
        <v>22302.1995657957</v>
      </c>
      <c r="BS93" s="772" t="n">
        <f aca="false">-IF($BL$4="mid",AK93,AL93)</f>
        <v>-287797.385290827</v>
      </c>
      <c r="BT93" s="772" t="n">
        <f aca="false">-IF($BL$4="mid",AM93,AN93)</f>
        <v>-55221.25</v>
      </c>
      <c r="BW93" s="872" t="n">
        <f aca="false">Breakout!$I$15/12</f>
        <v>3741684.62555267</v>
      </c>
      <c r="BX93" s="872" t="n">
        <f aca="false">Breakout!$I$26/12</f>
        <v>132564.274219089</v>
      </c>
      <c r="BY93" s="872" t="n">
        <f aca="false">Breakout!$I$37/12</f>
        <v>66728.1811008606</v>
      </c>
      <c r="BZ93" s="872" t="n">
        <f aca="false">Breakout!$I$48/12</f>
        <v>485385.071349977</v>
      </c>
      <c r="CA93" s="872" t="n">
        <f aca="false">Breakout!$I$59/12</f>
        <v>446591.051425195</v>
      </c>
      <c r="CB93" s="872" t="n">
        <f aca="false">Breakout!$I$70/12</f>
        <v>338837.139585537</v>
      </c>
      <c r="CC93" s="872" t="n">
        <f aca="false">Breakout!$I$81/12</f>
        <v>22302.1995657957</v>
      </c>
      <c r="CE93" s="852" t="n">
        <f aca="false">P93/0.96</f>
        <v>3740674.65289638</v>
      </c>
      <c r="CF93" s="852" t="n">
        <f aca="false">S93/0.96</f>
        <v>132528.491862862</v>
      </c>
      <c r="CG93" s="852" t="n">
        <f aca="false">V93/0.96</f>
        <v>66710.1695245092</v>
      </c>
      <c r="CI93" s="852" t="n">
        <f aca="false">N93</f>
        <v>-715341.083333333</v>
      </c>
      <c r="CJ93" s="852" t="n">
        <f aca="false">O93</f>
        <v>-705333.333333333</v>
      </c>
      <c r="CL93" s="772" t="n">
        <f aca="false">'account mgt'!$I$23/12</f>
        <v>-55463.499148752</v>
      </c>
      <c r="CN93" s="772" t="n">
        <v>0</v>
      </c>
      <c r="CT93" s="772" t="e">
        <f aca="false">CW92</f>
        <v>#VALUE!</v>
      </c>
      <c r="CU93" s="772" t="e">
        <f aca="false">IF(CT93&lt;0.1,0,CT93*$L$3)</f>
        <v>#VALUE!</v>
      </c>
      <c r="CV93" s="772" t="e">
        <f aca="false">IF(CT93&lt;0.1,0,PPMT($L$3,A93-14,unwinds!$B$8*12,$K$5))</f>
        <v>#VALUE!</v>
      </c>
      <c r="CW93" s="772" t="e">
        <f aca="false">IF(CT93-CV93&lt;0,0,CT93-CV93)</f>
        <v>#VALUE!</v>
      </c>
      <c r="CX93" s="772" t="e">
        <f aca="false">IF(CX92-CV93&lt;0,0,CX92-CV93)</f>
        <v>#VALUE!</v>
      </c>
      <c r="DA93" s="772" t="n">
        <f aca="false">DD92</f>
        <v>16574485.8848118</v>
      </c>
      <c r="DB93" s="772" t="n">
        <f aca="false">DA93*$L$3</f>
        <v>130800.317774306</v>
      </c>
      <c r="DC93" s="772" t="n">
        <f aca="false">PPMT($L$3,A93-14,106,$K$5)</f>
        <v>364597.753897307</v>
      </c>
      <c r="DD93" s="772" t="n">
        <f aca="false">DA93-DC93</f>
        <v>16209888.1309145</v>
      </c>
      <c r="DE93" s="772" t="n">
        <f aca="false">DE92-DC93</f>
        <v>16209888.1309145</v>
      </c>
      <c r="DH93" s="417" t="n">
        <v>-715341.083333333</v>
      </c>
      <c r="DI93" s="417" t="n">
        <v>-705333.333333333</v>
      </c>
      <c r="DJ93" s="417"/>
      <c r="DL93" s="417" t="n">
        <f aca="false">PMT($J$3,106,$I$5,,1)</f>
        <v>474832.92700925</v>
      </c>
      <c r="DN93" s="417" t="n">
        <f aca="false">IF($BL$4="mid",DH93,DI93)</f>
        <v>-715341.083333333</v>
      </c>
      <c r="DO93" s="417" t="n">
        <f aca="false">IF($BL$4="mid",DL93,L93)</f>
        <v>474832.92700925</v>
      </c>
      <c r="DQ93" s="772" t="n">
        <f aca="false">BW93-IF($BL$4="mid",Q93,R93)</f>
        <v>491102.12555267</v>
      </c>
      <c r="DR93" s="772" t="n">
        <f aca="false">BX93-IF($BL$4="mid",T93,U93)</f>
        <v>-24949.3513767508</v>
      </c>
      <c r="DS93" s="772"/>
      <c r="DT93" s="772"/>
      <c r="DU93" s="772"/>
      <c r="DV93" s="772"/>
      <c r="DW93" s="772"/>
      <c r="DX93" s="772"/>
    </row>
    <row r="94" customFormat="false" ht="12.75" hidden="false" customHeight="false" outlineLevel="0" collapsed="false">
      <c r="A94" s="767" t="n">
        <v>83</v>
      </c>
      <c r="B94" s="854" t="n">
        <v>39022</v>
      </c>
      <c r="C94" s="417" t="n">
        <v>0</v>
      </c>
      <c r="D94" s="417" t="n">
        <v>0</v>
      </c>
      <c r="E94" s="417" t="n">
        <v>0</v>
      </c>
      <c r="F94" s="417" t="n">
        <v>126921.412353973</v>
      </c>
      <c r="G94" s="417" t="n">
        <v>364597.753897311</v>
      </c>
      <c r="H94" s="417" t="n">
        <v>0</v>
      </c>
      <c r="I94" s="417" t="n">
        <v>491519.166251284</v>
      </c>
      <c r="J94" s="417"/>
      <c r="K94" s="417"/>
      <c r="L94" s="417" t="n">
        <f aca="false">PMT($L$3,106,$K$5,,1)</f>
        <v>491519.166251281</v>
      </c>
      <c r="M94" s="417"/>
      <c r="N94" s="850" t="n">
        <f aca="false">IF(A94&lt;$B$8,0,-$R$5/12)</f>
        <v>-715341.083333333</v>
      </c>
      <c r="O94" s="850" t="n">
        <f aca="false">IF(A94&lt;$B$8,0,-$S$5/12)</f>
        <v>-705333.333333333</v>
      </c>
      <c r="P94" s="872" t="n">
        <f aca="false">Breakout!$I$16/12</f>
        <v>3591047.66678052</v>
      </c>
      <c r="Q94" s="770" t="n">
        <f aca="false">'wholesale services'!$D$110*'wholesale services'!$J$111/12</f>
        <v>3250582.5</v>
      </c>
      <c r="R94" s="770" t="n">
        <v>3320487.5</v>
      </c>
      <c r="S94" s="872" t="n">
        <f aca="false">Breakout!$I$27/12</f>
        <v>127227.352188348</v>
      </c>
      <c r="T94" s="770" t="n">
        <f aca="false">'wholesale services'!$D$113*'wholesale services'!$J$114/12</f>
        <v>157513.62559584</v>
      </c>
      <c r="U94" s="770" t="n">
        <v>160728.18938351</v>
      </c>
      <c r="V94" s="872" t="n">
        <f aca="false">Breakout!$I$38/12</f>
        <v>64041.7627435289</v>
      </c>
      <c r="W94" s="431" t="n">
        <f aca="false">Breakout!$I$39/12</f>
        <v>69219.2116297861</v>
      </c>
      <c r="X94" s="431" t="n">
        <v>69963.5042279559</v>
      </c>
      <c r="Y94" s="872" t="n">
        <f aca="false">Breakout!$I$49/12</f>
        <v>465843.891828263</v>
      </c>
      <c r="Z94" s="873" t="n">
        <f aca="false">Breakout!$I$50/12</f>
        <v>436359.040427897</v>
      </c>
      <c r="AA94" s="873" t="n">
        <v>458364.84689474</v>
      </c>
      <c r="AB94" s="872" t="n">
        <f aca="false">Breakout!$I$60/12</f>
        <v>428611.685301678</v>
      </c>
      <c r="AC94" s="873" t="n">
        <f aca="false">Breakout!$I$61/12</f>
        <v>432305.415640221</v>
      </c>
      <c r="AD94" s="873" t="n">
        <v>445784.871807177</v>
      </c>
      <c r="AE94" s="872" t="n">
        <f aca="false">Breakout!$I$71/12</f>
        <v>325195.851947972</v>
      </c>
      <c r="AF94" s="873" t="n">
        <f aca="false">Breakout!$I$72/12</f>
        <v>316520.666666667</v>
      </c>
      <c r="AG94" s="873" t="n">
        <v>316520.666666667</v>
      </c>
      <c r="AH94" s="872" t="n">
        <f aca="false">Breakout!$I$82/12</f>
        <v>21404.332467757</v>
      </c>
      <c r="AI94" s="873" t="n">
        <f aca="false">Breakout!$I$83/12</f>
        <v>0</v>
      </c>
      <c r="AJ94" s="873" t="n">
        <v>0</v>
      </c>
      <c r="AK94" s="874" t="n">
        <f aca="false">Breakout!$I$91/12</f>
        <v>287797.385290827</v>
      </c>
      <c r="AL94" s="874" t="n">
        <v>287797.385290827</v>
      </c>
      <c r="AM94" s="773" t="n">
        <f aca="false">(Breakout!$I$107/12)*-1</f>
        <v>55221.25</v>
      </c>
      <c r="AN94" s="773" t="n">
        <v>55221.25</v>
      </c>
      <c r="AO94" s="774" t="n">
        <f aca="false">(P94+S94+V94)+Y94+AB94+AE94+AH94</f>
        <v>5023372.54325807</v>
      </c>
      <c r="AP94" s="774" t="n">
        <f aca="false">Q94+T94+W94+AA94+AD94+AG94+AJ94+AL94+AN94</f>
        <v>5041004.35788504</v>
      </c>
      <c r="AQ94" s="775" t="n">
        <f aca="false">P94+S94+V94+Y94+AB94+AE94+AH94-Q94-T94-W94-Z94-AC94-AF94-AI94-AK94-AM94-DH94-DL94-CN94</f>
        <v>258361.604330916</v>
      </c>
      <c r="AR94" s="431"/>
      <c r="AS94" s="776" t="n">
        <f aca="false">P94+S94+V94+Y94+AB94+AE94+AH94-R94-U94-X94-AA94-AD94-AG94-AJ94-AL94-AN94-O94-L94-CN94</f>
        <v>122318.496069245</v>
      </c>
      <c r="AT94" s="431"/>
      <c r="AU94" s="770" t="n">
        <f aca="false">'wholesale services'!$J$110/12</f>
        <v>39106610.7060185</v>
      </c>
      <c r="AV94" s="770" t="n">
        <f aca="false">'wholesale services'!$J$113/12</f>
        <v>17613.2558333333</v>
      </c>
      <c r="AW94" s="431"/>
      <c r="AX94" s="851" t="n">
        <f aca="false">IF(A94&lt;$AX$6,0,-$R$5/12)</f>
        <v>-715341.083333333</v>
      </c>
      <c r="AY94" s="417" t="n">
        <f aca="false">IF(A94&lt;$AX$6,0,-$S$5/12)</f>
        <v>-705333.333333333</v>
      </c>
      <c r="AZ94" s="431"/>
      <c r="BA94" s="772" t="n">
        <f aca="false">P94-IF($BL$4="mid",Q94,R94)-$BL$9*(IF($BL$4="mid",N94,O94)+IF($BL$4="mid",DL94,L94))</f>
        <v>568947.915288402</v>
      </c>
      <c r="BB94" s="772" t="n">
        <f aca="false">S94-IF($BL$4="mid",T94,U94)-$BM$9*(IF($BL$4="mid",N94,O94)+IF($BL$4="mid",DL94,L94))</f>
        <v>-18260.8655912885</v>
      </c>
      <c r="BC94" s="772" t="n">
        <f aca="false">V94-IF($BL$4="mid",W94,X94)-$BN$9*(IF($BL$4="mid",N94,O94)+IF($BL$4="mid",DL94,L94))</f>
        <v>-5177.44888625726</v>
      </c>
      <c r="BD94" s="772" t="n">
        <f aca="false">Y94-IF($BL$4="mid",Z94,AA94)</f>
        <v>29484.8514003665</v>
      </c>
      <c r="BE94" s="772" t="n">
        <f aca="false">AB94-IF($BL$4="mid",AC94,AD94)</f>
        <v>-3693.73033854307</v>
      </c>
      <c r="BF94" s="772" t="n">
        <f aca="false">AE94-IF($BL$4="mid",AF94,AG94)</f>
        <v>8675.18528130534</v>
      </c>
      <c r="BG94" s="772" t="n">
        <f aca="false">AH94-IF($BL$4="mid",AI94,AJ94)</f>
        <v>21404.332467757</v>
      </c>
      <c r="BH94" s="772" t="n">
        <f aca="false">-IF($BL$4="mid",AK94,AL94)</f>
        <v>-287797.385290827</v>
      </c>
      <c r="BI94" s="772" t="n">
        <f aca="false">-IF($BL$4="mid",AM94,AN94)</f>
        <v>-55221.25</v>
      </c>
      <c r="BL94" s="772" t="n">
        <f aca="false">BW94-IF($BL$4="mid",Q94,R94)-$BL$9*(IF($BL$4="mid",N94,O94)+IF($BL$4="mid",DL94,L94))</f>
        <v>719584.874060549</v>
      </c>
      <c r="BM94" s="772" t="n">
        <f aca="false">BX94-IF($BL$4="mid",T94,U94)-$BM$9*(IF($BL$4="mid",N94,O94)+IF($BL$4="mid",DL94,L94))</f>
        <v>-12923.9435605466</v>
      </c>
      <c r="BN94" s="772" t="n">
        <f aca="false">BY94-IF($BL$4="mid",W94,X94)-$BN$9*(IF($BL$4="mid",N94,O94)+IF($BL$4="mid",DL94,L94))</f>
        <v>-2491.0305289255</v>
      </c>
      <c r="BO94" s="772" t="n">
        <f aca="false">BZ94-IF($BL$4="mid",Z94,AA94)</f>
        <v>49026.0309220803</v>
      </c>
      <c r="BP94" s="772" t="n">
        <f aca="false">CA94-IF($BL$4="mid",AC94,AD94)</f>
        <v>14285.6357849742</v>
      </c>
      <c r="BQ94" s="772" t="n">
        <f aca="false">CB94-IF($BL$4="mid",AF94,AG94)</f>
        <v>22316.4729188704</v>
      </c>
      <c r="BR94" s="772" t="n">
        <f aca="false">CC94-IF($BL$4="mid",AI94,AJ94)</f>
        <v>22302.1995657957</v>
      </c>
      <c r="BS94" s="772" t="n">
        <f aca="false">-IF($BL$4="mid",AK94,AL94)</f>
        <v>-287797.385290827</v>
      </c>
      <c r="BT94" s="772" t="n">
        <f aca="false">-IF($BL$4="mid",AM94,AN94)</f>
        <v>-55221.25</v>
      </c>
      <c r="BW94" s="872" t="n">
        <f aca="false">Breakout!$I$15/12</f>
        <v>3741684.62555267</v>
      </c>
      <c r="BX94" s="872" t="n">
        <f aca="false">Breakout!$I$26/12</f>
        <v>132564.274219089</v>
      </c>
      <c r="BY94" s="872" t="n">
        <f aca="false">Breakout!$I$37/12</f>
        <v>66728.1811008606</v>
      </c>
      <c r="BZ94" s="872" t="n">
        <f aca="false">Breakout!$I$48/12</f>
        <v>485385.071349977</v>
      </c>
      <c r="CA94" s="872" t="n">
        <f aca="false">Breakout!$I$59/12</f>
        <v>446591.051425195</v>
      </c>
      <c r="CB94" s="872" t="n">
        <f aca="false">Breakout!$I$70/12</f>
        <v>338837.139585537</v>
      </c>
      <c r="CC94" s="872" t="n">
        <f aca="false">Breakout!$I$81/12</f>
        <v>22302.1995657957</v>
      </c>
      <c r="CE94" s="852" t="n">
        <f aca="false">P94/0.96</f>
        <v>3740674.65289638</v>
      </c>
      <c r="CF94" s="852" t="n">
        <f aca="false">S94/0.96</f>
        <v>132528.491862862</v>
      </c>
      <c r="CG94" s="852" t="n">
        <f aca="false">V94/0.96</f>
        <v>66710.1695245092</v>
      </c>
      <c r="CI94" s="852" t="n">
        <f aca="false">N94</f>
        <v>-715341.083333333</v>
      </c>
      <c r="CJ94" s="852" t="n">
        <f aca="false">O94</f>
        <v>-705333.333333333</v>
      </c>
      <c r="CL94" s="772" t="n">
        <f aca="false">'account mgt'!$I$23/12</f>
        <v>-55463.499148752</v>
      </c>
      <c r="CN94" s="772" t="n">
        <v>0</v>
      </c>
      <c r="CT94" s="772" t="e">
        <f aca="false">CW93</f>
        <v>#VALUE!</v>
      </c>
      <c r="CU94" s="772" t="e">
        <f aca="false">IF(CT94&lt;0.1,0,CT94*$L$3)</f>
        <v>#VALUE!</v>
      </c>
      <c r="CV94" s="772" t="e">
        <f aca="false">IF(CT94&lt;0.1,0,PPMT($L$3,A94-14,unwinds!$B$8*12,$K$5))</f>
        <v>#VALUE!</v>
      </c>
      <c r="CW94" s="772" t="e">
        <f aca="false">IF(CT94-CV94&lt;0,0,CT94-CV94)</f>
        <v>#VALUE!</v>
      </c>
      <c r="CX94" s="772" t="e">
        <f aca="false">IF(CX93-CV94&lt;0,0,CX93-CV94)</f>
        <v>#VALUE!</v>
      </c>
      <c r="DA94" s="772" t="n">
        <f aca="false">DD93</f>
        <v>16209888.1309145</v>
      </c>
      <c r="DB94" s="772" t="n">
        <f aca="false">DA94*$L$3</f>
        <v>127923.033833133</v>
      </c>
      <c r="DC94" s="772" t="n">
        <f aca="false">PPMT($L$3,A94-14,106,$K$5)</f>
        <v>367475.03783848</v>
      </c>
      <c r="DD94" s="772" t="n">
        <f aca="false">DA94-DC94</f>
        <v>15842413.093076</v>
      </c>
      <c r="DE94" s="772" t="n">
        <f aca="false">DE93-DC94</f>
        <v>15842413.093076</v>
      </c>
      <c r="DH94" s="417" t="n">
        <v>-715341.083333333</v>
      </c>
      <c r="DI94" s="417" t="n">
        <v>-705333.333333333</v>
      </c>
      <c r="DJ94" s="417"/>
      <c r="DL94" s="417" t="n">
        <f aca="false">PMT($J$3,106,$I$5,,1)</f>
        <v>474832.92700925</v>
      </c>
      <c r="DN94" s="417" t="n">
        <f aca="false">IF($BL$4="mid",DH94,DI94)</f>
        <v>-715341.083333333</v>
      </c>
      <c r="DO94" s="417" t="n">
        <f aca="false">IF($BL$4="mid",DL94,L94)</f>
        <v>474832.92700925</v>
      </c>
      <c r="DQ94" s="772" t="n">
        <f aca="false">BW94-IF($BL$4="mid",Q94,R94)</f>
        <v>491102.12555267</v>
      </c>
      <c r="DR94" s="772" t="n">
        <f aca="false">BX94-IF($BL$4="mid",T94,U94)</f>
        <v>-24949.3513767508</v>
      </c>
      <c r="DS94" s="772"/>
      <c r="DT94" s="772"/>
      <c r="DU94" s="772"/>
      <c r="DV94" s="772"/>
      <c r="DW94" s="772"/>
      <c r="DX94" s="772"/>
    </row>
    <row r="95" customFormat="false" ht="12.75" hidden="false" customHeight="false" outlineLevel="0" collapsed="false">
      <c r="A95" s="855" t="n">
        <v>84</v>
      </c>
      <c r="B95" s="856" t="n">
        <v>39052</v>
      </c>
      <c r="C95" s="857" t="n">
        <v>0</v>
      </c>
      <c r="D95" s="857" t="n">
        <v>0</v>
      </c>
      <c r="E95" s="857" t="n">
        <v>0</v>
      </c>
      <c r="F95" s="417" t="n">
        <v>124044.1284128</v>
      </c>
      <c r="G95" s="417" t="n">
        <v>367475.037838484</v>
      </c>
      <c r="H95" s="417" t="n">
        <v>0</v>
      </c>
      <c r="I95" s="417" t="n">
        <v>491519.166251284</v>
      </c>
      <c r="J95" s="857"/>
      <c r="K95" s="857"/>
      <c r="L95" s="417" t="n">
        <f aca="false">PMT($L$3,106,$K$5,,1)</f>
        <v>491519.166251281</v>
      </c>
      <c r="M95" s="857"/>
      <c r="N95" s="850" t="n">
        <f aca="false">IF(A95&lt;$B$8,0,-$R$5/12)</f>
        <v>-715341.083333333</v>
      </c>
      <c r="O95" s="850" t="n">
        <f aca="false">IF(A95&lt;$B$8,0,-$S$5/12)</f>
        <v>-705333.333333333</v>
      </c>
      <c r="P95" s="859" t="n">
        <f aca="false">Breakout!$I$16/12</f>
        <v>3591047.66678052</v>
      </c>
      <c r="Q95" s="860" t="n">
        <f aca="false">'wholesale services'!$D$110*'wholesale services'!$J$111/12</f>
        <v>3250582.5</v>
      </c>
      <c r="R95" s="860" t="n">
        <v>3320487.5</v>
      </c>
      <c r="S95" s="859" t="n">
        <f aca="false">Breakout!$I$27/12</f>
        <v>127227.352188348</v>
      </c>
      <c r="T95" s="860" t="n">
        <f aca="false">'wholesale services'!$D$113*'wholesale services'!$J$114/12</f>
        <v>157513.62559584</v>
      </c>
      <c r="U95" s="860" t="n">
        <v>160728.18938351</v>
      </c>
      <c r="V95" s="859" t="n">
        <f aca="false">Breakout!$I$38/12</f>
        <v>64041.7627435289</v>
      </c>
      <c r="W95" s="861" t="n">
        <f aca="false">Breakout!$I$39/12</f>
        <v>69219.2116297861</v>
      </c>
      <c r="X95" s="861" t="n">
        <v>69963.5042279559</v>
      </c>
      <c r="Y95" s="859" t="n">
        <f aca="false">Breakout!$I$49/12</f>
        <v>465843.891828263</v>
      </c>
      <c r="Z95" s="860" t="n">
        <f aca="false">Breakout!$I$50/12</f>
        <v>436359.040427897</v>
      </c>
      <c r="AA95" s="860" t="n">
        <v>458364.84689474</v>
      </c>
      <c r="AB95" s="859" t="n">
        <f aca="false">Breakout!$I$60/12</f>
        <v>428611.685301678</v>
      </c>
      <c r="AC95" s="860" t="n">
        <f aca="false">Breakout!$I$61/12</f>
        <v>432305.415640221</v>
      </c>
      <c r="AD95" s="860" t="n">
        <v>445784.871807177</v>
      </c>
      <c r="AE95" s="859" t="n">
        <f aca="false">Breakout!$I$71/12</f>
        <v>325195.851947972</v>
      </c>
      <c r="AF95" s="860" t="n">
        <f aca="false">Breakout!$I$72/12</f>
        <v>316520.666666667</v>
      </c>
      <c r="AG95" s="860" t="n">
        <v>316520.666666667</v>
      </c>
      <c r="AH95" s="859" t="n">
        <f aca="false">Breakout!$I$82/12</f>
        <v>21404.332467757</v>
      </c>
      <c r="AI95" s="860" t="n">
        <f aca="false">Breakout!$I$83/12</f>
        <v>0</v>
      </c>
      <c r="AJ95" s="860" t="n">
        <v>0</v>
      </c>
      <c r="AK95" s="862" t="n">
        <f aca="false">Breakout!$I$91/12</f>
        <v>287797.385290827</v>
      </c>
      <c r="AL95" s="862" t="n">
        <v>287797.385290827</v>
      </c>
      <c r="AM95" s="862" t="n">
        <f aca="false">(Breakout!$I$107/12)*-1</f>
        <v>55221.25</v>
      </c>
      <c r="AN95" s="862" t="n">
        <v>55221.25</v>
      </c>
      <c r="AO95" s="863" t="n">
        <f aca="false">(P95+S95+V95)+Y95+AB95+AE95+AH95</f>
        <v>5023372.54325807</v>
      </c>
      <c r="AP95" s="863" t="n">
        <f aca="false">Q95+T95+W95+AA95+AD95+AG95+AJ95+AL95+AN95</f>
        <v>5041004.35788504</v>
      </c>
      <c r="AQ95" s="775" t="n">
        <f aca="false">P95+S95+V95+Y95+AB95+AE95+AH95-Q95-T95-W95-Z95-AC95-AF95-AI95-AK95-AM95-DH95-DL95-CN95</f>
        <v>258361.604330916</v>
      </c>
      <c r="AR95" s="861" t="n">
        <f aca="false">SUM(AQ84:AQ95)</f>
        <v>3100339.25197099</v>
      </c>
      <c r="AS95" s="776" t="n">
        <f aca="false">P95+S95+V95+Y95+AB95+AE95+AH95-R95-U95-X95-AA95-AD95-AG95-AJ95-AL95-AN95-O95-L95-CN95</f>
        <v>122318.496069245</v>
      </c>
      <c r="AT95" s="861" t="n">
        <f aca="false">SUM(AS84:AS95)</f>
        <v>1467821.95283094</v>
      </c>
      <c r="AU95" s="860" t="n">
        <f aca="false">'wholesale services'!$J$110/12</f>
        <v>39106610.7060185</v>
      </c>
      <c r="AV95" s="860" t="n">
        <f aca="false">'wholesale services'!$J$113/12</f>
        <v>17613.2558333333</v>
      </c>
      <c r="AW95" s="861"/>
      <c r="AX95" s="851" t="n">
        <f aca="false">IF(A95&lt;$AX$6,0,-$R$5/12)</f>
        <v>-715341.083333333</v>
      </c>
      <c r="AY95" s="417" t="n">
        <f aca="false">IF(A95&lt;$AX$6,0,-$S$5/12)</f>
        <v>-705333.333333333</v>
      </c>
      <c r="AZ95" s="861"/>
      <c r="BA95" s="772" t="n">
        <f aca="false">P95-IF($BL$4="mid",Q95,R95)-$BL$9*(IF($BL$4="mid",N95,O95)+IF($BL$4="mid",DL95,L95))</f>
        <v>568947.915288402</v>
      </c>
      <c r="BB95" s="772" t="n">
        <f aca="false">S95-IF($BL$4="mid",T95,U95)-$BM$9*(IF($BL$4="mid",N95,O95)+IF($BL$4="mid",DL95,L95))</f>
        <v>-18260.8655912885</v>
      </c>
      <c r="BC95" s="772" t="n">
        <f aca="false">V95-IF($BL$4="mid",W95,X95)-$BN$9*(IF($BL$4="mid",N95,O95)+IF($BL$4="mid",DL95,L95))</f>
        <v>-5177.44888625726</v>
      </c>
      <c r="BD95" s="772" t="n">
        <f aca="false">Y95-IF($BL$4="mid",Z95,AA95)</f>
        <v>29484.8514003665</v>
      </c>
      <c r="BE95" s="772" t="n">
        <f aca="false">AB95-IF($BL$4="mid",AC95,AD95)</f>
        <v>-3693.73033854307</v>
      </c>
      <c r="BF95" s="772" t="n">
        <f aca="false">AE95-IF($BL$4="mid",AF95,AG95)</f>
        <v>8675.18528130534</v>
      </c>
      <c r="BG95" s="772" t="n">
        <f aca="false">AH95-IF($BL$4="mid",AI95,AJ95)</f>
        <v>21404.332467757</v>
      </c>
      <c r="BH95" s="772" t="n">
        <f aca="false">-IF($BL$4="mid",AK95,AL95)</f>
        <v>-287797.385290827</v>
      </c>
      <c r="BI95" s="772" t="n">
        <f aca="false">-IF($BL$4="mid",AM95,AN95)</f>
        <v>-55221.25</v>
      </c>
      <c r="BJ95" s="861"/>
      <c r="BK95" s="431"/>
      <c r="BL95" s="772" t="n">
        <f aca="false">BW95-IF($BL$4="mid",Q95,R95)-$BL$9*(IF($BL$4="mid",N95,O95)+IF($BL$4="mid",DL95,L95))</f>
        <v>719584.874060549</v>
      </c>
      <c r="BM95" s="772" t="n">
        <f aca="false">BX95-IF($BL$4="mid",T95,U95)-$BM$9*(IF($BL$4="mid",N95,O95)+IF($BL$4="mid",DL95,L95))</f>
        <v>-12923.9435605466</v>
      </c>
      <c r="BN95" s="772" t="n">
        <f aca="false">BY95-IF($BL$4="mid",W95,X95)-$BN$9*(IF($BL$4="mid",N95,O95)+IF($BL$4="mid",DL95,L95))</f>
        <v>-2491.0305289255</v>
      </c>
      <c r="BO95" s="772" t="n">
        <f aca="false">BZ95-IF($BL$4="mid",Z95,AA95)</f>
        <v>49026.0309220803</v>
      </c>
      <c r="BP95" s="772" t="n">
        <f aca="false">CA95-IF($BL$4="mid",AC95,AD95)</f>
        <v>14285.6357849742</v>
      </c>
      <c r="BQ95" s="772" t="n">
        <f aca="false">CB95-IF($BL$4="mid",AF95,AG95)</f>
        <v>22316.4729188704</v>
      </c>
      <c r="BR95" s="772" t="n">
        <f aca="false">CC95-IF($BL$4="mid",AI95,AJ95)</f>
        <v>22302.1995657957</v>
      </c>
      <c r="BS95" s="772" t="n">
        <f aca="false">-IF($BL$4="mid",AK95,AL95)</f>
        <v>-287797.385290827</v>
      </c>
      <c r="BT95" s="772" t="n">
        <f aca="false">-IF($BL$4="mid",AM95,AN95)</f>
        <v>-55221.25</v>
      </c>
      <c r="BU95" s="861"/>
      <c r="BV95" s="861"/>
      <c r="BW95" s="859" t="n">
        <f aca="false">Breakout!$I$15/12</f>
        <v>3741684.62555267</v>
      </c>
      <c r="BX95" s="859" t="n">
        <f aca="false">Breakout!$I$26/12</f>
        <v>132564.274219089</v>
      </c>
      <c r="BY95" s="859" t="n">
        <f aca="false">Breakout!$I$37/12</f>
        <v>66728.1811008606</v>
      </c>
      <c r="BZ95" s="859" t="n">
        <f aca="false">Breakout!$I$48/12</f>
        <v>485385.071349977</v>
      </c>
      <c r="CA95" s="859" t="n">
        <f aca="false">Breakout!$I$59/12</f>
        <v>446591.051425195</v>
      </c>
      <c r="CB95" s="859" t="n">
        <f aca="false">Breakout!$I$70/12</f>
        <v>338837.139585537</v>
      </c>
      <c r="CC95" s="859" t="n">
        <f aca="false">Breakout!$I$81/12</f>
        <v>22302.1995657957</v>
      </c>
      <c r="CD95" s="861"/>
      <c r="CE95" s="864" t="n">
        <f aca="false">P95/0.96</f>
        <v>3740674.65289638</v>
      </c>
      <c r="CF95" s="864" t="n">
        <f aca="false">S95/0.96</f>
        <v>132528.491862862</v>
      </c>
      <c r="CG95" s="864" t="n">
        <f aca="false">V95/0.96</f>
        <v>66710.1695245092</v>
      </c>
      <c r="CH95" s="861"/>
      <c r="CI95" s="864" t="n">
        <f aca="false">N95</f>
        <v>-715341.083333333</v>
      </c>
      <c r="CJ95" s="864" t="n">
        <f aca="false">O95</f>
        <v>-705333.333333333</v>
      </c>
      <c r="CK95" s="861"/>
      <c r="CL95" s="861" t="n">
        <f aca="false">'account mgt'!$I$23/12</f>
        <v>-55463.499148752</v>
      </c>
      <c r="CM95" s="861"/>
      <c r="CN95" s="772" t="n">
        <v>0</v>
      </c>
      <c r="CO95" s="861"/>
      <c r="CP95" s="861"/>
      <c r="CQ95" s="431"/>
      <c r="CR95" s="431"/>
      <c r="CS95" s="431"/>
      <c r="CT95" s="772" t="e">
        <f aca="false">CW94</f>
        <v>#VALUE!</v>
      </c>
      <c r="CU95" s="772" t="e">
        <f aca="false">IF(CT95&lt;0.1,0,CT95*$L$3)</f>
        <v>#VALUE!</v>
      </c>
      <c r="CV95" s="772" t="e">
        <f aca="false">IF(CT95&lt;0.1,0,PPMT($L$3,A95-14,unwinds!$B$8*12,$K$5))</f>
        <v>#VALUE!</v>
      </c>
      <c r="CW95" s="772" t="e">
        <f aca="false">IF(CT95-CV95&lt;0,0,CT95-CV95)</f>
        <v>#VALUE!</v>
      </c>
      <c r="CX95" s="772" t="e">
        <f aca="false">IF(CX94-CV95&lt;0,0,CX94-CV95)</f>
        <v>#VALUE!</v>
      </c>
      <c r="CY95" s="861" t="e">
        <f aca="false">CX95</f>
        <v>#VALUE!</v>
      </c>
      <c r="DA95" s="772" t="n">
        <f aca="false">DD94</f>
        <v>15842413.093076</v>
      </c>
      <c r="DB95" s="772" t="n">
        <f aca="false">DA95*$L$3</f>
        <v>125023.043326191</v>
      </c>
      <c r="DC95" s="772" t="n">
        <f aca="false">PPMT($L$3,A95-14,106,$K$5)</f>
        <v>370375.028345422</v>
      </c>
      <c r="DD95" s="772" t="n">
        <f aca="false">DA95-DC95</f>
        <v>15472038.0647306</v>
      </c>
      <c r="DE95" s="772" t="n">
        <f aca="false">DE94-DC95</f>
        <v>15472038.0647306</v>
      </c>
      <c r="DF95" s="861" t="n">
        <f aca="false">DE95</f>
        <v>15472038.0647306</v>
      </c>
      <c r="DG95" s="861"/>
      <c r="DH95" s="417" t="n">
        <v>-715341.083333333</v>
      </c>
      <c r="DI95" s="417" t="n">
        <v>-705333.333333333</v>
      </c>
      <c r="DJ95" s="417"/>
      <c r="DK95" s="861"/>
      <c r="DL95" s="417" t="n">
        <f aca="false">PMT($J$3,106,$I$5,,1)</f>
        <v>474832.92700925</v>
      </c>
      <c r="DM95" s="861"/>
      <c r="DN95" s="417" t="n">
        <f aca="false">IF($BL$4="mid",DH95,DI95)</f>
        <v>-715341.083333333</v>
      </c>
      <c r="DO95" s="417" t="n">
        <f aca="false">IF($BL$4="mid",DL95,L95)</f>
        <v>474832.92700925</v>
      </c>
      <c r="DP95" s="861"/>
      <c r="DQ95" s="772" t="n">
        <f aca="false">BW95-IF($BL$4="mid",Q95,R95)</f>
        <v>491102.12555267</v>
      </c>
      <c r="DR95" s="772" t="n">
        <f aca="false">BX95-IF($BL$4="mid",T95,U95)</f>
        <v>-24949.3513767508</v>
      </c>
      <c r="DS95" s="861"/>
      <c r="DT95" s="861"/>
      <c r="DU95" s="861"/>
      <c r="DV95" s="861"/>
      <c r="DW95" s="861"/>
      <c r="DX95" s="861"/>
    </row>
    <row r="96" customFormat="false" ht="12.75" hidden="false" customHeight="false" outlineLevel="0" collapsed="false">
      <c r="A96" s="866" t="n">
        <v>85</v>
      </c>
      <c r="B96" s="867" t="n">
        <v>39083</v>
      </c>
      <c r="C96" s="417" t="n">
        <v>0</v>
      </c>
      <c r="D96" s="417" t="n">
        <v>0</v>
      </c>
      <c r="E96" s="417" t="n">
        <v>0</v>
      </c>
      <c r="F96" s="417" t="n">
        <v>121144.137905858</v>
      </c>
      <c r="G96" s="417" t="n">
        <v>370375.028345426</v>
      </c>
      <c r="H96" s="417" t="n">
        <v>0</v>
      </c>
      <c r="I96" s="417" t="n">
        <v>491519.166251284</v>
      </c>
      <c r="J96" s="417"/>
      <c r="K96" s="417"/>
      <c r="L96" s="417" t="n">
        <f aca="false">PMT($L$3,106,$K$5,,1)</f>
        <v>491519.166251281</v>
      </c>
      <c r="M96" s="417"/>
      <c r="N96" s="850" t="n">
        <f aca="false">IF(A96&lt;$B$8,0,-$R$5/12)</f>
        <v>-715341.083333333</v>
      </c>
      <c r="O96" s="850" t="n">
        <f aca="false">IF(A96&lt;$B$8,0,-$S$5/12)</f>
        <v>-705333.333333333</v>
      </c>
      <c r="P96" s="868" t="n">
        <f aca="false">Breakout!$J$16/12</f>
        <v>3628303.94542377</v>
      </c>
      <c r="Q96" s="770" t="n">
        <f aca="false">'wholesale services'!$D$110*'wholesale services'!$K$111/12</f>
        <v>3250582.5</v>
      </c>
      <c r="R96" s="770" t="n">
        <v>3320487.5</v>
      </c>
      <c r="S96" s="868" t="n">
        <f aca="false">Breakout!$J$27/12</f>
        <v>128547.306175041</v>
      </c>
      <c r="T96" s="770" t="n">
        <f aca="false">'wholesale services'!$D$113*'wholesale services'!$K$114/12</f>
        <v>162121.20024536</v>
      </c>
      <c r="U96" s="770" t="n">
        <v>165429.796168735</v>
      </c>
      <c r="V96" s="868" t="n">
        <f aca="false">Breakout!$J$38/12</f>
        <v>64706.1810356193</v>
      </c>
      <c r="W96" s="869" t="n">
        <f aca="false">Breakout!$J$39/12</f>
        <v>71295.7879786797</v>
      </c>
      <c r="X96" s="869" t="n">
        <v>72062.4093547946</v>
      </c>
      <c r="Y96" s="868" t="n">
        <f aca="false">Breakout!$J$49/12</f>
        <v>470676.913121397</v>
      </c>
      <c r="Z96" s="870" t="n">
        <f aca="false">Breakout!$J$50/12</f>
        <v>443995.323635385</v>
      </c>
      <c r="AA96" s="870" t="n">
        <v>466386.231715398</v>
      </c>
      <c r="AB96" s="868" t="n">
        <f aca="false">Breakout!$J$60/12</f>
        <v>433058.431170598</v>
      </c>
      <c r="AC96" s="870" t="n">
        <f aca="false">Breakout!$J$61/12</f>
        <v>439870.760413925</v>
      </c>
      <c r="AD96" s="870" t="n">
        <v>453586.107063803</v>
      </c>
      <c r="AE96" s="868" t="n">
        <f aca="false">Breakout!$J$71/12</f>
        <v>328569.682762271</v>
      </c>
      <c r="AF96" s="870" t="n">
        <f aca="false">Breakout!$J$72/12</f>
        <v>316520.666666667</v>
      </c>
      <c r="AG96" s="870" t="n">
        <v>316520.666666667</v>
      </c>
      <c r="AH96" s="868" t="n">
        <f aca="false">Breakout!$J$82/12</f>
        <v>21626.397404953</v>
      </c>
      <c r="AI96" s="870" t="n">
        <f aca="false">Breakout!$J$83/12</f>
        <v>0</v>
      </c>
      <c r="AJ96" s="870" t="n">
        <v>0</v>
      </c>
      <c r="AK96" s="871" t="n">
        <f aca="false">Breakout!$J$91/12</f>
        <v>290783.21577099</v>
      </c>
      <c r="AL96" s="871" t="n">
        <v>290783.21577099</v>
      </c>
      <c r="AM96" s="773" t="n">
        <f aca="false">(Breakout!$J$107/12)*-1</f>
        <v>55221.25</v>
      </c>
      <c r="AN96" s="773" t="n">
        <v>55221.25</v>
      </c>
      <c r="AO96" s="774" t="n">
        <f aca="false">(P96+S96+V96)+Y96+AB96+AE96+AH96</f>
        <v>5075488.85709365</v>
      </c>
      <c r="AP96" s="774" t="n">
        <f aca="false">Q96+T96+W96+AA96+AD96+AG96+AJ96+AL96+AN96</f>
        <v>5066496.9594409</v>
      </c>
      <c r="AQ96" s="775" t="n">
        <f aca="false">P96+S96+V96+Y96+AB96+AE96+AH96-Q96-T96-W96-Z96-AC96-AF96-AI96-AK96-AM96-DH96-DL96-CN96</f>
        <v>285606.308706724</v>
      </c>
      <c r="AR96" s="869"/>
      <c r="AS96" s="776" t="n">
        <f aca="false">P96+S96+V96+Y96+AB96+AE96+AH96-R96-U96-X96-AA96-AD96-AG96-AJ96-AL96-AN96-O96-L96-CN96</f>
        <v>148825.847435312</v>
      </c>
      <c r="AT96" s="869"/>
      <c r="AU96" s="770" t="n">
        <f aca="false">'wholesale services'!$K$110/12</f>
        <v>39106610.7060185</v>
      </c>
      <c r="AV96" s="770" t="n">
        <f aca="false">'wholesale services'!$K$113/12</f>
        <v>17613.2558333333</v>
      </c>
      <c r="AW96" s="869"/>
      <c r="AX96" s="851" t="n">
        <f aca="false">IF(A96&lt;$AX$6,0,-$R$5/12)</f>
        <v>-715341.083333333</v>
      </c>
      <c r="AY96" s="417" t="n">
        <f aca="false">IF(A96&lt;$AX$6,0,-$S$5/12)</f>
        <v>-705333.333333333</v>
      </c>
      <c r="AZ96" s="431"/>
      <c r="BA96" s="772" t="n">
        <f aca="false">P96-IF($BL$4="mid",Q96,R96)-$BL$9*(IF($BL$4="mid",N96,O96)+IF($BL$4="mid",DL96,L96))</f>
        <v>606204.193931649</v>
      </c>
      <c r="BB96" s="772" t="n">
        <f aca="false">S96-IF($BL$4="mid",T96,U96)-$BM$9*(IF($BL$4="mid",N96,O96)+IF($BL$4="mid",DL96,L96))</f>
        <v>-21548.4862541152</v>
      </c>
      <c r="BC96" s="772" t="n">
        <f aca="false">V96-IF($BL$4="mid",W96,X96)-$BN$9*(IF($BL$4="mid",N96,O96)+IF($BL$4="mid",DL96,L96))</f>
        <v>-6589.60694306044</v>
      </c>
      <c r="BD96" s="772" t="n">
        <f aca="false">Y96-IF($BL$4="mid",Z96,AA96)</f>
        <v>26681.5894860119</v>
      </c>
      <c r="BE96" s="772" t="n">
        <f aca="false">AB96-IF($BL$4="mid",AC96,AD96)</f>
        <v>-6812.32924332703</v>
      </c>
      <c r="BF96" s="772" t="n">
        <f aca="false">AE96-IF($BL$4="mid",AF96,AG96)</f>
        <v>12049.0160956046</v>
      </c>
      <c r="BG96" s="772" t="n">
        <f aca="false">AH96-IF($BL$4="mid",AI96,AJ96)</f>
        <v>21626.397404953</v>
      </c>
      <c r="BH96" s="772" t="n">
        <f aca="false">-IF($BL$4="mid",AK96,AL96)</f>
        <v>-290783.21577099</v>
      </c>
      <c r="BI96" s="772" t="n">
        <f aca="false">-IF($BL$4="mid",AM96,AN96)</f>
        <v>-55221.25</v>
      </c>
      <c r="BJ96" s="869"/>
      <c r="BK96" s="431"/>
      <c r="BL96" s="772" t="n">
        <f aca="false">BW96-IF($BL$4="mid",Q96,R96)-$BL$9*(IF($BL$4="mid",N96,O96)+IF($BL$4="mid",DL96,L96))</f>
        <v>758573.477729674</v>
      </c>
      <c r="BM96" s="772" t="n">
        <f aca="false">BX96-IF($BL$4="mid",T96,U96)-$BM$9*(IF($BL$4="mid",N96,O96)+IF($BL$4="mid",DL96,L96))</f>
        <v>-16150.1896200198</v>
      </c>
      <c r="BN96" s="772" t="n">
        <f aca="false">BY96-IF($BL$4="mid",W96,X96)-$BN$9*(IF($BL$4="mid",N96,O96)+IF($BL$4="mid",DL96,L96))</f>
        <v>-3872.29477461937</v>
      </c>
      <c r="BO96" s="772" t="n">
        <f aca="false">BZ96-IF($BL$4="mid",Z96,AA96)</f>
        <v>46447.4925722254</v>
      </c>
      <c r="BP96" s="772" t="n">
        <f aca="false">CA96-IF($BL$4="mid",AC96,AD96)</f>
        <v>11373.7995906107</v>
      </c>
      <c r="BQ96" s="772" t="n">
        <f aca="false">CB96-IF($BL$4="mid",AF96,AG96)</f>
        <v>25847.1785410016</v>
      </c>
      <c r="BR96" s="772" t="n">
        <f aca="false">CC96-IF($BL$4="mid",AI96,AJ96)</f>
        <v>22534.5899746191</v>
      </c>
      <c r="BS96" s="772" t="n">
        <f aca="false">-IF($BL$4="mid",AK96,AL96)</f>
        <v>-290783.21577099</v>
      </c>
      <c r="BT96" s="772" t="n">
        <f aca="false">-IF($BL$4="mid",AM96,AN96)</f>
        <v>-55221.25</v>
      </c>
      <c r="BU96" s="869"/>
      <c r="BV96" s="869"/>
      <c r="BW96" s="868" t="n">
        <f aca="false">Breakout!$J$15/12</f>
        <v>3780673.22922179</v>
      </c>
      <c r="BX96" s="868" t="n">
        <f aca="false">Breakout!$J$26/12</f>
        <v>133945.602809136</v>
      </c>
      <c r="BY96" s="868" t="n">
        <f aca="false">Breakout!$J$37/12</f>
        <v>67423.4932040604</v>
      </c>
      <c r="BZ96" s="868" t="n">
        <f aca="false">Breakout!$J$48/12</f>
        <v>490442.81620761</v>
      </c>
      <c r="CA96" s="868" t="n">
        <f aca="false">Breakout!$J$59/12</f>
        <v>451244.560004536</v>
      </c>
      <c r="CB96" s="868" t="n">
        <f aca="false">Breakout!$J$70/12</f>
        <v>342367.845207668</v>
      </c>
      <c r="CC96" s="868" t="n">
        <f aca="false">Breakout!$J$81/12</f>
        <v>22534.5899746191</v>
      </c>
      <c r="CD96" s="869"/>
      <c r="CE96" s="852" t="n">
        <f aca="false">P96/0.96</f>
        <v>3779483.27648309</v>
      </c>
      <c r="CF96" s="852" t="n">
        <f aca="false">S96/0.96</f>
        <v>133903.443932334</v>
      </c>
      <c r="CG96" s="852" t="n">
        <f aca="false">V96/0.96</f>
        <v>67402.2719121034</v>
      </c>
      <c r="CH96" s="869"/>
      <c r="CI96" s="852" t="n">
        <f aca="false">N96</f>
        <v>-715341.083333333</v>
      </c>
      <c r="CJ96" s="852" t="n">
        <f aca="false">O96</f>
        <v>-705333.333333333</v>
      </c>
      <c r="CK96" s="869"/>
      <c r="CL96" s="772" t="n">
        <f aca="false">'account mgt'!$J$23/12</f>
        <v>-56572.769131727</v>
      </c>
      <c r="CM96" s="869"/>
      <c r="CN96" s="772" t="n">
        <v>0</v>
      </c>
      <c r="CO96" s="869"/>
      <c r="CP96" s="869"/>
      <c r="CQ96" s="431"/>
      <c r="CR96" s="431"/>
      <c r="CS96" s="431"/>
      <c r="CT96" s="772" t="e">
        <f aca="false">CW95</f>
        <v>#VALUE!</v>
      </c>
      <c r="CU96" s="772" t="e">
        <f aca="false">IF(CT96&lt;0.1,0,CT96*$L$3)</f>
        <v>#VALUE!</v>
      </c>
      <c r="CV96" s="772" t="e">
        <f aca="false">IF(CT96&lt;0.1,0,PPMT($L$3,A96-14,unwinds!$B$8*12,$K$5))</f>
        <v>#VALUE!</v>
      </c>
      <c r="CW96" s="772" t="e">
        <f aca="false">IF(CT96-CV96&lt;0,0,CT96-CV96)</f>
        <v>#VALUE!</v>
      </c>
      <c r="CX96" s="772" t="e">
        <f aca="false">IF(CX95-CV96&lt;0,0,CX95-CV96)</f>
        <v>#VALUE!</v>
      </c>
      <c r="CY96" s="869"/>
      <c r="DA96" s="772" t="n">
        <f aca="false">DD95</f>
        <v>15472038.0647306</v>
      </c>
      <c r="DB96" s="772" t="n">
        <f aca="false">DA96*$L$3</f>
        <v>122100.167060832</v>
      </c>
      <c r="DC96" s="772" t="n">
        <f aca="false">PPMT($L$3,A96-14,106,$K$5)</f>
        <v>373297.904610781</v>
      </c>
      <c r="DD96" s="772" t="n">
        <f aca="false">DA96-DC96</f>
        <v>15098740.1601198</v>
      </c>
      <c r="DE96" s="772" t="n">
        <f aca="false">DE95-DC96</f>
        <v>15098740.1601198</v>
      </c>
      <c r="DF96" s="869"/>
      <c r="DG96" s="869"/>
      <c r="DH96" s="417" t="n">
        <v>-715341.083333333</v>
      </c>
      <c r="DI96" s="417" t="n">
        <v>-705333.333333333</v>
      </c>
      <c r="DJ96" s="417"/>
      <c r="DK96" s="869"/>
      <c r="DL96" s="417" t="n">
        <f aca="false">PMT($J$3,106,$I$5,,1)</f>
        <v>474832.92700925</v>
      </c>
      <c r="DM96" s="869"/>
      <c r="DN96" s="417" t="n">
        <f aca="false">IF($BL$4="mid",DH96,DI96)</f>
        <v>-715341.083333333</v>
      </c>
      <c r="DO96" s="417" t="n">
        <f aca="false">IF($BL$4="mid",DL96,L96)</f>
        <v>474832.92700925</v>
      </c>
      <c r="DP96" s="869"/>
      <c r="DQ96" s="772" t="n">
        <f aca="false">BW96-IF($BL$4="mid",Q96,R96)</f>
        <v>530090.729221795</v>
      </c>
      <c r="DR96" s="772" t="n">
        <f aca="false">BX96-IF($BL$4="mid",T96,U96)</f>
        <v>-28175.5974362239</v>
      </c>
      <c r="DS96" s="869"/>
      <c r="DT96" s="869"/>
      <c r="DU96" s="869"/>
      <c r="DV96" s="869"/>
      <c r="DW96" s="869"/>
      <c r="DX96" s="869"/>
    </row>
    <row r="97" customFormat="false" ht="12.75" hidden="false" customHeight="false" outlineLevel="0" collapsed="false">
      <c r="A97" s="767" t="n">
        <v>86</v>
      </c>
      <c r="B97" s="854" t="n">
        <v>39114</v>
      </c>
      <c r="C97" s="417" t="n">
        <v>0</v>
      </c>
      <c r="D97" s="417" t="n">
        <v>0</v>
      </c>
      <c r="E97" s="417" t="n">
        <v>0</v>
      </c>
      <c r="F97" s="417" t="n">
        <v>118221.261640498</v>
      </c>
      <c r="G97" s="417" t="n">
        <v>373297.904610785</v>
      </c>
      <c r="H97" s="417" t="n">
        <v>0</v>
      </c>
      <c r="I97" s="417" t="n">
        <v>491519.166251284</v>
      </c>
      <c r="J97" s="417"/>
      <c r="K97" s="417"/>
      <c r="L97" s="417" t="n">
        <f aca="false">PMT($L$3,106,$K$5,,1)</f>
        <v>491519.166251281</v>
      </c>
      <c r="M97" s="417"/>
      <c r="N97" s="850" t="n">
        <f aca="false">IF(A97&lt;$B$8,0,-$R$5/12)</f>
        <v>-715341.083333333</v>
      </c>
      <c r="O97" s="850" t="n">
        <f aca="false">IF(A97&lt;$B$8,0,-$S$5/12)</f>
        <v>-705333.333333333</v>
      </c>
      <c r="P97" s="872" t="n">
        <f aca="false">Breakout!$J$16/12</f>
        <v>3628303.94542377</v>
      </c>
      <c r="Q97" s="770" t="n">
        <f aca="false">'wholesale services'!$D$110*'wholesale services'!$K$111/12</f>
        <v>3250582.5</v>
      </c>
      <c r="R97" s="770" t="n">
        <v>3320487.5</v>
      </c>
      <c r="S97" s="872" t="n">
        <f aca="false">Breakout!$J$27/12</f>
        <v>128547.306175041</v>
      </c>
      <c r="T97" s="770" t="n">
        <f aca="false">'wholesale services'!$D$113*'wholesale services'!$K$114/12</f>
        <v>162121.20024536</v>
      </c>
      <c r="U97" s="770" t="n">
        <v>165429.796168735</v>
      </c>
      <c r="V97" s="872" t="n">
        <f aca="false">Breakout!$J$38/12</f>
        <v>64706.1810356193</v>
      </c>
      <c r="W97" s="431" t="n">
        <f aca="false">Breakout!$J$39/12</f>
        <v>71295.7879786797</v>
      </c>
      <c r="X97" s="431" t="n">
        <v>72062.4093547946</v>
      </c>
      <c r="Y97" s="872" t="n">
        <f aca="false">Breakout!$J$49/12</f>
        <v>470676.913121397</v>
      </c>
      <c r="Z97" s="873" t="n">
        <f aca="false">Breakout!$J$50/12</f>
        <v>443995.323635385</v>
      </c>
      <c r="AA97" s="873" t="n">
        <v>466386.231715398</v>
      </c>
      <c r="AB97" s="872" t="n">
        <f aca="false">Breakout!$J$60/12</f>
        <v>433058.431170598</v>
      </c>
      <c r="AC97" s="873" t="n">
        <f aca="false">Breakout!$J$61/12</f>
        <v>439870.760413925</v>
      </c>
      <c r="AD97" s="873" t="n">
        <v>453586.107063803</v>
      </c>
      <c r="AE97" s="872" t="n">
        <f aca="false">Breakout!$J$71/12</f>
        <v>328569.682762271</v>
      </c>
      <c r="AF97" s="873" t="n">
        <f aca="false">Breakout!$J$72/12</f>
        <v>316520.666666667</v>
      </c>
      <c r="AG97" s="873" t="n">
        <v>316520.666666667</v>
      </c>
      <c r="AH97" s="872" t="n">
        <f aca="false">Breakout!$J$82/12</f>
        <v>21626.397404953</v>
      </c>
      <c r="AI97" s="873" t="n">
        <f aca="false">Breakout!$J$83/12</f>
        <v>0</v>
      </c>
      <c r="AJ97" s="873" t="n">
        <v>0</v>
      </c>
      <c r="AK97" s="874" t="n">
        <f aca="false">Breakout!$J$91/12</f>
        <v>290783.21577099</v>
      </c>
      <c r="AL97" s="874" t="n">
        <v>290783.21577099</v>
      </c>
      <c r="AM97" s="773" t="n">
        <f aca="false">(Breakout!$J$107/12)*-1</f>
        <v>55221.25</v>
      </c>
      <c r="AN97" s="773" t="n">
        <v>55221.25</v>
      </c>
      <c r="AO97" s="774" t="n">
        <f aca="false">(P97+S97+V97)+Y97+AB97+AE97+AH97</f>
        <v>5075488.85709365</v>
      </c>
      <c r="AP97" s="774" t="n">
        <f aca="false">Q97+T97+W97+AA97+AD97+AG97+AJ97+AL97+AN97</f>
        <v>5066496.9594409</v>
      </c>
      <c r="AQ97" s="775" t="n">
        <f aca="false">P97+S97+V97+Y97+AB97+AE97+AH97-Q97-T97-W97-Z97-AC97-AF97-AI97-AK97-AM97-DH97-DL97-CN97</f>
        <v>285606.308706724</v>
      </c>
      <c r="AR97" s="431"/>
      <c r="AS97" s="776" t="n">
        <f aca="false">P97+S97+V97+Y97+AB97+AE97+AH97-R97-U97-X97-AA97-AD97-AG97-AJ97-AL97-AN97-O97-L97-CN97</f>
        <v>148825.847435312</v>
      </c>
      <c r="AT97" s="431"/>
      <c r="AU97" s="770" t="n">
        <f aca="false">'wholesale services'!$K$110/12</f>
        <v>39106610.7060185</v>
      </c>
      <c r="AV97" s="770" t="n">
        <f aca="false">'wholesale services'!$K$113/12</f>
        <v>17613.2558333333</v>
      </c>
      <c r="AW97" s="431"/>
      <c r="AX97" s="851" t="n">
        <f aca="false">IF(A97&lt;$AX$6,0,-$R$5/12)</f>
        <v>-715341.083333333</v>
      </c>
      <c r="AY97" s="417" t="n">
        <f aca="false">IF(A97&lt;$AX$6,0,-$S$5/12)</f>
        <v>-705333.333333333</v>
      </c>
      <c r="AZ97" s="431"/>
      <c r="BA97" s="772" t="n">
        <f aca="false">P97-IF($BL$4="mid",Q97,R97)-$BL$9*(IF($BL$4="mid",N97,O97)+IF($BL$4="mid",DL97,L97))</f>
        <v>606204.193931649</v>
      </c>
      <c r="BB97" s="772" t="n">
        <f aca="false">S97-IF($BL$4="mid",T97,U97)-$BM$9*(IF($BL$4="mid",N97,O97)+IF($BL$4="mid",DL97,L97))</f>
        <v>-21548.4862541152</v>
      </c>
      <c r="BC97" s="772" t="n">
        <f aca="false">V97-IF($BL$4="mid",W97,X97)-$BN$9*(IF($BL$4="mid",N97,O97)+IF($BL$4="mid",DL97,L97))</f>
        <v>-6589.60694306044</v>
      </c>
      <c r="BD97" s="772" t="n">
        <f aca="false">Y97-IF($BL$4="mid",Z97,AA97)</f>
        <v>26681.5894860119</v>
      </c>
      <c r="BE97" s="772" t="n">
        <f aca="false">AB97-IF($BL$4="mid",AC97,AD97)</f>
        <v>-6812.32924332703</v>
      </c>
      <c r="BF97" s="772" t="n">
        <f aca="false">AE97-IF($BL$4="mid",AF97,AG97)</f>
        <v>12049.0160956046</v>
      </c>
      <c r="BG97" s="772" t="n">
        <f aca="false">AH97-IF($BL$4="mid",AI97,AJ97)</f>
        <v>21626.397404953</v>
      </c>
      <c r="BH97" s="772" t="n">
        <f aca="false">-IF($BL$4="mid",AK97,AL97)</f>
        <v>-290783.21577099</v>
      </c>
      <c r="BI97" s="772" t="n">
        <f aca="false">-IF($BL$4="mid",AM97,AN97)</f>
        <v>-55221.25</v>
      </c>
      <c r="BL97" s="772" t="n">
        <f aca="false">BW97-IF($BL$4="mid",Q97,R97)-$BL$9*(IF($BL$4="mid",N97,O97)+IF($BL$4="mid",DL97,L97))</f>
        <v>758573.477729674</v>
      </c>
      <c r="BM97" s="772" t="n">
        <f aca="false">BX97-IF($BL$4="mid",T97,U97)-$BM$9*(IF($BL$4="mid",N97,O97)+IF($BL$4="mid",DL97,L97))</f>
        <v>-16150.1896200198</v>
      </c>
      <c r="BN97" s="772" t="n">
        <f aca="false">BY97-IF($BL$4="mid",W97,X97)-$BN$9*(IF($BL$4="mid",N97,O97)+IF($BL$4="mid",DL97,L97))</f>
        <v>-3872.29477461937</v>
      </c>
      <c r="BO97" s="772" t="n">
        <f aca="false">BZ97-IF($BL$4="mid",Z97,AA97)</f>
        <v>46447.4925722254</v>
      </c>
      <c r="BP97" s="772" t="n">
        <f aca="false">CA97-IF($BL$4="mid",AC97,AD97)</f>
        <v>11373.7995906107</v>
      </c>
      <c r="BQ97" s="772" t="n">
        <f aca="false">CB97-IF($BL$4="mid",AF97,AG97)</f>
        <v>25847.1785410016</v>
      </c>
      <c r="BR97" s="772" t="n">
        <f aca="false">CC97-IF($BL$4="mid",AI97,AJ97)</f>
        <v>22534.5899746191</v>
      </c>
      <c r="BS97" s="772" t="n">
        <f aca="false">-IF($BL$4="mid",AK97,AL97)</f>
        <v>-290783.21577099</v>
      </c>
      <c r="BT97" s="772" t="n">
        <f aca="false">-IF($BL$4="mid",AM97,AN97)</f>
        <v>-55221.25</v>
      </c>
      <c r="BW97" s="872" t="n">
        <f aca="false">Breakout!$J$15/12</f>
        <v>3780673.22922179</v>
      </c>
      <c r="BX97" s="872" t="n">
        <f aca="false">Breakout!$J$26/12</f>
        <v>133945.602809136</v>
      </c>
      <c r="BY97" s="872" t="n">
        <f aca="false">Breakout!$J$37/12</f>
        <v>67423.4932040604</v>
      </c>
      <c r="BZ97" s="872" t="n">
        <f aca="false">Breakout!$J$48/12</f>
        <v>490442.81620761</v>
      </c>
      <c r="CA97" s="872" t="n">
        <f aca="false">Breakout!$J$59/12</f>
        <v>451244.560004536</v>
      </c>
      <c r="CB97" s="872" t="n">
        <f aca="false">Breakout!$J$70/12</f>
        <v>342367.845207668</v>
      </c>
      <c r="CC97" s="872" t="n">
        <f aca="false">Breakout!$J$81/12</f>
        <v>22534.5899746191</v>
      </c>
      <c r="CE97" s="852" t="n">
        <f aca="false">P97/0.96</f>
        <v>3779483.27648309</v>
      </c>
      <c r="CF97" s="852" t="n">
        <f aca="false">S97/0.96</f>
        <v>133903.443932334</v>
      </c>
      <c r="CG97" s="852" t="n">
        <f aca="false">V97/0.96</f>
        <v>67402.2719121034</v>
      </c>
      <c r="CI97" s="852" t="n">
        <f aca="false">N97</f>
        <v>-715341.083333333</v>
      </c>
      <c r="CJ97" s="852" t="n">
        <f aca="false">O97</f>
        <v>-705333.333333333</v>
      </c>
      <c r="CL97" s="772" t="n">
        <f aca="false">'account mgt'!$J$23/12</f>
        <v>-56572.769131727</v>
      </c>
      <c r="CN97" s="772" t="n">
        <v>0</v>
      </c>
      <c r="CT97" s="772" t="e">
        <f aca="false">CW96</f>
        <v>#VALUE!</v>
      </c>
      <c r="CU97" s="772" t="e">
        <f aca="false">IF(CT97&lt;0.1,0,CT97*$L$3)</f>
        <v>#VALUE!</v>
      </c>
      <c r="CV97" s="772" t="e">
        <f aca="false">IF(CT97&lt;0.1,0,PPMT($L$3,A97-14,unwinds!$B$8*12,$K$5))</f>
        <v>#VALUE!</v>
      </c>
      <c r="CW97" s="772" t="e">
        <f aca="false">IF(CT97-CV97&lt;0,0,CT97-CV97)</f>
        <v>#VALUE!</v>
      </c>
      <c r="CX97" s="772" t="e">
        <f aca="false">IF(CX96-CV97&lt;0,0,CX96-CV97)</f>
        <v>#VALUE!</v>
      </c>
      <c r="DA97" s="772" t="n">
        <f aca="false">DD96</f>
        <v>15098740.1601198</v>
      </c>
      <c r="DB97" s="772" t="n">
        <f aca="false">DA97*$L$3</f>
        <v>119154.224430279</v>
      </c>
      <c r="DC97" s="772" t="n">
        <f aca="false">PPMT($L$3,A97-14,106,$K$5)</f>
        <v>376243.847241335</v>
      </c>
      <c r="DD97" s="772" t="n">
        <f aca="false">DA97-DC97</f>
        <v>14722496.3128785</v>
      </c>
      <c r="DE97" s="772" t="n">
        <f aca="false">DE96-DC97</f>
        <v>14722496.3128785</v>
      </c>
      <c r="DH97" s="417" t="n">
        <v>-715341.083333333</v>
      </c>
      <c r="DI97" s="417" t="n">
        <v>-705333.333333333</v>
      </c>
      <c r="DJ97" s="417"/>
      <c r="DL97" s="417" t="n">
        <f aca="false">PMT($J$3,106,$I$5,,1)</f>
        <v>474832.92700925</v>
      </c>
      <c r="DN97" s="417" t="n">
        <f aca="false">IF($BL$4="mid",DH97,DI97)</f>
        <v>-715341.083333333</v>
      </c>
      <c r="DO97" s="417" t="n">
        <f aca="false">IF($BL$4="mid",DL97,L97)</f>
        <v>474832.92700925</v>
      </c>
      <c r="DQ97" s="772" t="n">
        <f aca="false">BW97-IF($BL$4="mid",Q97,R97)</f>
        <v>530090.729221795</v>
      </c>
      <c r="DR97" s="772" t="n">
        <f aca="false">BX97-IF($BL$4="mid",T97,U97)</f>
        <v>-28175.5974362239</v>
      </c>
      <c r="DS97" s="772"/>
      <c r="DT97" s="772"/>
      <c r="DU97" s="772"/>
      <c r="DV97" s="772"/>
      <c r="DW97" s="772"/>
      <c r="DX97" s="772"/>
    </row>
    <row r="98" customFormat="false" ht="12.75" hidden="false" customHeight="false" outlineLevel="0" collapsed="false">
      <c r="A98" s="767" t="n">
        <v>87</v>
      </c>
      <c r="B98" s="854" t="n">
        <v>39142</v>
      </c>
      <c r="C98" s="417" t="n">
        <v>0</v>
      </c>
      <c r="D98" s="417" t="n">
        <v>0</v>
      </c>
      <c r="E98" s="417" t="n">
        <v>0</v>
      </c>
      <c r="F98" s="417" t="n">
        <v>115275.319009945</v>
      </c>
      <c r="G98" s="417" t="n">
        <v>376243.847241339</v>
      </c>
      <c r="H98" s="417" t="n">
        <v>0</v>
      </c>
      <c r="I98" s="417" t="n">
        <v>491519.166251284</v>
      </c>
      <c r="J98" s="417"/>
      <c r="K98" s="417"/>
      <c r="L98" s="417" t="n">
        <f aca="false">PMT($L$3,106,$K$5,,1)</f>
        <v>491519.166251281</v>
      </c>
      <c r="M98" s="417"/>
      <c r="N98" s="850" t="n">
        <f aca="false">IF(A98&lt;$B$8,0,-$R$5/12)</f>
        <v>-715341.083333333</v>
      </c>
      <c r="O98" s="850" t="n">
        <f aca="false">IF(A98&lt;$B$8,0,-$S$5/12)</f>
        <v>-705333.333333333</v>
      </c>
      <c r="P98" s="872" t="n">
        <f aca="false">Breakout!$J$16/12</f>
        <v>3628303.94542377</v>
      </c>
      <c r="Q98" s="770" t="n">
        <f aca="false">'wholesale services'!$D$110*'wholesale services'!$K$111/12</f>
        <v>3250582.5</v>
      </c>
      <c r="R98" s="770" t="n">
        <v>3320487.5</v>
      </c>
      <c r="S98" s="872" t="n">
        <f aca="false">Breakout!$J$27/12</f>
        <v>128547.306175041</v>
      </c>
      <c r="T98" s="770" t="n">
        <f aca="false">'wholesale services'!$D$113*'wholesale services'!$K$114/12</f>
        <v>162121.20024536</v>
      </c>
      <c r="U98" s="770" t="n">
        <v>165429.796168735</v>
      </c>
      <c r="V98" s="872" t="n">
        <f aca="false">Breakout!$J$38/12</f>
        <v>64706.1810356193</v>
      </c>
      <c r="W98" s="431" t="n">
        <f aca="false">Breakout!$J$39/12</f>
        <v>71295.7879786797</v>
      </c>
      <c r="X98" s="431" t="n">
        <v>72062.4093547946</v>
      </c>
      <c r="Y98" s="872" t="n">
        <f aca="false">Breakout!$J$49/12</f>
        <v>470676.913121397</v>
      </c>
      <c r="Z98" s="873" t="n">
        <f aca="false">Breakout!$J$50/12</f>
        <v>443995.323635385</v>
      </c>
      <c r="AA98" s="873" t="n">
        <v>466386.231715398</v>
      </c>
      <c r="AB98" s="872" t="n">
        <f aca="false">Breakout!$J$60/12</f>
        <v>433058.431170598</v>
      </c>
      <c r="AC98" s="873" t="n">
        <f aca="false">Breakout!$J$61/12</f>
        <v>439870.760413925</v>
      </c>
      <c r="AD98" s="873" t="n">
        <v>453586.107063803</v>
      </c>
      <c r="AE98" s="872" t="n">
        <f aca="false">Breakout!$J$71/12</f>
        <v>328569.682762271</v>
      </c>
      <c r="AF98" s="873" t="n">
        <f aca="false">Breakout!$J$72/12</f>
        <v>316520.666666667</v>
      </c>
      <c r="AG98" s="873" t="n">
        <v>316520.666666667</v>
      </c>
      <c r="AH98" s="872" t="n">
        <f aca="false">Breakout!$J$82/12</f>
        <v>21626.397404953</v>
      </c>
      <c r="AI98" s="873" t="n">
        <f aca="false">Breakout!$J$83/12</f>
        <v>0</v>
      </c>
      <c r="AJ98" s="873" t="n">
        <v>0</v>
      </c>
      <c r="AK98" s="874" t="n">
        <f aca="false">Breakout!$J$91/12</f>
        <v>290783.21577099</v>
      </c>
      <c r="AL98" s="874" t="n">
        <v>290783.21577099</v>
      </c>
      <c r="AM98" s="773" t="n">
        <f aca="false">(Breakout!$J$107/12)*-1</f>
        <v>55221.25</v>
      </c>
      <c r="AN98" s="773" t="n">
        <v>55221.25</v>
      </c>
      <c r="AO98" s="774" t="n">
        <f aca="false">(P98+S98+V98)+Y98+AB98+AE98+AH98</f>
        <v>5075488.85709365</v>
      </c>
      <c r="AP98" s="774" t="n">
        <f aca="false">Q98+T98+W98+AA98+AD98+AG98+AJ98+AL98+AN98</f>
        <v>5066496.9594409</v>
      </c>
      <c r="AQ98" s="775" t="n">
        <f aca="false">P98+S98+V98+Y98+AB98+AE98+AH98-Q98-T98-W98-Z98-AC98-AF98-AI98-AK98-AM98-DH98-DL98-CN98</f>
        <v>285606.308706724</v>
      </c>
      <c r="AR98" s="431"/>
      <c r="AS98" s="776" t="n">
        <f aca="false">P98+S98+V98+Y98+AB98+AE98+AH98-R98-U98-X98-AA98-AD98-AG98-AJ98-AL98-AN98-O98-L98-CN98</f>
        <v>148825.847435312</v>
      </c>
      <c r="AT98" s="431"/>
      <c r="AU98" s="770" t="n">
        <f aca="false">'wholesale services'!$K$110/12</f>
        <v>39106610.7060185</v>
      </c>
      <c r="AV98" s="770" t="n">
        <f aca="false">'wholesale services'!$K$113/12</f>
        <v>17613.2558333333</v>
      </c>
      <c r="AW98" s="431"/>
      <c r="AX98" s="851" t="n">
        <f aca="false">IF(A98&lt;$AX$6,0,-$R$5/12)</f>
        <v>-715341.083333333</v>
      </c>
      <c r="AY98" s="417" t="n">
        <f aca="false">IF(A98&lt;$AX$6,0,-$S$5/12)</f>
        <v>-705333.333333333</v>
      </c>
      <c r="AZ98" s="431"/>
      <c r="BA98" s="772" t="n">
        <f aca="false">P98-IF($BL$4="mid",Q98,R98)-$BL$9*(IF($BL$4="mid",N98,O98)+IF($BL$4="mid",DL98,L98))</f>
        <v>606204.193931649</v>
      </c>
      <c r="BB98" s="772" t="n">
        <f aca="false">S98-IF($BL$4="mid",T98,U98)-$BM$9*(IF($BL$4="mid",N98,O98)+IF($BL$4="mid",DL98,L98))</f>
        <v>-21548.4862541152</v>
      </c>
      <c r="BC98" s="772" t="n">
        <f aca="false">V98-IF($BL$4="mid",W98,X98)-$BN$9*(IF($BL$4="mid",N98,O98)+IF($BL$4="mid",DL98,L98))</f>
        <v>-6589.60694306044</v>
      </c>
      <c r="BD98" s="772" t="n">
        <f aca="false">Y98-IF($BL$4="mid",Z98,AA98)</f>
        <v>26681.5894860119</v>
      </c>
      <c r="BE98" s="772" t="n">
        <f aca="false">AB98-IF($BL$4="mid",AC98,AD98)</f>
        <v>-6812.32924332703</v>
      </c>
      <c r="BF98" s="772" t="n">
        <f aca="false">AE98-IF($BL$4="mid",AF98,AG98)</f>
        <v>12049.0160956046</v>
      </c>
      <c r="BG98" s="772" t="n">
        <f aca="false">AH98-IF($BL$4="mid",AI98,AJ98)</f>
        <v>21626.397404953</v>
      </c>
      <c r="BH98" s="772" t="n">
        <f aca="false">-IF($BL$4="mid",AK98,AL98)</f>
        <v>-290783.21577099</v>
      </c>
      <c r="BI98" s="772" t="n">
        <f aca="false">-IF($BL$4="mid",AM98,AN98)</f>
        <v>-55221.25</v>
      </c>
      <c r="BL98" s="772" t="n">
        <f aca="false">BW98-IF($BL$4="mid",Q98,R98)-$BL$9*(IF($BL$4="mid",N98,O98)+IF($BL$4="mid",DL98,L98))</f>
        <v>758573.477729674</v>
      </c>
      <c r="BM98" s="772" t="n">
        <f aca="false">BX98-IF($BL$4="mid",T98,U98)-$BM$9*(IF($BL$4="mid",N98,O98)+IF($BL$4="mid",DL98,L98))</f>
        <v>-16150.1896200198</v>
      </c>
      <c r="BN98" s="772" t="n">
        <f aca="false">BY98-IF($BL$4="mid",W98,X98)-$BN$9*(IF($BL$4="mid",N98,O98)+IF($BL$4="mid",DL98,L98))</f>
        <v>-3872.29477461937</v>
      </c>
      <c r="BO98" s="772" t="n">
        <f aca="false">BZ98-IF($BL$4="mid",Z98,AA98)</f>
        <v>46447.4925722254</v>
      </c>
      <c r="BP98" s="772" t="n">
        <f aca="false">CA98-IF($BL$4="mid",AC98,AD98)</f>
        <v>11373.7995906107</v>
      </c>
      <c r="BQ98" s="772" t="n">
        <f aca="false">CB98-IF($BL$4="mid",AF98,AG98)</f>
        <v>25847.1785410016</v>
      </c>
      <c r="BR98" s="772" t="n">
        <f aca="false">CC98-IF($BL$4="mid",AI98,AJ98)</f>
        <v>22534.5899746191</v>
      </c>
      <c r="BS98" s="772" t="n">
        <f aca="false">-IF($BL$4="mid",AK98,AL98)</f>
        <v>-290783.21577099</v>
      </c>
      <c r="BT98" s="772" t="n">
        <f aca="false">-IF($BL$4="mid",AM98,AN98)</f>
        <v>-55221.25</v>
      </c>
      <c r="BW98" s="872" t="n">
        <f aca="false">Breakout!$J$15/12</f>
        <v>3780673.22922179</v>
      </c>
      <c r="BX98" s="872" t="n">
        <f aca="false">Breakout!$J$26/12</f>
        <v>133945.602809136</v>
      </c>
      <c r="BY98" s="872" t="n">
        <f aca="false">Breakout!$J$37/12</f>
        <v>67423.4932040604</v>
      </c>
      <c r="BZ98" s="872" t="n">
        <f aca="false">Breakout!$J$48/12</f>
        <v>490442.81620761</v>
      </c>
      <c r="CA98" s="872" t="n">
        <f aca="false">Breakout!$J$59/12</f>
        <v>451244.560004536</v>
      </c>
      <c r="CB98" s="872" t="n">
        <f aca="false">Breakout!$J$70/12</f>
        <v>342367.845207668</v>
      </c>
      <c r="CC98" s="872" t="n">
        <f aca="false">Breakout!$J$81/12</f>
        <v>22534.5899746191</v>
      </c>
      <c r="CE98" s="852" t="n">
        <f aca="false">P98/0.96</f>
        <v>3779483.27648309</v>
      </c>
      <c r="CF98" s="852" t="n">
        <f aca="false">S98/0.96</f>
        <v>133903.443932334</v>
      </c>
      <c r="CG98" s="852" t="n">
        <f aca="false">V98/0.96</f>
        <v>67402.2719121034</v>
      </c>
      <c r="CI98" s="852" t="n">
        <f aca="false">N98</f>
        <v>-715341.083333333</v>
      </c>
      <c r="CJ98" s="852" t="n">
        <f aca="false">O98</f>
        <v>-705333.333333333</v>
      </c>
      <c r="CL98" s="772" t="n">
        <f aca="false">'account mgt'!$J$23/12</f>
        <v>-56572.769131727</v>
      </c>
      <c r="CN98" s="772" t="n">
        <v>0</v>
      </c>
      <c r="CT98" s="772" t="e">
        <f aca="false">CW97</f>
        <v>#VALUE!</v>
      </c>
      <c r="CU98" s="772" t="e">
        <f aca="false">IF(CT98&lt;0.1,0,CT98*$L$3)</f>
        <v>#VALUE!</v>
      </c>
      <c r="CV98" s="772" t="e">
        <f aca="false">IF(CT98&lt;0.1,0,PPMT($L$3,A98-14,unwinds!$B$8*12,$K$5))</f>
        <v>#VALUE!</v>
      </c>
      <c r="CW98" s="772" t="e">
        <f aca="false">IF(CT98-CV98&lt;0,0,CT98-CV98)</f>
        <v>#VALUE!</v>
      </c>
      <c r="CX98" s="772" t="e">
        <f aca="false">IF(CX97-CV98&lt;0,0,CX97-CV98)</f>
        <v>#VALUE!</v>
      </c>
      <c r="DA98" s="772" t="n">
        <f aca="false">DD97</f>
        <v>14722496.3128785</v>
      </c>
      <c r="DB98" s="772" t="n">
        <f aca="false">DA98*$L$3</f>
        <v>116185.033402466</v>
      </c>
      <c r="DC98" s="772" t="n">
        <f aca="false">PPMT($L$3,A98-14,106,$K$5)</f>
        <v>379213.038269148</v>
      </c>
      <c r="DD98" s="772" t="n">
        <f aca="false">DA98-DC98</f>
        <v>14343283.2746093</v>
      </c>
      <c r="DE98" s="772" t="n">
        <f aca="false">DE97-DC98</f>
        <v>14343283.2746093</v>
      </c>
      <c r="DH98" s="417" t="n">
        <v>-715341.083333333</v>
      </c>
      <c r="DI98" s="417" t="n">
        <v>-705333.333333333</v>
      </c>
      <c r="DJ98" s="417"/>
      <c r="DL98" s="417" t="n">
        <f aca="false">PMT($J$3,106,$I$5,,1)</f>
        <v>474832.92700925</v>
      </c>
      <c r="DN98" s="417" t="n">
        <f aca="false">IF($BL$4="mid",DH98,DI98)</f>
        <v>-715341.083333333</v>
      </c>
      <c r="DO98" s="417" t="n">
        <f aca="false">IF($BL$4="mid",DL98,L98)</f>
        <v>474832.92700925</v>
      </c>
      <c r="DQ98" s="772" t="n">
        <f aca="false">BW98-IF($BL$4="mid",Q98,R98)</f>
        <v>530090.729221795</v>
      </c>
      <c r="DR98" s="772" t="n">
        <f aca="false">BX98-IF($BL$4="mid",T98,U98)</f>
        <v>-28175.5974362239</v>
      </c>
      <c r="DS98" s="772"/>
      <c r="DT98" s="772"/>
      <c r="DU98" s="772"/>
      <c r="DV98" s="772"/>
      <c r="DW98" s="772"/>
      <c r="DX98" s="772"/>
    </row>
    <row r="99" customFormat="false" ht="12.75" hidden="false" customHeight="false" outlineLevel="0" collapsed="false">
      <c r="A99" s="767" t="n">
        <v>88</v>
      </c>
      <c r="B99" s="854" t="n">
        <v>39173</v>
      </c>
      <c r="C99" s="417" t="n">
        <v>0</v>
      </c>
      <c r="D99" s="417" t="n">
        <v>0</v>
      </c>
      <c r="E99" s="417" t="n">
        <v>0</v>
      </c>
      <c r="F99" s="417" t="n">
        <v>112306.127982132</v>
      </c>
      <c r="G99" s="417" t="n">
        <v>379213.038269151</v>
      </c>
      <c r="H99" s="417" t="n">
        <v>0</v>
      </c>
      <c r="I99" s="417" t="n">
        <v>491519.166251284</v>
      </c>
      <c r="J99" s="417"/>
      <c r="K99" s="417"/>
      <c r="L99" s="417" t="n">
        <f aca="false">PMT($L$3,106,$K$5,,1)</f>
        <v>491519.166251281</v>
      </c>
      <c r="M99" s="417"/>
      <c r="N99" s="850" t="n">
        <f aca="false">IF(A99&lt;$B$8,0,-$R$5/12)</f>
        <v>-715341.083333333</v>
      </c>
      <c r="O99" s="850" t="n">
        <f aca="false">IF(A99&lt;$B$8,0,-$S$5/12)</f>
        <v>-705333.333333333</v>
      </c>
      <c r="P99" s="872" t="n">
        <f aca="false">Breakout!$J$16/12</f>
        <v>3628303.94542377</v>
      </c>
      <c r="Q99" s="770" t="n">
        <f aca="false">'wholesale services'!$D$110*'wholesale services'!$K$111/12</f>
        <v>3250582.5</v>
      </c>
      <c r="R99" s="770" t="n">
        <v>3320487.5</v>
      </c>
      <c r="S99" s="872" t="n">
        <f aca="false">Breakout!$J$27/12</f>
        <v>128547.306175041</v>
      </c>
      <c r="T99" s="770" t="n">
        <f aca="false">'wholesale services'!$D$113*'wholesale services'!$K$114/12</f>
        <v>162121.20024536</v>
      </c>
      <c r="U99" s="770" t="n">
        <v>165429.796168735</v>
      </c>
      <c r="V99" s="872" t="n">
        <f aca="false">Breakout!$J$38/12</f>
        <v>64706.1810356193</v>
      </c>
      <c r="W99" s="431" t="n">
        <f aca="false">Breakout!$J$39/12</f>
        <v>71295.7879786797</v>
      </c>
      <c r="X99" s="431" t="n">
        <v>72062.4093547946</v>
      </c>
      <c r="Y99" s="872" t="n">
        <f aca="false">Breakout!$J$49/12</f>
        <v>470676.913121397</v>
      </c>
      <c r="Z99" s="873" t="n">
        <f aca="false">Breakout!$J$50/12</f>
        <v>443995.323635385</v>
      </c>
      <c r="AA99" s="873" t="n">
        <v>466386.231715398</v>
      </c>
      <c r="AB99" s="872" t="n">
        <f aca="false">Breakout!$J$60/12</f>
        <v>433058.431170598</v>
      </c>
      <c r="AC99" s="873" t="n">
        <f aca="false">Breakout!$J$61/12</f>
        <v>439870.760413925</v>
      </c>
      <c r="AD99" s="873" t="n">
        <v>453586.107063803</v>
      </c>
      <c r="AE99" s="872" t="n">
        <f aca="false">Breakout!$J$71/12</f>
        <v>328569.682762271</v>
      </c>
      <c r="AF99" s="873" t="n">
        <f aca="false">Breakout!$J$72/12</f>
        <v>316520.666666667</v>
      </c>
      <c r="AG99" s="873" t="n">
        <v>316520.666666667</v>
      </c>
      <c r="AH99" s="872" t="n">
        <f aca="false">Breakout!$J$82/12</f>
        <v>21626.397404953</v>
      </c>
      <c r="AI99" s="873" t="n">
        <f aca="false">Breakout!$J$83/12</f>
        <v>0</v>
      </c>
      <c r="AJ99" s="873" t="n">
        <v>0</v>
      </c>
      <c r="AK99" s="874" t="n">
        <f aca="false">Breakout!$J$91/12</f>
        <v>290783.21577099</v>
      </c>
      <c r="AL99" s="874" t="n">
        <v>290783.21577099</v>
      </c>
      <c r="AM99" s="773" t="n">
        <f aca="false">(Breakout!$J$107/12)*-1</f>
        <v>55221.25</v>
      </c>
      <c r="AN99" s="773" t="n">
        <v>55221.25</v>
      </c>
      <c r="AO99" s="774" t="n">
        <f aca="false">(P99+S99+V99)+Y99+AB99+AE99+AH99</f>
        <v>5075488.85709365</v>
      </c>
      <c r="AP99" s="774" t="n">
        <f aca="false">Q99+T99+W99+AA99+AD99+AG99+AJ99+AL99+AN99</f>
        <v>5066496.9594409</v>
      </c>
      <c r="AQ99" s="775" t="n">
        <f aca="false">P99+S99+V99+Y99+AB99+AE99+AH99-Q99-T99-W99-Z99-AC99-AF99-AI99-AK99-AM99-DH99-DL99-CN99</f>
        <v>285606.308706724</v>
      </c>
      <c r="AR99" s="431"/>
      <c r="AS99" s="776" t="n">
        <f aca="false">P99+S99+V99+Y99+AB99+AE99+AH99-R99-U99-X99-AA99-AD99-AG99-AJ99-AL99-AN99-O99-L99-CN99</f>
        <v>148825.847435312</v>
      </c>
      <c r="AT99" s="431"/>
      <c r="AU99" s="770" t="n">
        <f aca="false">'wholesale services'!$K$110/12</f>
        <v>39106610.7060185</v>
      </c>
      <c r="AV99" s="770" t="n">
        <f aca="false">'wholesale services'!$K$113/12</f>
        <v>17613.2558333333</v>
      </c>
      <c r="AW99" s="431"/>
      <c r="AX99" s="851" t="n">
        <f aca="false">IF(A99&lt;$AX$6,0,-$R$5/12)</f>
        <v>-715341.083333333</v>
      </c>
      <c r="AY99" s="417" t="n">
        <f aca="false">IF(A99&lt;$AX$6,0,-$S$5/12)</f>
        <v>-705333.333333333</v>
      </c>
      <c r="AZ99" s="431"/>
      <c r="BA99" s="772" t="n">
        <f aca="false">P99-IF($BL$4="mid",Q99,R99)-$BL$9*(IF($BL$4="mid",N99,O99)+IF($BL$4="mid",DL99,L99))</f>
        <v>606204.193931649</v>
      </c>
      <c r="BB99" s="772" t="n">
        <f aca="false">S99-IF($BL$4="mid",T99,U99)-$BM$9*(IF($BL$4="mid",N99,O99)+IF($BL$4="mid",DL99,L99))</f>
        <v>-21548.4862541152</v>
      </c>
      <c r="BC99" s="772" t="n">
        <f aca="false">V99-IF($BL$4="mid",W99,X99)-$BN$9*(IF($BL$4="mid",N99,O99)+IF($BL$4="mid",DL99,L99))</f>
        <v>-6589.60694306044</v>
      </c>
      <c r="BD99" s="772" t="n">
        <f aca="false">Y99-IF($BL$4="mid",Z99,AA99)</f>
        <v>26681.5894860119</v>
      </c>
      <c r="BE99" s="772" t="n">
        <f aca="false">AB99-IF($BL$4="mid",AC99,AD99)</f>
        <v>-6812.32924332703</v>
      </c>
      <c r="BF99" s="772" t="n">
        <f aca="false">AE99-IF($BL$4="mid",AF99,AG99)</f>
        <v>12049.0160956046</v>
      </c>
      <c r="BG99" s="772" t="n">
        <f aca="false">AH99-IF($BL$4="mid",AI99,AJ99)</f>
        <v>21626.397404953</v>
      </c>
      <c r="BH99" s="772" t="n">
        <f aca="false">-IF($BL$4="mid",AK99,AL99)</f>
        <v>-290783.21577099</v>
      </c>
      <c r="BI99" s="772" t="n">
        <f aca="false">-IF($BL$4="mid",AM99,AN99)</f>
        <v>-55221.25</v>
      </c>
      <c r="BL99" s="772" t="n">
        <f aca="false">BW99-IF($BL$4="mid",Q99,R99)-$BL$9*(IF($BL$4="mid",N99,O99)+IF($BL$4="mid",DL99,L99))</f>
        <v>758573.477729674</v>
      </c>
      <c r="BM99" s="772" t="n">
        <f aca="false">BX99-IF($BL$4="mid",T99,U99)-$BM$9*(IF($BL$4="mid",N99,O99)+IF($BL$4="mid",DL99,L99))</f>
        <v>-16150.1896200198</v>
      </c>
      <c r="BN99" s="772" t="n">
        <f aca="false">BY99-IF($BL$4="mid",W99,X99)-$BN$9*(IF($BL$4="mid",N99,O99)+IF($BL$4="mid",DL99,L99))</f>
        <v>-3872.29477461937</v>
      </c>
      <c r="BO99" s="772" t="n">
        <f aca="false">BZ99-IF($BL$4="mid",Z99,AA99)</f>
        <v>46447.4925722254</v>
      </c>
      <c r="BP99" s="772" t="n">
        <f aca="false">CA99-IF($BL$4="mid",AC99,AD99)</f>
        <v>11373.7995906107</v>
      </c>
      <c r="BQ99" s="772" t="n">
        <f aca="false">CB99-IF($BL$4="mid",AF99,AG99)</f>
        <v>25847.1785410016</v>
      </c>
      <c r="BR99" s="772" t="n">
        <f aca="false">CC99-IF($BL$4="mid",AI99,AJ99)</f>
        <v>22534.5899746191</v>
      </c>
      <c r="BS99" s="772" t="n">
        <f aca="false">-IF($BL$4="mid",AK99,AL99)</f>
        <v>-290783.21577099</v>
      </c>
      <c r="BT99" s="772" t="n">
        <f aca="false">-IF($BL$4="mid",AM99,AN99)</f>
        <v>-55221.25</v>
      </c>
      <c r="BW99" s="872" t="n">
        <f aca="false">Breakout!$J$15/12</f>
        <v>3780673.22922179</v>
      </c>
      <c r="BX99" s="872" t="n">
        <f aca="false">Breakout!$J$26/12</f>
        <v>133945.602809136</v>
      </c>
      <c r="BY99" s="872" t="n">
        <f aca="false">Breakout!$J$37/12</f>
        <v>67423.4932040604</v>
      </c>
      <c r="BZ99" s="872" t="n">
        <f aca="false">Breakout!$J$48/12</f>
        <v>490442.81620761</v>
      </c>
      <c r="CA99" s="872" t="n">
        <f aca="false">Breakout!$J$59/12</f>
        <v>451244.560004536</v>
      </c>
      <c r="CB99" s="872" t="n">
        <f aca="false">Breakout!$J$70/12</f>
        <v>342367.845207668</v>
      </c>
      <c r="CC99" s="872" t="n">
        <f aca="false">Breakout!$J$81/12</f>
        <v>22534.5899746191</v>
      </c>
      <c r="CE99" s="852" t="n">
        <f aca="false">P99/0.96</f>
        <v>3779483.27648309</v>
      </c>
      <c r="CF99" s="852" t="n">
        <f aca="false">S99/0.96</f>
        <v>133903.443932334</v>
      </c>
      <c r="CG99" s="852" t="n">
        <f aca="false">V99/0.96</f>
        <v>67402.2719121034</v>
      </c>
      <c r="CI99" s="852" t="n">
        <f aca="false">N99</f>
        <v>-715341.083333333</v>
      </c>
      <c r="CJ99" s="852" t="n">
        <f aca="false">O99</f>
        <v>-705333.333333333</v>
      </c>
      <c r="CL99" s="772" t="n">
        <f aca="false">'account mgt'!$J$23/12</f>
        <v>-56572.769131727</v>
      </c>
      <c r="CN99" s="772" t="n">
        <v>0</v>
      </c>
      <c r="CT99" s="772" t="e">
        <f aca="false">CW98</f>
        <v>#VALUE!</v>
      </c>
      <c r="CU99" s="772" t="e">
        <f aca="false">IF(CT99&lt;0.1,0,CT99*$L$3)</f>
        <v>#VALUE!</v>
      </c>
      <c r="CV99" s="772" t="e">
        <f aca="false">IF(CT99&lt;0.1,0,PPMT($L$3,A99-14,unwinds!$B$8*12,$K$5))</f>
        <v>#VALUE!</v>
      </c>
      <c r="CW99" s="772" t="e">
        <f aca="false">IF(CT99-CV99&lt;0,0,CT99-CV99)</f>
        <v>#VALUE!</v>
      </c>
      <c r="CX99" s="772" t="e">
        <f aca="false">IF(CX98-CV99&lt;0,0,CX98-CV99)</f>
        <v>#VALUE!</v>
      </c>
      <c r="DA99" s="772" t="n">
        <f aca="false">DD98</f>
        <v>14343283.2746093</v>
      </c>
      <c r="DB99" s="772" t="n">
        <f aca="false">DA99*$L$3</f>
        <v>113192.410508792</v>
      </c>
      <c r="DC99" s="772" t="n">
        <f aca="false">PPMT($L$3,A99-14,106,$K$5)</f>
        <v>382205.661162822</v>
      </c>
      <c r="DD99" s="772" t="n">
        <f aca="false">DA99-DC99</f>
        <v>13961077.6134465</v>
      </c>
      <c r="DE99" s="772" t="n">
        <f aca="false">DE98-DC99</f>
        <v>13961077.6134465</v>
      </c>
      <c r="DH99" s="417" t="n">
        <v>-715341.083333333</v>
      </c>
      <c r="DI99" s="417" t="n">
        <v>-705333.333333333</v>
      </c>
      <c r="DJ99" s="417"/>
      <c r="DL99" s="417" t="n">
        <f aca="false">PMT($J$3,106,$I$5,,1)</f>
        <v>474832.92700925</v>
      </c>
      <c r="DN99" s="417" t="n">
        <f aca="false">IF($BL$4="mid",DH99,DI99)</f>
        <v>-715341.083333333</v>
      </c>
      <c r="DO99" s="417" t="n">
        <f aca="false">IF($BL$4="mid",DL99,L99)</f>
        <v>474832.92700925</v>
      </c>
      <c r="DQ99" s="772" t="n">
        <f aca="false">BW99-IF($BL$4="mid",Q99,R99)</f>
        <v>530090.729221795</v>
      </c>
      <c r="DR99" s="772" t="n">
        <f aca="false">BX99-IF($BL$4="mid",T99,U99)</f>
        <v>-28175.5974362239</v>
      </c>
      <c r="DS99" s="772"/>
      <c r="DT99" s="772"/>
      <c r="DU99" s="772"/>
      <c r="DV99" s="772"/>
      <c r="DW99" s="772"/>
      <c r="DX99" s="772"/>
    </row>
    <row r="100" customFormat="false" ht="12.75" hidden="false" customHeight="false" outlineLevel="0" collapsed="false">
      <c r="A100" s="767" t="n">
        <v>89</v>
      </c>
      <c r="B100" s="854" t="n">
        <v>39203</v>
      </c>
      <c r="C100" s="417" t="n">
        <v>0</v>
      </c>
      <c r="D100" s="417" t="n">
        <v>0</v>
      </c>
      <c r="E100" s="417" t="n">
        <v>0</v>
      </c>
      <c r="F100" s="417" t="n">
        <v>109313.505088458</v>
      </c>
      <c r="G100" s="417" t="n">
        <v>382205.661162826</v>
      </c>
      <c r="H100" s="417" t="n">
        <v>0</v>
      </c>
      <c r="I100" s="417" t="n">
        <v>491519.166251284</v>
      </c>
      <c r="J100" s="417"/>
      <c r="K100" s="417"/>
      <c r="L100" s="417" t="n">
        <f aca="false">PMT($L$3,106,$K$5,,1)</f>
        <v>491519.166251281</v>
      </c>
      <c r="M100" s="417"/>
      <c r="N100" s="850" t="n">
        <f aca="false">IF(A100&lt;$B$8,0,-$R$5/12)</f>
        <v>-715341.083333333</v>
      </c>
      <c r="O100" s="850" t="n">
        <f aca="false">IF(A100&lt;$B$8,0,-$S$5/12)</f>
        <v>-705333.333333333</v>
      </c>
      <c r="P100" s="872" t="n">
        <f aca="false">Breakout!$J$16/12</f>
        <v>3628303.94542377</v>
      </c>
      <c r="Q100" s="770" t="n">
        <f aca="false">'wholesale services'!$D$110*'wholesale services'!$K$111/12</f>
        <v>3250582.5</v>
      </c>
      <c r="R100" s="770" t="n">
        <v>3320487.5</v>
      </c>
      <c r="S100" s="872" t="n">
        <f aca="false">Breakout!$J$27/12</f>
        <v>128547.306175041</v>
      </c>
      <c r="T100" s="770" t="n">
        <f aca="false">'wholesale services'!$D$113*'wholesale services'!$K$114/12</f>
        <v>162121.20024536</v>
      </c>
      <c r="U100" s="770" t="n">
        <v>165429.796168735</v>
      </c>
      <c r="V100" s="872" t="n">
        <f aca="false">Breakout!$J$38/12</f>
        <v>64706.1810356193</v>
      </c>
      <c r="W100" s="431" t="n">
        <f aca="false">Breakout!$J$39/12</f>
        <v>71295.7879786797</v>
      </c>
      <c r="X100" s="431" t="n">
        <v>72062.4093547946</v>
      </c>
      <c r="Y100" s="872" t="n">
        <f aca="false">Breakout!$J$49/12</f>
        <v>470676.913121397</v>
      </c>
      <c r="Z100" s="873" t="n">
        <f aca="false">Breakout!$J$50/12</f>
        <v>443995.323635385</v>
      </c>
      <c r="AA100" s="873" t="n">
        <v>466386.231715398</v>
      </c>
      <c r="AB100" s="872" t="n">
        <f aca="false">Breakout!$J$60/12</f>
        <v>433058.431170598</v>
      </c>
      <c r="AC100" s="873" t="n">
        <f aca="false">Breakout!$J$61/12</f>
        <v>439870.760413925</v>
      </c>
      <c r="AD100" s="873" t="n">
        <v>453586.107063803</v>
      </c>
      <c r="AE100" s="872" t="n">
        <f aca="false">Breakout!$J$71/12</f>
        <v>328569.682762271</v>
      </c>
      <c r="AF100" s="873" t="n">
        <f aca="false">Breakout!$J$72/12</f>
        <v>316520.666666667</v>
      </c>
      <c r="AG100" s="873" t="n">
        <v>316520.666666667</v>
      </c>
      <c r="AH100" s="872" t="n">
        <f aca="false">Breakout!$J$82/12</f>
        <v>21626.397404953</v>
      </c>
      <c r="AI100" s="873" t="n">
        <f aca="false">Breakout!$J$83/12</f>
        <v>0</v>
      </c>
      <c r="AJ100" s="873" t="n">
        <v>0</v>
      </c>
      <c r="AK100" s="874" t="n">
        <f aca="false">Breakout!$J$91/12</f>
        <v>290783.21577099</v>
      </c>
      <c r="AL100" s="874" t="n">
        <v>290783.21577099</v>
      </c>
      <c r="AM100" s="773" t="n">
        <f aca="false">(Breakout!$J$107/12)*-1</f>
        <v>55221.25</v>
      </c>
      <c r="AN100" s="773" t="n">
        <v>55221.25</v>
      </c>
      <c r="AO100" s="774" t="n">
        <f aca="false">(P100+S100+V100)+Y100+AB100+AE100+AH100</f>
        <v>5075488.85709365</v>
      </c>
      <c r="AP100" s="774" t="n">
        <f aca="false">Q100+T100+W100+AA100+AD100+AG100+AJ100+AL100+AN100</f>
        <v>5066496.9594409</v>
      </c>
      <c r="AQ100" s="775" t="n">
        <f aca="false">P100+S100+V100+Y100+AB100+AE100+AH100-Q100-T100-W100-Z100-AC100-AF100-AI100-AK100-AM100-DH100-DL100-CN100</f>
        <v>285606.308706724</v>
      </c>
      <c r="AR100" s="431"/>
      <c r="AS100" s="776" t="n">
        <f aca="false">P100+S100+V100+Y100+AB100+AE100+AH100-R100-U100-X100-AA100-AD100-AG100-AJ100-AL100-AN100-O100-L100-CN100</f>
        <v>148825.847435312</v>
      </c>
      <c r="AT100" s="431"/>
      <c r="AU100" s="770" t="n">
        <f aca="false">'wholesale services'!$K$110/12</f>
        <v>39106610.7060185</v>
      </c>
      <c r="AV100" s="770" t="n">
        <f aca="false">'wholesale services'!$K$113/12</f>
        <v>17613.2558333333</v>
      </c>
      <c r="AW100" s="431"/>
      <c r="AX100" s="851" t="n">
        <f aca="false">IF(A100&lt;$AX$6,0,-$R$5/12)</f>
        <v>-715341.083333333</v>
      </c>
      <c r="AY100" s="417" t="n">
        <f aca="false">IF(A100&lt;$AX$6,0,-$S$5/12)</f>
        <v>-705333.333333333</v>
      </c>
      <c r="AZ100" s="431"/>
      <c r="BA100" s="772" t="n">
        <f aca="false">P100-IF($BL$4="mid",Q100,R100)-$BL$9*(IF($BL$4="mid",N100,O100)+IF($BL$4="mid",DL100,L100))</f>
        <v>606204.193931649</v>
      </c>
      <c r="BB100" s="772" t="n">
        <f aca="false">S100-IF($BL$4="mid",T100,U100)-$BM$9*(IF($BL$4="mid",N100,O100)+IF($BL$4="mid",DL100,L100))</f>
        <v>-21548.4862541152</v>
      </c>
      <c r="BC100" s="772" t="n">
        <f aca="false">V100-IF($BL$4="mid",W100,X100)-$BN$9*(IF($BL$4="mid",N100,O100)+IF($BL$4="mid",DL100,L100))</f>
        <v>-6589.60694306044</v>
      </c>
      <c r="BD100" s="772" t="n">
        <f aca="false">Y100-IF($BL$4="mid",Z100,AA100)</f>
        <v>26681.5894860119</v>
      </c>
      <c r="BE100" s="772" t="n">
        <f aca="false">AB100-IF($BL$4="mid",AC100,AD100)</f>
        <v>-6812.32924332703</v>
      </c>
      <c r="BF100" s="772" t="n">
        <f aca="false">AE100-IF($BL$4="mid",AF100,AG100)</f>
        <v>12049.0160956046</v>
      </c>
      <c r="BG100" s="772" t="n">
        <f aca="false">AH100-IF($BL$4="mid",AI100,AJ100)</f>
        <v>21626.397404953</v>
      </c>
      <c r="BH100" s="772" t="n">
        <f aca="false">-IF($BL$4="mid",AK100,AL100)</f>
        <v>-290783.21577099</v>
      </c>
      <c r="BI100" s="772" t="n">
        <f aca="false">-IF($BL$4="mid",AM100,AN100)</f>
        <v>-55221.25</v>
      </c>
      <c r="BL100" s="772" t="n">
        <f aca="false">BW100-IF($BL$4="mid",Q100,R100)-$BL$9*(IF($BL$4="mid",N100,O100)+IF($BL$4="mid",DL100,L100))</f>
        <v>758573.477729674</v>
      </c>
      <c r="BM100" s="772" t="n">
        <f aca="false">BX100-IF($BL$4="mid",T100,U100)-$BM$9*(IF($BL$4="mid",N100,O100)+IF($BL$4="mid",DL100,L100))</f>
        <v>-16150.1896200198</v>
      </c>
      <c r="BN100" s="772" t="n">
        <f aca="false">BY100-IF($BL$4="mid",W100,X100)-$BN$9*(IF($BL$4="mid",N100,O100)+IF($BL$4="mid",DL100,L100))</f>
        <v>-3872.29477461937</v>
      </c>
      <c r="BO100" s="772" t="n">
        <f aca="false">BZ100-IF($BL$4="mid",Z100,AA100)</f>
        <v>46447.4925722254</v>
      </c>
      <c r="BP100" s="772" t="n">
        <f aca="false">CA100-IF($BL$4="mid",AC100,AD100)</f>
        <v>11373.7995906107</v>
      </c>
      <c r="BQ100" s="772" t="n">
        <f aca="false">CB100-IF($BL$4="mid",AF100,AG100)</f>
        <v>25847.1785410016</v>
      </c>
      <c r="BR100" s="772" t="n">
        <f aca="false">CC100-IF($BL$4="mid",AI100,AJ100)</f>
        <v>22534.5899746191</v>
      </c>
      <c r="BS100" s="772" t="n">
        <f aca="false">-IF($BL$4="mid",AK100,AL100)</f>
        <v>-290783.21577099</v>
      </c>
      <c r="BT100" s="772" t="n">
        <f aca="false">-IF($BL$4="mid",AM100,AN100)</f>
        <v>-55221.25</v>
      </c>
      <c r="BW100" s="872" t="n">
        <f aca="false">Breakout!$J$15/12</f>
        <v>3780673.22922179</v>
      </c>
      <c r="BX100" s="872" t="n">
        <f aca="false">Breakout!$J$26/12</f>
        <v>133945.602809136</v>
      </c>
      <c r="BY100" s="872" t="n">
        <f aca="false">Breakout!$J$37/12</f>
        <v>67423.4932040604</v>
      </c>
      <c r="BZ100" s="872" t="n">
        <f aca="false">Breakout!$J$48/12</f>
        <v>490442.81620761</v>
      </c>
      <c r="CA100" s="872" t="n">
        <f aca="false">Breakout!$J$59/12</f>
        <v>451244.560004536</v>
      </c>
      <c r="CB100" s="872" t="n">
        <f aca="false">Breakout!$J$70/12</f>
        <v>342367.845207668</v>
      </c>
      <c r="CC100" s="872" t="n">
        <f aca="false">Breakout!$J$81/12</f>
        <v>22534.5899746191</v>
      </c>
      <c r="CE100" s="852" t="n">
        <f aca="false">P100/0.96</f>
        <v>3779483.27648309</v>
      </c>
      <c r="CF100" s="852" t="n">
        <f aca="false">S100/0.96</f>
        <v>133903.443932334</v>
      </c>
      <c r="CG100" s="852" t="n">
        <f aca="false">V100/0.96</f>
        <v>67402.2719121034</v>
      </c>
      <c r="CI100" s="852" t="n">
        <f aca="false">N100</f>
        <v>-715341.083333333</v>
      </c>
      <c r="CJ100" s="852" t="n">
        <f aca="false">O100</f>
        <v>-705333.333333333</v>
      </c>
      <c r="CL100" s="772" t="n">
        <f aca="false">'account mgt'!$J$23/12</f>
        <v>-56572.769131727</v>
      </c>
      <c r="CN100" s="772" t="n">
        <v>0</v>
      </c>
      <c r="CT100" s="772" t="e">
        <f aca="false">CW99</f>
        <v>#VALUE!</v>
      </c>
      <c r="CU100" s="772" t="e">
        <f aca="false">IF(CT100&lt;0.1,0,CT100*$L$3)</f>
        <v>#VALUE!</v>
      </c>
      <c r="CV100" s="772" t="e">
        <f aca="false">IF(CT100&lt;0.1,0,PPMT($L$3,A100-14,unwinds!$B$8*12,$K$5))</f>
        <v>#VALUE!</v>
      </c>
      <c r="CW100" s="772" t="e">
        <f aca="false">IF(CT100-CV100&lt;0,0,CT100-CV100)</f>
        <v>#VALUE!</v>
      </c>
      <c r="CX100" s="772" t="e">
        <f aca="false">IF(CX99-CV100&lt;0,0,CX99-CV100)</f>
        <v>#VALUE!</v>
      </c>
      <c r="DA100" s="772" t="n">
        <f aca="false">DD99</f>
        <v>13961077.6134465</v>
      </c>
      <c r="DB100" s="772" t="n">
        <f aca="false">DA100*$L$3</f>
        <v>110176.170832782</v>
      </c>
      <c r="DC100" s="772" t="n">
        <f aca="false">PPMT($L$3,A100-14,106,$K$5)</f>
        <v>385221.900838832</v>
      </c>
      <c r="DD100" s="772" t="n">
        <f aca="false">DA100-DC100</f>
        <v>13575855.7126077</v>
      </c>
      <c r="DE100" s="772" t="n">
        <f aca="false">DE99-DC100</f>
        <v>13575855.7126077</v>
      </c>
      <c r="DH100" s="417" t="n">
        <v>-715341.083333333</v>
      </c>
      <c r="DI100" s="417" t="n">
        <v>-705333.333333333</v>
      </c>
      <c r="DJ100" s="417"/>
      <c r="DL100" s="417" t="n">
        <f aca="false">PMT($J$3,106,$I$5,,1)</f>
        <v>474832.92700925</v>
      </c>
      <c r="DN100" s="417" t="n">
        <f aca="false">IF($BL$4="mid",DH100,DI100)</f>
        <v>-715341.083333333</v>
      </c>
      <c r="DO100" s="417" t="n">
        <f aca="false">IF($BL$4="mid",DL100,L100)</f>
        <v>474832.92700925</v>
      </c>
      <c r="DQ100" s="772" t="n">
        <f aca="false">BW100-IF($BL$4="mid",Q100,R100)</f>
        <v>530090.729221795</v>
      </c>
      <c r="DR100" s="772" t="n">
        <f aca="false">BX100-IF($BL$4="mid",T100,U100)</f>
        <v>-28175.5974362239</v>
      </c>
      <c r="DS100" s="772"/>
      <c r="DT100" s="772"/>
      <c r="DU100" s="772"/>
      <c r="DV100" s="772"/>
      <c r="DW100" s="772"/>
      <c r="DX100" s="772"/>
    </row>
    <row r="101" customFormat="false" ht="12.75" hidden="false" customHeight="false" outlineLevel="0" collapsed="false">
      <c r="A101" s="767" t="n">
        <v>90</v>
      </c>
      <c r="B101" s="854" t="n">
        <v>39234</v>
      </c>
      <c r="C101" s="417" t="n">
        <v>0</v>
      </c>
      <c r="D101" s="417" t="n">
        <v>0</v>
      </c>
      <c r="E101" s="417" t="n">
        <v>0</v>
      </c>
      <c r="F101" s="417" t="n">
        <v>106297.265412448</v>
      </c>
      <c r="G101" s="417" t="n">
        <v>385221.900838835</v>
      </c>
      <c r="H101" s="417" t="n">
        <v>0</v>
      </c>
      <c r="I101" s="417" t="n">
        <v>491519.166251284</v>
      </c>
      <c r="J101" s="417"/>
      <c r="K101" s="417"/>
      <c r="L101" s="417" t="n">
        <f aca="false">PMT($L$3,106,$K$5,,1)</f>
        <v>491519.166251281</v>
      </c>
      <c r="M101" s="417"/>
      <c r="N101" s="850" t="n">
        <f aca="false">IF(A101&lt;$B$8,0,-$R$5/12)</f>
        <v>-715341.083333333</v>
      </c>
      <c r="O101" s="850" t="n">
        <f aca="false">IF(A101&lt;$B$8,0,-$S$5/12)</f>
        <v>-705333.333333333</v>
      </c>
      <c r="P101" s="872" t="n">
        <f aca="false">Breakout!$J$16/12</f>
        <v>3628303.94542377</v>
      </c>
      <c r="Q101" s="770" t="n">
        <f aca="false">'wholesale services'!$D$110*'wholesale services'!$K$111/12</f>
        <v>3250582.5</v>
      </c>
      <c r="R101" s="770" t="n">
        <v>3320487.5</v>
      </c>
      <c r="S101" s="872" t="n">
        <f aca="false">Breakout!$J$27/12</f>
        <v>128547.306175041</v>
      </c>
      <c r="T101" s="770" t="n">
        <f aca="false">'wholesale services'!$D$113*'wholesale services'!$K$114/12</f>
        <v>162121.20024536</v>
      </c>
      <c r="U101" s="770" t="n">
        <v>165429.796168735</v>
      </c>
      <c r="V101" s="872" t="n">
        <f aca="false">Breakout!$J$38/12</f>
        <v>64706.1810356193</v>
      </c>
      <c r="W101" s="431" t="n">
        <f aca="false">Breakout!$J$39/12</f>
        <v>71295.7879786797</v>
      </c>
      <c r="X101" s="431" t="n">
        <v>72062.4093547946</v>
      </c>
      <c r="Y101" s="872" t="n">
        <f aca="false">Breakout!$J$49/12</f>
        <v>470676.913121397</v>
      </c>
      <c r="Z101" s="873" t="n">
        <f aca="false">Breakout!$J$50/12</f>
        <v>443995.323635385</v>
      </c>
      <c r="AA101" s="873" t="n">
        <v>466386.231715398</v>
      </c>
      <c r="AB101" s="872" t="n">
        <f aca="false">Breakout!$J$60/12</f>
        <v>433058.431170598</v>
      </c>
      <c r="AC101" s="873" t="n">
        <f aca="false">Breakout!$J$61/12</f>
        <v>439870.760413925</v>
      </c>
      <c r="AD101" s="873" t="n">
        <v>453586.107063803</v>
      </c>
      <c r="AE101" s="872" t="n">
        <f aca="false">Breakout!$J$71/12</f>
        <v>328569.682762271</v>
      </c>
      <c r="AF101" s="873" t="n">
        <f aca="false">Breakout!$J$72/12</f>
        <v>316520.666666667</v>
      </c>
      <c r="AG101" s="873" t="n">
        <v>316520.666666667</v>
      </c>
      <c r="AH101" s="872" t="n">
        <f aca="false">Breakout!$J$82/12</f>
        <v>21626.397404953</v>
      </c>
      <c r="AI101" s="873" t="n">
        <f aca="false">Breakout!$J$83/12</f>
        <v>0</v>
      </c>
      <c r="AJ101" s="873" t="n">
        <v>0</v>
      </c>
      <c r="AK101" s="874" t="n">
        <f aca="false">Breakout!$J$91/12</f>
        <v>290783.21577099</v>
      </c>
      <c r="AL101" s="874" t="n">
        <v>290783.21577099</v>
      </c>
      <c r="AM101" s="773" t="n">
        <f aca="false">(Breakout!$J$107/12)*-1</f>
        <v>55221.25</v>
      </c>
      <c r="AN101" s="773" t="n">
        <v>55221.25</v>
      </c>
      <c r="AO101" s="774" t="n">
        <f aca="false">(P101+S101+V101)+Y101+AB101+AE101+AH101</f>
        <v>5075488.85709365</v>
      </c>
      <c r="AP101" s="774" t="n">
        <f aca="false">Q101+T101+W101+AA101+AD101+AG101+AJ101+AL101+AN101</f>
        <v>5066496.9594409</v>
      </c>
      <c r="AQ101" s="775" t="n">
        <f aca="false">P101+S101+V101+Y101+AB101+AE101+AH101-Q101-T101-W101-Z101-AC101-AF101-AI101-AK101-AM101-DH101-DL101-CN101</f>
        <v>285606.308706724</v>
      </c>
      <c r="AR101" s="431"/>
      <c r="AS101" s="776" t="n">
        <f aca="false">P101+S101+V101+Y101+AB101+AE101+AH101-R101-U101-X101-AA101-AD101-AG101-AJ101-AL101-AN101-O101-L101-CN101</f>
        <v>148825.847435312</v>
      </c>
      <c r="AT101" s="431"/>
      <c r="AU101" s="770" t="n">
        <f aca="false">'wholesale services'!$K$110/12</f>
        <v>39106610.7060185</v>
      </c>
      <c r="AV101" s="770" t="n">
        <f aca="false">'wholesale services'!$K$113/12</f>
        <v>17613.2558333333</v>
      </c>
      <c r="AW101" s="431"/>
      <c r="AX101" s="851" t="n">
        <f aca="false">IF(A101&lt;$AX$6,0,-$R$5/12)</f>
        <v>-715341.083333333</v>
      </c>
      <c r="AY101" s="417" t="n">
        <f aca="false">IF(A101&lt;$AX$6,0,-$S$5/12)</f>
        <v>-705333.333333333</v>
      </c>
      <c r="AZ101" s="431"/>
      <c r="BA101" s="772" t="n">
        <f aca="false">P101-IF($BL$4="mid",Q101,R101)-$BL$9*(IF($BL$4="mid",N101,O101)+IF($BL$4="mid",DL101,L101))</f>
        <v>606204.193931649</v>
      </c>
      <c r="BB101" s="772" t="n">
        <f aca="false">S101-IF($BL$4="mid",T101,U101)-$BM$9*(IF($BL$4="mid",N101,O101)+IF($BL$4="mid",DL101,L101))</f>
        <v>-21548.4862541152</v>
      </c>
      <c r="BC101" s="772" t="n">
        <f aca="false">V101-IF($BL$4="mid",W101,X101)-$BN$9*(IF($BL$4="mid",N101,O101)+IF($BL$4="mid",DL101,L101))</f>
        <v>-6589.60694306044</v>
      </c>
      <c r="BD101" s="772" t="n">
        <f aca="false">Y101-IF($BL$4="mid",Z101,AA101)</f>
        <v>26681.5894860119</v>
      </c>
      <c r="BE101" s="772" t="n">
        <f aca="false">AB101-IF($BL$4="mid",AC101,AD101)</f>
        <v>-6812.32924332703</v>
      </c>
      <c r="BF101" s="772" t="n">
        <f aca="false">AE101-IF($BL$4="mid",AF101,AG101)</f>
        <v>12049.0160956046</v>
      </c>
      <c r="BG101" s="772" t="n">
        <f aca="false">AH101-IF($BL$4="mid",AI101,AJ101)</f>
        <v>21626.397404953</v>
      </c>
      <c r="BH101" s="772" t="n">
        <f aca="false">-IF($BL$4="mid",AK101,AL101)</f>
        <v>-290783.21577099</v>
      </c>
      <c r="BI101" s="772" t="n">
        <f aca="false">-IF($BL$4="mid",AM101,AN101)</f>
        <v>-55221.25</v>
      </c>
      <c r="BL101" s="772" t="n">
        <f aca="false">BW101-IF($BL$4="mid",Q101,R101)-$BL$9*(IF($BL$4="mid",N101,O101)+IF($BL$4="mid",DL101,L101))</f>
        <v>758573.477729674</v>
      </c>
      <c r="BM101" s="772" t="n">
        <f aca="false">BX101-IF($BL$4="mid",T101,U101)-$BM$9*(IF($BL$4="mid",N101,O101)+IF($BL$4="mid",DL101,L101))</f>
        <v>-16150.1896200198</v>
      </c>
      <c r="BN101" s="772" t="n">
        <f aca="false">BY101-IF($BL$4="mid",W101,X101)-$BN$9*(IF($BL$4="mid",N101,O101)+IF($BL$4="mid",DL101,L101))</f>
        <v>-3872.29477461937</v>
      </c>
      <c r="BO101" s="772" t="n">
        <f aca="false">BZ101-IF($BL$4="mid",Z101,AA101)</f>
        <v>46447.4925722254</v>
      </c>
      <c r="BP101" s="772" t="n">
        <f aca="false">CA101-IF($BL$4="mid",AC101,AD101)</f>
        <v>11373.7995906107</v>
      </c>
      <c r="BQ101" s="772" t="n">
        <f aca="false">CB101-IF($BL$4="mid",AF101,AG101)</f>
        <v>25847.1785410016</v>
      </c>
      <c r="BR101" s="772" t="n">
        <f aca="false">CC101-IF($BL$4="mid",AI101,AJ101)</f>
        <v>22534.5899746191</v>
      </c>
      <c r="BS101" s="772" t="n">
        <f aca="false">-IF($BL$4="mid",AK101,AL101)</f>
        <v>-290783.21577099</v>
      </c>
      <c r="BT101" s="772" t="n">
        <f aca="false">-IF($BL$4="mid",AM101,AN101)</f>
        <v>-55221.25</v>
      </c>
      <c r="BW101" s="872" t="n">
        <f aca="false">Breakout!$J$15/12</f>
        <v>3780673.22922179</v>
      </c>
      <c r="BX101" s="872" t="n">
        <f aca="false">Breakout!$J$26/12</f>
        <v>133945.602809136</v>
      </c>
      <c r="BY101" s="872" t="n">
        <f aca="false">Breakout!$J$37/12</f>
        <v>67423.4932040604</v>
      </c>
      <c r="BZ101" s="872" t="n">
        <f aca="false">Breakout!$J$48/12</f>
        <v>490442.81620761</v>
      </c>
      <c r="CA101" s="872" t="n">
        <f aca="false">Breakout!$J$59/12</f>
        <v>451244.560004536</v>
      </c>
      <c r="CB101" s="872" t="n">
        <f aca="false">Breakout!$J$70/12</f>
        <v>342367.845207668</v>
      </c>
      <c r="CC101" s="872" t="n">
        <f aca="false">Breakout!$J$81/12</f>
        <v>22534.5899746191</v>
      </c>
      <c r="CE101" s="852" t="n">
        <f aca="false">P101/0.96</f>
        <v>3779483.27648309</v>
      </c>
      <c r="CF101" s="852" t="n">
        <f aca="false">S101/0.96</f>
        <v>133903.443932334</v>
      </c>
      <c r="CG101" s="852" t="n">
        <f aca="false">V101/0.96</f>
        <v>67402.2719121034</v>
      </c>
      <c r="CI101" s="852" t="n">
        <f aca="false">N101</f>
        <v>-715341.083333333</v>
      </c>
      <c r="CJ101" s="852" t="n">
        <f aca="false">O101</f>
        <v>-705333.333333333</v>
      </c>
      <c r="CL101" s="772" t="n">
        <f aca="false">'account mgt'!$J$23/12</f>
        <v>-56572.769131727</v>
      </c>
      <c r="CN101" s="772" t="n">
        <v>0</v>
      </c>
      <c r="CT101" s="772" t="e">
        <f aca="false">CW100</f>
        <v>#VALUE!</v>
      </c>
      <c r="CU101" s="772" t="e">
        <f aca="false">IF(CT101&lt;0.1,0,CT101*$L$3)</f>
        <v>#VALUE!</v>
      </c>
      <c r="CV101" s="772" t="e">
        <f aca="false">IF(CT101&lt;0.1,0,PPMT($L$3,A101-14,unwinds!$B$8*12,$K$5))</f>
        <v>#VALUE!</v>
      </c>
      <c r="CW101" s="772" t="e">
        <f aca="false">IF(CT101-CV101&lt;0,0,CT101-CV101)</f>
        <v>#VALUE!</v>
      </c>
      <c r="CX101" s="772" t="e">
        <f aca="false">IF(CX100-CV101&lt;0,0,CX100-CV101)</f>
        <v>#VALUE!</v>
      </c>
      <c r="DA101" s="772" t="n">
        <f aca="false">DD100</f>
        <v>13575855.7126077</v>
      </c>
      <c r="DB101" s="772" t="n">
        <f aca="false">DA101*$L$3</f>
        <v>107136.127998662</v>
      </c>
      <c r="DC101" s="772" t="n">
        <f aca="false">PPMT($L$3,A101-14,106,$K$5)</f>
        <v>388261.943672951</v>
      </c>
      <c r="DD101" s="772" t="n">
        <f aca="false">DA101-DC101</f>
        <v>13187593.7689347</v>
      </c>
      <c r="DE101" s="772" t="n">
        <f aca="false">DE100-DC101</f>
        <v>13187593.7689347</v>
      </c>
      <c r="DH101" s="417" t="n">
        <v>-715341.083333333</v>
      </c>
      <c r="DI101" s="417" t="n">
        <v>-705333.333333333</v>
      </c>
      <c r="DJ101" s="417"/>
      <c r="DL101" s="417" t="n">
        <f aca="false">PMT($J$3,106,$I$5,,1)</f>
        <v>474832.92700925</v>
      </c>
      <c r="DN101" s="417" t="n">
        <f aca="false">IF($BL$4="mid",DH101,DI101)</f>
        <v>-715341.083333333</v>
      </c>
      <c r="DO101" s="417" t="n">
        <f aca="false">IF($BL$4="mid",DL101,L101)</f>
        <v>474832.92700925</v>
      </c>
      <c r="DQ101" s="772" t="n">
        <f aca="false">BW101-IF($BL$4="mid",Q101,R101)</f>
        <v>530090.729221795</v>
      </c>
      <c r="DR101" s="772" t="n">
        <f aca="false">BX101-IF($BL$4="mid",T101,U101)</f>
        <v>-28175.5974362239</v>
      </c>
      <c r="DS101" s="772"/>
      <c r="DT101" s="772"/>
      <c r="DU101" s="772"/>
      <c r="DV101" s="772"/>
      <c r="DW101" s="772"/>
      <c r="DX101" s="772"/>
    </row>
    <row r="102" customFormat="false" ht="12.75" hidden="false" customHeight="false" outlineLevel="0" collapsed="false">
      <c r="A102" s="767" t="n">
        <v>91</v>
      </c>
      <c r="B102" s="854" t="n">
        <v>39264</v>
      </c>
      <c r="C102" s="417" t="n">
        <v>0</v>
      </c>
      <c r="D102" s="417" t="n">
        <v>0</v>
      </c>
      <c r="E102" s="417" t="n">
        <v>0</v>
      </c>
      <c r="F102" s="417" t="n">
        <v>103257.222578328</v>
      </c>
      <c r="G102" s="417" t="n">
        <v>388261.943672955</v>
      </c>
      <c r="H102" s="417" t="n">
        <v>0</v>
      </c>
      <c r="I102" s="417" t="n">
        <v>491519.166251284</v>
      </c>
      <c r="J102" s="417"/>
      <c r="K102" s="417"/>
      <c r="L102" s="417" t="n">
        <f aca="false">PMT($L$3,106,$K$5,,1)</f>
        <v>491519.166251281</v>
      </c>
      <c r="M102" s="417"/>
      <c r="N102" s="850" t="n">
        <f aca="false">IF(A102&lt;$B$8,0,-$R$5/12)</f>
        <v>-715341.083333333</v>
      </c>
      <c r="O102" s="850" t="n">
        <f aca="false">IF(A102&lt;$B$8,0,-$S$5/12)</f>
        <v>-705333.333333333</v>
      </c>
      <c r="P102" s="872" t="n">
        <f aca="false">Breakout!$J$16/12</f>
        <v>3628303.94542377</v>
      </c>
      <c r="Q102" s="770" t="n">
        <f aca="false">'wholesale services'!$D$110*'wholesale services'!$K$111/12</f>
        <v>3250582.5</v>
      </c>
      <c r="R102" s="770" t="n">
        <v>3320487.5</v>
      </c>
      <c r="S102" s="872" t="n">
        <f aca="false">Breakout!$J$27/12</f>
        <v>128547.306175041</v>
      </c>
      <c r="T102" s="770" t="n">
        <f aca="false">'wholesale services'!$D$113*'wholesale services'!$K$114/12</f>
        <v>162121.20024536</v>
      </c>
      <c r="U102" s="770" t="n">
        <v>165429.796168735</v>
      </c>
      <c r="V102" s="872" t="n">
        <f aca="false">Breakout!$J$38/12</f>
        <v>64706.1810356193</v>
      </c>
      <c r="W102" s="431" t="n">
        <f aca="false">Breakout!$J$39/12</f>
        <v>71295.7879786797</v>
      </c>
      <c r="X102" s="431" t="n">
        <v>72062.4093547946</v>
      </c>
      <c r="Y102" s="872" t="n">
        <f aca="false">Breakout!$J$49/12</f>
        <v>470676.913121397</v>
      </c>
      <c r="Z102" s="873" t="n">
        <f aca="false">Breakout!$J$50/12</f>
        <v>443995.323635385</v>
      </c>
      <c r="AA102" s="873" t="n">
        <v>466386.231715398</v>
      </c>
      <c r="AB102" s="872" t="n">
        <f aca="false">Breakout!$J$60/12</f>
        <v>433058.431170598</v>
      </c>
      <c r="AC102" s="873" t="n">
        <f aca="false">Breakout!$J$61/12</f>
        <v>439870.760413925</v>
      </c>
      <c r="AD102" s="873" t="n">
        <v>453586.107063803</v>
      </c>
      <c r="AE102" s="872" t="n">
        <f aca="false">Breakout!$J$71/12</f>
        <v>328569.682762271</v>
      </c>
      <c r="AF102" s="873" t="n">
        <f aca="false">Breakout!$J$72/12</f>
        <v>316520.666666667</v>
      </c>
      <c r="AG102" s="873" t="n">
        <v>316520.666666667</v>
      </c>
      <c r="AH102" s="872" t="n">
        <f aca="false">Breakout!$J$82/12</f>
        <v>21626.397404953</v>
      </c>
      <c r="AI102" s="873" t="n">
        <f aca="false">Breakout!$J$83/12</f>
        <v>0</v>
      </c>
      <c r="AJ102" s="873" t="n">
        <v>0</v>
      </c>
      <c r="AK102" s="874" t="n">
        <f aca="false">Breakout!$J$91/12</f>
        <v>290783.21577099</v>
      </c>
      <c r="AL102" s="874" t="n">
        <v>290783.21577099</v>
      </c>
      <c r="AM102" s="773" t="n">
        <f aca="false">(Breakout!$J$107/12)*-1</f>
        <v>55221.25</v>
      </c>
      <c r="AN102" s="773" t="n">
        <v>55221.25</v>
      </c>
      <c r="AO102" s="774" t="n">
        <f aca="false">(P102+S102+V102)+Y102+AB102+AE102+AH102</f>
        <v>5075488.85709365</v>
      </c>
      <c r="AP102" s="774" t="n">
        <f aca="false">Q102+T102+W102+AA102+AD102+AG102+AJ102+AL102+AN102</f>
        <v>5066496.9594409</v>
      </c>
      <c r="AQ102" s="775" t="n">
        <f aca="false">P102+S102+V102+Y102+AB102+AE102+AH102-Q102-T102-W102-Z102-AC102-AF102-AI102-AK102-AM102-DH102-DL102-CN102</f>
        <v>285606.308706724</v>
      </c>
      <c r="AR102" s="431"/>
      <c r="AS102" s="776" t="n">
        <f aca="false">P102+S102+V102+Y102+AB102+AE102+AH102-R102-U102-X102-AA102-AD102-AG102-AJ102-AL102-AN102-O102-L102-CN102</f>
        <v>148825.847435312</v>
      </c>
      <c r="AT102" s="431"/>
      <c r="AU102" s="770" t="n">
        <f aca="false">'wholesale services'!$K$110/12</f>
        <v>39106610.7060185</v>
      </c>
      <c r="AV102" s="770" t="n">
        <f aca="false">'wholesale services'!$K$113/12</f>
        <v>17613.2558333333</v>
      </c>
      <c r="AW102" s="431"/>
      <c r="AX102" s="851" t="n">
        <f aca="false">IF(A102&lt;$AX$6,0,-$R$5/12)</f>
        <v>-715341.083333333</v>
      </c>
      <c r="AY102" s="417" t="n">
        <f aca="false">IF(A102&lt;$AX$6,0,-$S$5/12)</f>
        <v>-705333.333333333</v>
      </c>
      <c r="AZ102" s="431"/>
      <c r="BA102" s="772" t="n">
        <f aca="false">P102-IF($BL$4="mid",Q102,R102)-$BL$9*(IF($BL$4="mid",N102,O102)+IF($BL$4="mid",DL102,L102))</f>
        <v>606204.193931649</v>
      </c>
      <c r="BB102" s="772" t="n">
        <f aca="false">S102-IF($BL$4="mid",T102,U102)-$BM$9*(IF($BL$4="mid",N102,O102)+IF($BL$4="mid",DL102,L102))</f>
        <v>-21548.4862541152</v>
      </c>
      <c r="BC102" s="772" t="n">
        <f aca="false">V102-IF($BL$4="mid",W102,X102)-$BN$9*(IF($BL$4="mid",N102,O102)+IF($BL$4="mid",DL102,L102))</f>
        <v>-6589.60694306044</v>
      </c>
      <c r="BD102" s="772" t="n">
        <f aca="false">Y102-IF($BL$4="mid",Z102,AA102)</f>
        <v>26681.5894860119</v>
      </c>
      <c r="BE102" s="772" t="n">
        <f aca="false">AB102-IF($BL$4="mid",AC102,AD102)</f>
        <v>-6812.32924332703</v>
      </c>
      <c r="BF102" s="772" t="n">
        <f aca="false">AE102-IF($BL$4="mid",AF102,AG102)</f>
        <v>12049.0160956046</v>
      </c>
      <c r="BG102" s="772" t="n">
        <f aca="false">AH102-IF($BL$4="mid",AI102,AJ102)</f>
        <v>21626.397404953</v>
      </c>
      <c r="BH102" s="772" t="n">
        <f aca="false">-IF($BL$4="mid",AK102,AL102)</f>
        <v>-290783.21577099</v>
      </c>
      <c r="BI102" s="772" t="n">
        <f aca="false">-IF($BL$4="mid",AM102,AN102)</f>
        <v>-55221.25</v>
      </c>
      <c r="BL102" s="772" t="n">
        <f aca="false">BW102-IF($BL$4="mid",Q102,R102)-$BL$9*(IF($BL$4="mid",N102,O102)+IF($BL$4="mid",DL102,L102))</f>
        <v>758573.477729674</v>
      </c>
      <c r="BM102" s="772" t="n">
        <f aca="false">BX102-IF($BL$4="mid",T102,U102)-$BM$9*(IF($BL$4="mid",N102,O102)+IF($BL$4="mid",DL102,L102))</f>
        <v>-16150.1896200198</v>
      </c>
      <c r="BN102" s="772" t="n">
        <f aca="false">BY102-IF($BL$4="mid",W102,X102)-$BN$9*(IF($BL$4="mid",N102,O102)+IF($BL$4="mid",DL102,L102))</f>
        <v>-3872.29477461937</v>
      </c>
      <c r="BO102" s="772" t="n">
        <f aca="false">BZ102-IF($BL$4="mid",Z102,AA102)</f>
        <v>46447.4925722254</v>
      </c>
      <c r="BP102" s="772" t="n">
        <f aca="false">CA102-IF($BL$4="mid",AC102,AD102)</f>
        <v>11373.7995906107</v>
      </c>
      <c r="BQ102" s="772" t="n">
        <f aca="false">CB102-IF($BL$4="mid",AF102,AG102)</f>
        <v>25847.1785410016</v>
      </c>
      <c r="BR102" s="772" t="n">
        <f aca="false">CC102-IF($BL$4="mid",AI102,AJ102)</f>
        <v>22534.5899746191</v>
      </c>
      <c r="BS102" s="772" t="n">
        <f aca="false">-IF($BL$4="mid",AK102,AL102)</f>
        <v>-290783.21577099</v>
      </c>
      <c r="BT102" s="772" t="n">
        <f aca="false">-IF($BL$4="mid",AM102,AN102)</f>
        <v>-55221.25</v>
      </c>
      <c r="BW102" s="872" t="n">
        <f aca="false">Breakout!$J$15/12</f>
        <v>3780673.22922179</v>
      </c>
      <c r="BX102" s="872" t="n">
        <f aca="false">Breakout!$J$26/12</f>
        <v>133945.602809136</v>
      </c>
      <c r="BY102" s="872" t="n">
        <f aca="false">Breakout!$J$37/12</f>
        <v>67423.4932040604</v>
      </c>
      <c r="BZ102" s="872" t="n">
        <f aca="false">Breakout!$J$48/12</f>
        <v>490442.81620761</v>
      </c>
      <c r="CA102" s="872" t="n">
        <f aca="false">Breakout!$J$59/12</f>
        <v>451244.560004536</v>
      </c>
      <c r="CB102" s="872" t="n">
        <f aca="false">Breakout!$J$70/12</f>
        <v>342367.845207668</v>
      </c>
      <c r="CC102" s="872" t="n">
        <f aca="false">Breakout!$J$81/12</f>
        <v>22534.5899746191</v>
      </c>
      <c r="CE102" s="852" t="n">
        <f aca="false">P102/0.96</f>
        <v>3779483.27648309</v>
      </c>
      <c r="CF102" s="852" t="n">
        <f aca="false">S102/0.96</f>
        <v>133903.443932334</v>
      </c>
      <c r="CG102" s="852" t="n">
        <f aca="false">V102/0.96</f>
        <v>67402.2719121034</v>
      </c>
      <c r="CI102" s="852" t="n">
        <f aca="false">N102</f>
        <v>-715341.083333333</v>
      </c>
      <c r="CJ102" s="852" t="n">
        <f aca="false">O102</f>
        <v>-705333.333333333</v>
      </c>
      <c r="CL102" s="772" t="n">
        <f aca="false">'account mgt'!$J$23/12</f>
        <v>-56572.769131727</v>
      </c>
      <c r="CN102" s="772" t="n">
        <v>0</v>
      </c>
      <c r="CT102" s="772" t="e">
        <f aca="false">CW101</f>
        <v>#VALUE!</v>
      </c>
      <c r="CU102" s="772" t="e">
        <f aca="false">IF(CT102&lt;0.1,0,CT102*$L$3)</f>
        <v>#VALUE!</v>
      </c>
      <c r="CV102" s="772" t="e">
        <f aca="false">IF(CT102&lt;0.1,0,PPMT($L$3,A102-14,unwinds!$B$8*12,$K$5))</f>
        <v>#VALUE!</v>
      </c>
      <c r="CW102" s="772" t="e">
        <f aca="false">IF(CT102-CV102&lt;0,0,CT102-CV102)</f>
        <v>#VALUE!</v>
      </c>
      <c r="CX102" s="772" t="e">
        <f aca="false">IF(CX101-CV102&lt;0,0,CX101-CV102)</f>
        <v>#VALUE!</v>
      </c>
      <c r="DA102" s="772" t="n">
        <f aca="false">DD101</f>
        <v>13187593.7689347</v>
      </c>
      <c r="DB102" s="772" t="n">
        <f aca="false">DA102*$L$3</f>
        <v>104072.094159843</v>
      </c>
      <c r="DC102" s="772" t="n">
        <f aca="false">PPMT($L$3,A102-14,106,$K$5)</f>
        <v>391325.97751177</v>
      </c>
      <c r="DD102" s="772" t="n">
        <f aca="false">DA102-DC102</f>
        <v>12796267.7914229</v>
      </c>
      <c r="DE102" s="772" t="n">
        <f aca="false">DE101-DC102</f>
        <v>12796267.7914229</v>
      </c>
      <c r="DH102" s="417" t="n">
        <v>-715341.083333333</v>
      </c>
      <c r="DI102" s="417" t="n">
        <v>-705333.333333333</v>
      </c>
      <c r="DJ102" s="417"/>
      <c r="DL102" s="417" t="n">
        <f aca="false">PMT($J$3,106,$I$5,,1)</f>
        <v>474832.92700925</v>
      </c>
      <c r="DN102" s="417" t="n">
        <f aca="false">IF($BL$4="mid",DH102,DI102)</f>
        <v>-715341.083333333</v>
      </c>
      <c r="DO102" s="417" t="n">
        <f aca="false">IF($BL$4="mid",DL102,L102)</f>
        <v>474832.92700925</v>
      </c>
      <c r="DQ102" s="772" t="n">
        <f aca="false">BW102-IF($BL$4="mid",Q102,R102)</f>
        <v>530090.729221795</v>
      </c>
      <c r="DR102" s="772" t="n">
        <f aca="false">BX102-IF($BL$4="mid",T102,U102)</f>
        <v>-28175.5974362239</v>
      </c>
      <c r="DS102" s="772"/>
      <c r="DT102" s="772"/>
      <c r="DU102" s="772"/>
      <c r="DV102" s="772"/>
      <c r="DW102" s="772"/>
      <c r="DX102" s="772"/>
    </row>
    <row r="103" customFormat="false" ht="12.75" hidden="false" customHeight="false" outlineLevel="0" collapsed="false">
      <c r="A103" s="767" t="n">
        <v>92</v>
      </c>
      <c r="B103" s="854" t="n">
        <v>39295</v>
      </c>
      <c r="C103" s="417" t="n">
        <v>0</v>
      </c>
      <c r="D103" s="417" t="n">
        <v>0</v>
      </c>
      <c r="E103" s="417" t="n">
        <v>0</v>
      </c>
      <c r="F103" s="417" t="n">
        <v>100193.188739509</v>
      </c>
      <c r="G103" s="417" t="n">
        <v>391325.977511774</v>
      </c>
      <c r="H103" s="417" t="n">
        <v>0</v>
      </c>
      <c r="I103" s="417" t="n">
        <v>491519.166251284</v>
      </c>
      <c r="J103" s="417"/>
      <c r="K103" s="417"/>
      <c r="L103" s="417" t="n">
        <f aca="false">PMT($L$3,106,$K$5,,1)</f>
        <v>491519.166251281</v>
      </c>
      <c r="M103" s="417"/>
      <c r="N103" s="850" t="n">
        <f aca="false">IF(A103&lt;$B$8,0,-$R$5/12)</f>
        <v>-715341.083333333</v>
      </c>
      <c r="O103" s="850" t="n">
        <f aca="false">IF(A103&lt;$B$8,0,-$S$5/12)</f>
        <v>-705333.333333333</v>
      </c>
      <c r="P103" s="872" t="n">
        <f aca="false">Breakout!$J$16/12</f>
        <v>3628303.94542377</v>
      </c>
      <c r="Q103" s="770" t="n">
        <f aca="false">'wholesale services'!$D$110*'wholesale services'!$K$111/12</f>
        <v>3250582.5</v>
      </c>
      <c r="R103" s="770" t="n">
        <v>3320487.5</v>
      </c>
      <c r="S103" s="872" t="n">
        <f aca="false">Breakout!$J$27/12</f>
        <v>128547.306175041</v>
      </c>
      <c r="T103" s="770" t="n">
        <f aca="false">'wholesale services'!$D$113*'wholesale services'!$K$114/12</f>
        <v>162121.20024536</v>
      </c>
      <c r="U103" s="770" t="n">
        <v>165429.796168735</v>
      </c>
      <c r="V103" s="872" t="n">
        <f aca="false">Breakout!$J$38/12</f>
        <v>64706.1810356193</v>
      </c>
      <c r="W103" s="431" t="n">
        <f aca="false">Breakout!$J$39/12</f>
        <v>71295.7879786797</v>
      </c>
      <c r="X103" s="431" t="n">
        <v>72062.4093547946</v>
      </c>
      <c r="Y103" s="872" t="n">
        <f aca="false">Breakout!$J$49/12</f>
        <v>470676.913121397</v>
      </c>
      <c r="Z103" s="873" t="n">
        <f aca="false">Breakout!$J$50/12</f>
        <v>443995.323635385</v>
      </c>
      <c r="AA103" s="873" t="n">
        <v>466386.231715398</v>
      </c>
      <c r="AB103" s="872" t="n">
        <f aca="false">Breakout!$J$60/12</f>
        <v>433058.431170598</v>
      </c>
      <c r="AC103" s="873" t="n">
        <f aca="false">Breakout!$J$61/12</f>
        <v>439870.760413925</v>
      </c>
      <c r="AD103" s="873" t="n">
        <v>453586.107063803</v>
      </c>
      <c r="AE103" s="872" t="n">
        <f aca="false">Breakout!$J$71/12</f>
        <v>328569.682762271</v>
      </c>
      <c r="AF103" s="873" t="n">
        <f aca="false">Breakout!$J$72/12</f>
        <v>316520.666666667</v>
      </c>
      <c r="AG103" s="873" t="n">
        <v>316520.666666667</v>
      </c>
      <c r="AH103" s="872" t="n">
        <f aca="false">Breakout!$J$82/12</f>
        <v>21626.397404953</v>
      </c>
      <c r="AI103" s="873" t="n">
        <f aca="false">Breakout!$J$83/12</f>
        <v>0</v>
      </c>
      <c r="AJ103" s="873" t="n">
        <v>0</v>
      </c>
      <c r="AK103" s="874" t="n">
        <f aca="false">Breakout!$J$91/12</f>
        <v>290783.21577099</v>
      </c>
      <c r="AL103" s="874" t="n">
        <v>290783.21577099</v>
      </c>
      <c r="AM103" s="773" t="n">
        <f aca="false">(Breakout!$J$107/12)*-1</f>
        <v>55221.25</v>
      </c>
      <c r="AN103" s="773" t="n">
        <v>55221.25</v>
      </c>
      <c r="AO103" s="774" t="n">
        <f aca="false">(P103+S103+V103)+Y103+AB103+AE103+AH103</f>
        <v>5075488.85709365</v>
      </c>
      <c r="AP103" s="774" t="n">
        <f aca="false">Q103+T103+W103+AA103+AD103+AG103+AJ103+AL103+AN103</f>
        <v>5066496.9594409</v>
      </c>
      <c r="AQ103" s="775" t="n">
        <f aca="false">P103+S103+V103+Y103+AB103+AE103+AH103-Q103-T103-W103-Z103-AC103-AF103-AI103-AK103-AM103-DH103-DL103-CN103</f>
        <v>285606.308706724</v>
      </c>
      <c r="AR103" s="431"/>
      <c r="AS103" s="776" t="n">
        <f aca="false">P103+S103+V103+Y103+AB103+AE103+AH103-R103-U103-X103-AA103-AD103-AG103-AJ103-AL103-AN103-O103-L103-CN103</f>
        <v>148825.847435312</v>
      </c>
      <c r="AT103" s="431"/>
      <c r="AU103" s="770" t="n">
        <f aca="false">'wholesale services'!$K$110/12</f>
        <v>39106610.7060185</v>
      </c>
      <c r="AV103" s="770" t="n">
        <f aca="false">'wholesale services'!$K$113/12</f>
        <v>17613.2558333333</v>
      </c>
      <c r="AW103" s="431"/>
      <c r="AX103" s="851" t="n">
        <f aca="false">IF(A103&lt;$AX$6,0,-$R$5/12)</f>
        <v>-715341.083333333</v>
      </c>
      <c r="AY103" s="417" t="n">
        <f aca="false">IF(A103&lt;$AX$6,0,-$S$5/12)</f>
        <v>-705333.333333333</v>
      </c>
      <c r="AZ103" s="431"/>
      <c r="BA103" s="772" t="n">
        <f aca="false">P103-IF($BL$4="mid",Q103,R103)-$BL$9*(IF($BL$4="mid",N103,O103)+IF($BL$4="mid",DL103,L103))</f>
        <v>606204.193931649</v>
      </c>
      <c r="BB103" s="772" t="n">
        <f aca="false">S103-IF($BL$4="mid",T103,U103)-$BM$9*(IF($BL$4="mid",N103,O103)+IF($BL$4="mid",DL103,L103))</f>
        <v>-21548.4862541152</v>
      </c>
      <c r="BC103" s="772" t="n">
        <f aca="false">V103-IF($BL$4="mid",W103,X103)-$BN$9*(IF($BL$4="mid",N103,O103)+IF($BL$4="mid",DL103,L103))</f>
        <v>-6589.60694306044</v>
      </c>
      <c r="BD103" s="772" t="n">
        <f aca="false">Y103-IF($BL$4="mid",Z103,AA103)</f>
        <v>26681.5894860119</v>
      </c>
      <c r="BE103" s="772" t="n">
        <f aca="false">AB103-IF($BL$4="mid",AC103,AD103)</f>
        <v>-6812.32924332703</v>
      </c>
      <c r="BF103" s="772" t="n">
        <f aca="false">AE103-IF($BL$4="mid",AF103,AG103)</f>
        <v>12049.0160956046</v>
      </c>
      <c r="BG103" s="772" t="n">
        <f aca="false">AH103-IF($BL$4="mid",AI103,AJ103)</f>
        <v>21626.397404953</v>
      </c>
      <c r="BH103" s="772" t="n">
        <f aca="false">-IF($BL$4="mid",AK103,AL103)</f>
        <v>-290783.21577099</v>
      </c>
      <c r="BI103" s="772" t="n">
        <f aca="false">-IF($BL$4="mid",AM103,AN103)</f>
        <v>-55221.25</v>
      </c>
      <c r="BL103" s="772" t="n">
        <f aca="false">BW103-IF($BL$4="mid",Q103,R103)-$BL$9*(IF($BL$4="mid",N103,O103)+IF($BL$4="mid",DL103,L103))</f>
        <v>758573.477729674</v>
      </c>
      <c r="BM103" s="772" t="n">
        <f aca="false">BX103-IF($BL$4="mid",T103,U103)-$BM$9*(IF($BL$4="mid",N103,O103)+IF($BL$4="mid",DL103,L103))</f>
        <v>-16150.1896200198</v>
      </c>
      <c r="BN103" s="772" t="n">
        <f aca="false">BY103-IF($BL$4="mid",W103,X103)-$BN$9*(IF($BL$4="mid",N103,O103)+IF($BL$4="mid",DL103,L103))</f>
        <v>-3872.29477461937</v>
      </c>
      <c r="BO103" s="772" t="n">
        <f aca="false">BZ103-IF($BL$4="mid",Z103,AA103)</f>
        <v>46447.4925722254</v>
      </c>
      <c r="BP103" s="772" t="n">
        <f aca="false">CA103-IF($BL$4="mid",AC103,AD103)</f>
        <v>11373.7995906107</v>
      </c>
      <c r="BQ103" s="772" t="n">
        <f aca="false">CB103-IF($BL$4="mid",AF103,AG103)</f>
        <v>25847.1785410016</v>
      </c>
      <c r="BR103" s="772" t="n">
        <f aca="false">CC103-IF($BL$4="mid",AI103,AJ103)</f>
        <v>22534.5899746191</v>
      </c>
      <c r="BS103" s="772" t="n">
        <f aca="false">-IF($BL$4="mid",AK103,AL103)</f>
        <v>-290783.21577099</v>
      </c>
      <c r="BT103" s="772" t="n">
        <f aca="false">-IF($BL$4="mid",AM103,AN103)</f>
        <v>-55221.25</v>
      </c>
      <c r="BW103" s="872" t="n">
        <f aca="false">Breakout!$J$15/12</f>
        <v>3780673.22922179</v>
      </c>
      <c r="BX103" s="872" t="n">
        <f aca="false">Breakout!$J$26/12</f>
        <v>133945.602809136</v>
      </c>
      <c r="BY103" s="872" t="n">
        <f aca="false">Breakout!$J$37/12</f>
        <v>67423.4932040604</v>
      </c>
      <c r="BZ103" s="872" t="n">
        <f aca="false">Breakout!$J$48/12</f>
        <v>490442.81620761</v>
      </c>
      <c r="CA103" s="872" t="n">
        <f aca="false">Breakout!$J$59/12</f>
        <v>451244.560004536</v>
      </c>
      <c r="CB103" s="872" t="n">
        <f aca="false">Breakout!$J$70/12</f>
        <v>342367.845207668</v>
      </c>
      <c r="CC103" s="872" t="n">
        <f aca="false">Breakout!$J$81/12</f>
        <v>22534.5899746191</v>
      </c>
      <c r="CE103" s="852" t="n">
        <f aca="false">P103/0.96</f>
        <v>3779483.27648309</v>
      </c>
      <c r="CF103" s="852" t="n">
        <f aca="false">S103/0.96</f>
        <v>133903.443932334</v>
      </c>
      <c r="CG103" s="852" t="n">
        <f aca="false">V103/0.96</f>
        <v>67402.2719121034</v>
      </c>
      <c r="CI103" s="852" t="n">
        <f aca="false">N103</f>
        <v>-715341.083333333</v>
      </c>
      <c r="CJ103" s="852" t="n">
        <f aca="false">O103</f>
        <v>-705333.333333333</v>
      </c>
      <c r="CL103" s="772" t="n">
        <f aca="false">'account mgt'!$J$23/12</f>
        <v>-56572.769131727</v>
      </c>
      <c r="CN103" s="772" t="n">
        <v>0</v>
      </c>
      <c r="CT103" s="772" t="e">
        <f aca="false">CW102</f>
        <v>#VALUE!</v>
      </c>
      <c r="CU103" s="772" t="e">
        <f aca="false">IF(CT103&lt;0.1,0,CT103*$L$3)</f>
        <v>#VALUE!</v>
      </c>
      <c r="CV103" s="772" t="e">
        <f aca="false">IF(CT103&lt;0.1,0,PPMT($L$3,A103-14,unwinds!$B$8*12,$K$5))</f>
        <v>#VALUE!</v>
      </c>
      <c r="CW103" s="772" t="e">
        <f aca="false">IF(CT103-CV103&lt;0,0,CT103-CV103)</f>
        <v>#VALUE!</v>
      </c>
      <c r="CX103" s="772" t="e">
        <f aca="false">IF(CX102-CV103&lt;0,0,CX102-CV103)</f>
        <v>#VALUE!</v>
      </c>
      <c r="DA103" s="772" t="n">
        <f aca="false">DD102</f>
        <v>12796267.7914229</v>
      </c>
      <c r="DB103" s="772" t="n">
        <f aca="false">DA103*$L$3</f>
        <v>100983.879987313</v>
      </c>
      <c r="DC103" s="772" t="n">
        <f aca="false">PPMT($L$3,A103-14,106,$K$5)</f>
        <v>394414.191684301</v>
      </c>
      <c r="DD103" s="772" t="n">
        <f aca="false">DA103-DC103</f>
        <v>12401853.5997386</v>
      </c>
      <c r="DE103" s="772" t="n">
        <f aca="false">DE102-DC103</f>
        <v>12401853.5997386</v>
      </c>
      <c r="DH103" s="417" t="n">
        <v>-715341.083333333</v>
      </c>
      <c r="DI103" s="417" t="n">
        <v>-705333.333333333</v>
      </c>
      <c r="DJ103" s="417"/>
      <c r="DL103" s="417" t="n">
        <f aca="false">PMT($J$3,106,$I$5,,1)</f>
        <v>474832.92700925</v>
      </c>
      <c r="DN103" s="417" t="n">
        <f aca="false">IF($BL$4="mid",DH103,DI103)</f>
        <v>-715341.083333333</v>
      </c>
      <c r="DO103" s="417" t="n">
        <f aca="false">IF($BL$4="mid",DL103,L103)</f>
        <v>474832.92700925</v>
      </c>
      <c r="DQ103" s="772" t="n">
        <f aca="false">BW103-IF($BL$4="mid",Q103,R103)</f>
        <v>530090.729221795</v>
      </c>
      <c r="DR103" s="772" t="n">
        <f aca="false">BX103-IF($BL$4="mid",T103,U103)</f>
        <v>-28175.5974362239</v>
      </c>
      <c r="DS103" s="772"/>
      <c r="DT103" s="772"/>
      <c r="DU103" s="772"/>
      <c r="DV103" s="772"/>
      <c r="DW103" s="772"/>
      <c r="DX103" s="772"/>
    </row>
    <row r="104" customFormat="false" ht="12.75" hidden="false" customHeight="false" outlineLevel="0" collapsed="false">
      <c r="A104" s="767" t="n">
        <v>93</v>
      </c>
      <c r="B104" s="854" t="n">
        <v>39326</v>
      </c>
      <c r="C104" s="417" t="n">
        <v>0</v>
      </c>
      <c r="D104" s="417" t="n">
        <v>0</v>
      </c>
      <c r="E104" s="417" t="n">
        <v>0</v>
      </c>
      <c r="F104" s="417" t="n">
        <v>97104.9745669787</v>
      </c>
      <c r="G104" s="417" t="n">
        <v>394414.191684305</v>
      </c>
      <c r="H104" s="417" t="n">
        <v>0</v>
      </c>
      <c r="I104" s="417" t="n">
        <v>491519.166251284</v>
      </c>
      <c r="J104" s="417"/>
      <c r="K104" s="417"/>
      <c r="L104" s="417" t="n">
        <f aca="false">PMT($L$3,106,$K$5,,1)</f>
        <v>491519.166251281</v>
      </c>
      <c r="M104" s="417"/>
      <c r="N104" s="850" t="n">
        <f aca="false">IF(A104&lt;$B$8,0,-$R$5/12)</f>
        <v>-715341.083333333</v>
      </c>
      <c r="O104" s="850" t="n">
        <f aca="false">IF(A104&lt;$B$8,0,-$S$5/12)</f>
        <v>-705333.333333333</v>
      </c>
      <c r="P104" s="872" t="n">
        <f aca="false">Breakout!$J$16/12</f>
        <v>3628303.94542377</v>
      </c>
      <c r="Q104" s="770" t="n">
        <f aca="false">'wholesale services'!$D$110*'wholesale services'!$K$111/12</f>
        <v>3250582.5</v>
      </c>
      <c r="R104" s="770" t="n">
        <v>3320487.5</v>
      </c>
      <c r="S104" s="872" t="n">
        <f aca="false">Breakout!$J$27/12</f>
        <v>128547.306175041</v>
      </c>
      <c r="T104" s="770" t="n">
        <f aca="false">'wholesale services'!$D$113*'wholesale services'!$K$114/12</f>
        <v>162121.20024536</v>
      </c>
      <c r="U104" s="770" t="n">
        <v>165429.796168735</v>
      </c>
      <c r="V104" s="872" t="n">
        <f aca="false">Breakout!$J$38/12</f>
        <v>64706.1810356193</v>
      </c>
      <c r="W104" s="431" t="n">
        <f aca="false">Breakout!$J$39/12</f>
        <v>71295.7879786797</v>
      </c>
      <c r="X104" s="431" t="n">
        <v>72062.4093547946</v>
      </c>
      <c r="Y104" s="872" t="n">
        <f aca="false">Breakout!$J$49/12</f>
        <v>470676.913121397</v>
      </c>
      <c r="Z104" s="873" t="n">
        <f aca="false">Breakout!$J$50/12</f>
        <v>443995.323635385</v>
      </c>
      <c r="AA104" s="873" t="n">
        <v>466386.231715398</v>
      </c>
      <c r="AB104" s="872" t="n">
        <f aca="false">Breakout!$J$60/12</f>
        <v>433058.431170598</v>
      </c>
      <c r="AC104" s="873" t="n">
        <f aca="false">Breakout!$J$61/12</f>
        <v>439870.760413925</v>
      </c>
      <c r="AD104" s="873" t="n">
        <v>453586.107063803</v>
      </c>
      <c r="AE104" s="872" t="n">
        <f aca="false">Breakout!$J$71/12</f>
        <v>328569.682762271</v>
      </c>
      <c r="AF104" s="873" t="n">
        <f aca="false">Breakout!$J$72/12</f>
        <v>316520.666666667</v>
      </c>
      <c r="AG104" s="873" t="n">
        <v>316520.666666667</v>
      </c>
      <c r="AH104" s="872" t="n">
        <f aca="false">Breakout!$J$82/12</f>
        <v>21626.397404953</v>
      </c>
      <c r="AI104" s="873" t="n">
        <f aca="false">Breakout!$J$83/12</f>
        <v>0</v>
      </c>
      <c r="AJ104" s="873" t="n">
        <v>0</v>
      </c>
      <c r="AK104" s="874" t="n">
        <f aca="false">Breakout!$J$91/12</f>
        <v>290783.21577099</v>
      </c>
      <c r="AL104" s="874" t="n">
        <v>290783.21577099</v>
      </c>
      <c r="AM104" s="773" t="n">
        <f aca="false">(Breakout!$J$107/12)*-1</f>
        <v>55221.25</v>
      </c>
      <c r="AN104" s="773" t="n">
        <v>55221.25</v>
      </c>
      <c r="AO104" s="774" t="n">
        <f aca="false">(P104+S104+V104)+Y104+AB104+AE104+AH104</f>
        <v>5075488.85709365</v>
      </c>
      <c r="AP104" s="774" t="n">
        <f aca="false">Q104+T104+W104+AA104+AD104+AG104+AJ104+AL104+AN104</f>
        <v>5066496.9594409</v>
      </c>
      <c r="AQ104" s="775" t="n">
        <f aca="false">P104+S104+V104+Y104+AB104+AE104+AH104-Q104-T104-W104-Z104-AC104-AF104-AI104-AK104-AM104-DH104-DL104-CN104</f>
        <v>285606.308706724</v>
      </c>
      <c r="AR104" s="431"/>
      <c r="AS104" s="776" t="n">
        <f aca="false">P104+S104+V104+Y104+AB104+AE104+AH104-R104-U104-X104-AA104-AD104-AG104-AJ104-AL104-AN104-O104-L104-CN104</f>
        <v>148825.847435312</v>
      </c>
      <c r="AT104" s="431"/>
      <c r="AU104" s="770" t="n">
        <f aca="false">'wholesale services'!$K$110/12</f>
        <v>39106610.7060185</v>
      </c>
      <c r="AV104" s="770" t="n">
        <f aca="false">'wholesale services'!$K$113/12</f>
        <v>17613.2558333333</v>
      </c>
      <c r="AW104" s="431"/>
      <c r="AX104" s="851" t="n">
        <f aca="false">IF(A104&lt;$AX$6,0,-$R$5/12)</f>
        <v>-715341.083333333</v>
      </c>
      <c r="AY104" s="417" t="n">
        <f aca="false">IF(A104&lt;$AX$6,0,-$S$5/12)</f>
        <v>-705333.333333333</v>
      </c>
      <c r="AZ104" s="431"/>
      <c r="BA104" s="772" t="n">
        <f aca="false">P104-IF($BL$4="mid",Q104,R104)-$BL$9*(IF($BL$4="mid",N104,O104)+IF($BL$4="mid",DL104,L104))</f>
        <v>606204.193931649</v>
      </c>
      <c r="BB104" s="772" t="n">
        <f aca="false">S104-IF($BL$4="mid",T104,U104)-$BM$9*(IF($BL$4="mid",N104,O104)+IF($BL$4="mid",DL104,L104))</f>
        <v>-21548.4862541152</v>
      </c>
      <c r="BC104" s="772" t="n">
        <f aca="false">V104-IF($BL$4="mid",W104,X104)-$BN$9*(IF($BL$4="mid",N104,O104)+IF($BL$4="mid",DL104,L104))</f>
        <v>-6589.60694306044</v>
      </c>
      <c r="BD104" s="772" t="n">
        <f aca="false">Y104-IF($BL$4="mid",Z104,AA104)</f>
        <v>26681.5894860119</v>
      </c>
      <c r="BE104" s="772" t="n">
        <f aca="false">AB104-IF($BL$4="mid",AC104,AD104)</f>
        <v>-6812.32924332703</v>
      </c>
      <c r="BF104" s="772" t="n">
        <f aca="false">AE104-IF($BL$4="mid",AF104,AG104)</f>
        <v>12049.0160956046</v>
      </c>
      <c r="BG104" s="772" t="n">
        <f aca="false">AH104-IF($BL$4="mid",AI104,AJ104)</f>
        <v>21626.397404953</v>
      </c>
      <c r="BH104" s="772" t="n">
        <f aca="false">-IF($BL$4="mid",AK104,AL104)</f>
        <v>-290783.21577099</v>
      </c>
      <c r="BI104" s="772" t="n">
        <f aca="false">-IF($BL$4="mid",AM104,AN104)</f>
        <v>-55221.25</v>
      </c>
      <c r="BL104" s="772" t="n">
        <f aca="false">BW104-IF($BL$4="mid",Q104,R104)-$BL$9*(IF($BL$4="mid",N104,O104)+IF($BL$4="mid",DL104,L104))</f>
        <v>758573.477729674</v>
      </c>
      <c r="BM104" s="772" t="n">
        <f aca="false">BX104-IF($BL$4="mid",T104,U104)-$BM$9*(IF($BL$4="mid",N104,O104)+IF($BL$4="mid",DL104,L104))</f>
        <v>-16150.1896200198</v>
      </c>
      <c r="BN104" s="772" t="n">
        <f aca="false">BY104-IF($BL$4="mid",W104,X104)-$BN$9*(IF($BL$4="mid",N104,O104)+IF($BL$4="mid",DL104,L104))</f>
        <v>-3872.29477461937</v>
      </c>
      <c r="BO104" s="772" t="n">
        <f aca="false">BZ104-IF($BL$4="mid",Z104,AA104)</f>
        <v>46447.4925722254</v>
      </c>
      <c r="BP104" s="772" t="n">
        <f aca="false">CA104-IF($BL$4="mid",AC104,AD104)</f>
        <v>11373.7995906107</v>
      </c>
      <c r="BQ104" s="772" t="n">
        <f aca="false">CB104-IF($BL$4="mid",AF104,AG104)</f>
        <v>25847.1785410016</v>
      </c>
      <c r="BR104" s="772" t="n">
        <f aca="false">CC104-IF($BL$4="mid",AI104,AJ104)</f>
        <v>22534.5899746191</v>
      </c>
      <c r="BS104" s="772" t="n">
        <f aca="false">-IF($BL$4="mid",AK104,AL104)</f>
        <v>-290783.21577099</v>
      </c>
      <c r="BT104" s="772" t="n">
        <f aca="false">-IF($BL$4="mid",AM104,AN104)</f>
        <v>-55221.25</v>
      </c>
      <c r="BW104" s="872" t="n">
        <f aca="false">Breakout!$J$15/12</f>
        <v>3780673.22922179</v>
      </c>
      <c r="BX104" s="872" t="n">
        <f aca="false">Breakout!$J$26/12</f>
        <v>133945.602809136</v>
      </c>
      <c r="BY104" s="872" t="n">
        <f aca="false">Breakout!$J$37/12</f>
        <v>67423.4932040604</v>
      </c>
      <c r="BZ104" s="872" t="n">
        <f aca="false">Breakout!$J$48/12</f>
        <v>490442.81620761</v>
      </c>
      <c r="CA104" s="872" t="n">
        <f aca="false">Breakout!$J$59/12</f>
        <v>451244.560004536</v>
      </c>
      <c r="CB104" s="872" t="n">
        <f aca="false">Breakout!$J$70/12</f>
        <v>342367.845207668</v>
      </c>
      <c r="CC104" s="872" t="n">
        <f aca="false">Breakout!$J$81/12</f>
        <v>22534.5899746191</v>
      </c>
      <c r="CE104" s="852" t="n">
        <f aca="false">P104/0.96</f>
        <v>3779483.27648309</v>
      </c>
      <c r="CF104" s="852" t="n">
        <f aca="false">S104/0.96</f>
        <v>133903.443932334</v>
      </c>
      <c r="CG104" s="852" t="n">
        <f aca="false">V104/0.96</f>
        <v>67402.2719121034</v>
      </c>
      <c r="CI104" s="852" t="n">
        <f aca="false">N104</f>
        <v>-715341.083333333</v>
      </c>
      <c r="CJ104" s="852" t="n">
        <f aca="false">O104</f>
        <v>-705333.333333333</v>
      </c>
      <c r="CL104" s="772" t="n">
        <f aca="false">'account mgt'!$J$23/12</f>
        <v>-56572.769131727</v>
      </c>
      <c r="CN104" s="772" t="n">
        <v>0</v>
      </c>
      <c r="CT104" s="772" t="e">
        <f aca="false">CW103</f>
        <v>#VALUE!</v>
      </c>
      <c r="CU104" s="772" t="e">
        <f aca="false">IF(CT104&lt;0.1,0,CT104*$L$3)</f>
        <v>#VALUE!</v>
      </c>
      <c r="CV104" s="772" t="e">
        <f aca="false">IF(CT104&lt;0.1,0,PPMT($L$3,A104-14,unwinds!$B$8*12,$K$5))</f>
        <v>#VALUE!</v>
      </c>
      <c r="CW104" s="772" t="e">
        <f aca="false">IF(CT104-CV104&lt;0,0,CT104-CV104)</f>
        <v>#VALUE!</v>
      </c>
      <c r="CX104" s="772" t="e">
        <f aca="false">IF(CX103-CV104&lt;0,0,CX103-CV104)</f>
        <v>#VALUE!</v>
      </c>
      <c r="DA104" s="772" t="n">
        <f aca="false">DD103</f>
        <v>12401853.5997386</v>
      </c>
      <c r="DB104" s="772" t="n">
        <f aca="false">DA104*$L$3</f>
        <v>97871.2946579374</v>
      </c>
      <c r="DC104" s="772" t="n">
        <f aca="false">PPMT($L$3,A104-14,106,$K$5)</f>
        <v>397526.777013676</v>
      </c>
      <c r="DD104" s="772" t="n">
        <f aca="false">DA104-DC104</f>
        <v>12004326.822725</v>
      </c>
      <c r="DE104" s="772" t="n">
        <f aca="false">DE103-DC104</f>
        <v>12004326.822725</v>
      </c>
      <c r="DH104" s="417" t="n">
        <v>-715341.083333333</v>
      </c>
      <c r="DI104" s="417" t="n">
        <v>-705333.333333333</v>
      </c>
      <c r="DJ104" s="417"/>
      <c r="DL104" s="417" t="n">
        <f aca="false">PMT($J$3,106,$I$5,,1)</f>
        <v>474832.92700925</v>
      </c>
      <c r="DN104" s="417" t="n">
        <f aca="false">IF($BL$4="mid",DH104,DI104)</f>
        <v>-715341.083333333</v>
      </c>
      <c r="DO104" s="417" t="n">
        <f aca="false">IF($BL$4="mid",DL104,L104)</f>
        <v>474832.92700925</v>
      </c>
      <c r="DQ104" s="772" t="n">
        <f aca="false">BW104-IF($BL$4="mid",Q104,R104)</f>
        <v>530090.729221795</v>
      </c>
      <c r="DR104" s="772" t="n">
        <f aca="false">BX104-IF($BL$4="mid",T104,U104)</f>
        <v>-28175.5974362239</v>
      </c>
      <c r="DS104" s="772"/>
      <c r="DT104" s="772"/>
      <c r="DU104" s="772"/>
      <c r="DV104" s="772"/>
      <c r="DW104" s="772"/>
      <c r="DX104" s="772"/>
    </row>
    <row r="105" customFormat="false" ht="12.75" hidden="false" customHeight="false" outlineLevel="0" collapsed="false">
      <c r="A105" s="767" t="n">
        <v>94</v>
      </c>
      <c r="B105" s="854" t="n">
        <v>39356</v>
      </c>
      <c r="C105" s="417" t="n">
        <v>0</v>
      </c>
      <c r="D105" s="417" t="n">
        <v>0</v>
      </c>
      <c r="E105" s="417" t="n">
        <v>0</v>
      </c>
      <c r="F105" s="417" t="n">
        <v>93992.3892376034</v>
      </c>
      <c r="G105" s="417" t="n">
        <v>397526.77701368</v>
      </c>
      <c r="H105" s="417" t="n">
        <v>0</v>
      </c>
      <c r="I105" s="417" t="n">
        <v>491519.166251284</v>
      </c>
      <c r="J105" s="417"/>
      <c r="K105" s="417"/>
      <c r="L105" s="417" t="n">
        <f aca="false">PMT($L$3,106,$K$5,,1)</f>
        <v>491519.166251281</v>
      </c>
      <c r="M105" s="417"/>
      <c r="N105" s="850" t="n">
        <f aca="false">IF(A105&lt;$B$8,0,-$R$5/12)</f>
        <v>-715341.083333333</v>
      </c>
      <c r="O105" s="850" t="n">
        <f aca="false">IF(A105&lt;$B$8,0,-$S$5/12)</f>
        <v>-705333.333333333</v>
      </c>
      <c r="P105" s="872" t="n">
        <f aca="false">Breakout!$J$16/12</f>
        <v>3628303.94542377</v>
      </c>
      <c r="Q105" s="770" t="n">
        <f aca="false">'wholesale services'!$D$110*'wholesale services'!$K$111/12</f>
        <v>3250582.5</v>
      </c>
      <c r="R105" s="770" t="n">
        <v>3320487.5</v>
      </c>
      <c r="S105" s="872" t="n">
        <f aca="false">Breakout!$J$27/12</f>
        <v>128547.306175041</v>
      </c>
      <c r="T105" s="770" t="n">
        <f aca="false">'wholesale services'!$D$113*'wholesale services'!$K$114/12</f>
        <v>162121.20024536</v>
      </c>
      <c r="U105" s="770" t="n">
        <v>165429.796168735</v>
      </c>
      <c r="V105" s="872" t="n">
        <f aca="false">Breakout!$J$38/12</f>
        <v>64706.1810356193</v>
      </c>
      <c r="W105" s="431" t="n">
        <f aca="false">Breakout!$J$39/12</f>
        <v>71295.7879786797</v>
      </c>
      <c r="X105" s="431" t="n">
        <v>72062.4093547946</v>
      </c>
      <c r="Y105" s="872" t="n">
        <f aca="false">Breakout!$J$49/12</f>
        <v>470676.913121397</v>
      </c>
      <c r="Z105" s="873" t="n">
        <f aca="false">Breakout!$J$50/12</f>
        <v>443995.323635385</v>
      </c>
      <c r="AA105" s="873" t="n">
        <v>466386.231715398</v>
      </c>
      <c r="AB105" s="872" t="n">
        <f aca="false">Breakout!$J$60/12</f>
        <v>433058.431170598</v>
      </c>
      <c r="AC105" s="873" t="n">
        <f aca="false">Breakout!$J$61/12</f>
        <v>439870.760413925</v>
      </c>
      <c r="AD105" s="873" t="n">
        <v>453586.107063803</v>
      </c>
      <c r="AE105" s="872" t="n">
        <f aca="false">Breakout!$J$71/12</f>
        <v>328569.682762271</v>
      </c>
      <c r="AF105" s="873" t="n">
        <f aca="false">Breakout!$J$72/12</f>
        <v>316520.666666667</v>
      </c>
      <c r="AG105" s="873" t="n">
        <v>316520.666666667</v>
      </c>
      <c r="AH105" s="872" t="n">
        <f aca="false">Breakout!$J$82/12</f>
        <v>21626.397404953</v>
      </c>
      <c r="AI105" s="873" t="n">
        <f aca="false">Breakout!$J$83/12</f>
        <v>0</v>
      </c>
      <c r="AJ105" s="873" t="n">
        <v>0</v>
      </c>
      <c r="AK105" s="874" t="n">
        <f aca="false">Breakout!$J$91/12</f>
        <v>290783.21577099</v>
      </c>
      <c r="AL105" s="874" t="n">
        <v>290783.21577099</v>
      </c>
      <c r="AM105" s="773" t="n">
        <f aca="false">(Breakout!$J$107/12)*-1</f>
        <v>55221.25</v>
      </c>
      <c r="AN105" s="773" t="n">
        <v>55221.25</v>
      </c>
      <c r="AO105" s="774" t="n">
        <f aca="false">(P105+S105+V105)+Y105+AB105+AE105+AH105</f>
        <v>5075488.85709365</v>
      </c>
      <c r="AP105" s="774" t="n">
        <f aca="false">Q105+T105+W105+AA105+AD105+AG105+AJ105+AL105+AN105</f>
        <v>5066496.9594409</v>
      </c>
      <c r="AQ105" s="775" t="n">
        <f aca="false">P105+S105+V105+Y105+AB105+AE105+AH105-Q105-T105-W105-Z105-AC105-AF105-AI105-AK105-AM105-DH105-DL105-CN105</f>
        <v>285606.308706724</v>
      </c>
      <c r="AR105" s="431"/>
      <c r="AS105" s="776" t="n">
        <f aca="false">P105+S105+V105+Y105+AB105+AE105+AH105-R105-U105-X105-AA105-AD105-AG105-AJ105-AL105-AN105-O105-L105-CN105</f>
        <v>148825.847435312</v>
      </c>
      <c r="AT105" s="431"/>
      <c r="AU105" s="770" t="n">
        <f aca="false">'wholesale services'!$K$110/12</f>
        <v>39106610.7060185</v>
      </c>
      <c r="AV105" s="770" t="n">
        <f aca="false">'wholesale services'!$K$113/12</f>
        <v>17613.2558333333</v>
      </c>
      <c r="AW105" s="431"/>
      <c r="AX105" s="851" t="n">
        <f aca="false">IF(A105&lt;$AX$6,0,-$R$5/12)</f>
        <v>-715341.083333333</v>
      </c>
      <c r="AY105" s="417" t="n">
        <f aca="false">IF(A105&lt;$AX$6,0,-$S$5/12)</f>
        <v>-705333.333333333</v>
      </c>
      <c r="AZ105" s="431"/>
      <c r="BA105" s="772" t="n">
        <f aca="false">P105-IF($BL$4="mid",Q105,R105)-$BL$9*(IF($BL$4="mid",N105,O105)+IF($BL$4="mid",DL105,L105))</f>
        <v>606204.193931649</v>
      </c>
      <c r="BB105" s="772" t="n">
        <f aca="false">S105-IF($BL$4="mid",T105,U105)-$BM$9*(IF($BL$4="mid",N105,O105)+IF($BL$4="mid",DL105,L105))</f>
        <v>-21548.4862541152</v>
      </c>
      <c r="BC105" s="772" t="n">
        <f aca="false">V105-IF($BL$4="mid",W105,X105)-$BN$9*(IF($BL$4="mid",N105,O105)+IF($BL$4="mid",DL105,L105))</f>
        <v>-6589.60694306044</v>
      </c>
      <c r="BD105" s="772" t="n">
        <f aca="false">Y105-IF($BL$4="mid",Z105,AA105)</f>
        <v>26681.5894860119</v>
      </c>
      <c r="BE105" s="772" t="n">
        <f aca="false">AB105-IF($BL$4="mid",AC105,AD105)</f>
        <v>-6812.32924332703</v>
      </c>
      <c r="BF105" s="772" t="n">
        <f aca="false">AE105-IF($BL$4="mid",AF105,AG105)</f>
        <v>12049.0160956046</v>
      </c>
      <c r="BG105" s="772" t="n">
        <f aca="false">AH105-IF($BL$4="mid",AI105,AJ105)</f>
        <v>21626.397404953</v>
      </c>
      <c r="BH105" s="772" t="n">
        <f aca="false">-IF($BL$4="mid",AK105,AL105)</f>
        <v>-290783.21577099</v>
      </c>
      <c r="BI105" s="772" t="n">
        <f aca="false">-IF($BL$4="mid",AM105,AN105)</f>
        <v>-55221.25</v>
      </c>
      <c r="BL105" s="772" t="n">
        <f aca="false">BW105-IF($BL$4="mid",Q105,R105)-$BL$9*(IF($BL$4="mid",N105,O105)+IF($BL$4="mid",DL105,L105))</f>
        <v>758573.477729674</v>
      </c>
      <c r="BM105" s="772" t="n">
        <f aca="false">BX105-IF($BL$4="mid",T105,U105)-$BM$9*(IF($BL$4="mid",N105,O105)+IF($BL$4="mid",DL105,L105))</f>
        <v>-16150.1896200198</v>
      </c>
      <c r="BN105" s="772" t="n">
        <f aca="false">BY105-IF($BL$4="mid",W105,X105)-$BN$9*(IF($BL$4="mid",N105,O105)+IF($BL$4="mid",DL105,L105))</f>
        <v>-3872.29477461937</v>
      </c>
      <c r="BO105" s="772" t="n">
        <f aca="false">BZ105-IF($BL$4="mid",Z105,AA105)</f>
        <v>46447.4925722254</v>
      </c>
      <c r="BP105" s="772" t="n">
        <f aca="false">CA105-IF($BL$4="mid",AC105,AD105)</f>
        <v>11373.7995906107</v>
      </c>
      <c r="BQ105" s="772" t="n">
        <f aca="false">CB105-IF($BL$4="mid",AF105,AG105)</f>
        <v>25847.1785410016</v>
      </c>
      <c r="BR105" s="772" t="n">
        <f aca="false">CC105-IF($BL$4="mid",AI105,AJ105)</f>
        <v>22534.5899746191</v>
      </c>
      <c r="BS105" s="772" t="n">
        <f aca="false">-IF($BL$4="mid",AK105,AL105)</f>
        <v>-290783.21577099</v>
      </c>
      <c r="BT105" s="772" t="n">
        <f aca="false">-IF($BL$4="mid",AM105,AN105)</f>
        <v>-55221.25</v>
      </c>
      <c r="BW105" s="872" t="n">
        <f aca="false">Breakout!$J$15/12</f>
        <v>3780673.22922179</v>
      </c>
      <c r="BX105" s="872" t="n">
        <f aca="false">Breakout!$J$26/12</f>
        <v>133945.602809136</v>
      </c>
      <c r="BY105" s="872" t="n">
        <f aca="false">Breakout!$J$37/12</f>
        <v>67423.4932040604</v>
      </c>
      <c r="BZ105" s="872" t="n">
        <f aca="false">Breakout!$J$48/12</f>
        <v>490442.81620761</v>
      </c>
      <c r="CA105" s="872" t="n">
        <f aca="false">Breakout!$J$59/12</f>
        <v>451244.560004536</v>
      </c>
      <c r="CB105" s="872" t="n">
        <f aca="false">Breakout!$J$70/12</f>
        <v>342367.845207668</v>
      </c>
      <c r="CC105" s="872" t="n">
        <f aca="false">Breakout!$J$81/12</f>
        <v>22534.5899746191</v>
      </c>
      <c r="CE105" s="852" t="n">
        <f aca="false">P105/0.96</f>
        <v>3779483.27648309</v>
      </c>
      <c r="CF105" s="852" t="n">
        <f aca="false">S105/0.96</f>
        <v>133903.443932334</v>
      </c>
      <c r="CG105" s="852" t="n">
        <f aca="false">V105/0.96</f>
        <v>67402.2719121034</v>
      </c>
      <c r="CI105" s="852" t="n">
        <f aca="false">N105</f>
        <v>-715341.083333333</v>
      </c>
      <c r="CJ105" s="852" t="n">
        <f aca="false">O105</f>
        <v>-705333.333333333</v>
      </c>
      <c r="CL105" s="772" t="n">
        <f aca="false">'account mgt'!$J$23/12</f>
        <v>-56572.769131727</v>
      </c>
      <c r="CN105" s="772" t="n">
        <v>0</v>
      </c>
      <c r="CT105" s="772" t="e">
        <f aca="false">CW104</f>
        <v>#VALUE!</v>
      </c>
      <c r="CU105" s="772" t="e">
        <f aca="false">IF(CT105&lt;0.1,0,CT105*$L$3)</f>
        <v>#VALUE!</v>
      </c>
      <c r="CV105" s="772" t="e">
        <f aca="false">IF(CT105&lt;0.1,0,PPMT($L$3,A105-14,unwinds!$B$8*12,$K$5))</f>
        <v>#VALUE!</v>
      </c>
      <c r="CW105" s="772" t="e">
        <f aca="false">IF(CT105-CV105&lt;0,0,CT105-CV105)</f>
        <v>#VALUE!</v>
      </c>
      <c r="CX105" s="772" t="e">
        <f aca="false">IF(CX104-CV105&lt;0,0,CX104-CV105)</f>
        <v>#VALUE!</v>
      </c>
      <c r="DA105" s="772" t="n">
        <f aca="false">DD104</f>
        <v>12004326.822725</v>
      </c>
      <c r="DB105" s="772" t="n">
        <f aca="false">DA105*$L$3</f>
        <v>94734.1458426711</v>
      </c>
      <c r="DC105" s="772" t="n">
        <f aca="false">PPMT($L$3,A105-14,106,$K$5)</f>
        <v>400663.925828942</v>
      </c>
      <c r="DD105" s="772" t="n">
        <f aca="false">DA105-DC105</f>
        <v>11603662.896896</v>
      </c>
      <c r="DE105" s="772" t="n">
        <f aca="false">DE104-DC105</f>
        <v>11603662.896896</v>
      </c>
      <c r="DH105" s="417" t="n">
        <v>-715341.083333333</v>
      </c>
      <c r="DI105" s="417" t="n">
        <v>-705333.333333333</v>
      </c>
      <c r="DJ105" s="417"/>
      <c r="DL105" s="417" t="n">
        <f aca="false">PMT($J$3,106,$I$5,,1)</f>
        <v>474832.92700925</v>
      </c>
      <c r="DN105" s="417" t="n">
        <f aca="false">IF($BL$4="mid",DH105,DI105)</f>
        <v>-715341.083333333</v>
      </c>
      <c r="DO105" s="417" t="n">
        <f aca="false">IF($BL$4="mid",DL105,L105)</f>
        <v>474832.92700925</v>
      </c>
      <c r="DQ105" s="772" t="n">
        <f aca="false">BW105-IF($BL$4="mid",Q105,R105)</f>
        <v>530090.729221795</v>
      </c>
      <c r="DR105" s="772" t="n">
        <f aca="false">BX105-IF($BL$4="mid",T105,U105)</f>
        <v>-28175.5974362239</v>
      </c>
      <c r="DS105" s="772"/>
      <c r="DT105" s="772"/>
      <c r="DU105" s="772"/>
      <c r="DV105" s="772"/>
      <c r="DW105" s="772"/>
      <c r="DX105" s="772"/>
    </row>
    <row r="106" customFormat="false" ht="12.75" hidden="false" customHeight="false" outlineLevel="0" collapsed="false">
      <c r="A106" s="767" t="n">
        <v>95</v>
      </c>
      <c r="B106" s="854" t="n">
        <v>39387</v>
      </c>
      <c r="C106" s="417" t="n">
        <v>0</v>
      </c>
      <c r="D106" s="417" t="n">
        <v>0</v>
      </c>
      <c r="E106" s="417" t="n">
        <v>0</v>
      </c>
      <c r="F106" s="417" t="n">
        <v>90855.2404223372</v>
      </c>
      <c r="G106" s="417" t="n">
        <v>400663.925828946</v>
      </c>
      <c r="H106" s="417" t="n">
        <v>0</v>
      </c>
      <c r="I106" s="417" t="n">
        <v>491519.166251284</v>
      </c>
      <c r="J106" s="417"/>
      <c r="K106" s="417"/>
      <c r="L106" s="417" t="n">
        <f aca="false">PMT($L$3,106,$K$5,,1)</f>
        <v>491519.166251281</v>
      </c>
      <c r="M106" s="417"/>
      <c r="N106" s="850" t="n">
        <f aca="false">IF(A106&lt;$B$8,0,-$R$5/12)</f>
        <v>-715341.083333333</v>
      </c>
      <c r="O106" s="850" t="n">
        <f aca="false">IF(A106&lt;$B$8,0,-$S$5/12)</f>
        <v>-705333.333333333</v>
      </c>
      <c r="P106" s="872" t="n">
        <f aca="false">Breakout!$J$16/12</f>
        <v>3628303.94542377</v>
      </c>
      <c r="Q106" s="770" t="n">
        <f aca="false">'wholesale services'!$D$110*'wholesale services'!$K$111/12</f>
        <v>3250582.5</v>
      </c>
      <c r="R106" s="770" t="n">
        <v>3320487.5</v>
      </c>
      <c r="S106" s="872" t="n">
        <f aca="false">Breakout!$J$27/12</f>
        <v>128547.306175041</v>
      </c>
      <c r="T106" s="770" t="n">
        <f aca="false">'wholesale services'!$D$113*'wholesale services'!$K$114/12</f>
        <v>162121.20024536</v>
      </c>
      <c r="U106" s="770" t="n">
        <v>165429.796168735</v>
      </c>
      <c r="V106" s="872" t="n">
        <f aca="false">Breakout!$J$38/12</f>
        <v>64706.1810356193</v>
      </c>
      <c r="W106" s="431" t="n">
        <f aca="false">Breakout!$J$39/12</f>
        <v>71295.7879786797</v>
      </c>
      <c r="X106" s="431" t="n">
        <v>72062.4093547946</v>
      </c>
      <c r="Y106" s="872" t="n">
        <f aca="false">Breakout!$J$49/12</f>
        <v>470676.913121397</v>
      </c>
      <c r="Z106" s="873" t="n">
        <f aca="false">Breakout!$J$50/12</f>
        <v>443995.323635385</v>
      </c>
      <c r="AA106" s="873" t="n">
        <v>466386.231715398</v>
      </c>
      <c r="AB106" s="872" t="n">
        <f aca="false">Breakout!$J$60/12</f>
        <v>433058.431170598</v>
      </c>
      <c r="AC106" s="873" t="n">
        <f aca="false">Breakout!$J$61/12</f>
        <v>439870.760413925</v>
      </c>
      <c r="AD106" s="873" t="n">
        <v>453586.107063803</v>
      </c>
      <c r="AE106" s="872" t="n">
        <f aca="false">Breakout!$J$71/12</f>
        <v>328569.682762271</v>
      </c>
      <c r="AF106" s="873" t="n">
        <f aca="false">Breakout!$J$72/12</f>
        <v>316520.666666667</v>
      </c>
      <c r="AG106" s="873" t="n">
        <v>316520.666666667</v>
      </c>
      <c r="AH106" s="872" t="n">
        <f aca="false">Breakout!$J$82/12</f>
        <v>21626.397404953</v>
      </c>
      <c r="AI106" s="873" t="n">
        <f aca="false">Breakout!$J$83/12</f>
        <v>0</v>
      </c>
      <c r="AJ106" s="873" t="n">
        <v>0</v>
      </c>
      <c r="AK106" s="874" t="n">
        <f aca="false">Breakout!$J$91/12</f>
        <v>290783.21577099</v>
      </c>
      <c r="AL106" s="874" t="n">
        <v>290783.21577099</v>
      </c>
      <c r="AM106" s="773" t="n">
        <f aca="false">(Breakout!$J$107/12)*-1</f>
        <v>55221.25</v>
      </c>
      <c r="AN106" s="773" t="n">
        <v>55221.25</v>
      </c>
      <c r="AO106" s="774" t="n">
        <f aca="false">(P106+S106+V106)+Y106+AB106+AE106+AH106</f>
        <v>5075488.85709365</v>
      </c>
      <c r="AP106" s="774" t="n">
        <f aca="false">Q106+T106+W106+AA106+AD106+AG106+AJ106+AL106+AN106</f>
        <v>5066496.9594409</v>
      </c>
      <c r="AQ106" s="775" t="n">
        <f aca="false">P106+S106+V106+Y106+AB106+AE106+AH106-Q106-T106-W106-Z106-AC106-AF106-AI106-AK106-AM106-DH106-DL106-CN106</f>
        <v>285606.308706724</v>
      </c>
      <c r="AR106" s="431"/>
      <c r="AS106" s="776" t="n">
        <f aca="false">P106+S106+V106+Y106+AB106+AE106+AH106-R106-U106-X106-AA106-AD106-AG106-AJ106-AL106-AN106-O106-L106-CN106</f>
        <v>148825.847435312</v>
      </c>
      <c r="AT106" s="431"/>
      <c r="AU106" s="770" t="n">
        <f aca="false">'wholesale services'!$K$110/12</f>
        <v>39106610.7060185</v>
      </c>
      <c r="AV106" s="770" t="n">
        <f aca="false">'wholesale services'!$K$113/12</f>
        <v>17613.2558333333</v>
      </c>
      <c r="AW106" s="431"/>
      <c r="AX106" s="851" t="n">
        <f aca="false">IF(A106&lt;$AX$6,0,-$R$5/12)</f>
        <v>-715341.083333333</v>
      </c>
      <c r="AY106" s="417" t="n">
        <f aca="false">IF(A106&lt;$AX$6,0,-$S$5/12)</f>
        <v>-705333.333333333</v>
      </c>
      <c r="AZ106" s="431"/>
      <c r="BA106" s="772" t="n">
        <f aca="false">P106-IF($BL$4="mid",Q106,R106)-$BL$9*(IF($BL$4="mid",N106,O106)+IF($BL$4="mid",DL106,L106))</f>
        <v>606204.193931649</v>
      </c>
      <c r="BB106" s="772" t="n">
        <f aca="false">S106-IF($BL$4="mid",T106,U106)-$BM$9*(IF($BL$4="mid",N106,O106)+IF($BL$4="mid",DL106,L106))</f>
        <v>-21548.4862541152</v>
      </c>
      <c r="BC106" s="772" t="n">
        <f aca="false">V106-IF($BL$4="mid",W106,X106)-$BN$9*(IF($BL$4="mid",N106,O106)+IF($BL$4="mid",DL106,L106))</f>
        <v>-6589.60694306044</v>
      </c>
      <c r="BD106" s="772" t="n">
        <f aca="false">Y106-IF($BL$4="mid",Z106,AA106)</f>
        <v>26681.5894860119</v>
      </c>
      <c r="BE106" s="772" t="n">
        <f aca="false">AB106-IF($BL$4="mid",AC106,AD106)</f>
        <v>-6812.32924332703</v>
      </c>
      <c r="BF106" s="772" t="n">
        <f aca="false">AE106-IF($BL$4="mid",AF106,AG106)</f>
        <v>12049.0160956046</v>
      </c>
      <c r="BG106" s="772" t="n">
        <f aca="false">AH106-IF($BL$4="mid",AI106,AJ106)</f>
        <v>21626.397404953</v>
      </c>
      <c r="BH106" s="772" t="n">
        <f aca="false">-IF($BL$4="mid",AK106,AL106)</f>
        <v>-290783.21577099</v>
      </c>
      <c r="BI106" s="772" t="n">
        <f aca="false">-IF($BL$4="mid",AM106,AN106)</f>
        <v>-55221.25</v>
      </c>
      <c r="BL106" s="772" t="n">
        <f aca="false">BW106-IF($BL$4="mid",Q106,R106)-$BL$9*(IF($BL$4="mid",N106,O106)+IF($BL$4="mid",DL106,L106))</f>
        <v>758573.477729674</v>
      </c>
      <c r="BM106" s="772" t="n">
        <f aca="false">BX106-IF($BL$4="mid",T106,U106)-$BM$9*(IF($BL$4="mid",N106,O106)+IF($BL$4="mid",DL106,L106))</f>
        <v>-16150.1896200198</v>
      </c>
      <c r="BN106" s="772" t="n">
        <f aca="false">BY106-IF($BL$4="mid",W106,X106)-$BN$9*(IF($BL$4="mid",N106,O106)+IF($BL$4="mid",DL106,L106))</f>
        <v>-3872.29477461937</v>
      </c>
      <c r="BO106" s="772" t="n">
        <f aca="false">BZ106-IF($BL$4="mid",Z106,AA106)</f>
        <v>46447.4925722254</v>
      </c>
      <c r="BP106" s="772" t="n">
        <f aca="false">CA106-IF($BL$4="mid",AC106,AD106)</f>
        <v>11373.7995906107</v>
      </c>
      <c r="BQ106" s="772" t="n">
        <f aca="false">CB106-IF($BL$4="mid",AF106,AG106)</f>
        <v>25847.1785410016</v>
      </c>
      <c r="BR106" s="772" t="n">
        <f aca="false">CC106-IF($BL$4="mid",AI106,AJ106)</f>
        <v>22534.5899746191</v>
      </c>
      <c r="BS106" s="772" t="n">
        <f aca="false">-IF($BL$4="mid",AK106,AL106)</f>
        <v>-290783.21577099</v>
      </c>
      <c r="BT106" s="772" t="n">
        <f aca="false">-IF($BL$4="mid",AM106,AN106)</f>
        <v>-55221.25</v>
      </c>
      <c r="BW106" s="872" t="n">
        <f aca="false">Breakout!$J$15/12</f>
        <v>3780673.22922179</v>
      </c>
      <c r="BX106" s="872" t="n">
        <f aca="false">Breakout!$J$26/12</f>
        <v>133945.602809136</v>
      </c>
      <c r="BY106" s="872" t="n">
        <f aca="false">Breakout!$J$37/12</f>
        <v>67423.4932040604</v>
      </c>
      <c r="BZ106" s="872" t="n">
        <f aca="false">Breakout!$J$48/12</f>
        <v>490442.81620761</v>
      </c>
      <c r="CA106" s="872" t="n">
        <f aca="false">Breakout!$J$59/12</f>
        <v>451244.560004536</v>
      </c>
      <c r="CB106" s="872" t="n">
        <f aca="false">Breakout!$J$70/12</f>
        <v>342367.845207668</v>
      </c>
      <c r="CC106" s="872" t="n">
        <f aca="false">Breakout!$J$81/12</f>
        <v>22534.5899746191</v>
      </c>
      <c r="CE106" s="852" t="n">
        <f aca="false">P106/0.96</f>
        <v>3779483.27648309</v>
      </c>
      <c r="CF106" s="852" t="n">
        <f aca="false">S106/0.96</f>
        <v>133903.443932334</v>
      </c>
      <c r="CG106" s="852" t="n">
        <f aca="false">V106/0.96</f>
        <v>67402.2719121034</v>
      </c>
      <c r="CI106" s="852" t="n">
        <f aca="false">N106</f>
        <v>-715341.083333333</v>
      </c>
      <c r="CJ106" s="852" t="n">
        <f aca="false">O106</f>
        <v>-705333.333333333</v>
      </c>
      <c r="CL106" s="772" t="n">
        <f aca="false">'account mgt'!$J$23/12</f>
        <v>-56572.769131727</v>
      </c>
      <c r="CN106" s="772" t="n">
        <v>0</v>
      </c>
      <c r="CT106" s="772" t="e">
        <f aca="false">CW105</f>
        <v>#VALUE!</v>
      </c>
      <c r="CU106" s="772" t="e">
        <f aca="false">IF(CT106&lt;0.1,0,CT106*$L$3)</f>
        <v>#VALUE!</v>
      </c>
      <c r="CV106" s="772" t="e">
        <f aca="false">IF(CT106&lt;0.1,0,PPMT($L$3,A106-14,unwinds!$B$8*12,$K$5))</f>
        <v>#VALUE!</v>
      </c>
      <c r="CW106" s="772" t="e">
        <f aca="false">IF(CT106-CV106&lt;0,0,CT106-CV106)</f>
        <v>#VALUE!</v>
      </c>
      <c r="CX106" s="772" t="e">
        <f aca="false">IF(CX105-CV106&lt;0,0,CX105-CV106)</f>
        <v>#VALUE!</v>
      </c>
      <c r="DA106" s="772" t="n">
        <f aca="false">DD105</f>
        <v>11603662.896896</v>
      </c>
      <c r="DB106" s="772" t="n">
        <f aca="false">DA106*$L$3</f>
        <v>91572.2396946711</v>
      </c>
      <c r="DC106" s="772" t="n">
        <f aca="false">PPMT($L$3,A106-14,106,$K$5)</f>
        <v>403825.831976942</v>
      </c>
      <c r="DD106" s="772" t="n">
        <f aca="false">DA106-DC106</f>
        <v>11199837.0649191</v>
      </c>
      <c r="DE106" s="772" t="n">
        <f aca="false">DE105-DC106</f>
        <v>11199837.0649191</v>
      </c>
      <c r="DH106" s="417" t="n">
        <v>-715341.083333333</v>
      </c>
      <c r="DI106" s="417" t="n">
        <v>-705333.333333333</v>
      </c>
      <c r="DJ106" s="417"/>
      <c r="DL106" s="417" t="n">
        <f aca="false">PMT($J$3,106,$I$5,,1)</f>
        <v>474832.92700925</v>
      </c>
      <c r="DN106" s="417" t="n">
        <f aca="false">IF($BL$4="mid",DH106,DI106)</f>
        <v>-715341.083333333</v>
      </c>
      <c r="DO106" s="417" t="n">
        <f aca="false">IF($BL$4="mid",DL106,L106)</f>
        <v>474832.92700925</v>
      </c>
      <c r="DQ106" s="772" t="n">
        <f aca="false">BW106-IF($BL$4="mid",Q106,R106)</f>
        <v>530090.729221795</v>
      </c>
      <c r="DR106" s="772" t="n">
        <f aca="false">BX106-IF($BL$4="mid",T106,U106)</f>
        <v>-28175.5974362239</v>
      </c>
      <c r="DS106" s="772"/>
      <c r="DT106" s="772"/>
      <c r="DU106" s="772"/>
      <c r="DV106" s="772"/>
      <c r="DW106" s="772"/>
      <c r="DX106" s="772"/>
    </row>
    <row r="107" customFormat="false" ht="12.75" hidden="false" customHeight="false" outlineLevel="0" collapsed="false">
      <c r="A107" s="855" t="n">
        <v>96</v>
      </c>
      <c r="B107" s="856" t="n">
        <v>39417</v>
      </c>
      <c r="C107" s="857" t="n">
        <v>0</v>
      </c>
      <c r="D107" s="857" t="n">
        <v>0</v>
      </c>
      <c r="E107" s="857" t="n">
        <v>0</v>
      </c>
      <c r="F107" s="417" t="n">
        <v>87693.3342743372</v>
      </c>
      <c r="G107" s="417" t="n">
        <v>403825.831976946</v>
      </c>
      <c r="H107" s="417" t="n">
        <v>0</v>
      </c>
      <c r="I107" s="417" t="n">
        <v>491519.166251284</v>
      </c>
      <c r="J107" s="857"/>
      <c r="K107" s="857"/>
      <c r="L107" s="417" t="n">
        <f aca="false">PMT($L$3,106,$K$5,,1)</f>
        <v>491519.166251281</v>
      </c>
      <c r="M107" s="857"/>
      <c r="N107" s="850" t="n">
        <f aca="false">IF(A107&lt;$B$8,0,-$R$5/12)</f>
        <v>-715341.083333333</v>
      </c>
      <c r="O107" s="850" t="n">
        <f aca="false">IF(A107&lt;$B$8,0,-$S$5/12)</f>
        <v>-705333.333333333</v>
      </c>
      <c r="P107" s="859" t="n">
        <f aca="false">Breakout!$J$16/12</f>
        <v>3628303.94542377</v>
      </c>
      <c r="Q107" s="860" t="n">
        <f aca="false">'wholesale services'!$D$110*'wholesale services'!$K$111/12</f>
        <v>3250582.5</v>
      </c>
      <c r="R107" s="860" t="n">
        <v>3320487.5</v>
      </c>
      <c r="S107" s="859" t="n">
        <f aca="false">Breakout!$J$27/12</f>
        <v>128547.306175041</v>
      </c>
      <c r="T107" s="860" t="n">
        <f aca="false">'wholesale services'!$D$113*'wholesale services'!$K$114/12</f>
        <v>162121.20024536</v>
      </c>
      <c r="U107" s="860" t="n">
        <v>165429.796168735</v>
      </c>
      <c r="V107" s="859" t="n">
        <f aca="false">Breakout!$J$38/12</f>
        <v>64706.1810356193</v>
      </c>
      <c r="W107" s="861" t="n">
        <f aca="false">Breakout!$J$39/12</f>
        <v>71295.7879786797</v>
      </c>
      <c r="X107" s="861" t="n">
        <v>72062.4093547946</v>
      </c>
      <c r="Y107" s="859" t="n">
        <f aca="false">Breakout!$J$49/12</f>
        <v>470676.913121397</v>
      </c>
      <c r="Z107" s="860" t="n">
        <f aca="false">Breakout!$J$50/12</f>
        <v>443995.323635385</v>
      </c>
      <c r="AA107" s="860" t="n">
        <v>466386.231715398</v>
      </c>
      <c r="AB107" s="859" t="n">
        <f aca="false">Breakout!$J$60/12</f>
        <v>433058.431170598</v>
      </c>
      <c r="AC107" s="860" t="n">
        <f aca="false">Breakout!$J$61/12</f>
        <v>439870.760413925</v>
      </c>
      <c r="AD107" s="860" t="n">
        <v>453586.107063803</v>
      </c>
      <c r="AE107" s="859" t="n">
        <f aca="false">Breakout!$J$71/12</f>
        <v>328569.682762271</v>
      </c>
      <c r="AF107" s="860" t="n">
        <f aca="false">Breakout!$J$72/12</f>
        <v>316520.666666667</v>
      </c>
      <c r="AG107" s="860" t="n">
        <v>316520.666666667</v>
      </c>
      <c r="AH107" s="859" t="n">
        <f aca="false">Breakout!$J$82/12</f>
        <v>21626.397404953</v>
      </c>
      <c r="AI107" s="860" t="n">
        <f aca="false">Breakout!$J$83/12</f>
        <v>0</v>
      </c>
      <c r="AJ107" s="860" t="n">
        <v>0</v>
      </c>
      <c r="AK107" s="862" t="n">
        <f aca="false">Breakout!$J$91/12</f>
        <v>290783.21577099</v>
      </c>
      <c r="AL107" s="862" t="n">
        <v>290783.21577099</v>
      </c>
      <c r="AM107" s="862" t="n">
        <f aca="false">(Breakout!$J$107/12)*-1</f>
        <v>55221.25</v>
      </c>
      <c r="AN107" s="862" t="n">
        <v>55221.25</v>
      </c>
      <c r="AO107" s="863" t="n">
        <f aca="false">(P107+S107+V107)+Y107+AB107+AE107+AH107</f>
        <v>5075488.85709365</v>
      </c>
      <c r="AP107" s="863" t="n">
        <f aca="false">Q107+T107+W107+AA107+AD107+AG107+AJ107+AL107+AN107</f>
        <v>5066496.9594409</v>
      </c>
      <c r="AQ107" s="775" t="n">
        <f aca="false">P107+S107+V107+Y107+AB107+AE107+AH107-Q107-T107-W107-Z107-AC107-AF107-AI107-AK107-AM107-DH107-DL107-CN107</f>
        <v>285606.308706724</v>
      </c>
      <c r="AR107" s="861" t="n">
        <f aca="false">SUM(AQ96:AQ107)</f>
        <v>3427275.70448068</v>
      </c>
      <c r="AS107" s="776" t="n">
        <f aca="false">P107+S107+V107+Y107+AB107+AE107+AH107-R107-U107-X107-AA107-AD107-AG107-AJ107-AL107-AN107-O107-L107-CN107</f>
        <v>148825.847435312</v>
      </c>
      <c r="AT107" s="861" t="n">
        <f aca="false">SUM(AS96:AS107)</f>
        <v>1785910.16922375</v>
      </c>
      <c r="AU107" s="860" t="n">
        <f aca="false">'wholesale services'!$K$110/12</f>
        <v>39106610.7060185</v>
      </c>
      <c r="AV107" s="860" t="n">
        <f aca="false">'wholesale services'!$K$113/12</f>
        <v>17613.2558333333</v>
      </c>
      <c r="AW107" s="861"/>
      <c r="AX107" s="851" t="n">
        <f aca="false">IF(A107&lt;$AX$6,0,-$R$5/12)</f>
        <v>-715341.083333333</v>
      </c>
      <c r="AY107" s="417" t="n">
        <f aca="false">IF(A107&lt;$AX$6,0,-$S$5/12)</f>
        <v>-705333.333333333</v>
      </c>
      <c r="AZ107" s="861"/>
      <c r="BA107" s="772" t="n">
        <f aca="false">P107-IF($BL$4="mid",Q107,R107)-$BL$9*(IF($BL$4="mid",N107,O107)+IF($BL$4="mid",DL107,L107))</f>
        <v>606204.193931649</v>
      </c>
      <c r="BB107" s="772" t="n">
        <f aca="false">S107-IF($BL$4="mid",T107,U107)-$BM$9*(IF($BL$4="mid",N107,O107)+IF($BL$4="mid",DL107,L107))</f>
        <v>-21548.4862541152</v>
      </c>
      <c r="BC107" s="772" t="n">
        <f aca="false">V107-IF($BL$4="mid",W107,X107)-$BN$9*(IF($BL$4="mid",N107,O107)+IF($BL$4="mid",DL107,L107))</f>
        <v>-6589.60694306044</v>
      </c>
      <c r="BD107" s="772" t="n">
        <f aca="false">Y107-IF($BL$4="mid",Z107,AA107)</f>
        <v>26681.5894860119</v>
      </c>
      <c r="BE107" s="772" t="n">
        <f aca="false">AB107-IF($BL$4="mid",AC107,AD107)</f>
        <v>-6812.32924332703</v>
      </c>
      <c r="BF107" s="772" t="n">
        <f aca="false">AE107-IF($BL$4="mid",AF107,AG107)</f>
        <v>12049.0160956046</v>
      </c>
      <c r="BG107" s="772" t="n">
        <f aca="false">AH107-IF($BL$4="mid",AI107,AJ107)</f>
        <v>21626.397404953</v>
      </c>
      <c r="BH107" s="772" t="n">
        <f aca="false">-IF($BL$4="mid",AK107,AL107)</f>
        <v>-290783.21577099</v>
      </c>
      <c r="BI107" s="772" t="n">
        <f aca="false">-IF($BL$4="mid",AM107,AN107)</f>
        <v>-55221.25</v>
      </c>
      <c r="BJ107" s="861"/>
      <c r="BK107" s="431"/>
      <c r="BL107" s="772" t="n">
        <f aca="false">BW107-IF($BL$4="mid",Q107,R107)-$BL$9*(IF($BL$4="mid",N107,O107)+IF($BL$4="mid",DL107,L107))</f>
        <v>758573.477729674</v>
      </c>
      <c r="BM107" s="772" t="n">
        <f aca="false">BX107-IF($BL$4="mid",T107,U107)-$BM$9*(IF($BL$4="mid",N107,O107)+IF($BL$4="mid",DL107,L107))</f>
        <v>-16150.1896200198</v>
      </c>
      <c r="BN107" s="772" t="n">
        <f aca="false">BY107-IF($BL$4="mid",W107,X107)-$BN$9*(IF($BL$4="mid",N107,O107)+IF($BL$4="mid",DL107,L107))</f>
        <v>-3872.29477461937</v>
      </c>
      <c r="BO107" s="772" t="n">
        <f aca="false">BZ107-IF($BL$4="mid",Z107,AA107)</f>
        <v>46447.4925722254</v>
      </c>
      <c r="BP107" s="772" t="n">
        <f aca="false">CA107-IF($BL$4="mid",AC107,AD107)</f>
        <v>11373.7995906107</v>
      </c>
      <c r="BQ107" s="772" t="n">
        <f aca="false">CB107-IF($BL$4="mid",AF107,AG107)</f>
        <v>25847.1785410016</v>
      </c>
      <c r="BR107" s="772" t="n">
        <f aca="false">CC107-IF($BL$4="mid",AI107,AJ107)</f>
        <v>22534.5899746191</v>
      </c>
      <c r="BS107" s="772" t="n">
        <f aca="false">-IF($BL$4="mid",AK107,AL107)</f>
        <v>-290783.21577099</v>
      </c>
      <c r="BT107" s="772" t="n">
        <f aca="false">-IF($BL$4="mid",AM107,AN107)</f>
        <v>-55221.25</v>
      </c>
      <c r="BU107" s="861"/>
      <c r="BV107" s="861"/>
      <c r="BW107" s="859" t="n">
        <f aca="false">Breakout!$J$15/12</f>
        <v>3780673.22922179</v>
      </c>
      <c r="BX107" s="859" t="n">
        <f aca="false">Breakout!$J$26/12</f>
        <v>133945.602809136</v>
      </c>
      <c r="BY107" s="859" t="n">
        <f aca="false">Breakout!$J$37/12</f>
        <v>67423.4932040604</v>
      </c>
      <c r="BZ107" s="859" t="n">
        <f aca="false">Breakout!$J$48/12</f>
        <v>490442.81620761</v>
      </c>
      <c r="CA107" s="859" t="n">
        <f aca="false">Breakout!$J$59/12</f>
        <v>451244.560004536</v>
      </c>
      <c r="CB107" s="859" t="n">
        <f aca="false">Breakout!$J$70/12</f>
        <v>342367.845207668</v>
      </c>
      <c r="CC107" s="859" t="n">
        <f aca="false">Breakout!$J$81/12</f>
        <v>22534.5899746191</v>
      </c>
      <c r="CD107" s="861"/>
      <c r="CE107" s="864" t="n">
        <f aca="false">P107/0.96</f>
        <v>3779483.27648309</v>
      </c>
      <c r="CF107" s="864" t="n">
        <f aca="false">S107/0.96</f>
        <v>133903.443932334</v>
      </c>
      <c r="CG107" s="864" t="n">
        <f aca="false">V107/0.96</f>
        <v>67402.2719121034</v>
      </c>
      <c r="CH107" s="861"/>
      <c r="CI107" s="864" t="n">
        <f aca="false">N107</f>
        <v>-715341.083333333</v>
      </c>
      <c r="CJ107" s="864" t="n">
        <f aca="false">O107</f>
        <v>-705333.333333333</v>
      </c>
      <c r="CK107" s="861"/>
      <c r="CL107" s="861" t="n">
        <f aca="false">'account mgt'!$J$23/12</f>
        <v>-56572.769131727</v>
      </c>
      <c r="CM107" s="861"/>
      <c r="CN107" s="772" t="n">
        <v>0</v>
      </c>
      <c r="CO107" s="861"/>
      <c r="CP107" s="861"/>
      <c r="CQ107" s="431"/>
      <c r="CR107" s="431"/>
      <c r="CS107" s="431"/>
      <c r="CT107" s="772" t="e">
        <f aca="false">CW106</f>
        <v>#VALUE!</v>
      </c>
      <c r="CU107" s="772" t="e">
        <f aca="false">IF(CT107&lt;0.1,0,CT107*$L$3)</f>
        <v>#VALUE!</v>
      </c>
      <c r="CV107" s="772" t="e">
        <f aca="false">IF(CT107&lt;0.1,0,PPMT($L$3,A107-14,unwinds!$B$8*12,$K$5))</f>
        <v>#VALUE!</v>
      </c>
      <c r="CW107" s="772" t="e">
        <f aca="false">IF(CT107-CV107&lt;0,0,CT107-CV107)</f>
        <v>#VALUE!</v>
      </c>
      <c r="CX107" s="772" t="e">
        <f aca="false">IF(CX106-CV107&lt;0,0,CX106-CV107)</f>
        <v>#VALUE!</v>
      </c>
      <c r="CY107" s="861" t="e">
        <f aca="false">CX107</f>
        <v>#VALUE!</v>
      </c>
      <c r="DA107" s="772" t="n">
        <f aca="false">DD106</f>
        <v>11199837.0649191</v>
      </c>
      <c r="DB107" s="772" t="n">
        <f aca="false">DA107*$L$3</f>
        <v>88385.3808373197</v>
      </c>
      <c r="DC107" s="772" t="n">
        <f aca="false">PPMT($L$3,A107-14,106,$K$5)</f>
        <v>407012.690834294</v>
      </c>
      <c r="DD107" s="772" t="n">
        <f aca="false">DA107-DC107</f>
        <v>10792824.3740848</v>
      </c>
      <c r="DE107" s="772" t="n">
        <f aca="false">DE106-DC107</f>
        <v>10792824.3740848</v>
      </c>
      <c r="DF107" s="861" t="n">
        <f aca="false">DE107</f>
        <v>10792824.3740848</v>
      </c>
      <c r="DG107" s="861"/>
      <c r="DH107" s="417" t="n">
        <v>-715341.083333333</v>
      </c>
      <c r="DI107" s="417" t="n">
        <v>-705333.333333333</v>
      </c>
      <c r="DJ107" s="417"/>
      <c r="DK107" s="861"/>
      <c r="DL107" s="417" t="n">
        <f aca="false">PMT($J$3,106,$I$5,,1)</f>
        <v>474832.92700925</v>
      </c>
      <c r="DM107" s="861"/>
      <c r="DN107" s="417" t="n">
        <f aca="false">IF($BL$4="mid",DH107,DI107)</f>
        <v>-715341.083333333</v>
      </c>
      <c r="DO107" s="417" t="n">
        <f aca="false">IF($BL$4="mid",DL107,L107)</f>
        <v>474832.92700925</v>
      </c>
      <c r="DP107" s="861"/>
      <c r="DQ107" s="772" t="n">
        <f aca="false">BW107-IF($BL$4="mid",Q107,R107)</f>
        <v>530090.729221795</v>
      </c>
      <c r="DR107" s="772" t="n">
        <f aca="false">BX107-IF($BL$4="mid",T107,U107)</f>
        <v>-28175.5974362239</v>
      </c>
      <c r="DS107" s="861"/>
      <c r="DT107" s="861"/>
      <c r="DU107" s="861"/>
      <c r="DV107" s="861"/>
      <c r="DW107" s="861"/>
      <c r="DX107" s="861"/>
    </row>
    <row r="108" customFormat="false" ht="12.75" hidden="false" customHeight="false" outlineLevel="0" collapsed="false">
      <c r="A108" s="866" t="n">
        <v>97</v>
      </c>
      <c r="B108" s="867" t="n">
        <v>39448</v>
      </c>
      <c r="C108" s="417" t="n">
        <v>0</v>
      </c>
      <c r="D108" s="417" t="n">
        <v>0</v>
      </c>
      <c r="E108" s="417" t="n">
        <v>0</v>
      </c>
      <c r="F108" s="417" t="n">
        <v>84506.4754169858</v>
      </c>
      <c r="G108" s="417" t="n">
        <v>407012.690834298</v>
      </c>
      <c r="H108" s="417" t="n">
        <v>0</v>
      </c>
      <c r="I108" s="417" t="n">
        <v>491519.166251284</v>
      </c>
      <c r="J108" s="417"/>
      <c r="K108" s="417"/>
      <c r="L108" s="417" t="n">
        <f aca="false">PMT($L$3,106,$K$5,,1)</f>
        <v>491519.166251281</v>
      </c>
      <c r="M108" s="417"/>
      <c r="N108" s="850" t="n">
        <f aca="false">IF(A108&lt;$B$8,0,-$R$5/12)</f>
        <v>-715341.083333333</v>
      </c>
      <c r="O108" s="850" t="n">
        <f aca="false">IF(A108&lt;$B$8,0,-$S$5/12)</f>
        <v>-705333.333333333</v>
      </c>
      <c r="P108" s="868" t="n">
        <f aca="false">Breakout!$K$16/12</f>
        <v>3665988.67127141</v>
      </c>
      <c r="Q108" s="770" t="n">
        <f aca="false">'wholesale services'!$D$110*'wholesale services'!$L$111/12</f>
        <v>3250582.5</v>
      </c>
      <c r="R108" s="770" t="n">
        <v>3320487.5</v>
      </c>
      <c r="S108" s="868" t="n">
        <f aca="false">Breakout!$K$27/12</f>
        <v>129882.43963258</v>
      </c>
      <c r="T108" s="770" t="n">
        <f aca="false">'wholesale services'!$D$113*'wholesale services'!$L$114/12</f>
        <v>167253.681562744</v>
      </c>
      <c r="U108" s="770" t="n">
        <v>170667.0220028</v>
      </c>
      <c r="V108" s="868" t="n">
        <f aca="false">Breakout!$K$38/12</f>
        <v>65378.2401380687</v>
      </c>
      <c r="W108" s="869" t="n">
        <f aca="false">Breakout!$K$39/12</f>
        <v>73434.6616180401</v>
      </c>
      <c r="X108" s="869" t="n">
        <v>74224.2816354384</v>
      </c>
      <c r="Y108" s="868" t="n">
        <f aca="false">Breakout!$K$49/12</f>
        <v>475565.514159401</v>
      </c>
      <c r="Z108" s="870" t="n">
        <f aca="false">Breakout!$K$50/12</f>
        <v>451454.445072459</v>
      </c>
      <c r="AA108" s="870" t="n">
        <v>474221.520408217</v>
      </c>
      <c r="AB108" s="868" t="n">
        <f aca="false">Breakout!$K$60/12</f>
        <v>437556.314617011</v>
      </c>
      <c r="AC108" s="870" t="n">
        <f aca="false">Breakout!$K$61/12</f>
        <v>447260.589188879</v>
      </c>
      <c r="AD108" s="870" t="n">
        <v>461206.353662475</v>
      </c>
      <c r="AE108" s="868" t="n">
        <f aca="false">Breakout!$K$71/12</f>
        <v>331982.312630935</v>
      </c>
      <c r="AF108" s="870" t="n">
        <f aca="false">Breakout!$K$72/12</f>
        <v>316520.666666667</v>
      </c>
      <c r="AG108" s="870" t="n">
        <v>316520.666666667</v>
      </c>
      <c r="AH108" s="868" t="n">
        <f aca="false">Breakout!$K$82/12</f>
        <v>21851.0160889267</v>
      </c>
      <c r="AI108" s="870" t="n">
        <f aca="false">Breakout!$K$83/12</f>
        <v>0</v>
      </c>
      <c r="AJ108" s="870" t="n">
        <v>0</v>
      </c>
      <c r="AK108" s="871" t="n">
        <f aca="false">Breakout!$K$91/12</f>
        <v>293803.383301675</v>
      </c>
      <c r="AL108" s="871" t="n">
        <v>293803.383301675</v>
      </c>
      <c r="AM108" s="773" t="n">
        <f aca="false">(Breakout!$K$107/12)*-1</f>
        <v>55221.25</v>
      </c>
      <c r="AN108" s="773" t="n">
        <v>55221.25</v>
      </c>
      <c r="AO108" s="774" t="n">
        <f aca="false">(P108+S108+V108)+Y108+AB108+AE108+AH108</f>
        <v>5128204.50853834</v>
      </c>
      <c r="AP108" s="774" t="n">
        <f aca="false">Q108+T108+W108+AA108+AD108+AG108+AJ108+AL108+AN108</f>
        <v>5092244.01721982</v>
      </c>
      <c r="AQ108" s="775" t="n">
        <f aca="false">P108+S108+V108+Y108+AB108+AE108+AH108-Q108-T108-W108-Z108-AC108-AF108-AI108-AK108-AM108-DH108-DL108-CN108</f>
        <v>313181.487451955</v>
      </c>
      <c r="AR108" s="869"/>
      <c r="AS108" s="776" t="n">
        <f aca="false">P108+S108+V108+Y108+AB108+AE108+AH108-R108-U108-X108-AA108-AD108-AG108-AJ108-AL108-AN108-O108-L108-CN108</f>
        <v>175666.697943117</v>
      </c>
      <c r="AT108" s="869"/>
      <c r="AU108" s="770" t="n">
        <f aca="false">'wholesale services'!$L$110/12</f>
        <v>39106610.7060185</v>
      </c>
      <c r="AV108" s="770" t="n">
        <f aca="false">'wholesale services'!$L$113/12</f>
        <v>17613.2558333333</v>
      </c>
      <c r="AW108" s="869"/>
      <c r="AX108" s="851" t="n">
        <f aca="false">IF(A108&lt;$AX$6,0,-$R$5/12)</f>
        <v>-715341.083333333</v>
      </c>
      <c r="AY108" s="417" t="n">
        <f aca="false">IF(A108&lt;$AX$6,0,-$S$5/12)</f>
        <v>-705333.333333333</v>
      </c>
      <c r="AZ108" s="431"/>
      <c r="BA108" s="772" t="n">
        <f aca="false">P108-IF($BL$4="mid",Q108,R108)-$BL$9*(IF($BL$4="mid",N108,O108)+IF($BL$4="mid",DL108,L108))</f>
        <v>643888.919779292</v>
      </c>
      <c r="BB108" s="772" t="n">
        <f aca="false">S108-IF($BL$4="mid",T108,U108)-$BM$9*(IF($BL$4="mid",N108,O108)+IF($BL$4="mid",DL108,L108))</f>
        <v>-25345.8341139592</v>
      </c>
      <c r="BC108" s="772" t="n">
        <f aca="false">V108-IF($BL$4="mid",W108,X108)-$BN$9*(IF($BL$4="mid",N108,O108)+IF($BL$4="mid",DL108,L108))</f>
        <v>-8056.42147997139</v>
      </c>
      <c r="BD108" s="772" t="n">
        <f aca="false">Y108-IF($BL$4="mid",Z108,AA108)</f>
        <v>24111.069086942</v>
      </c>
      <c r="BE108" s="772" t="n">
        <f aca="false">AB108-IF($BL$4="mid",AC108,AD108)</f>
        <v>-9704.27457186842</v>
      </c>
      <c r="BF108" s="772" t="n">
        <f aca="false">AE108-IF($BL$4="mid",AF108,AG108)</f>
        <v>15461.6459642682</v>
      </c>
      <c r="BG108" s="772" t="n">
        <f aca="false">AH108-IF($BL$4="mid",AI108,AJ108)</f>
        <v>21851.0160889267</v>
      </c>
      <c r="BH108" s="772" t="n">
        <f aca="false">-IF($BL$4="mid",AK108,AL108)</f>
        <v>-293803.383301675</v>
      </c>
      <c r="BI108" s="772" t="n">
        <f aca="false">-IF($BL$4="mid",AM108,AN108)</f>
        <v>-55221.25</v>
      </c>
      <c r="BJ108" s="869"/>
      <c r="BK108" s="431"/>
      <c r="BL108" s="772" t="n">
        <f aca="false">BW108-IF($BL$4="mid",Q108,R108)-$BL$9*(IF($BL$4="mid",N108,O108)+IF($BL$4="mid",DL108,L108))</f>
        <v>798010.450340995</v>
      </c>
      <c r="BM108" s="772" t="n">
        <f aca="false">BX108-IF($BL$4="mid",T108,U108)-$BM$9*(IF($BL$4="mid",N108,O108)+IF($BL$4="mid",DL108,L108))</f>
        <v>-19885.4570685716</v>
      </c>
      <c r="BN108" s="772" t="n">
        <f aca="false">BY108-IF($BL$4="mid",W108,X108)-$BN$9*(IF($BL$4="mid",N108,O108)+IF($BL$4="mid",DL108,L108))</f>
        <v>-5307.86022159325</v>
      </c>
      <c r="BO108" s="772" t="n">
        <f aca="false">BZ108-IF($BL$4="mid",Z108,AA108)</f>
        <v>44104.280058647</v>
      </c>
      <c r="BP108" s="772" t="n">
        <f aca="false">CA108-IF($BL$4="mid",AC108,AD108)</f>
        <v>8690.99474365957</v>
      </c>
      <c r="BQ108" s="772" t="n">
        <f aca="false">CB108-IF($BL$4="mid",AF108,AG108)</f>
        <v>29418.4872777874</v>
      </c>
      <c r="BR108" s="772" t="n">
        <f aca="false">CC108-IF($BL$4="mid",AI108,AJ108)</f>
        <v>22769.652873144</v>
      </c>
      <c r="BS108" s="772" t="n">
        <f aca="false">-IF($BL$4="mid",AK108,AL108)</f>
        <v>-293803.383301675</v>
      </c>
      <c r="BT108" s="772" t="n">
        <f aca="false">-IF($BL$4="mid",AM108,AN108)</f>
        <v>-55221.25</v>
      </c>
      <c r="BU108" s="869"/>
      <c r="BV108" s="869"/>
      <c r="BW108" s="868" t="n">
        <f aca="false">Breakout!$K$15/12</f>
        <v>3820110.20183312</v>
      </c>
      <c r="BX108" s="868" t="n">
        <f aca="false">Breakout!$K$26/12</f>
        <v>135342.816677968</v>
      </c>
      <c r="BY108" s="868" t="n">
        <f aca="false">Breakout!$K$37/12</f>
        <v>68126.8013964469</v>
      </c>
      <c r="BZ108" s="868" t="n">
        <f aca="false">Breakout!$K$48/12</f>
        <v>495558.725131106</v>
      </c>
      <c r="CA108" s="868" t="n">
        <f aca="false">Breakout!$K$59/12</f>
        <v>455951.583932539</v>
      </c>
      <c r="CB108" s="868" t="n">
        <f aca="false">Breakout!$K$70/12</f>
        <v>345939.153944454</v>
      </c>
      <c r="CC108" s="868" t="n">
        <f aca="false">Breakout!$K$81/12</f>
        <v>22769.652873144</v>
      </c>
      <c r="CD108" s="869"/>
      <c r="CE108" s="852" t="n">
        <f aca="false">P108/0.96</f>
        <v>3818738.19924105</v>
      </c>
      <c r="CF108" s="852" t="n">
        <f aca="false">S108/0.96</f>
        <v>135294.207950605</v>
      </c>
      <c r="CG108" s="852" t="n">
        <f aca="false">V108/0.96</f>
        <v>68102.3334771549</v>
      </c>
      <c r="CH108" s="869"/>
      <c r="CI108" s="852" t="n">
        <f aca="false">N108</f>
        <v>-715341.083333333</v>
      </c>
      <c r="CJ108" s="852" t="n">
        <f aca="false">O108</f>
        <v>-705333.333333333</v>
      </c>
      <c r="CK108" s="869"/>
      <c r="CL108" s="772" t="n">
        <f aca="false">'account mgt'!$K$23/12</f>
        <v>-57704.2245143616</v>
      </c>
      <c r="CM108" s="869"/>
      <c r="CN108" s="772" t="n">
        <v>0</v>
      </c>
      <c r="CO108" s="869"/>
      <c r="CP108" s="869"/>
      <c r="CQ108" s="431"/>
      <c r="CR108" s="431"/>
      <c r="CS108" s="431"/>
      <c r="CT108" s="772" t="e">
        <f aca="false">CW107</f>
        <v>#VALUE!</v>
      </c>
      <c r="CU108" s="772" t="e">
        <f aca="false">IF(CT108&lt;0.1,0,CT108*$L$3)</f>
        <v>#VALUE!</v>
      </c>
      <c r="CV108" s="772" t="e">
        <f aca="false">IF(CT108&lt;0.1,0,PPMT($L$3,A108-14,unwinds!$B$8*12,$K$5))</f>
        <v>#VALUE!</v>
      </c>
      <c r="CW108" s="772" t="e">
        <f aca="false">IF(CT108-CV108&lt;0,0,CT108-CV108)</f>
        <v>#VALUE!</v>
      </c>
      <c r="CX108" s="772" t="e">
        <f aca="false">IF(CX107-CV108&lt;0,0,CX107-CV108)</f>
        <v>#VALUE!</v>
      </c>
      <c r="CY108" s="869"/>
      <c r="DA108" s="772" t="n">
        <f aca="false">DD107</f>
        <v>10792824.3740848</v>
      </c>
      <c r="DB108" s="772" t="n">
        <f aca="false">DA108*$L$3</f>
        <v>85173.3723521524</v>
      </c>
      <c r="DC108" s="772" t="n">
        <f aca="false">PPMT($L$3,A108-14,106,$K$5)</f>
        <v>410224.699319461</v>
      </c>
      <c r="DD108" s="772" t="n">
        <f aca="false">DA108-DC108</f>
        <v>10382599.6747653</v>
      </c>
      <c r="DE108" s="772" t="n">
        <f aca="false">DE107-DC108</f>
        <v>10382599.6747653</v>
      </c>
      <c r="DF108" s="869"/>
      <c r="DG108" s="869"/>
      <c r="DH108" s="417" t="n">
        <v>-715341.083333333</v>
      </c>
      <c r="DI108" s="417" t="n">
        <v>-705333.333333333</v>
      </c>
      <c r="DJ108" s="417"/>
      <c r="DK108" s="869"/>
      <c r="DL108" s="417" t="n">
        <f aca="false">PMT($J$3,106,$I$5,,1)</f>
        <v>474832.92700925</v>
      </c>
      <c r="DM108" s="869"/>
      <c r="DN108" s="417" t="n">
        <f aca="false">IF($BL$4="mid",DH108,DI108)</f>
        <v>-715341.083333333</v>
      </c>
      <c r="DO108" s="417" t="n">
        <f aca="false">IF($BL$4="mid",DL108,L108)</f>
        <v>474832.92700925</v>
      </c>
      <c r="DP108" s="869"/>
      <c r="DQ108" s="772" t="n">
        <f aca="false">BW108-IF($BL$4="mid",Q108,R108)</f>
        <v>569527.701833116</v>
      </c>
      <c r="DR108" s="772" t="n">
        <f aca="false">BX108-IF($BL$4="mid",T108,U108)</f>
        <v>-31910.8648847758</v>
      </c>
      <c r="DS108" s="869"/>
      <c r="DT108" s="869"/>
      <c r="DU108" s="869"/>
      <c r="DV108" s="869"/>
      <c r="DW108" s="869"/>
      <c r="DX108" s="869"/>
    </row>
    <row r="109" customFormat="false" ht="12.75" hidden="false" customHeight="false" outlineLevel="0" collapsed="false">
      <c r="A109" s="767" t="n">
        <v>98</v>
      </c>
      <c r="B109" s="854" t="n">
        <v>39479</v>
      </c>
      <c r="C109" s="417" t="n">
        <v>0</v>
      </c>
      <c r="D109" s="417" t="n">
        <v>0</v>
      </c>
      <c r="E109" s="417" t="n">
        <v>0</v>
      </c>
      <c r="F109" s="417" t="n">
        <v>81294.4669318185</v>
      </c>
      <c r="G109" s="417" t="n">
        <v>410224.699319465</v>
      </c>
      <c r="H109" s="417" t="n">
        <v>0</v>
      </c>
      <c r="I109" s="417" t="n">
        <v>491519.166251284</v>
      </c>
      <c r="J109" s="417"/>
      <c r="K109" s="417"/>
      <c r="L109" s="417" t="n">
        <f aca="false">PMT($L$3,106,$K$5,,1)</f>
        <v>491519.166251281</v>
      </c>
      <c r="M109" s="417"/>
      <c r="N109" s="850" t="n">
        <f aca="false">IF(A109&lt;$B$8,0,-$R$5/12)</f>
        <v>-715341.083333333</v>
      </c>
      <c r="O109" s="850" t="n">
        <f aca="false">IF(A109&lt;$B$8,0,-$S$5/12)</f>
        <v>-705333.333333333</v>
      </c>
      <c r="P109" s="872" t="n">
        <f aca="false">Breakout!$K$16/12</f>
        <v>3665988.67127141</v>
      </c>
      <c r="Q109" s="770" t="n">
        <f aca="false">'wholesale services'!$D$110*'wholesale services'!$L$111/12</f>
        <v>3250582.5</v>
      </c>
      <c r="R109" s="770" t="n">
        <v>3320487.5</v>
      </c>
      <c r="S109" s="872" t="n">
        <f aca="false">Breakout!$K$27/12</f>
        <v>129882.43963258</v>
      </c>
      <c r="T109" s="770" t="n">
        <f aca="false">'wholesale services'!$D$113*'wholesale services'!$L$114/12</f>
        <v>167253.681562744</v>
      </c>
      <c r="U109" s="770" t="n">
        <v>170667.0220028</v>
      </c>
      <c r="V109" s="872" t="n">
        <f aca="false">Breakout!$K$38/12</f>
        <v>65378.2401380687</v>
      </c>
      <c r="W109" s="431" t="n">
        <f aca="false">Breakout!$K$39/12</f>
        <v>73434.6616180401</v>
      </c>
      <c r="X109" s="431" t="n">
        <v>74224.2816354384</v>
      </c>
      <c r="Y109" s="872" t="n">
        <f aca="false">Breakout!$K$49/12</f>
        <v>475565.514159401</v>
      </c>
      <c r="Z109" s="873" t="n">
        <f aca="false">Breakout!$K$50/12</f>
        <v>451454.445072459</v>
      </c>
      <c r="AA109" s="873" t="n">
        <v>474221.520408217</v>
      </c>
      <c r="AB109" s="872" t="n">
        <f aca="false">Breakout!$K$60/12</f>
        <v>437556.314617011</v>
      </c>
      <c r="AC109" s="873" t="n">
        <f aca="false">Breakout!$K$61/12</f>
        <v>447260.589188879</v>
      </c>
      <c r="AD109" s="873" t="n">
        <v>461206.353662475</v>
      </c>
      <c r="AE109" s="872" t="n">
        <f aca="false">Breakout!$K$71/12</f>
        <v>331982.312630935</v>
      </c>
      <c r="AF109" s="873" t="n">
        <f aca="false">Breakout!$K$72/12</f>
        <v>316520.666666667</v>
      </c>
      <c r="AG109" s="873" t="n">
        <v>316520.666666667</v>
      </c>
      <c r="AH109" s="872" t="n">
        <f aca="false">Breakout!$K$82/12</f>
        <v>21851.0160889267</v>
      </c>
      <c r="AI109" s="873" t="n">
        <f aca="false">Breakout!$K$83/12</f>
        <v>0</v>
      </c>
      <c r="AJ109" s="873" t="n">
        <v>0</v>
      </c>
      <c r="AK109" s="874" t="n">
        <f aca="false">Breakout!$K$91/12</f>
        <v>293803.383301675</v>
      </c>
      <c r="AL109" s="874" t="n">
        <v>293803.383301675</v>
      </c>
      <c r="AM109" s="773" t="n">
        <f aca="false">(Breakout!$K$107/12)*-1</f>
        <v>55221.25</v>
      </c>
      <c r="AN109" s="773" t="n">
        <v>55221.25</v>
      </c>
      <c r="AO109" s="774" t="n">
        <f aca="false">(P109+S109+V109)+Y109+AB109+AE109+AH109</f>
        <v>5128204.50853834</v>
      </c>
      <c r="AP109" s="774" t="n">
        <f aca="false">Q109+T109+W109+AA109+AD109+AG109+AJ109+AL109+AN109</f>
        <v>5092244.01721982</v>
      </c>
      <c r="AQ109" s="775" t="n">
        <f aca="false">P109+S109+V109+Y109+AB109+AE109+AH109-Q109-T109-W109-Z109-AC109-AF109-AI109-AK109-AM109-DH109-DL109-CN109</f>
        <v>313181.487451955</v>
      </c>
      <c r="AR109" s="431"/>
      <c r="AS109" s="776" t="n">
        <f aca="false">P109+S109+V109+Y109+AB109+AE109+AH109-R109-U109-X109-AA109-AD109-AG109-AJ109-AL109-AN109-O109-L109-CN109</f>
        <v>175666.697943117</v>
      </c>
      <c r="AT109" s="431"/>
      <c r="AU109" s="770" t="n">
        <f aca="false">'wholesale services'!$L$110/12</f>
        <v>39106610.7060185</v>
      </c>
      <c r="AV109" s="770" t="n">
        <f aca="false">'wholesale services'!$L$113/12</f>
        <v>17613.2558333333</v>
      </c>
      <c r="AW109" s="431"/>
      <c r="AX109" s="851" t="n">
        <f aca="false">IF(A109&lt;$AX$6,0,-$R$5/12)</f>
        <v>-715341.083333333</v>
      </c>
      <c r="AY109" s="417" t="n">
        <f aca="false">IF(A109&lt;$AX$6,0,-$S$5/12)</f>
        <v>-705333.333333333</v>
      </c>
      <c r="AZ109" s="431"/>
      <c r="BA109" s="772" t="n">
        <f aca="false">P109-IF($BL$4="mid",Q109,R109)-$BL$9*(IF($BL$4="mid",N109,O109)+IF($BL$4="mid",DL109,L109))</f>
        <v>643888.919779292</v>
      </c>
      <c r="BB109" s="772" t="n">
        <f aca="false">S109-IF($BL$4="mid",T109,U109)-$BM$9*(IF($BL$4="mid",N109,O109)+IF($BL$4="mid",DL109,L109))</f>
        <v>-25345.8341139592</v>
      </c>
      <c r="BC109" s="772" t="n">
        <f aca="false">V109-IF($BL$4="mid",W109,X109)-$BN$9*(IF($BL$4="mid",N109,O109)+IF($BL$4="mid",DL109,L109))</f>
        <v>-8056.42147997139</v>
      </c>
      <c r="BD109" s="772" t="n">
        <f aca="false">Y109-IF($BL$4="mid",Z109,AA109)</f>
        <v>24111.069086942</v>
      </c>
      <c r="BE109" s="772" t="n">
        <f aca="false">AB109-IF($BL$4="mid",AC109,AD109)</f>
        <v>-9704.27457186842</v>
      </c>
      <c r="BF109" s="772" t="n">
        <f aca="false">AE109-IF($BL$4="mid",AF109,AG109)</f>
        <v>15461.6459642682</v>
      </c>
      <c r="BG109" s="772" t="n">
        <f aca="false">AH109-IF($BL$4="mid",AI109,AJ109)</f>
        <v>21851.0160889267</v>
      </c>
      <c r="BH109" s="772" t="n">
        <f aca="false">-IF($BL$4="mid",AK109,AL109)</f>
        <v>-293803.383301675</v>
      </c>
      <c r="BI109" s="772" t="n">
        <f aca="false">-IF($BL$4="mid",AM109,AN109)</f>
        <v>-55221.25</v>
      </c>
      <c r="BL109" s="772" t="n">
        <f aca="false">BW109-IF($BL$4="mid",Q109,R109)-$BL$9*(IF($BL$4="mid",N109,O109)+IF($BL$4="mid",DL109,L109))</f>
        <v>798010.450340995</v>
      </c>
      <c r="BM109" s="772" t="n">
        <f aca="false">BX109-IF($BL$4="mid",T109,U109)-$BM$9*(IF($BL$4="mid",N109,O109)+IF($BL$4="mid",DL109,L109))</f>
        <v>-19885.4570685716</v>
      </c>
      <c r="BN109" s="772" t="n">
        <f aca="false">BY109-IF($BL$4="mid",W109,X109)-$BN$9*(IF($BL$4="mid",N109,O109)+IF($BL$4="mid",DL109,L109))</f>
        <v>-5307.86022159325</v>
      </c>
      <c r="BO109" s="772" t="n">
        <f aca="false">BZ109-IF($BL$4="mid",Z109,AA109)</f>
        <v>44104.280058647</v>
      </c>
      <c r="BP109" s="772" t="n">
        <f aca="false">CA109-IF($BL$4="mid",AC109,AD109)</f>
        <v>8690.99474365957</v>
      </c>
      <c r="BQ109" s="772" t="n">
        <f aca="false">CB109-IF($BL$4="mid",AF109,AG109)</f>
        <v>29418.4872777874</v>
      </c>
      <c r="BR109" s="772" t="n">
        <f aca="false">CC109-IF($BL$4="mid",AI109,AJ109)</f>
        <v>22769.652873144</v>
      </c>
      <c r="BS109" s="772" t="n">
        <f aca="false">-IF($BL$4="mid",AK109,AL109)</f>
        <v>-293803.383301675</v>
      </c>
      <c r="BT109" s="772" t="n">
        <f aca="false">-IF($BL$4="mid",AM109,AN109)</f>
        <v>-55221.25</v>
      </c>
      <c r="BW109" s="872" t="n">
        <f aca="false">Breakout!$K$15/12</f>
        <v>3820110.20183312</v>
      </c>
      <c r="BX109" s="872" t="n">
        <f aca="false">Breakout!$K$26/12</f>
        <v>135342.816677968</v>
      </c>
      <c r="BY109" s="872" t="n">
        <f aca="false">Breakout!$K$37/12</f>
        <v>68126.8013964469</v>
      </c>
      <c r="BZ109" s="872" t="n">
        <f aca="false">Breakout!$K$48/12</f>
        <v>495558.725131106</v>
      </c>
      <c r="CA109" s="872" t="n">
        <f aca="false">Breakout!$K$59/12</f>
        <v>455951.583932539</v>
      </c>
      <c r="CB109" s="872" t="n">
        <f aca="false">Breakout!$K$70/12</f>
        <v>345939.153944454</v>
      </c>
      <c r="CC109" s="872" t="n">
        <f aca="false">Breakout!$K$81/12</f>
        <v>22769.652873144</v>
      </c>
      <c r="CE109" s="852" t="n">
        <f aca="false">P109/0.96</f>
        <v>3818738.19924105</v>
      </c>
      <c r="CF109" s="852" t="n">
        <f aca="false">S109/0.96</f>
        <v>135294.207950605</v>
      </c>
      <c r="CG109" s="852" t="n">
        <f aca="false">V109/0.96</f>
        <v>68102.3334771549</v>
      </c>
      <c r="CI109" s="852" t="n">
        <f aca="false">N109</f>
        <v>-715341.083333333</v>
      </c>
      <c r="CJ109" s="852" t="n">
        <f aca="false">O109</f>
        <v>-705333.333333333</v>
      </c>
      <c r="CL109" s="772" t="n">
        <f aca="false">'account mgt'!$K$23/12</f>
        <v>-57704.2245143616</v>
      </c>
      <c r="CN109" s="772" t="n">
        <v>0</v>
      </c>
      <c r="CT109" s="772" t="e">
        <f aca="false">CW108</f>
        <v>#VALUE!</v>
      </c>
      <c r="CU109" s="772" t="e">
        <f aca="false">IF(CT109&lt;0.1,0,CT109*$L$3)</f>
        <v>#VALUE!</v>
      </c>
      <c r="CV109" s="772" t="e">
        <f aca="false">IF(CT109&lt;0.1,0,PPMT($L$3,A109-14,unwinds!$B$8*12,$K$5))</f>
        <v>#VALUE!</v>
      </c>
      <c r="CW109" s="772" t="e">
        <f aca="false">IF(CT109-CV109&lt;0,0,CT109-CV109)</f>
        <v>#VALUE!</v>
      </c>
      <c r="CX109" s="772" t="e">
        <f aca="false">IF(CX108-CV109&lt;0,0,CX108-CV109)</f>
        <v>#VALUE!</v>
      </c>
      <c r="DA109" s="772" t="n">
        <f aca="false">DD108</f>
        <v>10382599.6747653</v>
      </c>
      <c r="DB109" s="772" t="n">
        <f aca="false">DA109*$L$3</f>
        <v>81936.0157666896</v>
      </c>
      <c r="DC109" s="772" t="n">
        <f aca="false">PPMT($L$3,A109-14,106,$K$5)</f>
        <v>413462.055904924</v>
      </c>
      <c r="DD109" s="772" t="n">
        <f aca="false">DA109-DC109</f>
        <v>9969137.6188604</v>
      </c>
      <c r="DE109" s="772" t="n">
        <f aca="false">DE108-DC109</f>
        <v>9969137.6188604</v>
      </c>
      <c r="DH109" s="417" t="n">
        <v>-715341.083333333</v>
      </c>
      <c r="DI109" s="417" t="n">
        <v>-705333.333333333</v>
      </c>
      <c r="DJ109" s="417"/>
      <c r="DL109" s="417" t="n">
        <f aca="false">PMT($J$3,106,$I$5,,1)</f>
        <v>474832.92700925</v>
      </c>
      <c r="DN109" s="417" t="n">
        <f aca="false">IF($BL$4="mid",DH109,DI109)</f>
        <v>-715341.083333333</v>
      </c>
      <c r="DO109" s="417" t="n">
        <f aca="false">IF($BL$4="mid",DL109,L109)</f>
        <v>474832.92700925</v>
      </c>
      <c r="DQ109" s="772" t="n">
        <f aca="false">BW109-IF($BL$4="mid",Q109,R109)</f>
        <v>569527.701833116</v>
      </c>
      <c r="DR109" s="772" t="n">
        <f aca="false">BX109-IF($BL$4="mid",T109,U109)</f>
        <v>-31910.8648847758</v>
      </c>
      <c r="DS109" s="772"/>
      <c r="DT109" s="772"/>
      <c r="DU109" s="772"/>
      <c r="DV109" s="772"/>
      <c r="DW109" s="772"/>
      <c r="DX109" s="772"/>
    </row>
    <row r="110" customFormat="false" ht="12.75" hidden="false" customHeight="false" outlineLevel="0" collapsed="false">
      <c r="A110" s="767" t="n">
        <v>99</v>
      </c>
      <c r="B110" s="854" t="n">
        <v>39508</v>
      </c>
      <c r="C110" s="417" t="n">
        <v>0</v>
      </c>
      <c r="D110" s="417" t="n">
        <v>0</v>
      </c>
      <c r="E110" s="417" t="n">
        <v>0</v>
      </c>
      <c r="F110" s="417" t="n">
        <v>78057.1103463556</v>
      </c>
      <c r="G110" s="417" t="n">
        <v>413462.055904928</v>
      </c>
      <c r="H110" s="417" t="n">
        <v>0</v>
      </c>
      <c r="I110" s="417" t="n">
        <v>491519.166251284</v>
      </c>
      <c r="J110" s="417"/>
      <c r="K110" s="417"/>
      <c r="L110" s="417" t="n">
        <f aca="false">PMT($L$3,106,$K$5,,1)</f>
        <v>491519.166251281</v>
      </c>
      <c r="M110" s="417"/>
      <c r="N110" s="850" t="n">
        <f aca="false">IF(A110&lt;$B$8,0,-$R$5/12)</f>
        <v>-715341.083333333</v>
      </c>
      <c r="O110" s="850" t="n">
        <f aca="false">IF(A110&lt;$B$8,0,-$S$5/12)</f>
        <v>-705333.333333333</v>
      </c>
      <c r="P110" s="872" t="n">
        <f aca="false">Breakout!$K$16/12</f>
        <v>3665988.67127141</v>
      </c>
      <c r="Q110" s="770" t="n">
        <f aca="false">'wholesale services'!$D$110*'wholesale services'!$L$111/12</f>
        <v>3250582.5</v>
      </c>
      <c r="R110" s="770" t="n">
        <v>3320487.5</v>
      </c>
      <c r="S110" s="872" t="n">
        <f aca="false">Breakout!$K$27/12</f>
        <v>129882.43963258</v>
      </c>
      <c r="T110" s="770" t="n">
        <f aca="false">'wholesale services'!$D$113*'wholesale services'!$L$114/12</f>
        <v>167253.681562744</v>
      </c>
      <c r="U110" s="770" t="n">
        <v>170667.0220028</v>
      </c>
      <c r="V110" s="872" t="n">
        <f aca="false">Breakout!$K$38/12</f>
        <v>65378.2401380687</v>
      </c>
      <c r="W110" s="431" t="n">
        <f aca="false">Breakout!$K$39/12</f>
        <v>73434.6616180401</v>
      </c>
      <c r="X110" s="431" t="n">
        <v>74224.2816354384</v>
      </c>
      <c r="Y110" s="872" t="n">
        <f aca="false">Breakout!$K$49/12</f>
        <v>475565.514159401</v>
      </c>
      <c r="Z110" s="873" t="n">
        <f aca="false">Breakout!$K$50/12</f>
        <v>451454.445072459</v>
      </c>
      <c r="AA110" s="873" t="n">
        <v>474221.520408217</v>
      </c>
      <c r="AB110" s="872" t="n">
        <f aca="false">Breakout!$K$60/12</f>
        <v>437556.314617011</v>
      </c>
      <c r="AC110" s="873" t="n">
        <f aca="false">Breakout!$K$61/12</f>
        <v>447260.589188879</v>
      </c>
      <c r="AD110" s="873" t="n">
        <v>461206.353662475</v>
      </c>
      <c r="AE110" s="872" t="n">
        <f aca="false">Breakout!$K$71/12</f>
        <v>331982.312630935</v>
      </c>
      <c r="AF110" s="873" t="n">
        <f aca="false">Breakout!$K$72/12</f>
        <v>316520.666666667</v>
      </c>
      <c r="AG110" s="873" t="n">
        <v>316520.666666667</v>
      </c>
      <c r="AH110" s="872" t="n">
        <f aca="false">Breakout!$K$82/12</f>
        <v>21851.0160889267</v>
      </c>
      <c r="AI110" s="873" t="n">
        <f aca="false">Breakout!$K$83/12</f>
        <v>0</v>
      </c>
      <c r="AJ110" s="873" t="n">
        <v>0</v>
      </c>
      <c r="AK110" s="874" t="n">
        <f aca="false">Breakout!$K$91/12</f>
        <v>293803.383301675</v>
      </c>
      <c r="AL110" s="874" t="n">
        <v>293803.383301675</v>
      </c>
      <c r="AM110" s="773" t="n">
        <f aca="false">(Breakout!$K$107/12)*-1</f>
        <v>55221.25</v>
      </c>
      <c r="AN110" s="773" t="n">
        <v>55221.25</v>
      </c>
      <c r="AO110" s="774" t="n">
        <f aca="false">(P110+S110+V110)+Y110+AB110+AE110+AH110</f>
        <v>5128204.50853834</v>
      </c>
      <c r="AP110" s="774" t="n">
        <f aca="false">Q110+T110+W110+AA110+AD110+AG110+AJ110+AL110+AN110</f>
        <v>5092244.01721982</v>
      </c>
      <c r="AQ110" s="775" t="n">
        <f aca="false">P110+S110+V110+Y110+AB110+AE110+AH110-Q110-T110-W110-Z110-AC110-AF110-AI110-AK110-AM110-DH110-DL110-CN110</f>
        <v>313181.487451955</v>
      </c>
      <c r="AR110" s="431"/>
      <c r="AS110" s="776" t="n">
        <f aca="false">P110+S110+V110+Y110+AB110+AE110+AH110-R110-U110-X110-AA110-AD110-AG110-AJ110-AL110-AN110-O110-L110-CN110</f>
        <v>175666.697943117</v>
      </c>
      <c r="AT110" s="431"/>
      <c r="AU110" s="770" t="n">
        <f aca="false">'wholesale services'!$L$110/12</f>
        <v>39106610.7060185</v>
      </c>
      <c r="AV110" s="770" t="n">
        <f aca="false">'wholesale services'!$L$113/12</f>
        <v>17613.2558333333</v>
      </c>
      <c r="AW110" s="431"/>
      <c r="AX110" s="851" t="n">
        <f aca="false">IF(A110&lt;$AX$6,0,-$R$5/12)</f>
        <v>-715341.083333333</v>
      </c>
      <c r="AY110" s="417" t="n">
        <f aca="false">IF(A110&lt;$AX$6,0,-$S$5/12)</f>
        <v>-705333.333333333</v>
      </c>
      <c r="AZ110" s="431"/>
      <c r="BA110" s="772" t="n">
        <f aca="false">P110-IF($BL$4="mid",Q110,R110)-$BL$9*(IF($BL$4="mid",N110,O110)+IF($BL$4="mid",DL110,L110))</f>
        <v>643888.919779292</v>
      </c>
      <c r="BB110" s="772" t="n">
        <f aca="false">S110-IF($BL$4="mid",T110,U110)-$BM$9*(IF($BL$4="mid",N110,O110)+IF($BL$4="mid",DL110,L110))</f>
        <v>-25345.8341139592</v>
      </c>
      <c r="BC110" s="772" t="n">
        <f aca="false">V110-IF($BL$4="mid",W110,X110)-$BN$9*(IF($BL$4="mid",N110,O110)+IF($BL$4="mid",DL110,L110))</f>
        <v>-8056.42147997139</v>
      </c>
      <c r="BD110" s="772" t="n">
        <f aca="false">Y110-IF($BL$4="mid",Z110,AA110)</f>
        <v>24111.069086942</v>
      </c>
      <c r="BE110" s="772" t="n">
        <f aca="false">AB110-IF($BL$4="mid",AC110,AD110)</f>
        <v>-9704.27457186842</v>
      </c>
      <c r="BF110" s="772" t="n">
        <f aca="false">AE110-IF($BL$4="mid",AF110,AG110)</f>
        <v>15461.6459642682</v>
      </c>
      <c r="BG110" s="772" t="n">
        <f aca="false">AH110-IF($BL$4="mid",AI110,AJ110)</f>
        <v>21851.0160889267</v>
      </c>
      <c r="BH110" s="772" t="n">
        <f aca="false">-IF($BL$4="mid",AK110,AL110)</f>
        <v>-293803.383301675</v>
      </c>
      <c r="BI110" s="772" t="n">
        <f aca="false">-IF($BL$4="mid",AM110,AN110)</f>
        <v>-55221.25</v>
      </c>
      <c r="BL110" s="772" t="n">
        <f aca="false">BW110-IF($BL$4="mid",Q110,R110)-$BL$9*(IF($BL$4="mid",N110,O110)+IF($BL$4="mid",DL110,L110))</f>
        <v>798010.450340995</v>
      </c>
      <c r="BM110" s="772" t="n">
        <f aca="false">BX110-IF($BL$4="mid",T110,U110)-$BM$9*(IF($BL$4="mid",N110,O110)+IF($BL$4="mid",DL110,L110))</f>
        <v>-19885.4570685716</v>
      </c>
      <c r="BN110" s="772" t="n">
        <f aca="false">BY110-IF($BL$4="mid",W110,X110)-$BN$9*(IF($BL$4="mid",N110,O110)+IF($BL$4="mid",DL110,L110))</f>
        <v>-5307.86022159325</v>
      </c>
      <c r="BO110" s="772" t="n">
        <f aca="false">BZ110-IF($BL$4="mid",Z110,AA110)</f>
        <v>44104.280058647</v>
      </c>
      <c r="BP110" s="772" t="n">
        <f aca="false">CA110-IF($BL$4="mid",AC110,AD110)</f>
        <v>8690.99474365957</v>
      </c>
      <c r="BQ110" s="772" t="n">
        <f aca="false">CB110-IF($BL$4="mid",AF110,AG110)</f>
        <v>29418.4872777874</v>
      </c>
      <c r="BR110" s="772" t="n">
        <f aca="false">CC110-IF($BL$4="mid",AI110,AJ110)</f>
        <v>22769.652873144</v>
      </c>
      <c r="BS110" s="772" t="n">
        <f aca="false">-IF($BL$4="mid",AK110,AL110)</f>
        <v>-293803.383301675</v>
      </c>
      <c r="BT110" s="772" t="n">
        <f aca="false">-IF($BL$4="mid",AM110,AN110)</f>
        <v>-55221.25</v>
      </c>
      <c r="BW110" s="872" t="n">
        <f aca="false">Breakout!$K$15/12</f>
        <v>3820110.20183312</v>
      </c>
      <c r="BX110" s="872" t="n">
        <f aca="false">Breakout!$K$26/12</f>
        <v>135342.816677968</v>
      </c>
      <c r="BY110" s="872" t="n">
        <f aca="false">Breakout!$K$37/12</f>
        <v>68126.8013964469</v>
      </c>
      <c r="BZ110" s="872" t="n">
        <f aca="false">Breakout!$K$48/12</f>
        <v>495558.725131106</v>
      </c>
      <c r="CA110" s="872" t="n">
        <f aca="false">Breakout!$K$59/12</f>
        <v>455951.583932539</v>
      </c>
      <c r="CB110" s="872" t="n">
        <f aca="false">Breakout!$K$70/12</f>
        <v>345939.153944454</v>
      </c>
      <c r="CC110" s="872" t="n">
        <f aca="false">Breakout!$K$81/12</f>
        <v>22769.652873144</v>
      </c>
      <c r="CE110" s="852" t="n">
        <f aca="false">P110/0.96</f>
        <v>3818738.19924105</v>
      </c>
      <c r="CF110" s="852" t="n">
        <f aca="false">S110/0.96</f>
        <v>135294.207950605</v>
      </c>
      <c r="CG110" s="852" t="n">
        <f aca="false">V110/0.96</f>
        <v>68102.3334771549</v>
      </c>
      <c r="CI110" s="852" t="n">
        <f aca="false">N110</f>
        <v>-715341.083333333</v>
      </c>
      <c r="CJ110" s="852" t="n">
        <f aca="false">O110</f>
        <v>-705333.333333333</v>
      </c>
      <c r="CL110" s="772" t="n">
        <f aca="false">'account mgt'!$K$23/12</f>
        <v>-57704.2245143616</v>
      </c>
      <c r="CN110" s="772" t="n">
        <v>0</v>
      </c>
      <c r="CT110" s="772" t="e">
        <f aca="false">CW109</f>
        <v>#VALUE!</v>
      </c>
      <c r="CU110" s="772" t="e">
        <f aca="false">IF(CT110&lt;0.1,0,CT110*$L$3)</f>
        <v>#VALUE!</v>
      </c>
      <c r="CV110" s="772" t="e">
        <f aca="false">IF(CT110&lt;0.1,0,PPMT($L$3,A110-14,unwinds!$B$8*12,$K$5))</f>
        <v>#VALUE!</v>
      </c>
      <c r="CW110" s="772" t="e">
        <f aca="false">IF(CT110-CV110&lt;0,0,CT110-CV110)</f>
        <v>#VALUE!</v>
      </c>
      <c r="CX110" s="772" t="e">
        <f aca="false">IF(CX109-CV110&lt;0,0,CX109-CV110)</f>
        <v>#VALUE!</v>
      </c>
      <c r="DA110" s="772" t="n">
        <f aca="false">DD109</f>
        <v>9969137.6188604</v>
      </c>
      <c r="DB110" s="772" t="n">
        <f aca="false">DA110*$L$3</f>
        <v>78673.1110421733</v>
      </c>
      <c r="DC110" s="772" t="n">
        <f aca="false">PPMT($L$3,A110-14,106,$K$5)</f>
        <v>416724.96062944</v>
      </c>
      <c r="DD110" s="772" t="n">
        <f aca="false">DA110-DC110</f>
        <v>9552412.65823096</v>
      </c>
      <c r="DE110" s="772" t="n">
        <f aca="false">DE109-DC110</f>
        <v>9552412.65823096</v>
      </c>
      <c r="DH110" s="417" t="n">
        <v>-715341.083333333</v>
      </c>
      <c r="DI110" s="417" t="n">
        <v>-705333.333333333</v>
      </c>
      <c r="DJ110" s="417"/>
      <c r="DL110" s="417" t="n">
        <f aca="false">PMT($J$3,106,$I$5,,1)</f>
        <v>474832.92700925</v>
      </c>
      <c r="DN110" s="417" t="n">
        <f aca="false">IF($BL$4="mid",DH110,DI110)</f>
        <v>-715341.083333333</v>
      </c>
      <c r="DO110" s="417" t="n">
        <f aca="false">IF($BL$4="mid",DL110,L110)</f>
        <v>474832.92700925</v>
      </c>
      <c r="DQ110" s="772" t="n">
        <f aca="false">BW110-IF($BL$4="mid",Q110,R110)</f>
        <v>569527.701833116</v>
      </c>
      <c r="DR110" s="772" t="n">
        <f aca="false">BX110-IF($BL$4="mid",T110,U110)</f>
        <v>-31910.8648847758</v>
      </c>
      <c r="DS110" s="772"/>
      <c r="DT110" s="772"/>
      <c r="DU110" s="772"/>
      <c r="DV110" s="772"/>
      <c r="DW110" s="772"/>
      <c r="DX110" s="772"/>
    </row>
    <row r="111" customFormat="false" ht="12.75" hidden="false" customHeight="false" outlineLevel="0" collapsed="false">
      <c r="A111" s="767" t="n">
        <v>100</v>
      </c>
      <c r="B111" s="854" t="n">
        <v>39539</v>
      </c>
      <c r="C111" s="417" t="n">
        <v>0</v>
      </c>
      <c r="D111" s="417" t="n">
        <v>0</v>
      </c>
      <c r="E111" s="417" t="n">
        <v>0</v>
      </c>
      <c r="F111" s="417" t="n">
        <v>74794.2056218393</v>
      </c>
      <c r="G111" s="417" t="n">
        <v>416724.960629444</v>
      </c>
      <c r="H111" s="417" t="n">
        <v>0</v>
      </c>
      <c r="I111" s="417" t="n">
        <v>491519.166251284</v>
      </c>
      <c r="J111" s="417"/>
      <c r="K111" s="417"/>
      <c r="L111" s="417" t="n">
        <f aca="false">PMT($L$3,106,$K$5,,1)</f>
        <v>491519.166251281</v>
      </c>
      <c r="M111" s="417"/>
      <c r="N111" s="850" t="n">
        <f aca="false">IF(A111&lt;$B$8,0,-$R$5/12)</f>
        <v>-715341.083333333</v>
      </c>
      <c r="O111" s="850" t="n">
        <f aca="false">IF(A111&lt;$B$8,0,-$S$5/12)</f>
        <v>-705333.333333333</v>
      </c>
      <c r="P111" s="872" t="n">
        <f aca="false">Breakout!$K$16/12</f>
        <v>3665988.67127141</v>
      </c>
      <c r="Q111" s="770" t="n">
        <f aca="false">'wholesale services'!$D$110*'wholesale services'!$L$111/12</f>
        <v>3250582.5</v>
      </c>
      <c r="R111" s="770" t="n">
        <v>3320487.5</v>
      </c>
      <c r="S111" s="872" t="n">
        <f aca="false">Breakout!$K$27/12</f>
        <v>129882.43963258</v>
      </c>
      <c r="T111" s="770" t="n">
        <f aca="false">'wholesale services'!$D$113*'wholesale services'!$L$114/12</f>
        <v>167253.681562744</v>
      </c>
      <c r="U111" s="770" t="n">
        <v>170667.0220028</v>
      </c>
      <c r="V111" s="872" t="n">
        <f aca="false">Breakout!$K$38/12</f>
        <v>65378.2401380687</v>
      </c>
      <c r="W111" s="431" t="n">
        <f aca="false">Breakout!$K$39/12</f>
        <v>73434.6616180401</v>
      </c>
      <c r="X111" s="431" t="n">
        <v>74224.2816354384</v>
      </c>
      <c r="Y111" s="872" t="n">
        <f aca="false">Breakout!$K$49/12</f>
        <v>475565.514159401</v>
      </c>
      <c r="Z111" s="873" t="n">
        <f aca="false">Breakout!$K$50/12</f>
        <v>451454.445072459</v>
      </c>
      <c r="AA111" s="873" t="n">
        <v>474221.520408217</v>
      </c>
      <c r="AB111" s="872" t="n">
        <f aca="false">Breakout!$K$60/12</f>
        <v>437556.314617011</v>
      </c>
      <c r="AC111" s="873" t="n">
        <f aca="false">Breakout!$K$61/12</f>
        <v>447260.589188879</v>
      </c>
      <c r="AD111" s="873" t="n">
        <v>461206.353662475</v>
      </c>
      <c r="AE111" s="872" t="n">
        <f aca="false">Breakout!$K$71/12</f>
        <v>331982.312630935</v>
      </c>
      <c r="AF111" s="873" t="n">
        <f aca="false">Breakout!$K$72/12</f>
        <v>316520.666666667</v>
      </c>
      <c r="AG111" s="873" t="n">
        <v>316520.666666667</v>
      </c>
      <c r="AH111" s="872" t="n">
        <f aca="false">Breakout!$K$82/12</f>
        <v>21851.0160889267</v>
      </c>
      <c r="AI111" s="873" t="n">
        <f aca="false">Breakout!$K$83/12</f>
        <v>0</v>
      </c>
      <c r="AJ111" s="873" t="n">
        <v>0</v>
      </c>
      <c r="AK111" s="874" t="n">
        <f aca="false">Breakout!$K$91/12</f>
        <v>293803.383301675</v>
      </c>
      <c r="AL111" s="874" t="n">
        <v>293803.383301675</v>
      </c>
      <c r="AM111" s="773" t="n">
        <f aca="false">(Breakout!$K$107/12)*-1</f>
        <v>55221.25</v>
      </c>
      <c r="AN111" s="773" t="n">
        <v>55221.25</v>
      </c>
      <c r="AO111" s="774" t="n">
        <f aca="false">(P111+S111+V111)+Y111+AB111+AE111+AH111</f>
        <v>5128204.50853834</v>
      </c>
      <c r="AP111" s="774" t="n">
        <f aca="false">Q111+T111+W111+AA111+AD111+AG111+AJ111+AL111+AN111</f>
        <v>5092244.01721982</v>
      </c>
      <c r="AQ111" s="775" t="n">
        <f aca="false">P111+S111+V111+Y111+AB111+AE111+AH111-Q111-T111-W111-Z111-AC111-AF111-AI111-AK111-AM111-DH111-DL111-CN111</f>
        <v>313181.487451955</v>
      </c>
      <c r="AR111" s="431"/>
      <c r="AS111" s="776" t="n">
        <f aca="false">P111+S111+V111+Y111+AB111+AE111+AH111-R111-U111-X111-AA111-AD111-AG111-AJ111-AL111-AN111-O111-L111-CN111</f>
        <v>175666.697943117</v>
      </c>
      <c r="AT111" s="431"/>
      <c r="AU111" s="770" t="n">
        <f aca="false">'wholesale services'!$L$110/12</f>
        <v>39106610.7060185</v>
      </c>
      <c r="AV111" s="770" t="n">
        <f aca="false">'wholesale services'!$L$113/12</f>
        <v>17613.2558333333</v>
      </c>
      <c r="AW111" s="431"/>
      <c r="AX111" s="851" t="n">
        <f aca="false">IF(A111&lt;$AX$6,0,-$R$5/12)</f>
        <v>-715341.083333333</v>
      </c>
      <c r="AY111" s="417" t="n">
        <f aca="false">IF(A111&lt;$AX$6,0,-$S$5/12)</f>
        <v>-705333.333333333</v>
      </c>
      <c r="AZ111" s="431"/>
      <c r="BA111" s="772" t="n">
        <f aca="false">P111-IF($BL$4="mid",Q111,R111)-$BL$9*(IF($BL$4="mid",N111,O111)+IF($BL$4="mid",DL111,L111))</f>
        <v>643888.919779292</v>
      </c>
      <c r="BB111" s="772" t="n">
        <f aca="false">S111-IF($BL$4="mid",T111,U111)-$BM$9*(IF($BL$4="mid",N111,O111)+IF($BL$4="mid",DL111,L111))</f>
        <v>-25345.8341139592</v>
      </c>
      <c r="BC111" s="772" t="n">
        <f aca="false">V111-IF($BL$4="mid",W111,X111)-$BN$9*(IF($BL$4="mid",N111,O111)+IF($BL$4="mid",DL111,L111))</f>
        <v>-8056.42147997139</v>
      </c>
      <c r="BD111" s="772" t="n">
        <f aca="false">Y111-IF($BL$4="mid",Z111,AA111)</f>
        <v>24111.069086942</v>
      </c>
      <c r="BE111" s="772" t="n">
        <f aca="false">AB111-IF($BL$4="mid",AC111,AD111)</f>
        <v>-9704.27457186842</v>
      </c>
      <c r="BF111" s="772" t="n">
        <f aca="false">AE111-IF($BL$4="mid",AF111,AG111)</f>
        <v>15461.6459642682</v>
      </c>
      <c r="BG111" s="772" t="n">
        <f aca="false">AH111-IF($BL$4="mid",AI111,AJ111)</f>
        <v>21851.0160889267</v>
      </c>
      <c r="BH111" s="772" t="n">
        <f aca="false">-IF($BL$4="mid",AK111,AL111)</f>
        <v>-293803.383301675</v>
      </c>
      <c r="BI111" s="772" t="n">
        <f aca="false">-IF($BL$4="mid",AM111,AN111)</f>
        <v>-55221.25</v>
      </c>
      <c r="BL111" s="772" t="n">
        <f aca="false">BW111-IF($BL$4="mid",Q111,R111)-$BL$9*(IF($BL$4="mid",N111,O111)+IF($BL$4="mid",DL111,L111))</f>
        <v>798010.450340995</v>
      </c>
      <c r="BM111" s="772" t="n">
        <f aca="false">BX111-IF($BL$4="mid",T111,U111)-$BM$9*(IF($BL$4="mid",N111,O111)+IF($BL$4="mid",DL111,L111))</f>
        <v>-19885.4570685716</v>
      </c>
      <c r="BN111" s="772" t="n">
        <f aca="false">BY111-IF($BL$4="mid",W111,X111)-$BN$9*(IF($BL$4="mid",N111,O111)+IF($BL$4="mid",DL111,L111))</f>
        <v>-5307.86022159325</v>
      </c>
      <c r="BO111" s="772" t="n">
        <f aca="false">BZ111-IF($BL$4="mid",Z111,AA111)</f>
        <v>44104.280058647</v>
      </c>
      <c r="BP111" s="772" t="n">
        <f aca="false">CA111-IF($BL$4="mid",AC111,AD111)</f>
        <v>8690.99474365957</v>
      </c>
      <c r="BQ111" s="772" t="n">
        <f aca="false">CB111-IF($BL$4="mid",AF111,AG111)</f>
        <v>29418.4872777874</v>
      </c>
      <c r="BR111" s="772" t="n">
        <f aca="false">CC111-IF($BL$4="mid",AI111,AJ111)</f>
        <v>22769.652873144</v>
      </c>
      <c r="BS111" s="772" t="n">
        <f aca="false">-IF($BL$4="mid",AK111,AL111)</f>
        <v>-293803.383301675</v>
      </c>
      <c r="BT111" s="772" t="n">
        <f aca="false">-IF($BL$4="mid",AM111,AN111)</f>
        <v>-55221.25</v>
      </c>
      <c r="BW111" s="872" t="n">
        <f aca="false">Breakout!$K$15/12</f>
        <v>3820110.20183312</v>
      </c>
      <c r="BX111" s="872" t="n">
        <f aca="false">Breakout!$K$26/12</f>
        <v>135342.816677968</v>
      </c>
      <c r="BY111" s="872" t="n">
        <f aca="false">Breakout!$K$37/12</f>
        <v>68126.8013964469</v>
      </c>
      <c r="BZ111" s="872" t="n">
        <f aca="false">Breakout!$K$48/12</f>
        <v>495558.725131106</v>
      </c>
      <c r="CA111" s="872" t="n">
        <f aca="false">Breakout!$K$59/12</f>
        <v>455951.583932539</v>
      </c>
      <c r="CB111" s="872" t="n">
        <f aca="false">Breakout!$K$70/12</f>
        <v>345939.153944454</v>
      </c>
      <c r="CC111" s="872" t="n">
        <f aca="false">Breakout!$K$81/12</f>
        <v>22769.652873144</v>
      </c>
      <c r="CE111" s="852" t="n">
        <f aca="false">P111/0.96</f>
        <v>3818738.19924105</v>
      </c>
      <c r="CF111" s="852" t="n">
        <f aca="false">S111/0.96</f>
        <v>135294.207950605</v>
      </c>
      <c r="CG111" s="852" t="n">
        <f aca="false">V111/0.96</f>
        <v>68102.3334771549</v>
      </c>
      <c r="CI111" s="852" t="n">
        <f aca="false">N111</f>
        <v>-715341.083333333</v>
      </c>
      <c r="CJ111" s="852" t="n">
        <f aca="false">O111</f>
        <v>-705333.333333333</v>
      </c>
      <c r="CL111" s="772" t="n">
        <f aca="false">'account mgt'!$K$23/12</f>
        <v>-57704.2245143616</v>
      </c>
      <c r="CN111" s="772" t="n">
        <v>0</v>
      </c>
      <c r="CT111" s="772" t="e">
        <f aca="false">CW110</f>
        <v>#VALUE!</v>
      </c>
      <c r="CU111" s="772" t="e">
        <f aca="false">IF(CT111&lt;0.1,0,CT111*$L$3)</f>
        <v>#VALUE!</v>
      </c>
      <c r="CV111" s="772" t="e">
        <f aca="false">IF(CT111&lt;0.1,0,PPMT($L$3,A111-14,unwinds!$B$8*12,$K$5))</f>
        <v>#VALUE!</v>
      </c>
      <c r="CW111" s="772" t="e">
        <f aca="false">IF(CT111-CV111&lt;0,0,CT111-CV111)</f>
        <v>#VALUE!</v>
      </c>
      <c r="CX111" s="772" t="e">
        <f aca="false">IF(CX110-CV111&lt;0,0,CX110-CV111)</f>
        <v>#VALUE!</v>
      </c>
      <c r="DA111" s="772" t="n">
        <f aca="false">DD110</f>
        <v>9552412.65823096</v>
      </c>
      <c r="DB111" s="772" t="n">
        <f aca="false">DA111*$L$3</f>
        <v>75384.456561206</v>
      </c>
      <c r="DC111" s="772" t="n">
        <f aca="false">PPMT($L$3,A111-14,106,$K$5)</f>
        <v>420013.615110407</v>
      </c>
      <c r="DD111" s="772" t="n">
        <f aca="false">DA111-DC111</f>
        <v>9132399.04312055</v>
      </c>
      <c r="DE111" s="772" t="n">
        <f aca="false">DE110-DC111</f>
        <v>9132399.04312055</v>
      </c>
      <c r="DH111" s="417" t="n">
        <v>-715341.083333333</v>
      </c>
      <c r="DI111" s="417" t="n">
        <v>-705333.333333333</v>
      </c>
      <c r="DJ111" s="417"/>
      <c r="DL111" s="417" t="n">
        <f aca="false">PMT($J$3,106,$I$5,,1)</f>
        <v>474832.92700925</v>
      </c>
      <c r="DN111" s="417" t="n">
        <f aca="false">IF($BL$4="mid",DH111,DI111)</f>
        <v>-715341.083333333</v>
      </c>
      <c r="DO111" s="417" t="n">
        <f aca="false">IF($BL$4="mid",DL111,L111)</f>
        <v>474832.92700925</v>
      </c>
      <c r="DQ111" s="772" t="n">
        <f aca="false">BW111-IF($BL$4="mid",Q111,R111)</f>
        <v>569527.701833116</v>
      </c>
      <c r="DR111" s="772" t="n">
        <f aca="false">BX111-IF($BL$4="mid",T111,U111)</f>
        <v>-31910.8648847758</v>
      </c>
      <c r="DS111" s="772"/>
      <c r="DT111" s="772"/>
      <c r="DU111" s="772"/>
      <c r="DV111" s="772"/>
      <c r="DW111" s="772"/>
      <c r="DX111" s="772"/>
    </row>
    <row r="112" customFormat="false" ht="12.75" hidden="false" customHeight="false" outlineLevel="0" collapsed="false">
      <c r="A112" s="767" t="n">
        <v>101</v>
      </c>
      <c r="B112" s="854" t="n">
        <v>39569</v>
      </c>
      <c r="C112" s="417" t="n">
        <v>0</v>
      </c>
      <c r="D112" s="417" t="n">
        <v>0</v>
      </c>
      <c r="E112" s="417" t="n">
        <v>0</v>
      </c>
      <c r="F112" s="417" t="n">
        <v>71505.551140872</v>
      </c>
      <c r="G112" s="417" t="n">
        <v>420013.615110412</v>
      </c>
      <c r="H112" s="417" t="n">
        <v>0</v>
      </c>
      <c r="I112" s="417" t="n">
        <v>491519.166251284</v>
      </c>
      <c r="J112" s="417"/>
      <c r="K112" s="417"/>
      <c r="L112" s="417" t="n">
        <f aca="false">PMT($L$3,106,$K$5,,1)</f>
        <v>491519.166251281</v>
      </c>
      <c r="M112" s="417"/>
      <c r="N112" s="850" t="n">
        <f aca="false">IF(A112&lt;$B$8,0,-$R$5/12)</f>
        <v>-715341.083333333</v>
      </c>
      <c r="O112" s="850" t="n">
        <f aca="false">IF(A112&lt;$B$8,0,-$S$5/12)</f>
        <v>-705333.333333333</v>
      </c>
      <c r="P112" s="872" t="n">
        <f aca="false">Breakout!$K$16/12</f>
        <v>3665988.67127141</v>
      </c>
      <c r="Q112" s="770" t="n">
        <f aca="false">'wholesale services'!$D$110*'wholesale services'!$L$111/12</f>
        <v>3250582.5</v>
      </c>
      <c r="R112" s="770" t="n">
        <v>3320487.5</v>
      </c>
      <c r="S112" s="872" t="n">
        <f aca="false">Breakout!$K$27/12</f>
        <v>129882.43963258</v>
      </c>
      <c r="T112" s="770" t="n">
        <f aca="false">'wholesale services'!$D$113*'wholesale services'!$L$114/12</f>
        <v>167253.681562744</v>
      </c>
      <c r="U112" s="770" t="n">
        <v>170667.0220028</v>
      </c>
      <c r="V112" s="872" t="n">
        <f aca="false">Breakout!$K$38/12</f>
        <v>65378.2401380687</v>
      </c>
      <c r="W112" s="431" t="n">
        <f aca="false">Breakout!$K$39/12</f>
        <v>73434.6616180401</v>
      </c>
      <c r="X112" s="431" t="n">
        <v>74224.2816354384</v>
      </c>
      <c r="Y112" s="872" t="n">
        <f aca="false">Breakout!$K$49/12</f>
        <v>475565.514159401</v>
      </c>
      <c r="Z112" s="873" t="n">
        <f aca="false">Breakout!$K$50/12</f>
        <v>451454.445072459</v>
      </c>
      <c r="AA112" s="873" t="n">
        <v>474221.520408217</v>
      </c>
      <c r="AB112" s="872" t="n">
        <f aca="false">Breakout!$K$60/12</f>
        <v>437556.314617011</v>
      </c>
      <c r="AC112" s="873" t="n">
        <f aca="false">Breakout!$K$61/12</f>
        <v>447260.589188879</v>
      </c>
      <c r="AD112" s="873" t="n">
        <v>461206.353662475</v>
      </c>
      <c r="AE112" s="872" t="n">
        <f aca="false">Breakout!$K$71/12</f>
        <v>331982.312630935</v>
      </c>
      <c r="AF112" s="873" t="n">
        <f aca="false">Breakout!$K$72/12</f>
        <v>316520.666666667</v>
      </c>
      <c r="AG112" s="873" t="n">
        <v>316520.666666667</v>
      </c>
      <c r="AH112" s="872" t="n">
        <f aca="false">Breakout!$K$82/12</f>
        <v>21851.0160889267</v>
      </c>
      <c r="AI112" s="873" t="n">
        <f aca="false">Breakout!$K$83/12</f>
        <v>0</v>
      </c>
      <c r="AJ112" s="873" t="n">
        <v>0</v>
      </c>
      <c r="AK112" s="874" t="n">
        <f aca="false">Breakout!$K$91/12</f>
        <v>293803.383301675</v>
      </c>
      <c r="AL112" s="874" t="n">
        <v>293803.383301675</v>
      </c>
      <c r="AM112" s="773" t="n">
        <f aca="false">(Breakout!$K$107/12)*-1</f>
        <v>55221.25</v>
      </c>
      <c r="AN112" s="773" t="n">
        <v>55221.25</v>
      </c>
      <c r="AO112" s="774" t="n">
        <f aca="false">(P112+S112+V112)+Y112+AB112+AE112+AH112</f>
        <v>5128204.50853834</v>
      </c>
      <c r="AP112" s="774" t="n">
        <f aca="false">Q112+T112+W112+AA112+AD112+AG112+AJ112+AL112+AN112</f>
        <v>5092244.01721982</v>
      </c>
      <c r="AQ112" s="775" t="n">
        <f aca="false">P112+S112+V112+Y112+AB112+AE112+AH112-Q112-T112-W112-Z112-AC112-AF112-AI112-AK112-AM112-DH112-DL112-CN112</f>
        <v>313181.487451955</v>
      </c>
      <c r="AR112" s="431"/>
      <c r="AS112" s="776" t="n">
        <f aca="false">P112+S112+V112+Y112+AB112+AE112+AH112-R112-U112-X112-AA112-AD112-AG112-AJ112-AL112-AN112-O112-L112-CN112</f>
        <v>175666.697943117</v>
      </c>
      <c r="AT112" s="431"/>
      <c r="AU112" s="770" t="n">
        <f aca="false">'wholesale services'!$L$110/12</f>
        <v>39106610.7060185</v>
      </c>
      <c r="AV112" s="770" t="n">
        <f aca="false">'wholesale services'!$L$113/12</f>
        <v>17613.2558333333</v>
      </c>
      <c r="AW112" s="431"/>
      <c r="AX112" s="851" t="n">
        <f aca="false">IF(A112&lt;$AX$6,0,-$R$5/12)</f>
        <v>-715341.083333333</v>
      </c>
      <c r="AY112" s="417" t="n">
        <f aca="false">IF(A112&lt;$AX$6,0,-$S$5/12)</f>
        <v>-705333.333333333</v>
      </c>
      <c r="AZ112" s="431"/>
      <c r="BA112" s="772" t="n">
        <f aca="false">P112-IF($BL$4="mid",Q112,R112)-$BL$9*(IF($BL$4="mid",N112,O112)+IF($BL$4="mid",DL112,L112))</f>
        <v>643888.919779292</v>
      </c>
      <c r="BB112" s="772" t="n">
        <f aca="false">S112-IF($BL$4="mid",T112,U112)-$BM$9*(IF($BL$4="mid",N112,O112)+IF($BL$4="mid",DL112,L112))</f>
        <v>-25345.8341139592</v>
      </c>
      <c r="BC112" s="772" t="n">
        <f aca="false">V112-IF($BL$4="mid",W112,X112)-$BN$9*(IF($BL$4="mid",N112,O112)+IF($BL$4="mid",DL112,L112))</f>
        <v>-8056.42147997139</v>
      </c>
      <c r="BD112" s="772" t="n">
        <f aca="false">Y112-IF($BL$4="mid",Z112,AA112)</f>
        <v>24111.069086942</v>
      </c>
      <c r="BE112" s="772" t="n">
        <f aca="false">AB112-IF($BL$4="mid",AC112,AD112)</f>
        <v>-9704.27457186842</v>
      </c>
      <c r="BF112" s="772" t="n">
        <f aca="false">AE112-IF($BL$4="mid",AF112,AG112)</f>
        <v>15461.6459642682</v>
      </c>
      <c r="BG112" s="772" t="n">
        <f aca="false">AH112-IF($BL$4="mid",AI112,AJ112)</f>
        <v>21851.0160889267</v>
      </c>
      <c r="BH112" s="772" t="n">
        <f aca="false">-IF($BL$4="mid",AK112,AL112)</f>
        <v>-293803.383301675</v>
      </c>
      <c r="BI112" s="772" t="n">
        <f aca="false">-IF($BL$4="mid",AM112,AN112)</f>
        <v>-55221.25</v>
      </c>
      <c r="BL112" s="772" t="n">
        <f aca="false">BW112-IF($BL$4="mid",Q112,R112)-$BL$9*(IF($BL$4="mid",N112,O112)+IF($BL$4="mid",DL112,L112))</f>
        <v>798010.450340995</v>
      </c>
      <c r="BM112" s="772" t="n">
        <f aca="false">BX112-IF($BL$4="mid",T112,U112)-$BM$9*(IF($BL$4="mid",N112,O112)+IF($BL$4="mid",DL112,L112))</f>
        <v>-19885.4570685716</v>
      </c>
      <c r="BN112" s="772" t="n">
        <f aca="false">BY112-IF($BL$4="mid",W112,X112)-$BN$9*(IF($BL$4="mid",N112,O112)+IF($BL$4="mid",DL112,L112))</f>
        <v>-5307.86022159325</v>
      </c>
      <c r="BO112" s="772" t="n">
        <f aca="false">BZ112-IF($BL$4="mid",Z112,AA112)</f>
        <v>44104.280058647</v>
      </c>
      <c r="BP112" s="772" t="n">
        <f aca="false">CA112-IF($BL$4="mid",AC112,AD112)</f>
        <v>8690.99474365957</v>
      </c>
      <c r="BQ112" s="772" t="n">
        <f aca="false">CB112-IF($BL$4="mid",AF112,AG112)</f>
        <v>29418.4872777874</v>
      </c>
      <c r="BR112" s="772" t="n">
        <f aca="false">CC112-IF($BL$4="mid",AI112,AJ112)</f>
        <v>22769.652873144</v>
      </c>
      <c r="BS112" s="772" t="n">
        <f aca="false">-IF($BL$4="mid",AK112,AL112)</f>
        <v>-293803.383301675</v>
      </c>
      <c r="BT112" s="772" t="n">
        <f aca="false">-IF($BL$4="mid",AM112,AN112)</f>
        <v>-55221.25</v>
      </c>
      <c r="BW112" s="872" t="n">
        <f aca="false">Breakout!$K$15/12</f>
        <v>3820110.20183312</v>
      </c>
      <c r="BX112" s="872" t="n">
        <f aca="false">Breakout!$K$26/12</f>
        <v>135342.816677968</v>
      </c>
      <c r="BY112" s="872" t="n">
        <f aca="false">Breakout!$K$37/12</f>
        <v>68126.8013964469</v>
      </c>
      <c r="BZ112" s="872" t="n">
        <f aca="false">Breakout!$K$48/12</f>
        <v>495558.725131106</v>
      </c>
      <c r="CA112" s="872" t="n">
        <f aca="false">Breakout!$K$59/12</f>
        <v>455951.583932539</v>
      </c>
      <c r="CB112" s="872" t="n">
        <f aca="false">Breakout!$K$70/12</f>
        <v>345939.153944454</v>
      </c>
      <c r="CC112" s="872" t="n">
        <f aca="false">Breakout!$K$81/12</f>
        <v>22769.652873144</v>
      </c>
      <c r="CE112" s="852" t="n">
        <f aca="false">P112/0.96</f>
        <v>3818738.19924105</v>
      </c>
      <c r="CF112" s="852" t="n">
        <f aca="false">S112/0.96</f>
        <v>135294.207950605</v>
      </c>
      <c r="CG112" s="852" t="n">
        <f aca="false">V112/0.96</f>
        <v>68102.3334771549</v>
      </c>
      <c r="CI112" s="852" t="n">
        <f aca="false">N112</f>
        <v>-715341.083333333</v>
      </c>
      <c r="CJ112" s="852" t="n">
        <f aca="false">O112</f>
        <v>-705333.333333333</v>
      </c>
      <c r="CL112" s="772" t="n">
        <f aca="false">'account mgt'!$K$23/12</f>
        <v>-57704.2245143616</v>
      </c>
      <c r="CN112" s="772" t="n">
        <v>0</v>
      </c>
      <c r="CT112" s="772" t="e">
        <f aca="false">CW111</f>
        <v>#VALUE!</v>
      </c>
      <c r="CU112" s="772" t="e">
        <f aca="false">IF(CT112&lt;0.1,0,CT112*$L$3)</f>
        <v>#VALUE!</v>
      </c>
      <c r="CV112" s="772" t="e">
        <f aca="false">IF(CT112&lt;0.1,0,PPMT($L$3,A112-14,unwinds!$B$8*12,$K$5))</f>
        <v>#VALUE!</v>
      </c>
      <c r="CW112" s="772" t="e">
        <f aca="false">IF(CT112-CV112&lt;0,0,CT112-CV112)</f>
        <v>#VALUE!</v>
      </c>
      <c r="CX112" s="772" t="e">
        <f aca="false">IF(CX111-CV112&lt;0,0,CX111-CV112)</f>
        <v>#VALUE!</v>
      </c>
      <c r="DA112" s="772" t="n">
        <f aca="false">DD111</f>
        <v>9132399.04312055</v>
      </c>
      <c r="DB112" s="772" t="n">
        <f aca="false">DA112*$L$3</f>
        <v>72069.849115293</v>
      </c>
      <c r="DC112" s="772" t="n">
        <f aca="false">PPMT($L$3,A112-14,106,$K$5)</f>
        <v>423328.22255632</v>
      </c>
      <c r="DD112" s="772" t="n">
        <f aca="false">DA112-DC112</f>
        <v>8709070.82056423</v>
      </c>
      <c r="DE112" s="772" t="n">
        <f aca="false">DE111-DC112</f>
        <v>8709070.82056423</v>
      </c>
      <c r="DH112" s="417" t="n">
        <v>-715341.083333333</v>
      </c>
      <c r="DI112" s="417" t="n">
        <v>-705333.333333333</v>
      </c>
      <c r="DJ112" s="417"/>
      <c r="DL112" s="417" t="n">
        <f aca="false">PMT($J$3,106,$I$5,,1)</f>
        <v>474832.92700925</v>
      </c>
      <c r="DN112" s="417" t="n">
        <f aca="false">IF($BL$4="mid",DH112,DI112)</f>
        <v>-715341.083333333</v>
      </c>
      <c r="DO112" s="417" t="n">
        <f aca="false">IF($BL$4="mid",DL112,L112)</f>
        <v>474832.92700925</v>
      </c>
      <c r="DQ112" s="772" t="n">
        <f aca="false">BW112-IF($BL$4="mid",Q112,R112)</f>
        <v>569527.701833116</v>
      </c>
      <c r="DR112" s="772" t="n">
        <f aca="false">BX112-IF($BL$4="mid",T112,U112)</f>
        <v>-31910.8648847758</v>
      </c>
      <c r="DS112" s="772"/>
      <c r="DT112" s="772"/>
      <c r="DU112" s="772"/>
      <c r="DV112" s="772"/>
      <c r="DW112" s="772"/>
      <c r="DX112" s="772"/>
    </row>
    <row r="113" customFormat="false" ht="12.75" hidden="false" customHeight="false" outlineLevel="0" collapsed="false">
      <c r="A113" s="767" t="n">
        <v>102</v>
      </c>
      <c r="B113" s="854" t="n">
        <v>39600</v>
      </c>
      <c r="C113" s="417" t="n">
        <v>0</v>
      </c>
      <c r="D113" s="417" t="n">
        <v>0</v>
      </c>
      <c r="E113" s="417" t="n">
        <v>0</v>
      </c>
      <c r="F113" s="417" t="n">
        <v>68190.943694959</v>
      </c>
      <c r="G113" s="417" t="n">
        <v>423328.222556324</v>
      </c>
      <c r="H113" s="417" t="n">
        <v>0</v>
      </c>
      <c r="I113" s="417" t="n">
        <v>491519.166251284</v>
      </c>
      <c r="J113" s="417"/>
      <c r="K113" s="417"/>
      <c r="L113" s="417" t="n">
        <f aca="false">PMT($L$3,106,$K$5,,1)</f>
        <v>491519.166251281</v>
      </c>
      <c r="M113" s="417"/>
      <c r="N113" s="850" t="n">
        <f aca="false">IF(A113&lt;$B$8,0,-$R$5/12)</f>
        <v>-715341.083333333</v>
      </c>
      <c r="O113" s="850" t="n">
        <f aca="false">IF(A113&lt;$B$8,0,-$S$5/12)</f>
        <v>-705333.333333333</v>
      </c>
      <c r="P113" s="872" t="n">
        <f aca="false">Breakout!$K$16/12</f>
        <v>3665988.67127141</v>
      </c>
      <c r="Q113" s="770" t="n">
        <f aca="false">'wholesale services'!$D$110*'wholesale services'!$L$111/12</f>
        <v>3250582.5</v>
      </c>
      <c r="R113" s="770" t="n">
        <v>3320487.5</v>
      </c>
      <c r="S113" s="872" t="n">
        <f aca="false">Breakout!$K$27/12</f>
        <v>129882.43963258</v>
      </c>
      <c r="T113" s="770" t="n">
        <f aca="false">'wholesale services'!$D$113*'wholesale services'!$L$114/12</f>
        <v>167253.681562744</v>
      </c>
      <c r="U113" s="770" t="n">
        <v>170667.0220028</v>
      </c>
      <c r="V113" s="872" t="n">
        <f aca="false">Breakout!$K$38/12</f>
        <v>65378.2401380687</v>
      </c>
      <c r="W113" s="431" t="n">
        <f aca="false">Breakout!$K$39/12</f>
        <v>73434.6616180401</v>
      </c>
      <c r="X113" s="431" t="n">
        <v>74224.2816354384</v>
      </c>
      <c r="Y113" s="872" t="n">
        <f aca="false">Breakout!$K$49/12</f>
        <v>475565.514159401</v>
      </c>
      <c r="Z113" s="873" t="n">
        <f aca="false">Breakout!$K$50/12</f>
        <v>451454.445072459</v>
      </c>
      <c r="AA113" s="873" t="n">
        <v>474221.520408217</v>
      </c>
      <c r="AB113" s="872" t="n">
        <f aca="false">Breakout!$K$60/12</f>
        <v>437556.314617011</v>
      </c>
      <c r="AC113" s="873" t="n">
        <f aca="false">Breakout!$K$61/12</f>
        <v>447260.589188879</v>
      </c>
      <c r="AD113" s="873" t="n">
        <v>461206.353662475</v>
      </c>
      <c r="AE113" s="872" t="n">
        <f aca="false">Breakout!$K$71/12</f>
        <v>331982.312630935</v>
      </c>
      <c r="AF113" s="873" t="n">
        <f aca="false">Breakout!$K$72/12</f>
        <v>316520.666666667</v>
      </c>
      <c r="AG113" s="873" t="n">
        <v>316520.666666667</v>
      </c>
      <c r="AH113" s="872" t="n">
        <f aca="false">Breakout!$K$82/12</f>
        <v>21851.0160889267</v>
      </c>
      <c r="AI113" s="873" t="n">
        <f aca="false">Breakout!$K$83/12</f>
        <v>0</v>
      </c>
      <c r="AJ113" s="873" t="n">
        <v>0</v>
      </c>
      <c r="AK113" s="874" t="n">
        <f aca="false">Breakout!$K$91/12</f>
        <v>293803.383301675</v>
      </c>
      <c r="AL113" s="874" t="n">
        <v>293803.383301675</v>
      </c>
      <c r="AM113" s="773" t="n">
        <f aca="false">(Breakout!$K$107/12)*-1</f>
        <v>55221.25</v>
      </c>
      <c r="AN113" s="773" t="n">
        <v>55221.25</v>
      </c>
      <c r="AO113" s="774" t="n">
        <f aca="false">(P113+S113+V113)+Y113+AB113+AE113+AH113</f>
        <v>5128204.50853834</v>
      </c>
      <c r="AP113" s="774" t="n">
        <f aca="false">Q113+T113+W113+AA113+AD113+AG113+AJ113+AL113+AN113</f>
        <v>5092244.01721982</v>
      </c>
      <c r="AQ113" s="775" t="n">
        <f aca="false">P113+S113+V113+Y113+AB113+AE113+AH113-Q113-T113-W113-Z113-AC113-AF113-AI113-AK113-AM113-DH113-DL113-CN113</f>
        <v>313181.487451955</v>
      </c>
      <c r="AR113" s="431"/>
      <c r="AS113" s="776" t="n">
        <f aca="false">P113+S113+V113+Y113+AB113+AE113+AH113-R113-U113-X113-AA113-AD113-AG113-AJ113-AL113-AN113-O113-L113-CN113</f>
        <v>175666.697943117</v>
      </c>
      <c r="AT113" s="431"/>
      <c r="AU113" s="770" t="n">
        <f aca="false">'wholesale services'!$L$110/12</f>
        <v>39106610.7060185</v>
      </c>
      <c r="AV113" s="770" t="n">
        <f aca="false">'wholesale services'!$L$113/12</f>
        <v>17613.2558333333</v>
      </c>
      <c r="AW113" s="431"/>
      <c r="AX113" s="851" t="n">
        <f aca="false">IF(A113&lt;$AX$6,0,-$R$5/12)</f>
        <v>-715341.083333333</v>
      </c>
      <c r="AY113" s="417" t="n">
        <f aca="false">IF(A113&lt;$AX$6,0,-$S$5/12)</f>
        <v>-705333.333333333</v>
      </c>
      <c r="AZ113" s="431"/>
      <c r="BA113" s="772" t="n">
        <f aca="false">P113-IF($BL$4="mid",Q113,R113)-$BL$9*(IF($BL$4="mid",N113,O113)+IF($BL$4="mid",DL113,L113))</f>
        <v>643888.919779292</v>
      </c>
      <c r="BB113" s="772" t="n">
        <f aca="false">S113-IF($BL$4="mid",T113,U113)-$BM$9*(IF($BL$4="mid",N113,O113)+IF($BL$4="mid",DL113,L113))</f>
        <v>-25345.8341139592</v>
      </c>
      <c r="BC113" s="772" t="n">
        <f aca="false">V113-IF($BL$4="mid",W113,X113)-$BN$9*(IF($BL$4="mid",N113,O113)+IF($BL$4="mid",DL113,L113))</f>
        <v>-8056.42147997139</v>
      </c>
      <c r="BD113" s="772" t="n">
        <f aca="false">Y113-IF($BL$4="mid",Z113,AA113)</f>
        <v>24111.069086942</v>
      </c>
      <c r="BE113" s="772" t="n">
        <f aca="false">AB113-IF($BL$4="mid",AC113,AD113)</f>
        <v>-9704.27457186842</v>
      </c>
      <c r="BF113" s="772" t="n">
        <f aca="false">AE113-IF($BL$4="mid",AF113,AG113)</f>
        <v>15461.6459642682</v>
      </c>
      <c r="BG113" s="772" t="n">
        <f aca="false">AH113-IF($BL$4="mid",AI113,AJ113)</f>
        <v>21851.0160889267</v>
      </c>
      <c r="BH113" s="772" t="n">
        <f aca="false">-IF($BL$4="mid",AK113,AL113)</f>
        <v>-293803.383301675</v>
      </c>
      <c r="BI113" s="772" t="n">
        <f aca="false">-IF($BL$4="mid",AM113,AN113)</f>
        <v>-55221.25</v>
      </c>
      <c r="BL113" s="772" t="n">
        <f aca="false">BW113-IF($BL$4="mid",Q113,R113)-$BL$9*(IF($BL$4="mid",N113,O113)+IF($BL$4="mid",DL113,L113))</f>
        <v>798010.450340995</v>
      </c>
      <c r="BM113" s="772" t="n">
        <f aca="false">BX113-IF($BL$4="mid",T113,U113)-$BM$9*(IF($BL$4="mid",N113,O113)+IF($BL$4="mid",DL113,L113))</f>
        <v>-19885.4570685716</v>
      </c>
      <c r="BN113" s="772" t="n">
        <f aca="false">BY113-IF($BL$4="mid",W113,X113)-$BN$9*(IF($BL$4="mid",N113,O113)+IF($BL$4="mid",DL113,L113))</f>
        <v>-5307.86022159325</v>
      </c>
      <c r="BO113" s="772" t="n">
        <f aca="false">BZ113-IF($BL$4="mid",Z113,AA113)</f>
        <v>44104.280058647</v>
      </c>
      <c r="BP113" s="772" t="n">
        <f aca="false">CA113-IF($BL$4="mid",AC113,AD113)</f>
        <v>8690.99474365957</v>
      </c>
      <c r="BQ113" s="772" t="n">
        <f aca="false">CB113-IF($BL$4="mid",AF113,AG113)</f>
        <v>29418.4872777874</v>
      </c>
      <c r="BR113" s="772" t="n">
        <f aca="false">CC113-IF($BL$4="mid",AI113,AJ113)</f>
        <v>22769.652873144</v>
      </c>
      <c r="BS113" s="772" t="n">
        <f aca="false">-IF($BL$4="mid",AK113,AL113)</f>
        <v>-293803.383301675</v>
      </c>
      <c r="BT113" s="772" t="n">
        <f aca="false">-IF($BL$4="mid",AM113,AN113)</f>
        <v>-55221.25</v>
      </c>
      <c r="BW113" s="872" t="n">
        <f aca="false">Breakout!$K$15/12</f>
        <v>3820110.20183312</v>
      </c>
      <c r="BX113" s="872" t="n">
        <f aca="false">Breakout!$K$26/12</f>
        <v>135342.816677968</v>
      </c>
      <c r="BY113" s="872" t="n">
        <f aca="false">Breakout!$K$37/12</f>
        <v>68126.8013964469</v>
      </c>
      <c r="BZ113" s="872" t="n">
        <f aca="false">Breakout!$K$48/12</f>
        <v>495558.725131106</v>
      </c>
      <c r="CA113" s="872" t="n">
        <f aca="false">Breakout!$K$59/12</f>
        <v>455951.583932539</v>
      </c>
      <c r="CB113" s="872" t="n">
        <f aca="false">Breakout!$K$70/12</f>
        <v>345939.153944454</v>
      </c>
      <c r="CC113" s="872" t="n">
        <f aca="false">Breakout!$K$81/12</f>
        <v>22769.652873144</v>
      </c>
      <c r="CE113" s="852" t="n">
        <f aca="false">P113/0.96</f>
        <v>3818738.19924105</v>
      </c>
      <c r="CF113" s="852" t="n">
        <f aca="false">S113/0.96</f>
        <v>135294.207950605</v>
      </c>
      <c r="CG113" s="852" t="n">
        <f aca="false">V113/0.96</f>
        <v>68102.3334771549</v>
      </c>
      <c r="CI113" s="852" t="n">
        <f aca="false">N113</f>
        <v>-715341.083333333</v>
      </c>
      <c r="CJ113" s="852" t="n">
        <f aca="false">O113</f>
        <v>-705333.333333333</v>
      </c>
      <c r="CL113" s="772" t="n">
        <f aca="false">'account mgt'!$K$23/12</f>
        <v>-57704.2245143616</v>
      </c>
      <c r="CN113" s="772" t="n">
        <v>0</v>
      </c>
      <c r="CT113" s="772" t="e">
        <f aca="false">CW112</f>
        <v>#VALUE!</v>
      </c>
      <c r="CU113" s="772" t="e">
        <f aca="false">IF(CT113&lt;0.1,0,CT113*$L$3)</f>
        <v>#VALUE!</v>
      </c>
      <c r="CV113" s="772" t="e">
        <f aca="false">IF(CT113&lt;0.1,0,PPMT($L$3,A113-14,unwinds!$B$8*12,$K$5))</f>
        <v>#VALUE!</v>
      </c>
      <c r="CW113" s="772" t="e">
        <f aca="false">IF(CT113-CV113&lt;0,0,CT113-CV113)</f>
        <v>#VALUE!</v>
      </c>
      <c r="CX113" s="772" t="e">
        <f aca="false">IF(CX112-CV113&lt;0,0,CX112-CV113)</f>
        <v>#VALUE!</v>
      </c>
      <c r="DA113" s="772" t="n">
        <f aca="false">DD112</f>
        <v>8709070.82056423</v>
      </c>
      <c r="DB113" s="772" t="n">
        <f aca="false">DA113*$L$3</f>
        <v>68729.083892286</v>
      </c>
      <c r="DC113" s="772" t="n">
        <f aca="false">PPMT($L$3,A113-14,106,$K$5)</f>
        <v>426668.987779327</v>
      </c>
      <c r="DD113" s="772" t="n">
        <f aca="false">DA113-DC113</f>
        <v>8282401.8327849</v>
      </c>
      <c r="DE113" s="772" t="n">
        <f aca="false">DE112-DC113</f>
        <v>8282401.8327849</v>
      </c>
      <c r="DH113" s="417" t="n">
        <v>-715341.083333333</v>
      </c>
      <c r="DI113" s="417" t="n">
        <v>-705333.333333333</v>
      </c>
      <c r="DJ113" s="417"/>
      <c r="DL113" s="417" t="n">
        <f aca="false">PMT($J$3,106,$I$5,,1)</f>
        <v>474832.92700925</v>
      </c>
      <c r="DN113" s="417" t="n">
        <f aca="false">IF($BL$4="mid",DH113,DI113)</f>
        <v>-715341.083333333</v>
      </c>
      <c r="DO113" s="417" t="n">
        <f aca="false">IF($BL$4="mid",DL113,L113)</f>
        <v>474832.92700925</v>
      </c>
      <c r="DQ113" s="772" t="n">
        <f aca="false">BW113-IF($BL$4="mid",Q113,R113)</f>
        <v>569527.701833116</v>
      </c>
      <c r="DR113" s="772" t="n">
        <f aca="false">BX113-IF($BL$4="mid",T113,U113)</f>
        <v>-31910.8648847758</v>
      </c>
      <c r="DS113" s="772"/>
      <c r="DT113" s="772"/>
      <c r="DU113" s="772"/>
      <c r="DV113" s="772"/>
      <c r="DW113" s="772"/>
      <c r="DX113" s="772"/>
    </row>
    <row r="114" customFormat="false" ht="12.75" hidden="false" customHeight="false" outlineLevel="0" collapsed="false">
      <c r="A114" s="767" t="n">
        <v>103</v>
      </c>
      <c r="B114" s="854" t="n">
        <v>39630</v>
      </c>
      <c r="C114" s="417" t="n">
        <v>0</v>
      </c>
      <c r="D114" s="417" t="n">
        <v>0</v>
      </c>
      <c r="E114" s="417" t="n">
        <v>0</v>
      </c>
      <c r="F114" s="417" t="n">
        <v>64850.178471952</v>
      </c>
      <c r="G114" s="417" t="n">
        <v>426668.987779332</v>
      </c>
      <c r="H114" s="417" t="n">
        <v>0</v>
      </c>
      <c r="I114" s="417" t="n">
        <v>491519.166251284</v>
      </c>
      <c r="J114" s="417"/>
      <c r="K114" s="417"/>
      <c r="L114" s="417" t="n">
        <f aca="false">PMT($L$3,106,$K$5,,1)</f>
        <v>491519.166251281</v>
      </c>
      <c r="M114" s="417"/>
      <c r="N114" s="850" t="n">
        <f aca="false">IF(A114&lt;$B$8,0,-$R$5/12)</f>
        <v>-715341.083333333</v>
      </c>
      <c r="O114" s="850" t="n">
        <f aca="false">IF(A114&lt;$B$8,0,-$S$5/12)</f>
        <v>-705333.333333333</v>
      </c>
      <c r="P114" s="872" t="n">
        <f aca="false">Breakout!$K$16/12</f>
        <v>3665988.67127141</v>
      </c>
      <c r="Q114" s="770" t="n">
        <f aca="false">'wholesale services'!$D$110*'wholesale services'!$L$111/12</f>
        <v>3250582.5</v>
      </c>
      <c r="R114" s="770" t="n">
        <v>3320487.5</v>
      </c>
      <c r="S114" s="872" t="n">
        <f aca="false">Breakout!$K$27/12</f>
        <v>129882.43963258</v>
      </c>
      <c r="T114" s="770" t="n">
        <f aca="false">'wholesale services'!$D$113*'wholesale services'!$L$114/12</f>
        <v>167253.681562744</v>
      </c>
      <c r="U114" s="770" t="n">
        <v>170667.0220028</v>
      </c>
      <c r="V114" s="872" t="n">
        <f aca="false">Breakout!$K$38/12</f>
        <v>65378.2401380687</v>
      </c>
      <c r="W114" s="431" t="n">
        <f aca="false">Breakout!$K$39/12</f>
        <v>73434.6616180401</v>
      </c>
      <c r="X114" s="431" t="n">
        <v>74224.2816354384</v>
      </c>
      <c r="Y114" s="872" t="n">
        <f aca="false">Breakout!$K$49/12</f>
        <v>475565.514159401</v>
      </c>
      <c r="Z114" s="873" t="n">
        <f aca="false">Breakout!$K$50/12</f>
        <v>451454.445072459</v>
      </c>
      <c r="AA114" s="873" t="n">
        <v>474221.520408217</v>
      </c>
      <c r="AB114" s="872" t="n">
        <f aca="false">Breakout!$K$60/12</f>
        <v>437556.314617011</v>
      </c>
      <c r="AC114" s="873" t="n">
        <f aca="false">Breakout!$K$61/12</f>
        <v>447260.589188879</v>
      </c>
      <c r="AD114" s="873" t="n">
        <v>461206.353662475</v>
      </c>
      <c r="AE114" s="872" t="n">
        <f aca="false">Breakout!$K$71/12</f>
        <v>331982.312630935</v>
      </c>
      <c r="AF114" s="873" t="n">
        <f aca="false">Breakout!$K$72/12</f>
        <v>316520.666666667</v>
      </c>
      <c r="AG114" s="873" t="n">
        <v>316520.666666667</v>
      </c>
      <c r="AH114" s="872" t="n">
        <f aca="false">Breakout!$K$82/12</f>
        <v>21851.0160889267</v>
      </c>
      <c r="AI114" s="873" t="n">
        <f aca="false">Breakout!$K$83/12</f>
        <v>0</v>
      </c>
      <c r="AJ114" s="873" t="n">
        <v>0</v>
      </c>
      <c r="AK114" s="874" t="n">
        <f aca="false">Breakout!$K$91/12</f>
        <v>293803.383301675</v>
      </c>
      <c r="AL114" s="874" t="n">
        <v>293803.383301675</v>
      </c>
      <c r="AM114" s="773" t="n">
        <f aca="false">(Breakout!$K$107/12)*-1</f>
        <v>55221.25</v>
      </c>
      <c r="AN114" s="773" t="n">
        <v>55221.25</v>
      </c>
      <c r="AO114" s="774" t="n">
        <f aca="false">(P114+S114+V114)+Y114+AB114+AE114+AH114</f>
        <v>5128204.50853834</v>
      </c>
      <c r="AP114" s="774" t="n">
        <f aca="false">Q114+T114+W114+AA114+AD114+AG114+AJ114+AL114+AN114</f>
        <v>5092244.01721982</v>
      </c>
      <c r="AQ114" s="775" t="n">
        <f aca="false">P114+S114+V114+Y114+AB114+AE114+AH114-Q114-T114-W114-Z114-AC114-AF114-AI114-AK114-AM114-DH114-DL114-CN114</f>
        <v>313181.487451955</v>
      </c>
      <c r="AR114" s="431"/>
      <c r="AS114" s="776" t="n">
        <f aca="false">P114+S114+V114+Y114+AB114+AE114+AH114-R114-U114-X114-AA114-AD114-AG114-AJ114-AL114-AN114-O114-L114-CN114</f>
        <v>175666.697943117</v>
      </c>
      <c r="AT114" s="431"/>
      <c r="AU114" s="770" t="n">
        <f aca="false">'wholesale services'!$L$110/12</f>
        <v>39106610.7060185</v>
      </c>
      <c r="AV114" s="770" t="n">
        <f aca="false">'wholesale services'!$L$113/12</f>
        <v>17613.2558333333</v>
      </c>
      <c r="AW114" s="431"/>
      <c r="AX114" s="851" t="n">
        <f aca="false">IF(A114&lt;$AX$6,0,-$R$5/12)</f>
        <v>-715341.083333333</v>
      </c>
      <c r="AY114" s="417" t="n">
        <f aca="false">IF(A114&lt;$AX$6,0,-$S$5/12)</f>
        <v>-705333.333333333</v>
      </c>
      <c r="AZ114" s="431"/>
      <c r="BA114" s="772" t="n">
        <f aca="false">P114-IF($BL$4="mid",Q114,R114)-$BL$9*(IF($BL$4="mid",N114,O114)+IF($BL$4="mid",DL114,L114))</f>
        <v>643888.919779292</v>
      </c>
      <c r="BB114" s="772" t="n">
        <f aca="false">S114-IF($BL$4="mid",T114,U114)-$BM$9*(IF($BL$4="mid",N114,O114)+IF($BL$4="mid",DL114,L114))</f>
        <v>-25345.8341139592</v>
      </c>
      <c r="BC114" s="772" t="n">
        <f aca="false">V114-IF($BL$4="mid",W114,X114)-$BN$9*(IF($BL$4="mid",N114,O114)+IF($BL$4="mid",DL114,L114))</f>
        <v>-8056.42147997139</v>
      </c>
      <c r="BD114" s="772" t="n">
        <f aca="false">Y114-IF($BL$4="mid",Z114,AA114)</f>
        <v>24111.069086942</v>
      </c>
      <c r="BE114" s="772" t="n">
        <f aca="false">AB114-IF($BL$4="mid",AC114,AD114)</f>
        <v>-9704.27457186842</v>
      </c>
      <c r="BF114" s="772" t="n">
        <f aca="false">AE114-IF($BL$4="mid",AF114,AG114)</f>
        <v>15461.6459642682</v>
      </c>
      <c r="BG114" s="772" t="n">
        <f aca="false">AH114-IF($BL$4="mid",AI114,AJ114)</f>
        <v>21851.0160889267</v>
      </c>
      <c r="BH114" s="772" t="n">
        <f aca="false">-IF($BL$4="mid",AK114,AL114)</f>
        <v>-293803.383301675</v>
      </c>
      <c r="BI114" s="772" t="n">
        <f aca="false">-IF($BL$4="mid",AM114,AN114)</f>
        <v>-55221.25</v>
      </c>
      <c r="BL114" s="772" t="n">
        <f aca="false">BW114-IF($BL$4="mid",Q114,R114)-$BL$9*(IF($BL$4="mid",N114,O114)+IF($BL$4="mid",DL114,L114))</f>
        <v>798010.450340995</v>
      </c>
      <c r="BM114" s="772" t="n">
        <f aca="false">BX114-IF($BL$4="mid",T114,U114)-$BM$9*(IF($BL$4="mid",N114,O114)+IF($BL$4="mid",DL114,L114))</f>
        <v>-19885.4570685716</v>
      </c>
      <c r="BN114" s="772" t="n">
        <f aca="false">BY114-IF($BL$4="mid",W114,X114)-$BN$9*(IF($BL$4="mid",N114,O114)+IF($BL$4="mid",DL114,L114))</f>
        <v>-5307.86022159325</v>
      </c>
      <c r="BO114" s="772" t="n">
        <f aca="false">BZ114-IF($BL$4="mid",Z114,AA114)</f>
        <v>44104.280058647</v>
      </c>
      <c r="BP114" s="772" t="n">
        <f aca="false">CA114-IF($BL$4="mid",AC114,AD114)</f>
        <v>8690.99474365957</v>
      </c>
      <c r="BQ114" s="772" t="n">
        <f aca="false">CB114-IF($BL$4="mid",AF114,AG114)</f>
        <v>29418.4872777874</v>
      </c>
      <c r="BR114" s="772" t="n">
        <f aca="false">CC114-IF($BL$4="mid",AI114,AJ114)</f>
        <v>22769.652873144</v>
      </c>
      <c r="BS114" s="772" t="n">
        <f aca="false">-IF($BL$4="mid",AK114,AL114)</f>
        <v>-293803.383301675</v>
      </c>
      <c r="BT114" s="772" t="n">
        <f aca="false">-IF($BL$4="mid",AM114,AN114)</f>
        <v>-55221.25</v>
      </c>
      <c r="BW114" s="872" t="n">
        <f aca="false">Breakout!$K$15/12</f>
        <v>3820110.20183312</v>
      </c>
      <c r="BX114" s="872" t="n">
        <f aca="false">Breakout!$K$26/12</f>
        <v>135342.816677968</v>
      </c>
      <c r="BY114" s="872" t="n">
        <f aca="false">Breakout!$K$37/12</f>
        <v>68126.8013964469</v>
      </c>
      <c r="BZ114" s="872" t="n">
        <f aca="false">Breakout!$K$48/12</f>
        <v>495558.725131106</v>
      </c>
      <c r="CA114" s="872" t="n">
        <f aca="false">Breakout!$K$59/12</f>
        <v>455951.583932539</v>
      </c>
      <c r="CB114" s="872" t="n">
        <f aca="false">Breakout!$K$70/12</f>
        <v>345939.153944454</v>
      </c>
      <c r="CC114" s="872" t="n">
        <f aca="false">Breakout!$K$81/12</f>
        <v>22769.652873144</v>
      </c>
      <c r="CE114" s="852" t="n">
        <f aca="false">P114/0.96</f>
        <v>3818738.19924105</v>
      </c>
      <c r="CF114" s="852" t="n">
        <f aca="false">S114/0.96</f>
        <v>135294.207950605</v>
      </c>
      <c r="CG114" s="852" t="n">
        <f aca="false">V114/0.96</f>
        <v>68102.3334771549</v>
      </c>
      <c r="CI114" s="852" t="n">
        <f aca="false">N114</f>
        <v>-715341.083333333</v>
      </c>
      <c r="CJ114" s="852" t="n">
        <f aca="false">O114</f>
        <v>-705333.333333333</v>
      </c>
      <c r="CL114" s="772" t="n">
        <f aca="false">'account mgt'!$K$23/12</f>
        <v>-57704.2245143616</v>
      </c>
      <c r="CN114" s="772" t="n">
        <v>0</v>
      </c>
      <c r="CT114" s="772" t="e">
        <f aca="false">CW113</f>
        <v>#VALUE!</v>
      </c>
      <c r="CU114" s="772" t="e">
        <f aca="false">IF(CT114&lt;0.1,0,CT114*$L$3)</f>
        <v>#VALUE!</v>
      </c>
      <c r="CV114" s="772" t="e">
        <f aca="false">IF(CT114&lt;0.1,0,PPMT($L$3,A114-14,unwinds!$B$8*12,$K$5))</f>
        <v>#VALUE!</v>
      </c>
      <c r="CW114" s="772" t="e">
        <f aca="false">IF(CT114-CV114&lt;0,0,CT114-CV114)</f>
        <v>#VALUE!</v>
      </c>
      <c r="CX114" s="772" t="e">
        <f aca="false">IF(CX113-CV114&lt;0,0,CX113-CV114)</f>
        <v>#VALUE!</v>
      </c>
      <c r="DA114" s="772" t="n">
        <f aca="false">DD113</f>
        <v>8282401.8327849</v>
      </c>
      <c r="DB114" s="772" t="n">
        <f aca="false">DA114*$L$3</f>
        <v>65361.9544637275</v>
      </c>
      <c r="DC114" s="772" t="n">
        <f aca="false">PPMT($L$3,A114-14,106,$K$5)</f>
        <v>430036.117207886</v>
      </c>
      <c r="DD114" s="772" t="n">
        <f aca="false">DA114-DC114</f>
        <v>7852365.71557702</v>
      </c>
      <c r="DE114" s="772" t="n">
        <f aca="false">DE113-DC114</f>
        <v>7852365.71557702</v>
      </c>
      <c r="DH114" s="417" t="n">
        <v>-715341.083333333</v>
      </c>
      <c r="DI114" s="417" t="n">
        <v>-705333.333333333</v>
      </c>
      <c r="DJ114" s="417"/>
      <c r="DL114" s="417" t="n">
        <f aca="false">PMT($J$3,106,$I$5,,1)</f>
        <v>474832.92700925</v>
      </c>
      <c r="DN114" s="417" t="n">
        <f aca="false">IF($BL$4="mid",DH114,DI114)</f>
        <v>-715341.083333333</v>
      </c>
      <c r="DO114" s="417" t="n">
        <f aca="false">IF($BL$4="mid",DL114,L114)</f>
        <v>474832.92700925</v>
      </c>
      <c r="DQ114" s="772" t="n">
        <f aca="false">BW114-IF($BL$4="mid",Q114,R114)</f>
        <v>569527.701833116</v>
      </c>
      <c r="DR114" s="772" t="n">
        <f aca="false">BX114-IF($BL$4="mid",T114,U114)</f>
        <v>-31910.8648847758</v>
      </c>
      <c r="DS114" s="772"/>
      <c r="DT114" s="772"/>
      <c r="DU114" s="772"/>
      <c r="DV114" s="772"/>
      <c r="DW114" s="772"/>
      <c r="DX114" s="772"/>
    </row>
    <row r="115" customFormat="false" ht="12.75" hidden="false" customHeight="false" outlineLevel="0" collapsed="false">
      <c r="A115" s="767" t="n">
        <v>104</v>
      </c>
      <c r="B115" s="854" t="n">
        <v>39661</v>
      </c>
      <c r="C115" s="417" t="n">
        <v>0</v>
      </c>
      <c r="D115" s="417" t="n">
        <v>0</v>
      </c>
      <c r="E115" s="417" t="n">
        <v>0</v>
      </c>
      <c r="F115" s="417" t="n">
        <v>61483.0490433935</v>
      </c>
      <c r="G115" s="417" t="n">
        <v>430036.11720789</v>
      </c>
      <c r="H115" s="417" t="n">
        <v>0</v>
      </c>
      <c r="I115" s="417" t="n">
        <v>491519.166251284</v>
      </c>
      <c r="J115" s="417"/>
      <c r="K115" s="417"/>
      <c r="L115" s="417" t="n">
        <f aca="false">PMT($L$3,106,$K$5,,1)</f>
        <v>491519.166251281</v>
      </c>
      <c r="M115" s="417"/>
      <c r="N115" s="850" t="n">
        <f aca="false">IF(A115&lt;$B$8,0,-$R$5/12)</f>
        <v>-715341.083333333</v>
      </c>
      <c r="O115" s="850" t="n">
        <f aca="false">IF(A115&lt;$B$8,0,-$S$5/12)</f>
        <v>-705333.333333333</v>
      </c>
      <c r="P115" s="872" t="n">
        <f aca="false">Breakout!$K$16/12</f>
        <v>3665988.67127141</v>
      </c>
      <c r="Q115" s="770" t="n">
        <f aca="false">'wholesale services'!$D$110*'wholesale services'!$L$111/12</f>
        <v>3250582.5</v>
      </c>
      <c r="R115" s="770" t="n">
        <v>3320487.5</v>
      </c>
      <c r="S115" s="872" t="n">
        <f aca="false">Breakout!$K$27/12</f>
        <v>129882.43963258</v>
      </c>
      <c r="T115" s="770" t="n">
        <f aca="false">'wholesale services'!$D$113*'wholesale services'!$L$114/12</f>
        <v>167253.681562744</v>
      </c>
      <c r="U115" s="770" t="n">
        <v>170667.0220028</v>
      </c>
      <c r="V115" s="872" t="n">
        <f aca="false">Breakout!$K$38/12</f>
        <v>65378.2401380687</v>
      </c>
      <c r="W115" s="431" t="n">
        <f aca="false">Breakout!$K$39/12</f>
        <v>73434.6616180401</v>
      </c>
      <c r="X115" s="431" t="n">
        <v>74224.2816354384</v>
      </c>
      <c r="Y115" s="872" t="n">
        <f aca="false">Breakout!$K$49/12</f>
        <v>475565.514159401</v>
      </c>
      <c r="Z115" s="873" t="n">
        <f aca="false">Breakout!$K$50/12</f>
        <v>451454.445072459</v>
      </c>
      <c r="AA115" s="873" t="n">
        <v>474221.520408217</v>
      </c>
      <c r="AB115" s="872" t="n">
        <f aca="false">Breakout!$K$60/12</f>
        <v>437556.314617011</v>
      </c>
      <c r="AC115" s="873" t="n">
        <f aca="false">Breakout!$K$61/12</f>
        <v>447260.589188879</v>
      </c>
      <c r="AD115" s="873" t="n">
        <v>461206.353662475</v>
      </c>
      <c r="AE115" s="872" t="n">
        <f aca="false">Breakout!$K$71/12</f>
        <v>331982.312630935</v>
      </c>
      <c r="AF115" s="873" t="n">
        <f aca="false">Breakout!$K$72/12</f>
        <v>316520.666666667</v>
      </c>
      <c r="AG115" s="873" t="n">
        <v>316520.666666667</v>
      </c>
      <c r="AH115" s="872" t="n">
        <f aca="false">Breakout!$K$82/12</f>
        <v>21851.0160889267</v>
      </c>
      <c r="AI115" s="873" t="n">
        <f aca="false">Breakout!$K$83/12</f>
        <v>0</v>
      </c>
      <c r="AJ115" s="873" t="n">
        <v>0</v>
      </c>
      <c r="AK115" s="874" t="n">
        <f aca="false">Breakout!$K$91/12</f>
        <v>293803.383301675</v>
      </c>
      <c r="AL115" s="874" t="n">
        <v>293803.383301675</v>
      </c>
      <c r="AM115" s="773" t="n">
        <f aca="false">(Breakout!$K$107/12)*-1</f>
        <v>55221.25</v>
      </c>
      <c r="AN115" s="773" t="n">
        <v>55221.25</v>
      </c>
      <c r="AO115" s="774" t="n">
        <f aca="false">(P115+S115+V115)+Y115+AB115+AE115+AH115</f>
        <v>5128204.50853834</v>
      </c>
      <c r="AP115" s="774" t="n">
        <f aca="false">Q115+T115+W115+AA115+AD115+AG115+AJ115+AL115+AN115</f>
        <v>5092244.01721982</v>
      </c>
      <c r="AQ115" s="775" t="n">
        <f aca="false">P115+S115+V115+Y115+AB115+AE115+AH115-Q115-T115-W115-Z115-AC115-AF115-AI115-AK115-AM115-DH115-DL115-CN115</f>
        <v>313181.487451955</v>
      </c>
      <c r="AR115" s="431"/>
      <c r="AS115" s="776" t="n">
        <f aca="false">P115+S115+V115+Y115+AB115+AE115+AH115-R115-U115-X115-AA115-AD115-AG115-AJ115-AL115-AN115-O115-L115-CN115</f>
        <v>175666.697943117</v>
      </c>
      <c r="AT115" s="431"/>
      <c r="AU115" s="770" t="n">
        <f aca="false">'wholesale services'!$L$110/12</f>
        <v>39106610.7060185</v>
      </c>
      <c r="AV115" s="770" t="n">
        <f aca="false">'wholesale services'!$L$113/12</f>
        <v>17613.2558333333</v>
      </c>
      <c r="AW115" s="431"/>
      <c r="AX115" s="851" t="n">
        <f aca="false">IF(A115&lt;$AX$6,0,-$R$5/12)</f>
        <v>-715341.083333333</v>
      </c>
      <c r="AY115" s="417" t="n">
        <f aca="false">IF(A115&lt;$AX$6,0,-$S$5/12)</f>
        <v>-705333.333333333</v>
      </c>
      <c r="AZ115" s="431"/>
      <c r="BA115" s="772" t="n">
        <f aca="false">P115-IF($BL$4="mid",Q115,R115)-$BL$9*(IF($BL$4="mid",N115,O115)+IF($BL$4="mid",DL115,L115))</f>
        <v>643888.919779292</v>
      </c>
      <c r="BB115" s="772" t="n">
        <f aca="false">S115-IF($BL$4="mid",T115,U115)-$BM$9*(IF($BL$4="mid",N115,O115)+IF($BL$4="mid",DL115,L115))</f>
        <v>-25345.8341139592</v>
      </c>
      <c r="BC115" s="772" t="n">
        <f aca="false">V115-IF($BL$4="mid",W115,X115)-$BN$9*(IF($BL$4="mid",N115,O115)+IF($BL$4="mid",DL115,L115))</f>
        <v>-8056.42147997139</v>
      </c>
      <c r="BD115" s="772" t="n">
        <f aca="false">Y115-IF($BL$4="mid",Z115,AA115)</f>
        <v>24111.069086942</v>
      </c>
      <c r="BE115" s="772" t="n">
        <f aca="false">AB115-IF($BL$4="mid",AC115,AD115)</f>
        <v>-9704.27457186842</v>
      </c>
      <c r="BF115" s="772" t="n">
        <f aca="false">AE115-IF($BL$4="mid",AF115,AG115)</f>
        <v>15461.6459642682</v>
      </c>
      <c r="BG115" s="772" t="n">
        <f aca="false">AH115-IF($BL$4="mid",AI115,AJ115)</f>
        <v>21851.0160889267</v>
      </c>
      <c r="BH115" s="772" t="n">
        <f aca="false">-IF($BL$4="mid",AK115,AL115)</f>
        <v>-293803.383301675</v>
      </c>
      <c r="BI115" s="772" t="n">
        <f aca="false">-IF($BL$4="mid",AM115,AN115)</f>
        <v>-55221.25</v>
      </c>
      <c r="BL115" s="772" t="n">
        <f aca="false">BW115-IF($BL$4="mid",Q115,R115)-$BL$9*(IF($BL$4="mid",N115,O115)+IF($BL$4="mid",DL115,L115))</f>
        <v>798010.450340995</v>
      </c>
      <c r="BM115" s="772" t="n">
        <f aca="false">BX115-IF($BL$4="mid",T115,U115)-$BM$9*(IF($BL$4="mid",N115,O115)+IF($BL$4="mid",DL115,L115))</f>
        <v>-19885.4570685716</v>
      </c>
      <c r="BN115" s="772" t="n">
        <f aca="false">BY115-IF($BL$4="mid",W115,X115)-$BN$9*(IF($BL$4="mid",N115,O115)+IF($BL$4="mid",DL115,L115))</f>
        <v>-5307.86022159325</v>
      </c>
      <c r="BO115" s="772" t="n">
        <f aca="false">BZ115-IF($BL$4="mid",Z115,AA115)</f>
        <v>44104.280058647</v>
      </c>
      <c r="BP115" s="772" t="n">
        <f aca="false">CA115-IF($BL$4="mid",AC115,AD115)</f>
        <v>8690.99474365957</v>
      </c>
      <c r="BQ115" s="772" t="n">
        <f aca="false">CB115-IF($BL$4="mid",AF115,AG115)</f>
        <v>29418.4872777874</v>
      </c>
      <c r="BR115" s="772" t="n">
        <f aca="false">CC115-IF($BL$4="mid",AI115,AJ115)</f>
        <v>22769.652873144</v>
      </c>
      <c r="BS115" s="772" t="n">
        <f aca="false">-IF($BL$4="mid",AK115,AL115)</f>
        <v>-293803.383301675</v>
      </c>
      <c r="BT115" s="772" t="n">
        <f aca="false">-IF($BL$4="mid",AM115,AN115)</f>
        <v>-55221.25</v>
      </c>
      <c r="BW115" s="872" t="n">
        <f aca="false">Breakout!$K$15/12</f>
        <v>3820110.20183312</v>
      </c>
      <c r="BX115" s="872" t="n">
        <f aca="false">Breakout!$K$26/12</f>
        <v>135342.816677968</v>
      </c>
      <c r="BY115" s="872" t="n">
        <f aca="false">Breakout!$K$37/12</f>
        <v>68126.8013964469</v>
      </c>
      <c r="BZ115" s="872" t="n">
        <f aca="false">Breakout!$K$48/12</f>
        <v>495558.725131106</v>
      </c>
      <c r="CA115" s="872" t="n">
        <f aca="false">Breakout!$K$59/12</f>
        <v>455951.583932539</v>
      </c>
      <c r="CB115" s="872" t="n">
        <f aca="false">Breakout!$K$70/12</f>
        <v>345939.153944454</v>
      </c>
      <c r="CC115" s="872" t="n">
        <f aca="false">Breakout!$K$81/12</f>
        <v>22769.652873144</v>
      </c>
      <c r="CE115" s="852" t="n">
        <f aca="false">P115/0.96</f>
        <v>3818738.19924105</v>
      </c>
      <c r="CF115" s="852" t="n">
        <f aca="false">S115/0.96</f>
        <v>135294.207950605</v>
      </c>
      <c r="CG115" s="852" t="n">
        <f aca="false">V115/0.96</f>
        <v>68102.3334771549</v>
      </c>
      <c r="CI115" s="852" t="n">
        <f aca="false">N115</f>
        <v>-715341.083333333</v>
      </c>
      <c r="CJ115" s="852" t="n">
        <f aca="false">O115</f>
        <v>-705333.333333333</v>
      </c>
      <c r="CL115" s="772" t="n">
        <f aca="false">'account mgt'!$K$23/12</f>
        <v>-57704.2245143616</v>
      </c>
      <c r="CN115" s="772" t="n">
        <v>0</v>
      </c>
      <c r="CT115" s="772" t="e">
        <f aca="false">CW114</f>
        <v>#VALUE!</v>
      </c>
      <c r="CU115" s="772" t="e">
        <f aca="false">IF(CT115&lt;0.1,0,CT115*$L$3)</f>
        <v>#VALUE!</v>
      </c>
      <c r="CV115" s="772" t="e">
        <f aca="false">IF(CT115&lt;0.1,0,PPMT($L$3,A115-14,unwinds!$B$8*12,$K$5))</f>
        <v>#VALUE!</v>
      </c>
      <c r="CW115" s="772" t="e">
        <f aca="false">IF(CT115-CV115&lt;0,0,CT115-CV115)</f>
        <v>#VALUE!</v>
      </c>
      <c r="CX115" s="772" t="e">
        <f aca="false">IF(CX114-CV115&lt;0,0,CX114-CV115)</f>
        <v>#VALUE!</v>
      </c>
      <c r="DA115" s="772" t="n">
        <f aca="false">DD114</f>
        <v>7852365.71557702</v>
      </c>
      <c r="DB115" s="772" t="n">
        <f aca="false">DA115*$L$3</f>
        <v>61968.2527720953</v>
      </c>
      <c r="DC115" s="772" t="n">
        <f aca="false">PPMT($L$3,A115-14,106,$K$5)</f>
        <v>433429.818899518</v>
      </c>
      <c r="DD115" s="772" t="n">
        <f aca="false">DA115-DC115</f>
        <v>7418935.8966775</v>
      </c>
      <c r="DE115" s="772" t="n">
        <f aca="false">DE114-DC115</f>
        <v>7418935.8966775</v>
      </c>
      <c r="DH115" s="417" t="n">
        <v>-715341.083333333</v>
      </c>
      <c r="DI115" s="417" t="n">
        <v>-705333.333333333</v>
      </c>
      <c r="DJ115" s="417"/>
      <c r="DL115" s="417" t="n">
        <f aca="false">PMT($J$3,106,$I$5,,1)</f>
        <v>474832.92700925</v>
      </c>
      <c r="DN115" s="417" t="n">
        <f aca="false">IF($BL$4="mid",DH115,DI115)</f>
        <v>-715341.083333333</v>
      </c>
      <c r="DO115" s="417" t="n">
        <f aca="false">IF($BL$4="mid",DL115,L115)</f>
        <v>474832.92700925</v>
      </c>
      <c r="DQ115" s="772" t="n">
        <f aca="false">BW115-IF($BL$4="mid",Q115,R115)</f>
        <v>569527.701833116</v>
      </c>
      <c r="DR115" s="772" t="n">
        <f aca="false">BX115-IF($BL$4="mid",T115,U115)</f>
        <v>-31910.8648847758</v>
      </c>
      <c r="DS115" s="772"/>
      <c r="DT115" s="772"/>
      <c r="DU115" s="772"/>
      <c r="DV115" s="772"/>
      <c r="DW115" s="772"/>
      <c r="DX115" s="772"/>
    </row>
    <row r="116" customFormat="false" ht="12.75" hidden="false" customHeight="false" outlineLevel="0" collapsed="false">
      <c r="A116" s="767" t="n">
        <v>105</v>
      </c>
      <c r="B116" s="854" t="n">
        <v>39692</v>
      </c>
      <c r="C116" s="417" t="n">
        <v>0</v>
      </c>
      <c r="D116" s="417" t="n">
        <v>0</v>
      </c>
      <c r="E116" s="417" t="n">
        <v>0</v>
      </c>
      <c r="F116" s="417" t="n">
        <v>58089.3473517612</v>
      </c>
      <c r="G116" s="417" t="n">
        <v>433429.818899522</v>
      </c>
      <c r="H116" s="417" t="n">
        <v>0</v>
      </c>
      <c r="I116" s="417" t="n">
        <v>491519.166251284</v>
      </c>
      <c r="J116" s="417"/>
      <c r="K116" s="417"/>
      <c r="L116" s="417" t="n">
        <f aca="false">PMT($L$3,106,$K$5,,1)</f>
        <v>491519.166251281</v>
      </c>
      <c r="M116" s="417"/>
      <c r="N116" s="850" t="n">
        <f aca="false">IF(A116&lt;$B$8,0,-$R$5/12)</f>
        <v>-715341.083333333</v>
      </c>
      <c r="O116" s="850" t="n">
        <f aca="false">IF(A116&lt;$B$8,0,-$S$5/12)</f>
        <v>-705333.333333333</v>
      </c>
      <c r="P116" s="872" t="n">
        <f aca="false">Breakout!$K$16/12</f>
        <v>3665988.67127141</v>
      </c>
      <c r="Q116" s="770" t="n">
        <f aca="false">'wholesale services'!$D$110*'wholesale services'!$L$111/12</f>
        <v>3250582.5</v>
      </c>
      <c r="R116" s="770" t="n">
        <v>3320487.5</v>
      </c>
      <c r="S116" s="872" t="n">
        <f aca="false">Breakout!$K$27/12</f>
        <v>129882.43963258</v>
      </c>
      <c r="T116" s="770" t="n">
        <f aca="false">'wholesale services'!$D$113*'wholesale services'!$L$114/12</f>
        <v>167253.681562744</v>
      </c>
      <c r="U116" s="770" t="n">
        <v>170667.0220028</v>
      </c>
      <c r="V116" s="872" t="n">
        <f aca="false">Breakout!$K$38/12</f>
        <v>65378.2401380687</v>
      </c>
      <c r="W116" s="431" t="n">
        <f aca="false">Breakout!$K$39/12</f>
        <v>73434.6616180401</v>
      </c>
      <c r="X116" s="431" t="n">
        <v>74224.2816354384</v>
      </c>
      <c r="Y116" s="872" t="n">
        <f aca="false">Breakout!$K$49/12</f>
        <v>475565.514159401</v>
      </c>
      <c r="Z116" s="873" t="n">
        <f aca="false">Breakout!$K$50/12</f>
        <v>451454.445072459</v>
      </c>
      <c r="AA116" s="873" t="n">
        <v>474221.520408217</v>
      </c>
      <c r="AB116" s="872" t="n">
        <f aca="false">Breakout!$K$60/12</f>
        <v>437556.314617011</v>
      </c>
      <c r="AC116" s="873" t="n">
        <f aca="false">Breakout!$K$61/12</f>
        <v>447260.589188879</v>
      </c>
      <c r="AD116" s="873" t="n">
        <v>461206.353662475</v>
      </c>
      <c r="AE116" s="872" t="n">
        <f aca="false">Breakout!$K$71/12</f>
        <v>331982.312630935</v>
      </c>
      <c r="AF116" s="873" t="n">
        <f aca="false">Breakout!$K$72/12</f>
        <v>316520.666666667</v>
      </c>
      <c r="AG116" s="873" t="n">
        <v>316520.666666667</v>
      </c>
      <c r="AH116" s="872" t="n">
        <f aca="false">Breakout!$K$82/12</f>
        <v>21851.0160889267</v>
      </c>
      <c r="AI116" s="873" t="n">
        <f aca="false">Breakout!$K$83/12</f>
        <v>0</v>
      </c>
      <c r="AJ116" s="873" t="n">
        <v>0</v>
      </c>
      <c r="AK116" s="874" t="n">
        <f aca="false">Breakout!$K$91/12</f>
        <v>293803.383301675</v>
      </c>
      <c r="AL116" s="874" t="n">
        <v>293803.383301675</v>
      </c>
      <c r="AM116" s="773" t="n">
        <f aca="false">(Breakout!$K$107/12)*-1</f>
        <v>55221.25</v>
      </c>
      <c r="AN116" s="773" t="n">
        <v>55221.25</v>
      </c>
      <c r="AO116" s="774" t="n">
        <f aca="false">(P116+S116+V116)+Y116+AB116+AE116+AH116</f>
        <v>5128204.50853834</v>
      </c>
      <c r="AP116" s="774" t="n">
        <f aca="false">Q116+T116+W116+AA116+AD116+AG116+AJ116+AL116+AN116</f>
        <v>5092244.01721982</v>
      </c>
      <c r="AQ116" s="775" t="n">
        <f aca="false">P116+S116+V116+Y116+AB116+AE116+AH116-Q116-T116-W116-Z116-AC116-AF116-AI116-AK116-AM116-DH116-DL116-CN116</f>
        <v>313181.487451955</v>
      </c>
      <c r="AR116" s="431"/>
      <c r="AS116" s="776" t="n">
        <f aca="false">P116+S116+V116+Y116+AB116+AE116+AH116-R116-U116-X116-AA116-AD116-AG116-AJ116-AL116-AN116-O116-L116-CN116</f>
        <v>175666.697943117</v>
      </c>
      <c r="AT116" s="431"/>
      <c r="AU116" s="770" t="n">
        <f aca="false">'wholesale services'!$L$110/12</f>
        <v>39106610.7060185</v>
      </c>
      <c r="AV116" s="770" t="n">
        <f aca="false">'wholesale services'!$L$113/12</f>
        <v>17613.2558333333</v>
      </c>
      <c r="AW116" s="431"/>
      <c r="AX116" s="851" t="n">
        <f aca="false">IF(A116&lt;$AX$6,0,-$R$5/12)</f>
        <v>-715341.083333333</v>
      </c>
      <c r="AY116" s="417" t="n">
        <f aca="false">IF(A116&lt;$AX$6,0,-$S$5/12)</f>
        <v>-705333.333333333</v>
      </c>
      <c r="AZ116" s="431"/>
      <c r="BA116" s="772" t="n">
        <f aca="false">P116-IF($BL$4="mid",Q116,R116)-$BL$9*(IF($BL$4="mid",N116,O116)+IF($BL$4="mid",DL116,L116))</f>
        <v>643888.919779292</v>
      </c>
      <c r="BB116" s="772" t="n">
        <f aca="false">S116-IF($BL$4="mid",T116,U116)-$BM$9*(IF($BL$4="mid",N116,O116)+IF($BL$4="mid",DL116,L116))</f>
        <v>-25345.8341139592</v>
      </c>
      <c r="BC116" s="772" t="n">
        <f aca="false">V116-IF($BL$4="mid",W116,X116)-$BN$9*(IF($BL$4="mid",N116,O116)+IF($BL$4="mid",DL116,L116))</f>
        <v>-8056.42147997139</v>
      </c>
      <c r="BD116" s="772" t="n">
        <f aca="false">Y116-IF($BL$4="mid",Z116,AA116)</f>
        <v>24111.069086942</v>
      </c>
      <c r="BE116" s="772" t="n">
        <f aca="false">AB116-IF($BL$4="mid",AC116,AD116)</f>
        <v>-9704.27457186842</v>
      </c>
      <c r="BF116" s="772" t="n">
        <f aca="false">AE116-IF($BL$4="mid",AF116,AG116)</f>
        <v>15461.6459642682</v>
      </c>
      <c r="BG116" s="772" t="n">
        <f aca="false">AH116-IF($BL$4="mid",AI116,AJ116)</f>
        <v>21851.0160889267</v>
      </c>
      <c r="BH116" s="772" t="n">
        <f aca="false">-IF($BL$4="mid",AK116,AL116)</f>
        <v>-293803.383301675</v>
      </c>
      <c r="BI116" s="772" t="n">
        <f aca="false">-IF($BL$4="mid",AM116,AN116)</f>
        <v>-55221.25</v>
      </c>
      <c r="BL116" s="772" t="n">
        <f aca="false">BW116-IF($BL$4="mid",Q116,R116)-$BL$9*(IF($BL$4="mid",N116,O116)+IF($BL$4="mid",DL116,L116))</f>
        <v>798010.450340995</v>
      </c>
      <c r="BM116" s="772" t="n">
        <f aca="false">BX116-IF($BL$4="mid",T116,U116)-$BM$9*(IF($BL$4="mid",N116,O116)+IF($BL$4="mid",DL116,L116))</f>
        <v>-19885.4570685716</v>
      </c>
      <c r="BN116" s="772" t="n">
        <f aca="false">BY116-IF($BL$4="mid",W116,X116)-$BN$9*(IF($BL$4="mid",N116,O116)+IF($BL$4="mid",DL116,L116))</f>
        <v>-5307.86022159325</v>
      </c>
      <c r="BO116" s="772" t="n">
        <f aca="false">BZ116-IF($BL$4="mid",Z116,AA116)</f>
        <v>44104.280058647</v>
      </c>
      <c r="BP116" s="772" t="n">
        <f aca="false">CA116-IF($BL$4="mid",AC116,AD116)</f>
        <v>8690.99474365957</v>
      </c>
      <c r="BQ116" s="772" t="n">
        <f aca="false">CB116-IF($BL$4="mid",AF116,AG116)</f>
        <v>29418.4872777874</v>
      </c>
      <c r="BR116" s="772" t="n">
        <f aca="false">CC116-IF($BL$4="mid",AI116,AJ116)</f>
        <v>22769.652873144</v>
      </c>
      <c r="BS116" s="772" t="n">
        <f aca="false">-IF($BL$4="mid",AK116,AL116)</f>
        <v>-293803.383301675</v>
      </c>
      <c r="BT116" s="772" t="n">
        <f aca="false">-IF($BL$4="mid",AM116,AN116)</f>
        <v>-55221.25</v>
      </c>
      <c r="BW116" s="872" t="n">
        <f aca="false">Breakout!$K$15/12</f>
        <v>3820110.20183312</v>
      </c>
      <c r="BX116" s="872" t="n">
        <f aca="false">Breakout!$K$26/12</f>
        <v>135342.816677968</v>
      </c>
      <c r="BY116" s="872" t="n">
        <f aca="false">Breakout!$K$37/12</f>
        <v>68126.8013964469</v>
      </c>
      <c r="BZ116" s="872" t="n">
        <f aca="false">Breakout!$K$48/12</f>
        <v>495558.725131106</v>
      </c>
      <c r="CA116" s="872" t="n">
        <f aca="false">Breakout!$K$59/12</f>
        <v>455951.583932539</v>
      </c>
      <c r="CB116" s="872" t="n">
        <f aca="false">Breakout!$K$70/12</f>
        <v>345939.153944454</v>
      </c>
      <c r="CC116" s="872" t="n">
        <f aca="false">Breakout!$K$81/12</f>
        <v>22769.652873144</v>
      </c>
      <c r="CE116" s="852" t="n">
        <f aca="false">P116/0.96</f>
        <v>3818738.19924105</v>
      </c>
      <c r="CF116" s="852" t="n">
        <f aca="false">S116/0.96</f>
        <v>135294.207950605</v>
      </c>
      <c r="CG116" s="852" t="n">
        <f aca="false">V116/0.96</f>
        <v>68102.3334771549</v>
      </c>
      <c r="CI116" s="852" t="n">
        <f aca="false">N116</f>
        <v>-715341.083333333</v>
      </c>
      <c r="CJ116" s="852" t="n">
        <f aca="false">O116</f>
        <v>-705333.333333333</v>
      </c>
      <c r="CL116" s="772" t="n">
        <f aca="false">'account mgt'!$K$23/12</f>
        <v>-57704.2245143616</v>
      </c>
      <c r="CN116" s="772" t="n">
        <v>0</v>
      </c>
      <c r="CT116" s="772" t="e">
        <f aca="false">CW115</f>
        <v>#VALUE!</v>
      </c>
      <c r="CU116" s="772" t="e">
        <f aca="false">IF(CT116&lt;0.1,0,CT116*$L$3)</f>
        <v>#VALUE!</v>
      </c>
      <c r="CV116" s="772" t="e">
        <f aca="false">IF(CT116&lt;0.1,0,PPMT($L$3,A116-14,unwinds!$B$8*12,$K$5))</f>
        <v>#VALUE!</v>
      </c>
      <c r="CW116" s="772" t="e">
        <f aca="false">IF(CT116-CV116&lt;0,0,CT116-CV116)</f>
        <v>#VALUE!</v>
      </c>
      <c r="CX116" s="772" t="e">
        <f aca="false">IF(CX115-CV116&lt;0,0,CX115-CV116)</f>
        <v>#VALUE!</v>
      </c>
      <c r="DA116" s="772" t="n">
        <f aca="false">DD115</f>
        <v>7418935.8966775</v>
      </c>
      <c r="DB116" s="772" t="n">
        <f aca="false">DA116*$L$3</f>
        <v>58547.7691179466</v>
      </c>
      <c r="DC116" s="772" t="n">
        <f aca="false">PPMT($L$3,A116-14,106,$K$5)</f>
        <v>436850.302553667</v>
      </c>
      <c r="DD116" s="772" t="n">
        <f aca="false">DA116-DC116</f>
        <v>6982085.59412383</v>
      </c>
      <c r="DE116" s="772" t="n">
        <f aca="false">DE115-DC116</f>
        <v>6982085.59412383</v>
      </c>
      <c r="DH116" s="417" t="n">
        <v>-715341.083333333</v>
      </c>
      <c r="DI116" s="417" t="n">
        <v>-705333.333333333</v>
      </c>
      <c r="DJ116" s="417"/>
      <c r="DL116" s="417" t="n">
        <f aca="false">PMT($J$3,106,$I$5,,1)</f>
        <v>474832.92700925</v>
      </c>
      <c r="DN116" s="417" t="n">
        <f aca="false">IF($BL$4="mid",DH116,DI116)</f>
        <v>-715341.083333333</v>
      </c>
      <c r="DO116" s="417" t="n">
        <f aca="false">IF($BL$4="mid",DL116,L116)</f>
        <v>474832.92700925</v>
      </c>
      <c r="DQ116" s="772" t="n">
        <f aca="false">BW116-IF($BL$4="mid",Q116,R116)</f>
        <v>569527.701833116</v>
      </c>
      <c r="DR116" s="772" t="n">
        <f aca="false">BX116-IF($BL$4="mid",T116,U116)</f>
        <v>-31910.8648847758</v>
      </c>
      <c r="DS116" s="772"/>
      <c r="DT116" s="772"/>
      <c r="DU116" s="772"/>
      <c r="DV116" s="772"/>
      <c r="DW116" s="772"/>
      <c r="DX116" s="772"/>
    </row>
    <row r="117" customFormat="false" ht="12.75" hidden="false" customHeight="false" outlineLevel="0" collapsed="false">
      <c r="A117" s="767" t="n">
        <v>106</v>
      </c>
      <c r="B117" s="854" t="n">
        <v>39722</v>
      </c>
      <c r="C117" s="417" t="n">
        <v>0</v>
      </c>
      <c r="D117" s="417" t="n">
        <v>0</v>
      </c>
      <c r="E117" s="417" t="n">
        <v>0</v>
      </c>
      <c r="F117" s="417" t="n">
        <v>54668.8636976125</v>
      </c>
      <c r="G117" s="417" t="n">
        <v>436850.302553671</v>
      </c>
      <c r="H117" s="417" t="n">
        <v>0</v>
      </c>
      <c r="I117" s="417" t="n">
        <v>491519.166251284</v>
      </c>
      <c r="J117" s="417"/>
      <c r="K117" s="417"/>
      <c r="L117" s="417" t="n">
        <f aca="false">PMT($L$3,106,$K$5,,1)</f>
        <v>491519.166251281</v>
      </c>
      <c r="M117" s="417"/>
      <c r="N117" s="850" t="n">
        <f aca="false">IF(A117&lt;$B$8,0,-$R$5/12)</f>
        <v>-715341.083333333</v>
      </c>
      <c r="O117" s="850" t="n">
        <f aca="false">IF(A117&lt;$B$8,0,-$S$5/12)</f>
        <v>-705333.333333333</v>
      </c>
      <c r="P117" s="872" t="n">
        <f aca="false">Breakout!$K$16/12</f>
        <v>3665988.67127141</v>
      </c>
      <c r="Q117" s="770" t="n">
        <f aca="false">'wholesale services'!$D$110*'wholesale services'!$L$111/12</f>
        <v>3250582.5</v>
      </c>
      <c r="R117" s="770" t="n">
        <v>3320487.5</v>
      </c>
      <c r="S117" s="872" t="n">
        <f aca="false">Breakout!$K$27/12</f>
        <v>129882.43963258</v>
      </c>
      <c r="T117" s="770" t="n">
        <f aca="false">'wholesale services'!$D$113*'wholesale services'!$L$114/12</f>
        <v>167253.681562744</v>
      </c>
      <c r="U117" s="770" t="n">
        <v>170667.0220028</v>
      </c>
      <c r="V117" s="872" t="n">
        <f aca="false">Breakout!$K$38/12</f>
        <v>65378.2401380687</v>
      </c>
      <c r="W117" s="431" t="n">
        <f aca="false">Breakout!$K$39/12</f>
        <v>73434.6616180401</v>
      </c>
      <c r="X117" s="431" t="n">
        <v>74224.2816354384</v>
      </c>
      <c r="Y117" s="872" t="n">
        <f aca="false">Breakout!$K$49/12</f>
        <v>475565.514159401</v>
      </c>
      <c r="Z117" s="873" t="n">
        <f aca="false">Breakout!$K$50/12</f>
        <v>451454.445072459</v>
      </c>
      <c r="AA117" s="873" t="n">
        <v>474221.520408217</v>
      </c>
      <c r="AB117" s="872" t="n">
        <f aca="false">Breakout!$K$60/12</f>
        <v>437556.314617011</v>
      </c>
      <c r="AC117" s="873" t="n">
        <f aca="false">Breakout!$K$61/12</f>
        <v>447260.589188879</v>
      </c>
      <c r="AD117" s="873" t="n">
        <v>461206.353662475</v>
      </c>
      <c r="AE117" s="872" t="n">
        <f aca="false">Breakout!$K$71/12</f>
        <v>331982.312630935</v>
      </c>
      <c r="AF117" s="873" t="n">
        <f aca="false">Breakout!$K$72/12</f>
        <v>316520.666666667</v>
      </c>
      <c r="AG117" s="873" t="n">
        <v>316520.666666667</v>
      </c>
      <c r="AH117" s="872" t="n">
        <f aca="false">Breakout!$K$82/12</f>
        <v>21851.0160889267</v>
      </c>
      <c r="AI117" s="873" t="n">
        <f aca="false">Breakout!$K$83/12</f>
        <v>0</v>
      </c>
      <c r="AJ117" s="873" t="n">
        <v>0</v>
      </c>
      <c r="AK117" s="874" t="n">
        <f aca="false">Breakout!$K$91/12</f>
        <v>293803.383301675</v>
      </c>
      <c r="AL117" s="874" t="n">
        <v>293803.383301675</v>
      </c>
      <c r="AM117" s="773" t="n">
        <f aca="false">(Breakout!$K$107/12)*-1</f>
        <v>55221.25</v>
      </c>
      <c r="AN117" s="773" t="n">
        <v>55221.25</v>
      </c>
      <c r="AO117" s="774" t="n">
        <f aca="false">(P117+S117+V117)+Y117+AB117+AE117+AH117</f>
        <v>5128204.50853834</v>
      </c>
      <c r="AP117" s="774" t="n">
        <f aca="false">Q117+T117+W117+AA117+AD117+AG117+AJ117+AL117+AN117</f>
        <v>5092244.01721982</v>
      </c>
      <c r="AQ117" s="775" t="n">
        <f aca="false">P117+S117+V117+Y117+AB117+AE117+AH117-Q117-T117-W117-Z117-AC117-AF117-AI117-AK117-AM117-DH117-DL117-CN117</f>
        <v>313181.487451955</v>
      </c>
      <c r="AR117" s="431"/>
      <c r="AS117" s="776" t="n">
        <f aca="false">P117+S117+V117+Y117+AB117+AE117+AH117-R117-U117-X117-AA117-AD117-AG117-AJ117-AL117-AN117-O117-L117-CN117</f>
        <v>175666.697943117</v>
      </c>
      <c r="AT117" s="431"/>
      <c r="AU117" s="770" t="n">
        <f aca="false">'wholesale services'!$L$110/12</f>
        <v>39106610.7060185</v>
      </c>
      <c r="AV117" s="770" t="n">
        <f aca="false">'wholesale services'!$L$113/12</f>
        <v>17613.2558333333</v>
      </c>
      <c r="AW117" s="431"/>
      <c r="AX117" s="851" t="n">
        <f aca="false">IF(A117&lt;$AX$6,0,-$R$5/12)</f>
        <v>-715341.083333333</v>
      </c>
      <c r="AY117" s="417" t="n">
        <f aca="false">IF(A117&lt;$AX$6,0,-$S$5/12)</f>
        <v>-705333.333333333</v>
      </c>
      <c r="AZ117" s="431"/>
      <c r="BA117" s="772" t="n">
        <f aca="false">P117-IF($BL$4="mid",Q117,R117)-$BL$9*(IF($BL$4="mid",N117,O117)+IF($BL$4="mid",DL117,L117))</f>
        <v>643888.919779292</v>
      </c>
      <c r="BB117" s="772" t="n">
        <f aca="false">S117-IF($BL$4="mid",T117,U117)-$BM$9*(IF($BL$4="mid",N117,O117)+IF($BL$4="mid",DL117,L117))</f>
        <v>-25345.8341139592</v>
      </c>
      <c r="BC117" s="772" t="n">
        <f aca="false">V117-IF($BL$4="mid",W117,X117)-$BN$9*(IF($BL$4="mid",N117,O117)+IF($BL$4="mid",DL117,L117))</f>
        <v>-8056.42147997139</v>
      </c>
      <c r="BD117" s="772" t="n">
        <f aca="false">Y117-IF($BL$4="mid",Z117,AA117)</f>
        <v>24111.069086942</v>
      </c>
      <c r="BE117" s="772" t="n">
        <f aca="false">AB117-IF($BL$4="mid",AC117,AD117)</f>
        <v>-9704.27457186842</v>
      </c>
      <c r="BF117" s="772" t="n">
        <f aca="false">AE117-IF($BL$4="mid",AF117,AG117)</f>
        <v>15461.6459642682</v>
      </c>
      <c r="BG117" s="772" t="n">
        <f aca="false">AH117-IF($BL$4="mid",AI117,AJ117)</f>
        <v>21851.0160889267</v>
      </c>
      <c r="BH117" s="772" t="n">
        <f aca="false">-IF($BL$4="mid",AK117,AL117)</f>
        <v>-293803.383301675</v>
      </c>
      <c r="BI117" s="772" t="n">
        <f aca="false">-IF($BL$4="mid",AM117,AN117)</f>
        <v>-55221.25</v>
      </c>
      <c r="BL117" s="772" t="n">
        <f aca="false">BW117-IF($BL$4="mid",Q117,R117)-$BL$9*(IF($BL$4="mid",N117,O117)+IF($BL$4="mid",DL117,L117))</f>
        <v>798010.450340995</v>
      </c>
      <c r="BM117" s="772" t="n">
        <f aca="false">BX117-IF($BL$4="mid",T117,U117)-$BM$9*(IF($BL$4="mid",N117,O117)+IF($BL$4="mid",DL117,L117))</f>
        <v>-19885.4570685716</v>
      </c>
      <c r="BN117" s="772" t="n">
        <f aca="false">BY117-IF($BL$4="mid",W117,X117)-$BN$9*(IF($BL$4="mid",N117,O117)+IF($BL$4="mid",DL117,L117))</f>
        <v>-5307.86022159325</v>
      </c>
      <c r="BO117" s="772" t="n">
        <f aca="false">BZ117-IF($BL$4="mid",Z117,AA117)</f>
        <v>44104.280058647</v>
      </c>
      <c r="BP117" s="772" t="n">
        <f aca="false">CA117-IF($BL$4="mid",AC117,AD117)</f>
        <v>8690.99474365957</v>
      </c>
      <c r="BQ117" s="772" t="n">
        <f aca="false">CB117-IF($BL$4="mid",AF117,AG117)</f>
        <v>29418.4872777874</v>
      </c>
      <c r="BR117" s="772" t="n">
        <f aca="false">CC117-IF($BL$4="mid",AI117,AJ117)</f>
        <v>22769.652873144</v>
      </c>
      <c r="BS117" s="772" t="n">
        <f aca="false">-IF($BL$4="mid",AK117,AL117)</f>
        <v>-293803.383301675</v>
      </c>
      <c r="BT117" s="772" t="n">
        <f aca="false">-IF($BL$4="mid",AM117,AN117)</f>
        <v>-55221.25</v>
      </c>
      <c r="BW117" s="872" t="n">
        <f aca="false">Breakout!$K$15/12</f>
        <v>3820110.20183312</v>
      </c>
      <c r="BX117" s="872" t="n">
        <f aca="false">Breakout!$K$26/12</f>
        <v>135342.816677968</v>
      </c>
      <c r="BY117" s="872" t="n">
        <f aca="false">Breakout!$K$37/12</f>
        <v>68126.8013964469</v>
      </c>
      <c r="BZ117" s="872" t="n">
        <f aca="false">Breakout!$K$48/12</f>
        <v>495558.725131106</v>
      </c>
      <c r="CA117" s="872" t="n">
        <f aca="false">Breakout!$K$59/12</f>
        <v>455951.583932539</v>
      </c>
      <c r="CB117" s="872" t="n">
        <f aca="false">Breakout!$K$70/12</f>
        <v>345939.153944454</v>
      </c>
      <c r="CC117" s="872" t="n">
        <f aca="false">Breakout!$K$81/12</f>
        <v>22769.652873144</v>
      </c>
      <c r="CE117" s="852" t="n">
        <f aca="false">P117/0.96</f>
        <v>3818738.19924105</v>
      </c>
      <c r="CF117" s="852" t="n">
        <f aca="false">S117/0.96</f>
        <v>135294.207950605</v>
      </c>
      <c r="CG117" s="852" t="n">
        <f aca="false">V117/0.96</f>
        <v>68102.3334771549</v>
      </c>
      <c r="CI117" s="852" t="n">
        <f aca="false">N117</f>
        <v>-715341.083333333</v>
      </c>
      <c r="CJ117" s="852" t="n">
        <f aca="false">O117</f>
        <v>-705333.333333333</v>
      </c>
      <c r="CL117" s="772" t="n">
        <f aca="false">'account mgt'!$K$23/12</f>
        <v>-57704.2245143616</v>
      </c>
      <c r="CN117" s="772" t="n">
        <v>0</v>
      </c>
      <c r="CT117" s="772" t="e">
        <f aca="false">CW116</f>
        <v>#VALUE!</v>
      </c>
      <c r="CU117" s="772" t="e">
        <f aca="false">IF(CT117&lt;0.1,0,CT117*$L$3)</f>
        <v>#VALUE!</v>
      </c>
      <c r="CV117" s="772" t="e">
        <f aca="false">IF(CT117&lt;0.1,0,PPMT($L$3,A117-14,unwinds!$B$8*12,$K$5))</f>
        <v>#VALUE!</v>
      </c>
      <c r="CW117" s="772" t="e">
        <f aca="false">IF(CT117-CV117&lt;0,0,CT117-CV117)</f>
        <v>#VALUE!</v>
      </c>
      <c r="CX117" s="772" t="e">
        <f aca="false">IF(CX116-CV117&lt;0,0,CX116-CV117)</f>
        <v>#VALUE!</v>
      </c>
      <c r="DA117" s="772" t="n">
        <f aca="false">DD116</f>
        <v>6982085.59412383</v>
      </c>
      <c r="DB117" s="772" t="n">
        <f aca="false">DA117*$L$3</f>
        <v>55100.2921469606</v>
      </c>
      <c r="DC117" s="772" t="n">
        <f aca="false">PPMT($L$3,A117-14,106,$K$5)</f>
        <v>440297.779524653</v>
      </c>
      <c r="DD117" s="772" t="n">
        <f aca="false">DA117-DC117</f>
        <v>6541787.81459918</v>
      </c>
      <c r="DE117" s="772" t="n">
        <f aca="false">DE116-DC117</f>
        <v>6541787.81459918</v>
      </c>
      <c r="DH117" s="417" t="n">
        <v>-715341.083333333</v>
      </c>
      <c r="DI117" s="417" t="n">
        <v>-705333.333333333</v>
      </c>
      <c r="DJ117" s="417"/>
      <c r="DL117" s="417" t="n">
        <f aca="false">PMT($J$3,106,$I$5,,1)</f>
        <v>474832.92700925</v>
      </c>
      <c r="DN117" s="417" t="n">
        <f aca="false">IF($BL$4="mid",DH117,DI117)</f>
        <v>-715341.083333333</v>
      </c>
      <c r="DO117" s="417" t="n">
        <f aca="false">IF($BL$4="mid",DL117,L117)</f>
        <v>474832.92700925</v>
      </c>
      <c r="DQ117" s="772" t="n">
        <f aca="false">BW117-IF($BL$4="mid",Q117,R117)</f>
        <v>569527.701833116</v>
      </c>
      <c r="DR117" s="772" t="n">
        <f aca="false">BX117-IF($BL$4="mid",T117,U117)</f>
        <v>-31910.8648847758</v>
      </c>
      <c r="DS117" s="772"/>
      <c r="DT117" s="772"/>
      <c r="DU117" s="772"/>
      <c r="DV117" s="772"/>
      <c r="DW117" s="772"/>
      <c r="DX117" s="772"/>
    </row>
    <row r="118" customFormat="false" ht="12.75" hidden="false" customHeight="false" outlineLevel="0" collapsed="false">
      <c r="A118" s="767" t="n">
        <v>107</v>
      </c>
      <c r="B118" s="854" t="n">
        <v>39753</v>
      </c>
      <c r="C118" s="417" t="n">
        <v>0</v>
      </c>
      <c r="D118" s="417" t="n">
        <v>0</v>
      </c>
      <c r="E118" s="417" t="n">
        <v>0</v>
      </c>
      <c r="F118" s="417" t="n">
        <v>51221.3867266266</v>
      </c>
      <c r="G118" s="417" t="n">
        <v>440297.779524657</v>
      </c>
      <c r="H118" s="417" t="n">
        <v>0</v>
      </c>
      <c r="I118" s="417" t="n">
        <v>491519.166251284</v>
      </c>
      <c r="J118" s="417"/>
      <c r="K118" s="417"/>
      <c r="L118" s="417" t="n">
        <f aca="false">PMT($L$3,106,$K$5,,1)</f>
        <v>491519.166251281</v>
      </c>
      <c r="M118" s="417"/>
      <c r="N118" s="850" t="n">
        <f aca="false">IF(A118&lt;$B$8,0,-$R$5/12)</f>
        <v>-715341.083333333</v>
      </c>
      <c r="O118" s="850" t="n">
        <f aca="false">IF(A118&lt;$B$8,0,-$S$5/12)</f>
        <v>-705333.333333333</v>
      </c>
      <c r="P118" s="872" t="n">
        <f aca="false">Breakout!$K$16/12</f>
        <v>3665988.67127141</v>
      </c>
      <c r="Q118" s="770" t="n">
        <f aca="false">'wholesale services'!$D$110*'wholesale services'!$L$111/12</f>
        <v>3250582.5</v>
      </c>
      <c r="R118" s="770" t="n">
        <v>3320487.5</v>
      </c>
      <c r="S118" s="872" t="n">
        <f aca="false">Breakout!$K$27/12</f>
        <v>129882.43963258</v>
      </c>
      <c r="T118" s="770" t="n">
        <f aca="false">'wholesale services'!$D$113*'wholesale services'!$L$114/12</f>
        <v>167253.681562744</v>
      </c>
      <c r="U118" s="770" t="n">
        <v>170667.0220028</v>
      </c>
      <c r="V118" s="872" t="n">
        <f aca="false">Breakout!$K$38/12</f>
        <v>65378.2401380687</v>
      </c>
      <c r="W118" s="431" t="n">
        <f aca="false">Breakout!$K$39/12</f>
        <v>73434.6616180401</v>
      </c>
      <c r="X118" s="431" t="n">
        <v>74224.2816354384</v>
      </c>
      <c r="Y118" s="872" t="n">
        <f aca="false">Breakout!$K$49/12</f>
        <v>475565.514159401</v>
      </c>
      <c r="Z118" s="873" t="n">
        <f aca="false">Breakout!$K$50/12</f>
        <v>451454.445072459</v>
      </c>
      <c r="AA118" s="873" t="n">
        <v>474221.520408217</v>
      </c>
      <c r="AB118" s="872" t="n">
        <f aca="false">Breakout!$K$60/12</f>
        <v>437556.314617011</v>
      </c>
      <c r="AC118" s="873" t="n">
        <f aca="false">Breakout!$K$61/12</f>
        <v>447260.589188879</v>
      </c>
      <c r="AD118" s="873" t="n">
        <v>461206.353662475</v>
      </c>
      <c r="AE118" s="872" t="n">
        <f aca="false">Breakout!$K$71/12</f>
        <v>331982.312630935</v>
      </c>
      <c r="AF118" s="873" t="n">
        <f aca="false">Breakout!$K$72/12</f>
        <v>316520.666666667</v>
      </c>
      <c r="AG118" s="873" t="n">
        <v>316520.666666667</v>
      </c>
      <c r="AH118" s="872" t="n">
        <f aca="false">Breakout!$K$82/12</f>
        <v>21851.0160889267</v>
      </c>
      <c r="AI118" s="873" t="n">
        <f aca="false">Breakout!$K$83/12</f>
        <v>0</v>
      </c>
      <c r="AJ118" s="873" t="n">
        <v>0</v>
      </c>
      <c r="AK118" s="874" t="n">
        <f aca="false">Breakout!$K$91/12</f>
        <v>293803.383301675</v>
      </c>
      <c r="AL118" s="874" t="n">
        <v>293803.383301675</v>
      </c>
      <c r="AM118" s="773" t="n">
        <f aca="false">(Breakout!$K$107/12)*-1</f>
        <v>55221.25</v>
      </c>
      <c r="AN118" s="773" t="n">
        <v>55221.25</v>
      </c>
      <c r="AO118" s="774" t="n">
        <f aca="false">(P118+S118+V118)+Y118+AB118+AE118+AH118</f>
        <v>5128204.50853834</v>
      </c>
      <c r="AP118" s="774" t="n">
        <f aca="false">Q118+T118+W118+AA118+AD118+AG118+AJ118+AL118+AN118</f>
        <v>5092244.01721982</v>
      </c>
      <c r="AQ118" s="775" t="n">
        <f aca="false">P118+S118+V118+Y118+AB118+AE118+AH118-Q118-T118-W118-Z118-AC118-AF118-AI118-AK118-AM118-DH118-DL118-CN118</f>
        <v>313181.487451955</v>
      </c>
      <c r="AR118" s="431"/>
      <c r="AS118" s="776" t="n">
        <f aca="false">P118+S118+V118+Y118+AB118+AE118+AH118-R118-U118-X118-AA118-AD118-AG118-AJ118-AL118-AN118-O118-L118-CN118</f>
        <v>175666.697943117</v>
      </c>
      <c r="AT118" s="431"/>
      <c r="AU118" s="770" t="n">
        <f aca="false">'wholesale services'!$L$110/12</f>
        <v>39106610.7060185</v>
      </c>
      <c r="AV118" s="770" t="n">
        <f aca="false">'wholesale services'!$L$113/12</f>
        <v>17613.2558333333</v>
      </c>
      <c r="AW118" s="431"/>
      <c r="AX118" s="851" t="n">
        <f aca="false">IF(A118&lt;$AX$6,0,-$R$5/12)</f>
        <v>-715341.083333333</v>
      </c>
      <c r="AY118" s="417" t="n">
        <f aca="false">IF(A118&lt;$AX$6,0,-$S$5/12)</f>
        <v>-705333.333333333</v>
      </c>
      <c r="AZ118" s="431"/>
      <c r="BA118" s="772" t="n">
        <f aca="false">P118-IF($BL$4="mid",Q118,R118)-$BL$9*(IF($BL$4="mid",N118,O118)+IF($BL$4="mid",DL118,L118))</f>
        <v>643888.919779292</v>
      </c>
      <c r="BB118" s="772" t="n">
        <f aca="false">S118-IF($BL$4="mid",T118,U118)-$BM$9*(IF($BL$4="mid",N118,O118)+IF($BL$4="mid",DL118,L118))</f>
        <v>-25345.8341139592</v>
      </c>
      <c r="BC118" s="772" t="n">
        <f aca="false">V118-IF($BL$4="mid",W118,X118)-$BN$9*(IF($BL$4="mid",N118,O118)+IF($BL$4="mid",DL118,L118))</f>
        <v>-8056.42147997139</v>
      </c>
      <c r="BD118" s="772" t="n">
        <f aca="false">Y118-IF($BL$4="mid",Z118,AA118)</f>
        <v>24111.069086942</v>
      </c>
      <c r="BE118" s="772" t="n">
        <f aca="false">AB118-IF($BL$4="mid",AC118,AD118)</f>
        <v>-9704.27457186842</v>
      </c>
      <c r="BF118" s="772" t="n">
        <f aca="false">AE118-IF($BL$4="mid",AF118,AG118)</f>
        <v>15461.6459642682</v>
      </c>
      <c r="BG118" s="772" t="n">
        <f aca="false">AH118-IF($BL$4="mid",AI118,AJ118)</f>
        <v>21851.0160889267</v>
      </c>
      <c r="BH118" s="772" t="n">
        <f aca="false">-IF($BL$4="mid",AK118,AL118)</f>
        <v>-293803.383301675</v>
      </c>
      <c r="BI118" s="772" t="n">
        <f aca="false">-IF($BL$4="mid",AM118,AN118)</f>
        <v>-55221.25</v>
      </c>
      <c r="BL118" s="772" t="n">
        <f aca="false">BW118-IF($BL$4="mid",Q118,R118)-$BL$9*(IF($BL$4="mid",N118,O118)+IF($BL$4="mid",DL118,L118))</f>
        <v>798010.450340995</v>
      </c>
      <c r="BM118" s="772" t="n">
        <f aca="false">BX118-IF($BL$4="mid",T118,U118)-$BM$9*(IF($BL$4="mid",N118,O118)+IF($BL$4="mid",DL118,L118))</f>
        <v>-19885.4570685716</v>
      </c>
      <c r="BN118" s="772" t="n">
        <f aca="false">BY118-IF($BL$4="mid",W118,X118)-$BN$9*(IF($BL$4="mid",N118,O118)+IF($BL$4="mid",DL118,L118))</f>
        <v>-5307.86022159325</v>
      </c>
      <c r="BO118" s="772" t="n">
        <f aca="false">BZ118-IF($BL$4="mid",Z118,AA118)</f>
        <v>44104.280058647</v>
      </c>
      <c r="BP118" s="772" t="n">
        <f aca="false">CA118-IF($BL$4="mid",AC118,AD118)</f>
        <v>8690.99474365957</v>
      </c>
      <c r="BQ118" s="772" t="n">
        <f aca="false">CB118-IF($BL$4="mid",AF118,AG118)</f>
        <v>29418.4872777874</v>
      </c>
      <c r="BR118" s="772" t="n">
        <f aca="false">CC118-IF($BL$4="mid",AI118,AJ118)</f>
        <v>22769.652873144</v>
      </c>
      <c r="BS118" s="772" t="n">
        <f aca="false">-IF($BL$4="mid",AK118,AL118)</f>
        <v>-293803.383301675</v>
      </c>
      <c r="BT118" s="772" t="n">
        <f aca="false">-IF($BL$4="mid",AM118,AN118)</f>
        <v>-55221.25</v>
      </c>
      <c r="BW118" s="872" t="n">
        <f aca="false">Breakout!$K$15/12</f>
        <v>3820110.20183312</v>
      </c>
      <c r="BX118" s="872" t="n">
        <f aca="false">Breakout!$K$26/12</f>
        <v>135342.816677968</v>
      </c>
      <c r="BY118" s="872" t="n">
        <f aca="false">Breakout!$K$37/12</f>
        <v>68126.8013964469</v>
      </c>
      <c r="BZ118" s="872" t="n">
        <f aca="false">Breakout!$K$48/12</f>
        <v>495558.725131106</v>
      </c>
      <c r="CA118" s="872" t="n">
        <f aca="false">Breakout!$K$59/12</f>
        <v>455951.583932539</v>
      </c>
      <c r="CB118" s="872" t="n">
        <f aca="false">Breakout!$K$70/12</f>
        <v>345939.153944454</v>
      </c>
      <c r="CC118" s="872" t="n">
        <f aca="false">Breakout!$K$81/12</f>
        <v>22769.652873144</v>
      </c>
      <c r="CE118" s="852" t="n">
        <f aca="false">P118/0.96</f>
        <v>3818738.19924105</v>
      </c>
      <c r="CF118" s="852" t="n">
        <f aca="false">S118/0.96</f>
        <v>135294.207950605</v>
      </c>
      <c r="CG118" s="852" t="n">
        <f aca="false">V118/0.96</f>
        <v>68102.3334771549</v>
      </c>
      <c r="CI118" s="852" t="n">
        <f aca="false">N118</f>
        <v>-715341.083333333</v>
      </c>
      <c r="CJ118" s="852" t="n">
        <f aca="false">O118</f>
        <v>-705333.333333333</v>
      </c>
      <c r="CL118" s="772" t="n">
        <f aca="false">'account mgt'!$K$23/12</f>
        <v>-57704.2245143616</v>
      </c>
      <c r="CN118" s="772" t="n">
        <v>0</v>
      </c>
      <c r="CT118" s="772" t="e">
        <f aca="false">CW117</f>
        <v>#VALUE!</v>
      </c>
      <c r="CU118" s="772" t="e">
        <f aca="false">IF(CT118&lt;0.1,0,CT118*$L$3)</f>
        <v>#VALUE!</v>
      </c>
      <c r="CV118" s="772" t="e">
        <f aca="false">IF(CT118&lt;0.1,0,PPMT($L$3,A118-14,unwinds!$B$8*12,$K$5))</f>
        <v>#VALUE!</v>
      </c>
      <c r="CW118" s="772" t="e">
        <f aca="false">IF(CT118-CV118&lt;0,0,CT118-CV118)</f>
        <v>#VALUE!</v>
      </c>
      <c r="CX118" s="772" t="e">
        <f aca="false">IF(CX117-CV118&lt;0,0,CX117-CV118)</f>
        <v>#VALUE!</v>
      </c>
      <c r="DA118" s="772" t="n">
        <f aca="false">DD117</f>
        <v>6541787.81459918</v>
      </c>
      <c r="DB118" s="772" t="n">
        <f aca="false">DA118*$L$3</f>
        <v>51625.6088368785</v>
      </c>
      <c r="DC118" s="772" t="n">
        <f aca="false">PPMT($L$3,A118-14,106,$K$5)</f>
        <v>443772.462834735</v>
      </c>
      <c r="DD118" s="772" t="n">
        <f aca="false">DA118-DC118</f>
        <v>6098015.35176444</v>
      </c>
      <c r="DE118" s="772" t="n">
        <f aca="false">DE117-DC118</f>
        <v>6098015.35176444</v>
      </c>
      <c r="DH118" s="417" t="n">
        <v>-715341.083333333</v>
      </c>
      <c r="DI118" s="417" t="n">
        <v>-705333.333333333</v>
      </c>
      <c r="DJ118" s="417"/>
      <c r="DL118" s="417" t="n">
        <f aca="false">PMT($J$3,106,$I$5,,1)</f>
        <v>474832.92700925</v>
      </c>
      <c r="DN118" s="417" t="n">
        <f aca="false">IF($BL$4="mid",DH118,DI118)</f>
        <v>-715341.083333333</v>
      </c>
      <c r="DO118" s="417" t="n">
        <f aca="false">IF($BL$4="mid",DL118,L118)</f>
        <v>474832.92700925</v>
      </c>
      <c r="DQ118" s="772" t="n">
        <f aca="false">BW118-IF($BL$4="mid",Q118,R118)</f>
        <v>569527.701833116</v>
      </c>
      <c r="DR118" s="772" t="n">
        <f aca="false">BX118-IF($BL$4="mid",T118,U118)</f>
        <v>-31910.8648847758</v>
      </c>
      <c r="DS118" s="772"/>
      <c r="DT118" s="772"/>
      <c r="DU118" s="772"/>
      <c r="DV118" s="772"/>
      <c r="DW118" s="772"/>
      <c r="DX118" s="772"/>
    </row>
    <row r="119" customFormat="false" ht="12.75" hidden="false" customHeight="false" outlineLevel="0" collapsed="false">
      <c r="A119" s="855" t="n">
        <v>108</v>
      </c>
      <c r="B119" s="856" t="n">
        <v>39783</v>
      </c>
      <c r="C119" s="857" t="n">
        <v>0</v>
      </c>
      <c r="D119" s="857" t="n">
        <v>0</v>
      </c>
      <c r="E119" s="857" t="n">
        <v>0</v>
      </c>
      <c r="F119" s="417" t="n">
        <v>47746.7034165444</v>
      </c>
      <c r="G119" s="417" t="n">
        <v>443772.462834739</v>
      </c>
      <c r="H119" s="417" t="n">
        <v>0</v>
      </c>
      <c r="I119" s="417" t="n">
        <v>491519.166251284</v>
      </c>
      <c r="J119" s="857"/>
      <c r="K119" s="857"/>
      <c r="L119" s="417" t="n">
        <f aca="false">PMT($L$3,106,$K$5,,1)</f>
        <v>491519.166251281</v>
      </c>
      <c r="M119" s="857"/>
      <c r="N119" s="850" t="n">
        <f aca="false">IF(A119&lt;$B$8,0,-$R$5/12)</f>
        <v>-715341.083333333</v>
      </c>
      <c r="O119" s="850" t="n">
        <f aca="false">IF(A119&lt;$B$8,0,-$S$5/12)</f>
        <v>-705333.333333333</v>
      </c>
      <c r="P119" s="859" t="n">
        <f aca="false">Breakout!$K$16/12</f>
        <v>3665988.67127141</v>
      </c>
      <c r="Q119" s="860" t="n">
        <f aca="false">'wholesale services'!$D$110*'wholesale services'!$L$111/12</f>
        <v>3250582.5</v>
      </c>
      <c r="R119" s="860" t="n">
        <v>3320487.5</v>
      </c>
      <c r="S119" s="859" t="n">
        <f aca="false">Breakout!$K$27/12</f>
        <v>129882.43963258</v>
      </c>
      <c r="T119" s="860" t="n">
        <f aca="false">'wholesale services'!$D$113*'wholesale services'!$L$114/12</f>
        <v>167253.681562744</v>
      </c>
      <c r="U119" s="860" t="n">
        <v>170667.0220028</v>
      </c>
      <c r="V119" s="859" t="n">
        <f aca="false">Breakout!$K$38/12</f>
        <v>65378.2401380687</v>
      </c>
      <c r="W119" s="861" t="n">
        <f aca="false">Breakout!$K$39/12</f>
        <v>73434.6616180401</v>
      </c>
      <c r="X119" s="861" t="n">
        <v>74224.2816354384</v>
      </c>
      <c r="Y119" s="859" t="n">
        <f aca="false">Breakout!$K$49/12</f>
        <v>475565.514159401</v>
      </c>
      <c r="Z119" s="860" t="n">
        <f aca="false">Breakout!$K$50/12</f>
        <v>451454.445072459</v>
      </c>
      <c r="AA119" s="860" t="n">
        <v>474221.520408217</v>
      </c>
      <c r="AB119" s="859" t="n">
        <f aca="false">Breakout!$K$60/12</f>
        <v>437556.314617011</v>
      </c>
      <c r="AC119" s="860" t="n">
        <f aca="false">Breakout!$K$61/12</f>
        <v>447260.589188879</v>
      </c>
      <c r="AD119" s="860" t="n">
        <v>461206.353662475</v>
      </c>
      <c r="AE119" s="859" t="n">
        <f aca="false">Breakout!$K$71/12</f>
        <v>331982.312630935</v>
      </c>
      <c r="AF119" s="860" t="n">
        <f aca="false">Breakout!$K$72/12</f>
        <v>316520.666666667</v>
      </c>
      <c r="AG119" s="860" t="n">
        <v>316520.666666667</v>
      </c>
      <c r="AH119" s="859" t="n">
        <f aca="false">Breakout!$K$82/12</f>
        <v>21851.0160889267</v>
      </c>
      <c r="AI119" s="860" t="n">
        <f aca="false">Breakout!$K$83/12</f>
        <v>0</v>
      </c>
      <c r="AJ119" s="860" t="n">
        <v>0</v>
      </c>
      <c r="AK119" s="862" t="n">
        <f aca="false">Breakout!$K$91/12</f>
        <v>293803.383301675</v>
      </c>
      <c r="AL119" s="862" t="n">
        <v>293803.383301675</v>
      </c>
      <c r="AM119" s="862" t="n">
        <f aca="false">(Breakout!$K$107/12)*-1</f>
        <v>55221.25</v>
      </c>
      <c r="AN119" s="862" t="n">
        <v>55221.25</v>
      </c>
      <c r="AO119" s="863" t="n">
        <f aca="false">(P119+S119+V119)+Y119+AB119+AE119+AH119</f>
        <v>5128204.50853834</v>
      </c>
      <c r="AP119" s="863" t="n">
        <f aca="false">Q119+T119+W119+AA119+AD119+AG119+AJ119+AL119+AN119</f>
        <v>5092244.01721982</v>
      </c>
      <c r="AQ119" s="775" t="n">
        <f aca="false">P119+S119+V119+Y119+AB119+AE119+AH119-Q119-T119-W119-Z119-AC119-AF119-AI119-AK119-AM119-DH119-DL119-CN119</f>
        <v>313181.487451955</v>
      </c>
      <c r="AR119" s="861" t="n">
        <f aca="false">SUM(AQ108:AQ119)</f>
        <v>3758177.84942346</v>
      </c>
      <c r="AS119" s="776" t="n">
        <f aca="false">P119+S119+V119+Y119+AB119+AE119+AH119-R119-U119-X119-AA119-AD119-AG119-AJ119-AL119-AN119-O119-L119-CN119</f>
        <v>175666.697943117</v>
      </c>
      <c r="AT119" s="861" t="n">
        <f aca="false">SUM(AS108:AS119)</f>
        <v>2108000.3753174</v>
      </c>
      <c r="AU119" s="860" t="n">
        <f aca="false">'wholesale services'!$L$110/12</f>
        <v>39106610.7060185</v>
      </c>
      <c r="AV119" s="860" t="n">
        <f aca="false">'wholesale services'!$L$113/12</f>
        <v>17613.2558333333</v>
      </c>
      <c r="AW119" s="861"/>
      <c r="AX119" s="851" t="n">
        <f aca="false">IF(A119&lt;$AX$6,0,-$R$5/12)</f>
        <v>-715341.083333333</v>
      </c>
      <c r="AY119" s="417" t="n">
        <f aca="false">IF(A119&lt;$AX$6,0,-$S$5/12)</f>
        <v>-705333.333333333</v>
      </c>
      <c r="AZ119" s="861"/>
      <c r="BA119" s="772" t="n">
        <f aca="false">P119-IF($BL$4="mid",Q119,R119)-$BL$9*(IF($BL$4="mid",N119,O119)+IF($BL$4="mid",DL119,L119))</f>
        <v>643888.919779292</v>
      </c>
      <c r="BB119" s="772" t="n">
        <f aca="false">S119-IF($BL$4="mid",T119,U119)-$BM$9*(IF($BL$4="mid",N119,O119)+IF($BL$4="mid",DL119,L119))</f>
        <v>-25345.8341139592</v>
      </c>
      <c r="BC119" s="772" t="n">
        <f aca="false">V119-IF($BL$4="mid",W119,X119)-$BN$9*(IF($BL$4="mid",N119,O119)+IF($BL$4="mid",DL119,L119))</f>
        <v>-8056.42147997139</v>
      </c>
      <c r="BD119" s="772" t="n">
        <f aca="false">Y119-IF($BL$4="mid",Z119,AA119)</f>
        <v>24111.069086942</v>
      </c>
      <c r="BE119" s="772" t="n">
        <f aca="false">AB119-IF($BL$4="mid",AC119,AD119)</f>
        <v>-9704.27457186842</v>
      </c>
      <c r="BF119" s="772" t="n">
        <f aca="false">AE119-IF($BL$4="mid",AF119,AG119)</f>
        <v>15461.6459642682</v>
      </c>
      <c r="BG119" s="772" t="n">
        <f aca="false">AH119-IF($BL$4="mid",AI119,AJ119)</f>
        <v>21851.0160889267</v>
      </c>
      <c r="BH119" s="772" t="n">
        <f aca="false">-IF($BL$4="mid",AK119,AL119)</f>
        <v>-293803.383301675</v>
      </c>
      <c r="BI119" s="772" t="n">
        <f aca="false">-IF($BL$4="mid",AM119,AN119)</f>
        <v>-55221.25</v>
      </c>
      <c r="BJ119" s="861"/>
      <c r="BK119" s="431"/>
      <c r="BL119" s="772" t="n">
        <f aca="false">BW119-IF($BL$4="mid",Q119,R119)-$BL$9*(IF($BL$4="mid",N119,O119)+IF($BL$4="mid",DL119,L119))</f>
        <v>798010.450340995</v>
      </c>
      <c r="BM119" s="772" t="n">
        <f aca="false">BX119-IF($BL$4="mid",T119,U119)-$BM$9*(IF($BL$4="mid",N119,O119)+IF($BL$4="mid",DL119,L119))</f>
        <v>-19885.4570685716</v>
      </c>
      <c r="BN119" s="772" t="n">
        <f aca="false">BY119-IF($BL$4="mid",W119,X119)-$BN$9*(IF($BL$4="mid",N119,O119)+IF($BL$4="mid",DL119,L119))</f>
        <v>-5307.86022159325</v>
      </c>
      <c r="BO119" s="772" t="n">
        <f aca="false">BZ119-IF($BL$4="mid",Z119,AA119)</f>
        <v>44104.280058647</v>
      </c>
      <c r="BP119" s="772" t="n">
        <f aca="false">CA119-IF($BL$4="mid",AC119,AD119)</f>
        <v>8690.99474365957</v>
      </c>
      <c r="BQ119" s="772" t="n">
        <f aca="false">CB119-IF($BL$4="mid",AF119,AG119)</f>
        <v>29418.4872777874</v>
      </c>
      <c r="BR119" s="772" t="n">
        <f aca="false">CC119-IF($BL$4="mid",AI119,AJ119)</f>
        <v>22769.652873144</v>
      </c>
      <c r="BS119" s="772" t="n">
        <f aca="false">-IF($BL$4="mid",AK119,AL119)</f>
        <v>-293803.383301675</v>
      </c>
      <c r="BT119" s="772" t="n">
        <f aca="false">-IF($BL$4="mid",AM119,AN119)</f>
        <v>-55221.25</v>
      </c>
      <c r="BU119" s="861"/>
      <c r="BV119" s="861"/>
      <c r="BW119" s="859" t="n">
        <f aca="false">Breakout!$K$15/12</f>
        <v>3820110.20183312</v>
      </c>
      <c r="BX119" s="859" t="n">
        <f aca="false">Breakout!$K$26/12</f>
        <v>135342.816677968</v>
      </c>
      <c r="BY119" s="859" t="n">
        <f aca="false">Breakout!$K$37/12</f>
        <v>68126.8013964469</v>
      </c>
      <c r="BZ119" s="859" t="n">
        <f aca="false">Breakout!$K$48/12</f>
        <v>495558.725131106</v>
      </c>
      <c r="CA119" s="859" t="n">
        <f aca="false">Breakout!$K$59/12</f>
        <v>455951.583932539</v>
      </c>
      <c r="CB119" s="859" t="n">
        <f aca="false">Breakout!$K$70/12</f>
        <v>345939.153944454</v>
      </c>
      <c r="CC119" s="859" t="n">
        <f aca="false">Breakout!$K$81/12</f>
        <v>22769.652873144</v>
      </c>
      <c r="CD119" s="861"/>
      <c r="CE119" s="864" t="n">
        <f aca="false">P119/0.96</f>
        <v>3818738.19924105</v>
      </c>
      <c r="CF119" s="864" t="n">
        <f aca="false">S119/0.96</f>
        <v>135294.207950605</v>
      </c>
      <c r="CG119" s="864" t="n">
        <f aca="false">V119/0.96</f>
        <v>68102.3334771549</v>
      </c>
      <c r="CH119" s="861"/>
      <c r="CI119" s="864" t="n">
        <f aca="false">N119</f>
        <v>-715341.083333333</v>
      </c>
      <c r="CJ119" s="864" t="n">
        <f aca="false">O119</f>
        <v>-705333.333333333</v>
      </c>
      <c r="CK119" s="861"/>
      <c r="CL119" s="861" t="n">
        <f aca="false">'account mgt'!$K$23/12</f>
        <v>-57704.2245143616</v>
      </c>
      <c r="CM119" s="861"/>
      <c r="CN119" s="772" t="n">
        <v>0</v>
      </c>
      <c r="CO119" s="861"/>
      <c r="CP119" s="861"/>
      <c r="CQ119" s="431"/>
      <c r="CR119" s="431"/>
      <c r="CS119" s="431"/>
      <c r="CT119" s="772" t="e">
        <f aca="false">CW118</f>
        <v>#VALUE!</v>
      </c>
      <c r="CU119" s="772" t="e">
        <f aca="false">IF(CT119&lt;0.1,0,CT119*$L$3)</f>
        <v>#VALUE!</v>
      </c>
      <c r="CV119" s="772" t="e">
        <f aca="false">IF(CT119&lt;0.1,0,PPMT($L$3,A119-14,unwinds!$B$8*12,$K$5))</f>
        <v>#VALUE!</v>
      </c>
      <c r="CW119" s="772" t="e">
        <f aca="false">IF(CT119-CV119&lt;0,0,CT119-CV119)</f>
        <v>#VALUE!</v>
      </c>
      <c r="CX119" s="772" t="e">
        <f aca="false">IF(CX118-CV119&lt;0,0,CX118-CV119)</f>
        <v>#VALUE!</v>
      </c>
      <c r="CY119" s="861" t="e">
        <f aca="false">CX119</f>
        <v>#VALUE!</v>
      </c>
      <c r="DA119" s="772" t="n">
        <f aca="false">DD118</f>
        <v>6098015.35176444</v>
      </c>
      <c r="DB119" s="772" t="n">
        <f aca="false">DA119*$L$3</f>
        <v>48123.5044843411</v>
      </c>
      <c r="DC119" s="772" t="n">
        <f aca="false">PPMT($L$3,A119-14,106,$K$5)</f>
        <v>447274.567187272</v>
      </c>
      <c r="DD119" s="772" t="n">
        <f aca="false">DA119-DC119</f>
        <v>5650740.78457717</v>
      </c>
      <c r="DE119" s="772" t="n">
        <f aca="false">DE118-DC119</f>
        <v>5650740.78457717</v>
      </c>
      <c r="DF119" s="861" t="n">
        <f aca="false">DE119</f>
        <v>5650740.78457717</v>
      </c>
      <c r="DG119" s="861"/>
      <c r="DH119" s="417" t="n">
        <v>-715341.083333333</v>
      </c>
      <c r="DI119" s="417" t="n">
        <v>-705333.333333333</v>
      </c>
      <c r="DJ119" s="417"/>
      <c r="DK119" s="861"/>
      <c r="DL119" s="417" t="n">
        <f aca="false">PMT($J$3,106,$I$5,,1)</f>
        <v>474832.92700925</v>
      </c>
      <c r="DM119" s="861"/>
      <c r="DN119" s="417" t="n">
        <f aca="false">IF($BL$4="mid",DH119,DI119)</f>
        <v>-715341.083333333</v>
      </c>
      <c r="DO119" s="417" t="n">
        <f aca="false">IF($BL$4="mid",DL119,L119)</f>
        <v>474832.92700925</v>
      </c>
      <c r="DP119" s="861"/>
      <c r="DQ119" s="772" t="n">
        <f aca="false">BW119-IF($BL$4="mid",Q119,R119)</f>
        <v>569527.701833116</v>
      </c>
      <c r="DR119" s="772" t="n">
        <f aca="false">BX119-IF($BL$4="mid",T119,U119)</f>
        <v>-31910.8648847758</v>
      </c>
      <c r="DS119" s="861"/>
      <c r="DT119" s="861"/>
      <c r="DU119" s="861"/>
      <c r="DV119" s="861"/>
      <c r="DW119" s="861"/>
      <c r="DX119" s="861"/>
    </row>
    <row r="120" customFormat="false" ht="12.75" hidden="false" customHeight="false" outlineLevel="0" collapsed="false">
      <c r="A120" s="866" t="n">
        <v>109</v>
      </c>
      <c r="B120" s="867" t="n">
        <v>39814</v>
      </c>
      <c r="C120" s="417" t="n">
        <v>0</v>
      </c>
      <c r="D120" s="417" t="n">
        <v>0</v>
      </c>
      <c r="E120" s="417" t="n">
        <v>0</v>
      </c>
      <c r="F120" s="417" t="n">
        <v>44244.599064007</v>
      </c>
      <c r="G120" s="417" t="n">
        <v>447274.567187277</v>
      </c>
      <c r="H120" s="417" t="n">
        <v>0</v>
      </c>
      <c r="I120" s="417" t="n">
        <v>491519.166251284</v>
      </c>
      <c r="J120" s="417"/>
      <c r="K120" s="417"/>
      <c r="L120" s="417" t="n">
        <f aca="false">PMT($L$3,106,$K$5,,1)</f>
        <v>491519.166251281</v>
      </c>
      <c r="M120" s="417"/>
      <c r="N120" s="850" t="n">
        <f aca="false">IF(A120&lt;$B$8,0,-$R$5/12)</f>
        <v>-715341.083333333</v>
      </c>
      <c r="O120" s="850" t="n">
        <f aca="false">IF(A120&lt;$B$8,0,-$S$5/12)</f>
        <v>-705333.333333333</v>
      </c>
      <c r="P120" s="868" t="n">
        <f aca="false">Breakout!$L$16/12</f>
        <v>3704106.7714663</v>
      </c>
      <c r="Q120" s="770" t="n">
        <f aca="false">'wholesale services'!$D$110*'wholesale services'!$M$111/12</f>
        <v>3250582.5</v>
      </c>
      <c r="R120" s="770" t="n">
        <v>3320487.5</v>
      </c>
      <c r="S120" s="868" t="n">
        <f aca="false">Breakout!$L$27/12</f>
        <v>131232.927124882</v>
      </c>
      <c r="T120" s="770" t="n">
        <f aca="false">'wholesale services'!$D$113*'wholesale services'!$M$114/12</f>
        <v>172908.159034116</v>
      </c>
      <c r="U120" s="770" t="n">
        <v>176436.896973588</v>
      </c>
      <c r="V120" s="868" t="n">
        <f aca="false">Breakout!$L$38/12</f>
        <v>66058.0279201964</v>
      </c>
      <c r="W120" s="869" t="n">
        <f aca="false">Breakout!$L$39/12</f>
        <v>75637.7014665813</v>
      </c>
      <c r="X120" s="869" t="n">
        <v>76451.0100845016</v>
      </c>
      <c r="Y120" s="868" t="n">
        <f aca="false">Breakout!$L$49/12</f>
        <v>480510.334109343</v>
      </c>
      <c r="Z120" s="870" t="n">
        <f aca="false">Breakout!$L$50/12</f>
        <v>458858.297971647</v>
      </c>
      <c r="AA120" s="870" t="n">
        <v>481998.753342911</v>
      </c>
      <c r="AB120" s="868" t="n">
        <f aca="false">Breakout!$L$60/12</f>
        <v>442105.923723057</v>
      </c>
      <c r="AC120" s="870" t="n">
        <f aca="false">Breakout!$L$61/12</f>
        <v>454595.662851577</v>
      </c>
      <c r="AD120" s="870" t="n">
        <v>468770.137862539</v>
      </c>
      <c r="AE120" s="868" t="n">
        <f aca="false">Breakout!$L$71/12</f>
        <v>335434.187743088</v>
      </c>
      <c r="AF120" s="870" t="n">
        <f aca="false">Breakout!$L$72/12</f>
        <v>316520.666666667</v>
      </c>
      <c r="AG120" s="870" t="n">
        <v>316520.666666667</v>
      </c>
      <c r="AH120" s="868" t="n">
        <f aca="false">Breakout!$L$82/12</f>
        <v>22078.2178877662</v>
      </c>
      <c r="AI120" s="870" t="n">
        <f aca="false">Breakout!$L$83/12</f>
        <v>0</v>
      </c>
      <c r="AJ120" s="870" t="n">
        <v>0</v>
      </c>
      <c r="AK120" s="871" t="n">
        <f aca="false">Breakout!$L$91/12</f>
        <v>296858.282758964</v>
      </c>
      <c r="AL120" s="871" t="n">
        <v>296858.282758963</v>
      </c>
      <c r="AM120" s="773" t="n">
        <f aca="false">(Breakout!$L$107/12)*-1</f>
        <v>55221.25</v>
      </c>
      <c r="AN120" s="773" t="n">
        <v>55221.25</v>
      </c>
      <c r="AO120" s="774" t="n">
        <f aca="false">(P120+S120+V120)+Y120+AB120+AE120+AH120</f>
        <v>5181526.38997464</v>
      </c>
      <c r="AP120" s="774" t="n">
        <f aca="false">Q120+T120+W120+AA120+AD120+AG120+AJ120+AL120+AN120</f>
        <v>5118497.45113178</v>
      </c>
      <c r="AQ120" s="775" t="n">
        <f aca="false">P120+S120+V120+Y120+AB120+AE120+AH120-Q120-T120-W120-Z120-AC120-AF120-AI120-AK120-AM120-DH120-DL120-CN120</f>
        <v>340852.025549168</v>
      </c>
      <c r="AR120" s="869"/>
      <c r="AS120" s="776" t="n">
        <f aca="false">P120+S120+V120+Y120+AB120+AE120+AH120-R120-U120-X120-AA120-AD120-AG120-AJ120-AL120-AN120-O120-L120-CN120</f>
        <v>202596.059367519</v>
      </c>
      <c r="AT120" s="869"/>
      <c r="AU120" s="770" t="n">
        <f aca="false">'wholesale services'!$M$110/12</f>
        <v>39106610.7060185</v>
      </c>
      <c r="AV120" s="770" t="n">
        <f aca="false">'wholesale services'!$M$113/12</f>
        <v>17613.2558333333</v>
      </c>
      <c r="AW120" s="869"/>
      <c r="AX120" s="851" t="n">
        <f aca="false">IF(A120&lt;$AX$6,0,-$R$5/12)</f>
        <v>-715341.083333333</v>
      </c>
      <c r="AY120" s="417" t="n">
        <f aca="false">IF(A120&lt;$AX$6,0,-$S$5/12)</f>
        <v>-705333.333333333</v>
      </c>
      <c r="AZ120" s="431"/>
      <c r="BA120" s="772" t="n">
        <f aca="false">P120-IF($BL$4="mid",Q120,R120)-$BL$9*(IF($BL$4="mid",N120,O120)+IF($BL$4="mid",DL120,L120))</f>
        <v>682007.019974183</v>
      </c>
      <c r="BB120" s="772" t="n">
        <f aca="false">S120-IF($BL$4="mid",T120,U120)-$BM$9*(IF($BL$4="mid",N120,O120)+IF($BL$4="mid",DL120,L120))</f>
        <v>-29649.8240930297</v>
      </c>
      <c r="BC120" s="772" t="n">
        <f aca="false">V120-IF($BL$4="mid",W120,X120)-$BN$9*(IF($BL$4="mid",N120,O120)+IF($BL$4="mid",DL120,L120))</f>
        <v>-9579.67354638496</v>
      </c>
      <c r="BD120" s="772" t="n">
        <f aca="false">Y120-IF($BL$4="mid",Z120,AA120)</f>
        <v>21652.0361376955</v>
      </c>
      <c r="BE120" s="772" t="n">
        <f aca="false">AB120-IF($BL$4="mid",AC120,AD120)</f>
        <v>-12489.7391285199</v>
      </c>
      <c r="BF120" s="772" t="n">
        <f aca="false">AE120-IF($BL$4="mid",AF120,AG120)</f>
        <v>18913.5210764216</v>
      </c>
      <c r="BG120" s="772" t="n">
        <f aca="false">AH120-IF($BL$4="mid",AI120,AJ120)</f>
        <v>22078.2178877662</v>
      </c>
      <c r="BH120" s="772" t="n">
        <f aca="false">-IF($BL$4="mid",AK120,AL120)</f>
        <v>-296858.282758964</v>
      </c>
      <c r="BI120" s="772" t="n">
        <f aca="false">-IF($BL$4="mid",AM120,AN120)</f>
        <v>-55221.25</v>
      </c>
      <c r="BJ120" s="869"/>
      <c r="BK120" s="431"/>
      <c r="BL120" s="772" t="n">
        <f aca="false">BW120-IF($BL$4="mid",Q120,R120)-$BL$9*(IF($BL$4="mid",N120,O120)+IF($BL$4="mid",DL120,L120))</f>
        <v>837900.948137346</v>
      </c>
      <c r="BM120" s="772" t="n">
        <f aca="false">BX120-IF($BL$4="mid",T120,U120)-$BM$9*(IF($BL$4="mid",N120,O120)+IF($BL$4="mid",DL120,L120))</f>
        <v>-24126.6527116202</v>
      </c>
      <c r="BN120" s="772" t="n">
        <f aca="false">BY120-IF($BL$4="mid",W120,X120)-$BN$9*(IF($BL$4="mid",N120,O120)+IF($BL$4="mid",DL120,L120))</f>
        <v>-6799.50383353548</v>
      </c>
      <c r="BO120" s="772" t="n">
        <f aca="false">BZ120-IF($BL$4="mid",Z120,AA120)</f>
        <v>41875.1690355751</v>
      </c>
      <c r="BP120" s="772" t="n">
        <f aca="false">CA120-IF($BL$4="mid",AC120,AD120)</f>
        <v>6117.07578413666</v>
      </c>
      <c r="BQ120" s="772" t="n">
        <f aca="false">CB120-IF($BL$4="mid",AF120,AG120)</f>
        <v>33030.8660650461</v>
      </c>
      <c r="BR120" s="772" t="n">
        <f aca="false">CC120-IF($BL$4="mid",AI120,AJ120)</f>
        <v>23007.4189950019</v>
      </c>
      <c r="BS120" s="772" t="n">
        <f aca="false">-IF($BL$4="mid",AK120,AL120)</f>
        <v>-296858.282758964</v>
      </c>
      <c r="BT120" s="772" t="n">
        <f aca="false">-IF($BL$4="mid",AM120,AN120)</f>
        <v>-55221.25</v>
      </c>
      <c r="BU120" s="869"/>
      <c r="BV120" s="869"/>
      <c r="BW120" s="868" t="n">
        <f aca="false">Breakout!$L$15/12</f>
        <v>3860000.69962947</v>
      </c>
      <c r="BX120" s="868" t="n">
        <f aca="false">Breakout!$L$26/12</f>
        <v>136756.098506292</v>
      </c>
      <c r="BY120" s="868" t="n">
        <f aca="false">Breakout!$L$37/12</f>
        <v>68838.1976330459</v>
      </c>
      <c r="BZ120" s="868" t="n">
        <f aca="false">Breakout!$L$48/12</f>
        <v>500733.467007223</v>
      </c>
      <c r="CA120" s="868" t="n">
        <f aca="false">Breakout!$L$59/12</f>
        <v>460712.738635713</v>
      </c>
      <c r="CB120" s="868" t="n">
        <f aca="false">Breakout!$L$70/12</f>
        <v>349551.532731713</v>
      </c>
      <c r="CC120" s="868" t="n">
        <f aca="false">Breakout!$L$81/12</f>
        <v>23007.4189950019</v>
      </c>
      <c r="CD120" s="869"/>
      <c r="CE120" s="852" t="n">
        <f aca="false">P120/0.96</f>
        <v>3858444.55361073</v>
      </c>
      <c r="CF120" s="852" t="n">
        <f aca="false">S120/0.96</f>
        <v>136700.965755086</v>
      </c>
      <c r="CG120" s="852" t="n">
        <f aca="false">V120/0.96</f>
        <v>68810.4457502046</v>
      </c>
      <c r="CH120" s="869"/>
      <c r="CI120" s="852" t="n">
        <f aca="false">N120</f>
        <v>-715341.083333333</v>
      </c>
      <c r="CJ120" s="852" t="n">
        <f aca="false">O120</f>
        <v>-705333.333333333</v>
      </c>
      <c r="CK120" s="869"/>
      <c r="CL120" s="772" t="n">
        <f aca="false">'account mgt'!$L$23/12</f>
        <v>-58858.3090046488</v>
      </c>
      <c r="CM120" s="869"/>
      <c r="CN120" s="772" t="n">
        <v>0</v>
      </c>
      <c r="CO120" s="869"/>
      <c r="CP120" s="869"/>
      <c r="CQ120" s="431"/>
      <c r="CR120" s="431"/>
      <c r="CS120" s="431"/>
      <c r="CT120" s="772" t="e">
        <f aca="false">CW119</f>
        <v>#VALUE!</v>
      </c>
      <c r="CU120" s="772" t="e">
        <f aca="false">IF(CT120&lt;0.1,0,CT120*$L$3)</f>
        <v>#VALUE!</v>
      </c>
      <c r="CV120" s="772" t="e">
        <f aca="false">IF(CT120&lt;0.1,0,PPMT($L$3,A120-14,unwinds!$B$8*12,$K$5))</f>
        <v>#VALUE!</v>
      </c>
      <c r="CW120" s="772" t="e">
        <f aca="false">IF(CT120-CV120&lt;0,0,CT120-CV120)</f>
        <v>#VALUE!</v>
      </c>
      <c r="CX120" s="772" t="e">
        <f aca="false">IF(CX119-CV120&lt;0,0,CX119-CV120)</f>
        <v>#VALUE!</v>
      </c>
      <c r="CY120" s="869"/>
      <c r="DA120" s="772" t="n">
        <f aca="false">DD119</f>
        <v>5650740.78457717</v>
      </c>
      <c r="DB120" s="772" t="n">
        <f aca="false">DA120*$L$3</f>
        <v>44593.7626916215</v>
      </c>
      <c r="DC120" s="772" t="n">
        <f aca="false">PPMT($L$3,A120-14,106,$K$5)</f>
        <v>450804.308979992</v>
      </c>
      <c r="DD120" s="772" t="n">
        <f aca="false">DA120-DC120</f>
        <v>5199936.47559718</v>
      </c>
      <c r="DE120" s="772" t="n">
        <f aca="false">DE119-DC120</f>
        <v>5199936.47559718</v>
      </c>
      <c r="DF120" s="869"/>
      <c r="DG120" s="869"/>
      <c r="DH120" s="417" t="n">
        <v>-715341.083333333</v>
      </c>
      <c r="DI120" s="417" t="n">
        <v>-705333.333333333</v>
      </c>
      <c r="DJ120" s="417"/>
      <c r="DK120" s="869"/>
      <c r="DL120" s="417" t="n">
        <f aca="false">PMT($J$3,106,$I$5,,1)</f>
        <v>474832.92700925</v>
      </c>
      <c r="DM120" s="869"/>
      <c r="DN120" s="417" t="n">
        <f aca="false">IF($BL$4="mid",DH120,DI120)</f>
        <v>-715341.083333333</v>
      </c>
      <c r="DO120" s="417" t="n">
        <f aca="false">IF($BL$4="mid",DL120,L120)</f>
        <v>474832.92700925</v>
      </c>
      <c r="DP120" s="869"/>
      <c r="DQ120" s="772" t="n">
        <f aca="false">BW120-IF($BL$4="mid",Q120,R120)</f>
        <v>609418.199629467</v>
      </c>
      <c r="DR120" s="772" t="n">
        <f aca="false">BX120-IF($BL$4="mid",T120,U120)</f>
        <v>-36152.0605278244</v>
      </c>
      <c r="DS120" s="869"/>
      <c r="DT120" s="869"/>
      <c r="DU120" s="869"/>
      <c r="DV120" s="869"/>
      <c r="DW120" s="869"/>
      <c r="DX120" s="869"/>
    </row>
    <row r="121" customFormat="false" ht="12.75" hidden="false" customHeight="false" outlineLevel="0" collapsed="false">
      <c r="A121" s="767" t="n">
        <v>110</v>
      </c>
      <c r="B121" s="854" t="n">
        <v>39845</v>
      </c>
      <c r="C121" s="417" t="n">
        <v>0</v>
      </c>
      <c r="D121" s="417" t="n">
        <v>0</v>
      </c>
      <c r="E121" s="417" t="n">
        <v>0</v>
      </c>
      <c r="F121" s="417" t="n">
        <v>40714.8572712873</v>
      </c>
      <c r="G121" s="417" t="n">
        <v>450804.308979996</v>
      </c>
      <c r="H121" s="417" t="n">
        <v>0</v>
      </c>
      <c r="I121" s="417" t="n">
        <v>491519.166251284</v>
      </c>
      <c r="J121" s="417"/>
      <c r="K121" s="417"/>
      <c r="L121" s="417" t="n">
        <f aca="false">PMT($L$3,106,$K$5,,1)</f>
        <v>491519.166251281</v>
      </c>
      <c r="M121" s="417"/>
      <c r="N121" s="850" t="n">
        <f aca="false">IF(A121&lt;$B$8,0,-$R$5/12)</f>
        <v>-715341.083333333</v>
      </c>
      <c r="O121" s="850" t="n">
        <f aca="false">IF(A121&lt;$B$8,0,-$S$5/12)</f>
        <v>-705333.333333333</v>
      </c>
      <c r="P121" s="872" t="n">
        <f aca="false">Breakout!$L$16/12</f>
        <v>3704106.7714663</v>
      </c>
      <c r="Q121" s="770" t="n">
        <f aca="false">'wholesale services'!$D$110*'wholesale services'!$M$111/12</f>
        <v>3250582.5</v>
      </c>
      <c r="R121" s="770" t="n">
        <v>3320487.5</v>
      </c>
      <c r="S121" s="872" t="n">
        <f aca="false">Breakout!$L$27/12</f>
        <v>131232.927124882</v>
      </c>
      <c r="T121" s="770" t="n">
        <f aca="false">'wholesale services'!$D$113*'wholesale services'!$M$114/12</f>
        <v>172908.159034116</v>
      </c>
      <c r="U121" s="770" t="n">
        <v>176436.896973588</v>
      </c>
      <c r="V121" s="872" t="n">
        <f aca="false">Breakout!$L$38/12</f>
        <v>66058.0279201964</v>
      </c>
      <c r="W121" s="431" t="n">
        <f aca="false">Breakout!$L$39/12</f>
        <v>75637.7014665813</v>
      </c>
      <c r="X121" s="431" t="n">
        <v>76451.0100845016</v>
      </c>
      <c r="Y121" s="872" t="n">
        <f aca="false">Breakout!$L$49/12</f>
        <v>480510.334109343</v>
      </c>
      <c r="Z121" s="873" t="n">
        <f aca="false">Breakout!$L$50/12</f>
        <v>458858.297971647</v>
      </c>
      <c r="AA121" s="873" t="n">
        <v>481998.753342911</v>
      </c>
      <c r="AB121" s="872" t="n">
        <f aca="false">Breakout!$L$60/12</f>
        <v>442105.923723057</v>
      </c>
      <c r="AC121" s="873" t="n">
        <f aca="false">Breakout!$L$61/12</f>
        <v>454595.662851577</v>
      </c>
      <c r="AD121" s="873" t="n">
        <v>468770.137862539</v>
      </c>
      <c r="AE121" s="872" t="n">
        <f aca="false">Breakout!$L$71/12</f>
        <v>335434.187743088</v>
      </c>
      <c r="AF121" s="873" t="n">
        <f aca="false">Breakout!$L$72/12</f>
        <v>316520.666666667</v>
      </c>
      <c r="AG121" s="873" t="n">
        <v>316520.666666667</v>
      </c>
      <c r="AH121" s="872" t="n">
        <f aca="false">Breakout!$L$82/12</f>
        <v>22078.2178877662</v>
      </c>
      <c r="AI121" s="873" t="n">
        <f aca="false">Breakout!$L$83/12</f>
        <v>0</v>
      </c>
      <c r="AJ121" s="873" t="n">
        <v>0</v>
      </c>
      <c r="AK121" s="874" t="n">
        <f aca="false">Breakout!$L$91/12</f>
        <v>296858.282758964</v>
      </c>
      <c r="AL121" s="874" t="n">
        <v>296858.282758963</v>
      </c>
      <c r="AM121" s="773" t="n">
        <f aca="false">(Breakout!$L$107/12)*-1</f>
        <v>55221.25</v>
      </c>
      <c r="AN121" s="773" t="n">
        <v>55221.25</v>
      </c>
      <c r="AO121" s="774" t="n">
        <f aca="false">(P121+S121+V121)+Y121+AB121+AE121+AH121</f>
        <v>5181526.38997464</v>
      </c>
      <c r="AP121" s="774" t="n">
        <f aca="false">Q121+T121+W121+AA121+AD121+AG121+AJ121+AL121+AN121</f>
        <v>5118497.45113178</v>
      </c>
      <c r="AQ121" s="775" t="n">
        <f aca="false">P121+S121+V121+Y121+AB121+AE121+AH121-Q121-T121-W121-Z121-AC121-AF121-AI121-AK121-AM121-DH121-DL121-CN121</f>
        <v>340852.025549168</v>
      </c>
      <c r="AR121" s="431"/>
      <c r="AS121" s="776" t="n">
        <f aca="false">P121+S121+V121+Y121+AB121+AE121+AH121-R121-U121-X121-AA121-AD121-AG121-AJ121-AL121-AN121-O121-L121-CN121</f>
        <v>202596.059367519</v>
      </c>
      <c r="AT121" s="431"/>
      <c r="AU121" s="770" t="n">
        <f aca="false">'wholesale services'!$M$110/12</f>
        <v>39106610.7060185</v>
      </c>
      <c r="AV121" s="770" t="n">
        <f aca="false">'wholesale services'!$M$113/12</f>
        <v>17613.2558333333</v>
      </c>
      <c r="AW121" s="431"/>
      <c r="AX121" s="851" t="n">
        <f aca="false">IF(A121&lt;$AX$6,0,-$R$5/12)</f>
        <v>-715341.083333333</v>
      </c>
      <c r="AY121" s="417" t="n">
        <f aca="false">IF(A121&lt;$AX$6,0,-$S$5/12)</f>
        <v>-705333.333333333</v>
      </c>
      <c r="AZ121" s="431"/>
      <c r="BA121" s="772" t="n">
        <f aca="false">P121-IF($BL$4="mid",Q121,R121)-$BL$9*(IF($BL$4="mid",N121,O121)+IF($BL$4="mid",DL121,L121))</f>
        <v>682007.019974183</v>
      </c>
      <c r="BB121" s="772" t="n">
        <f aca="false">S121-IF($BL$4="mid",T121,U121)-$BM$9*(IF($BL$4="mid",N121,O121)+IF($BL$4="mid",DL121,L121))</f>
        <v>-29649.8240930297</v>
      </c>
      <c r="BC121" s="772" t="n">
        <f aca="false">V121-IF($BL$4="mid",W121,X121)-$BN$9*(IF($BL$4="mid",N121,O121)+IF($BL$4="mid",DL121,L121))</f>
        <v>-9579.67354638496</v>
      </c>
      <c r="BD121" s="772" t="n">
        <f aca="false">Y121-IF($BL$4="mid",Z121,AA121)</f>
        <v>21652.0361376955</v>
      </c>
      <c r="BE121" s="772" t="n">
        <f aca="false">AB121-IF($BL$4="mid",AC121,AD121)</f>
        <v>-12489.7391285199</v>
      </c>
      <c r="BF121" s="772" t="n">
        <f aca="false">AE121-IF($BL$4="mid",AF121,AG121)</f>
        <v>18913.5210764216</v>
      </c>
      <c r="BG121" s="772" t="n">
        <f aca="false">AH121-IF($BL$4="mid",AI121,AJ121)</f>
        <v>22078.2178877662</v>
      </c>
      <c r="BH121" s="772" t="n">
        <f aca="false">-IF($BL$4="mid",AK121,AL121)</f>
        <v>-296858.282758964</v>
      </c>
      <c r="BI121" s="772" t="n">
        <f aca="false">-IF($BL$4="mid",AM121,AN121)</f>
        <v>-55221.25</v>
      </c>
      <c r="BL121" s="772" t="n">
        <f aca="false">BW121-IF($BL$4="mid",Q121,R121)-$BL$9*(IF($BL$4="mid",N121,O121)+IF($BL$4="mid",DL121,L121))</f>
        <v>837900.948137346</v>
      </c>
      <c r="BM121" s="772" t="n">
        <f aca="false">BX121-IF($BL$4="mid",T121,U121)-$BM$9*(IF($BL$4="mid",N121,O121)+IF($BL$4="mid",DL121,L121))</f>
        <v>-24126.6527116202</v>
      </c>
      <c r="BN121" s="772" t="n">
        <f aca="false">BY121-IF($BL$4="mid",W121,X121)-$BN$9*(IF($BL$4="mid",N121,O121)+IF($BL$4="mid",DL121,L121))</f>
        <v>-6799.50383353548</v>
      </c>
      <c r="BO121" s="772" t="n">
        <f aca="false">BZ121-IF($BL$4="mid",Z121,AA121)</f>
        <v>41875.1690355751</v>
      </c>
      <c r="BP121" s="772" t="n">
        <f aca="false">CA121-IF($BL$4="mid",AC121,AD121)</f>
        <v>6117.07578413666</v>
      </c>
      <c r="BQ121" s="772" t="n">
        <f aca="false">CB121-IF($BL$4="mid",AF121,AG121)</f>
        <v>33030.8660650461</v>
      </c>
      <c r="BR121" s="772" t="n">
        <f aca="false">CC121-IF($BL$4="mid",AI121,AJ121)</f>
        <v>23007.4189950019</v>
      </c>
      <c r="BS121" s="772" t="n">
        <f aca="false">-IF($BL$4="mid",AK121,AL121)</f>
        <v>-296858.282758964</v>
      </c>
      <c r="BT121" s="772" t="n">
        <f aca="false">-IF($BL$4="mid",AM121,AN121)</f>
        <v>-55221.25</v>
      </c>
      <c r="BW121" s="872" t="n">
        <f aca="false">Breakout!$L$15/12</f>
        <v>3860000.69962947</v>
      </c>
      <c r="BX121" s="872" t="n">
        <f aca="false">Breakout!$L$26/12</f>
        <v>136756.098506292</v>
      </c>
      <c r="BY121" s="872" t="n">
        <f aca="false">Breakout!$L$37/12</f>
        <v>68838.1976330459</v>
      </c>
      <c r="BZ121" s="872" t="n">
        <f aca="false">Breakout!$L$48/12</f>
        <v>500733.467007223</v>
      </c>
      <c r="CA121" s="872" t="n">
        <f aca="false">Breakout!$L$59/12</f>
        <v>460712.738635713</v>
      </c>
      <c r="CB121" s="872" t="n">
        <f aca="false">Breakout!$L$70/12</f>
        <v>349551.532731713</v>
      </c>
      <c r="CC121" s="872" t="n">
        <f aca="false">Breakout!$L$81/12</f>
        <v>23007.4189950019</v>
      </c>
      <c r="CE121" s="852" t="n">
        <f aca="false">P121/0.96</f>
        <v>3858444.55361073</v>
      </c>
      <c r="CF121" s="852" t="n">
        <f aca="false">S121/0.96</f>
        <v>136700.965755086</v>
      </c>
      <c r="CG121" s="852" t="n">
        <f aca="false">V121/0.96</f>
        <v>68810.4457502046</v>
      </c>
      <c r="CI121" s="852" t="n">
        <f aca="false">N121</f>
        <v>-715341.083333333</v>
      </c>
      <c r="CJ121" s="852" t="n">
        <f aca="false">O121</f>
        <v>-705333.333333333</v>
      </c>
      <c r="CL121" s="772" t="n">
        <f aca="false">'account mgt'!$L$23/12</f>
        <v>-58858.3090046488</v>
      </c>
      <c r="CN121" s="772" t="n">
        <v>0</v>
      </c>
      <c r="CT121" s="772" t="e">
        <f aca="false">CW120</f>
        <v>#VALUE!</v>
      </c>
      <c r="CU121" s="772" t="e">
        <f aca="false">IF(CT121&lt;0.1,0,CT121*$L$3)</f>
        <v>#VALUE!</v>
      </c>
      <c r="CV121" s="772" t="e">
        <f aca="false">IF(CT121&lt;0.1,0,PPMT($L$3,A121-14,unwinds!$B$8*12,$K$5))</f>
        <v>#VALUE!</v>
      </c>
      <c r="CW121" s="772" t="e">
        <f aca="false">IF(CT121-CV121&lt;0,0,CT121-CV121)</f>
        <v>#VALUE!</v>
      </c>
      <c r="CX121" s="772" t="e">
        <f aca="false">IF(CX120-CV121&lt;0,0,CX120-CV121)</f>
        <v>#VALUE!</v>
      </c>
      <c r="DA121" s="772" t="n">
        <f aca="false">DD120</f>
        <v>5199936.47559718</v>
      </c>
      <c r="DB121" s="772" t="n">
        <f aca="false">DA121*$L$3</f>
        <v>41036.1653532544</v>
      </c>
      <c r="DC121" s="772" t="n">
        <f aca="false">PPMT($L$3,A121-14,106,$K$5)</f>
        <v>454361.906318359</v>
      </c>
      <c r="DD121" s="772" t="n">
        <f aca="false">DA121-DC121</f>
        <v>4745574.56927882</v>
      </c>
      <c r="DE121" s="772" t="n">
        <f aca="false">DE120-DC121</f>
        <v>4745574.56927882</v>
      </c>
      <c r="DH121" s="417" t="n">
        <v>-715341.083333333</v>
      </c>
      <c r="DI121" s="417" t="n">
        <v>-705333.333333333</v>
      </c>
      <c r="DJ121" s="417"/>
      <c r="DL121" s="417" t="n">
        <f aca="false">PMT($J$3,106,$I$5,,1)</f>
        <v>474832.92700925</v>
      </c>
      <c r="DN121" s="417" t="n">
        <f aca="false">IF($BL$4="mid",DH121,DI121)</f>
        <v>-715341.083333333</v>
      </c>
      <c r="DO121" s="417" t="n">
        <f aca="false">IF($BL$4="mid",DL121,L121)</f>
        <v>474832.92700925</v>
      </c>
      <c r="DQ121" s="772" t="n">
        <f aca="false">BW121-IF($BL$4="mid",Q121,R121)</f>
        <v>609418.199629467</v>
      </c>
      <c r="DR121" s="772" t="n">
        <f aca="false">BX121-IF($BL$4="mid",T121,U121)</f>
        <v>-36152.0605278244</v>
      </c>
      <c r="DS121" s="772"/>
      <c r="DT121" s="772"/>
      <c r="DU121" s="772"/>
      <c r="DV121" s="772"/>
      <c r="DW121" s="772"/>
      <c r="DX121" s="772"/>
    </row>
    <row r="122" customFormat="false" ht="12.75" hidden="false" customHeight="false" outlineLevel="0" collapsed="false">
      <c r="A122" s="767" t="n">
        <v>111</v>
      </c>
      <c r="B122" s="854" t="n">
        <v>39873</v>
      </c>
      <c r="C122" s="417" t="n">
        <v>0</v>
      </c>
      <c r="D122" s="417" t="n">
        <v>0</v>
      </c>
      <c r="E122" s="417" t="n">
        <v>0</v>
      </c>
      <c r="F122" s="417" t="n">
        <v>37157.2599329202</v>
      </c>
      <c r="G122" s="417" t="n">
        <v>454361.906318363</v>
      </c>
      <c r="H122" s="417" t="n">
        <v>0</v>
      </c>
      <c r="I122" s="417" t="n">
        <v>491519.166251284</v>
      </c>
      <c r="J122" s="417"/>
      <c r="K122" s="417"/>
      <c r="L122" s="417" t="n">
        <f aca="false">PMT($L$3,106,$K$5,,1)</f>
        <v>491519.166251281</v>
      </c>
      <c r="M122" s="417"/>
      <c r="N122" s="850" t="n">
        <f aca="false">IF(A122&lt;$B$8,0,-$R$5/12)</f>
        <v>-715341.083333333</v>
      </c>
      <c r="O122" s="850" t="n">
        <f aca="false">IF(A122&lt;$B$8,0,-$S$5/12)</f>
        <v>-705333.333333333</v>
      </c>
      <c r="P122" s="872" t="n">
        <f aca="false">Breakout!$L$16/12</f>
        <v>3704106.7714663</v>
      </c>
      <c r="Q122" s="770" t="n">
        <f aca="false">'wholesale services'!$D$110*'wholesale services'!$M$111/12</f>
        <v>3250582.5</v>
      </c>
      <c r="R122" s="770" t="n">
        <v>3320487.5</v>
      </c>
      <c r="S122" s="872" t="n">
        <f aca="false">Breakout!$L$27/12</f>
        <v>131232.927124882</v>
      </c>
      <c r="T122" s="770" t="n">
        <f aca="false">'wholesale services'!$D$113*'wholesale services'!$M$114/12</f>
        <v>172908.159034116</v>
      </c>
      <c r="U122" s="770" t="n">
        <v>176436.896973588</v>
      </c>
      <c r="V122" s="872" t="n">
        <f aca="false">Breakout!$L$38/12</f>
        <v>66058.0279201964</v>
      </c>
      <c r="W122" s="431" t="n">
        <f aca="false">Breakout!$L$39/12</f>
        <v>75637.7014665813</v>
      </c>
      <c r="X122" s="431" t="n">
        <v>76451.0100845016</v>
      </c>
      <c r="Y122" s="872" t="n">
        <f aca="false">Breakout!$L$49/12</f>
        <v>480510.334109343</v>
      </c>
      <c r="Z122" s="873" t="n">
        <f aca="false">Breakout!$L$50/12</f>
        <v>458858.297971647</v>
      </c>
      <c r="AA122" s="873" t="n">
        <v>481998.753342911</v>
      </c>
      <c r="AB122" s="872" t="n">
        <f aca="false">Breakout!$L$60/12</f>
        <v>442105.923723057</v>
      </c>
      <c r="AC122" s="873" t="n">
        <f aca="false">Breakout!$L$61/12</f>
        <v>454595.662851577</v>
      </c>
      <c r="AD122" s="873" t="n">
        <v>468770.137862539</v>
      </c>
      <c r="AE122" s="872" t="n">
        <f aca="false">Breakout!$L$71/12</f>
        <v>335434.187743088</v>
      </c>
      <c r="AF122" s="873" t="n">
        <f aca="false">Breakout!$L$72/12</f>
        <v>316520.666666667</v>
      </c>
      <c r="AG122" s="873" t="n">
        <v>316520.666666667</v>
      </c>
      <c r="AH122" s="872" t="n">
        <f aca="false">Breakout!$L$82/12</f>
        <v>22078.2178877662</v>
      </c>
      <c r="AI122" s="873" t="n">
        <f aca="false">Breakout!$L$83/12</f>
        <v>0</v>
      </c>
      <c r="AJ122" s="873" t="n">
        <v>0</v>
      </c>
      <c r="AK122" s="874" t="n">
        <f aca="false">Breakout!$L$91/12</f>
        <v>296858.282758964</v>
      </c>
      <c r="AL122" s="874" t="n">
        <v>296858.282758963</v>
      </c>
      <c r="AM122" s="773" t="n">
        <f aca="false">(Breakout!$L$107/12)*-1</f>
        <v>55221.25</v>
      </c>
      <c r="AN122" s="773" t="n">
        <v>55221.25</v>
      </c>
      <c r="AO122" s="774" t="n">
        <f aca="false">(P122+S122+V122)+Y122+AB122+AE122+AH122</f>
        <v>5181526.38997464</v>
      </c>
      <c r="AP122" s="774" t="n">
        <f aca="false">Q122+T122+W122+AA122+AD122+AG122+AJ122+AL122+AN122</f>
        <v>5118497.45113178</v>
      </c>
      <c r="AQ122" s="775" t="n">
        <f aca="false">P122+S122+V122+Y122+AB122+AE122+AH122-Q122-T122-W122-Z122-AC122-AF122-AI122-AK122-AM122-DH122-DL122-CN122</f>
        <v>340852.025549168</v>
      </c>
      <c r="AR122" s="431"/>
      <c r="AS122" s="776" t="n">
        <f aca="false">P122+S122+V122+Y122+AB122+AE122+AH122-R122-U122-X122-AA122-AD122-AG122-AJ122-AL122-AN122-O122-L122-CN122</f>
        <v>202596.059367519</v>
      </c>
      <c r="AT122" s="431"/>
      <c r="AU122" s="770" t="n">
        <f aca="false">'wholesale services'!$M$110/12</f>
        <v>39106610.7060185</v>
      </c>
      <c r="AV122" s="770" t="n">
        <f aca="false">'wholesale services'!$M$113/12</f>
        <v>17613.2558333333</v>
      </c>
      <c r="AW122" s="431"/>
      <c r="AX122" s="851" t="n">
        <f aca="false">IF(A122&lt;$AX$6,0,-$R$5/12)</f>
        <v>-715341.083333333</v>
      </c>
      <c r="AY122" s="417" t="n">
        <f aca="false">IF(A122&lt;$AX$6,0,-$S$5/12)</f>
        <v>-705333.333333333</v>
      </c>
      <c r="AZ122" s="431"/>
      <c r="BA122" s="772" t="n">
        <f aca="false">P122-IF($BL$4="mid",Q122,R122)-$BL$9*(IF($BL$4="mid",N122,O122)+IF($BL$4="mid",DL122,L122))</f>
        <v>682007.019974183</v>
      </c>
      <c r="BB122" s="772" t="n">
        <f aca="false">S122-IF($BL$4="mid",T122,U122)-$BM$9*(IF($BL$4="mid",N122,O122)+IF($BL$4="mid",DL122,L122))</f>
        <v>-29649.8240930297</v>
      </c>
      <c r="BC122" s="772" t="n">
        <f aca="false">V122-IF($BL$4="mid",W122,X122)-$BN$9*(IF($BL$4="mid",N122,O122)+IF($BL$4="mid",DL122,L122))</f>
        <v>-9579.67354638496</v>
      </c>
      <c r="BD122" s="772" t="n">
        <f aca="false">Y122-IF($BL$4="mid",Z122,AA122)</f>
        <v>21652.0361376955</v>
      </c>
      <c r="BE122" s="772" t="n">
        <f aca="false">AB122-IF($BL$4="mid",AC122,AD122)</f>
        <v>-12489.7391285199</v>
      </c>
      <c r="BF122" s="772" t="n">
        <f aca="false">AE122-IF($BL$4="mid",AF122,AG122)</f>
        <v>18913.5210764216</v>
      </c>
      <c r="BG122" s="772" t="n">
        <f aca="false">AH122-IF($BL$4="mid",AI122,AJ122)</f>
        <v>22078.2178877662</v>
      </c>
      <c r="BH122" s="772" t="n">
        <f aca="false">-IF($BL$4="mid",AK122,AL122)</f>
        <v>-296858.282758964</v>
      </c>
      <c r="BI122" s="772" t="n">
        <f aca="false">-IF($BL$4="mid",AM122,AN122)</f>
        <v>-55221.25</v>
      </c>
      <c r="BL122" s="772" t="n">
        <f aca="false">BW122-IF($BL$4="mid",Q122,R122)-$BL$9*(IF($BL$4="mid",N122,O122)+IF($BL$4="mid",DL122,L122))</f>
        <v>837900.948137346</v>
      </c>
      <c r="BM122" s="772" t="n">
        <f aca="false">BX122-IF($BL$4="mid",T122,U122)-$BM$9*(IF($BL$4="mid",N122,O122)+IF($BL$4="mid",DL122,L122))</f>
        <v>-24126.6527116202</v>
      </c>
      <c r="BN122" s="772" t="n">
        <f aca="false">BY122-IF($BL$4="mid",W122,X122)-$BN$9*(IF($BL$4="mid",N122,O122)+IF($BL$4="mid",DL122,L122))</f>
        <v>-6799.50383353548</v>
      </c>
      <c r="BO122" s="772" t="n">
        <f aca="false">BZ122-IF($BL$4="mid",Z122,AA122)</f>
        <v>41875.1690355751</v>
      </c>
      <c r="BP122" s="772" t="n">
        <f aca="false">CA122-IF($BL$4="mid",AC122,AD122)</f>
        <v>6117.07578413666</v>
      </c>
      <c r="BQ122" s="772" t="n">
        <f aca="false">CB122-IF($BL$4="mid",AF122,AG122)</f>
        <v>33030.8660650461</v>
      </c>
      <c r="BR122" s="772" t="n">
        <f aca="false">CC122-IF($BL$4="mid",AI122,AJ122)</f>
        <v>23007.4189950019</v>
      </c>
      <c r="BS122" s="772" t="n">
        <f aca="false">-IF($BL$4="mid",AK122,AL122)</f>
        <v>-296858.282758964</v>
      </c>
      <c r="BT122" s="772" t="n">
        <f aca="false">-IF($BL$4="mid",AM122,AN122)</f>
        <v>-55221.25</v>
      </c>
      <c r="BW122" s="872" t="n">
        <f aca="false">Breakout!$L$15/12</f>
        <v>3860000.69962947</v>
      </c>
      <c r="BX122" s="872" t="n">
        <f aca="false">Breakout!$L$26/12</f>
        <v>136756.098506292</v>
      </c>
      <c r="BY122" s="872" t="n">
        <f aca="false">Breakout!$L$37/12</f>
        <v>68838.1976330459</v>
      </c>
      <c r="BZ122" s="872" t="n">
        <f aca="false">Breakout!$L$48/12</f>
        <v>500733.467007223</v>
      </c>
      <c r="CA122" s="872" t="n">
        <f aca="false">Breakout!$L$59/12</f>
        <v>460712.738635713</v>
      </c>
      <c r="CB122" s="872" t="n">
        <f aca="false">Breakout!$L$70/12</f>
        <v>349551.532731713</v>
      </c>
      <c r="CC122" s="872" t="n">
        <f aca="false">Breakout!$L$81/12</f>
        <v>23007.4189950019</v>
      </c>
      <c r="CE122" s="852" t="n">
        <f aca="false">P122/0.96</f>
        <v>3858444.55361073</v>
      </c>
      <c r="CF122" s="852" t="n">
        <f aca="false">S122/0.96</f>
        <v>136700.965755086</v>
      </c>
      <c r="CG122" s="852" t="n">
        <f aca="false">V122/0.96</f>
        <v>68810.4457502046</v>
      </c>
      <c r="CI122" s="852" t="n">
        <f aca="false">N122</f>
        <v>-715341.083333333</v>
      </c>
      <c r="CJ122" s="852" t="n">
        <f aca="false">O122</f>
        <v>-705333.333333333</v>
      </c>
      <c r="CL122" s="772" t="n">
        <f aca="false">'account mgt'!$L$23/12</f>
        <v>-58858.3090046488</v>
      </c>
      <c r="CN122" s="772" t="n">
        <v>0</v>
      </c>
      <c r="CT122" s="772" t="e">
        <f aca="false">CW121</f>
        <v>#VALUE!</v>
      </c>
      <c r="CU122" s="772" t="e">
        <f aca="false">IF(CT122&lt;0.1,0,CT122*$L$3)</f>
        <v>#VALUE!</v>
      </c>
      <c r="CV122" s="772" t="e">
        <f aca="false">IF(CT122&lt;0.1,0,PPMT($L$3,A122-14,unwinds!$B$8*12,$K$5))</f>
        <v>#VALUE!</v>
      </c>
      <c r="CW122" s="772" t="e">
        <f aca="false">IF(CT122-CV122&lt;0,0,CT122-CV122)</f>
        <v>#VALUE!</v>
      </c>
      <c r="CX122" s="772" t="e">
        <f aca="false">IF(CX121-CV122&lt;0,0,CX121-CV122)</f>
        <v>#VALUE!</v>
      </c>
      <c r="DA122" s="772" t="n">
        <f aca="false">DD121</f>
        <v>4745574.56927882</v>
      </c>
      <c r="DB122" s="772" t="n">
        <f aca="false">DA122*$L$3</f>
        <v>37450.4926425587</v>
      </c>
      <c r="DC122" s="772" t="n">
        <f aca="false">PPMT($L$3,A122-14,106,$K$5)</f>
        <v>457947.579029054</v>
      </c>
      <c r="DD122" s="772" t="n">
        <f aca="false">DA122-DC122</f>
        <v>4287626.99024977</v>
      </c>
      <c r="DE122" s="772" t="n">
        <f aca="false">DE121-DC122</f>
        <v>4287626.99024977</v>
      </c>
      <c r="DH122" s="417" t="n">
        <v>-715341.083333333</v>
      </c>
      <c r="DI122" s="417" t="n">
        <v>-705333.333333333</v>
      </c>
      <c r="DJ122" s="417"/>
      <c r="DL122" s="417" t="n">
        <f aca="false">PMT($J$3,106,$I$5,,1)</f>
        <v>474832.92700925</v>
      </c>
      <c r="DN122" s="417" t="n">
        <f aca="false">IF($BL$4="mid",DH122,DI122)</f>
        <v>-715341.083333333</v>
      </c>
      <c r="DO122" s="417" t="n">
        <f aca="false">IF($BL$4="mid",DL122,L122)</f>
        <v>474832.92700925</v>
      </c>
      <c r="DQ122" s="772" t="n">
        <f aca="false">BW122-IF($BL$4="mid",Q122,R122)</f>
        <v>609418.199629467</v>
      </c>
      <c r="DR122" s="772" t="n">
        <f aca="false">BX122-IF($BL$4="mid",T122,U122)</f>
        <v>-36152.0605278244</v>
      </c>
      <c r="DS122" s="772"/>
      <c r="DT122" s="772"/>
      <c r="DU122" s="772"/>
      <c r="DV122" s="772"/>
      <c r="DW122" s="772"/>
      <c r="DX122" s="772"/>
    </row>
    <row r="123" customFormat="false" ht="12.75" hidden="false" customHeight="false" outlineLevel="0" collapsed="false">
      <c r="A123" s="767" t="n">
        <v>112</v>
      </c>
      <c r="B123" s="854" t="n">
        <v>39904</v>
      </c>
      <c r="C123" s="417" t="n">
        <v>0</v>
      </c>
      <c r="D123" s="417" t="n">
        <v>0</v>
      </c>
      <c r="E123" s="417" t="n">
        <v>0</v>
      </c>
      <c r="F123" s="417" t="n">
        <v>33571.5872222246</v>
      </c>
      <c r="G123" s="417" t="n">
        <v>457947.579029059</v>
      </c>
      <c r="H123" s="417" t="n">
        <v>0</v>
      </c>
      <c r="I123" s="417" t="n">
        <v>491519.166251284</v>
      </c>
      <c r="J123" s="417"/>
      <c r="K123" s="417"/>
      <c r="L123" s="417" t="n">
        <f aca="false">PMT($L$3,106,$K$5,,1)</f>
        <v>491519.166251281</v>
      </c>
      <c r="M123" s="417"/>
      <c r="N123" s="850" t="n">
        <f aca="false">IF(A123&lt;$B$8,0,-$R$5/12)</f>
        <v>-715341.083333333</v>
      </c>
      <c r="O123" s="850" t="n">
        <f aca="false">IF(A123&lt;$B$8,0,-$S$5/12)</f>
        <v>-705333.333333333</v>
      </c>
      <c r="P123" s="872" t="n">
        <f aca="false">Breakout!$L$16/12</f>
        <v>3704106.7714663</v>
      </c>
      <c r="Q123" s="770" t="n">
        <f aca="false">'wholesale services'!$D$110*'wholesale services'!$M$111/12</f>
        <v>3250582.5</v>
      </c>
      <c r="R123" s="770" t="n">
        <v>3320487.5</v>
      </c>
      <c r="S123" s="872" t="n">
        <f aca="false">Breakout!$L$27/12</f>
        <v>131232.927124882</v>
      </c>
      <c r="T123" s="770" t="n">
        <f aca="false">'wholesale services'!$D$113*'wholesale services'!$M$114/12</f>
        <v>172908.159034116</v>
      </c>
      <c r="U123" s="770" t="n">
        <v>176436.896973588</v>
      </c>
      <c r="V123" s="872" t="n">
        <f aca="false">Breakout!$L$38/12</f>
        <v>66058.0279201964</v>
      </c>
      <c r="W123" s="431" t="n">
        <f aca="false">Breakout!$L$39/12</f>
        <v>75637.7014665813</v>
      </c>
      <c r="X123" s="431" t="n">
        <v>76451.0100845016</v>
      </c>
      <c r="Y123" s="872" t="n">
        <f aca="false">Breakout!$L$49/12</f>
        <v>480510.334109343</v>
      </c>
      <c r="Z123" s="873" t="n">
        <f aca="false">Breakout!$L$50/12</f>
        <v>458858.297971647</v>
      </c>
      <c r="AA123" s="873" t="n">
        <v>481998.753342911</v>
      </c>
      <c r="AB123" s="872" t="n">
        <f aca="false">Breakout!$L$60/12</f>
        <v>442105.923723057</v>
      </c>
      <c r="AC123" s="873" t="n">
        <f aca="false">Breakout!$L$61/12</f>
        <v>454595.662851577</v>
      </c>
      <c r="AD123" s="873" t="n">
        <v>468770.137862539</v>
      </c>
      <c r="AE123" s="872" t="n">
        <f aca="false">Breakout!$L$71/12</f>
        <v>335434.187743088</v>
      </c>
      <c r="AF123" s="873" t="n">
        <f aca="false">Breakout!$L$72/12</f>
        <v>316520.666666667</v>
      </c>
      <c r="AG123" s="873" t="n">
        <v>316520.666666667</v>
      </c>
      <c r="AH123" s="872" t="n">
        <f aca="false">Breakout!$L$82/12</f>
        <v>22078.2178877662</v>
      </c>
      <c r="AI123" s="873" t="n">
        <f aca="false">Breakout!$L$83/12</f>
        <v>0</v>
      </c>
      <c r="AJ123" s="873" t="n">
        <v>0</v>
      </c>
      <c r="AK123" s="874" t="n">
        <f aca="false">Breakout!$L$91/12</f>
        <v>296858.282758964</v>
      </c>
      <c r="AL123" s="874" t="n">
        <v>296858.282758963</v>
      </c>
      <c r="AM123" s="773" t="n">
        <f aca="false">(Breakout!$L$107/12)*-1</f>
        <v>55221.25</v>
      </c>
      <c r="AN123" s="773" t="n">
        <v>55221.25</v>
      </c>
      <c r="AO123" s="774" t="n">
        <f aca="false">(P123+S123+V123)+Y123+AB123+AE123+AH123</f>
        <v>5181526.38997464</v>
      </c>
      <c r="AP123" s="774" t="n">
        <f aca="false">Q123+T123+W123+AA123+AD123+AG123+AJ123+AL123+AN123</f>
        <v>5118497.45113178</v>
      </c>
      <c r="AQ123" s="775" t="n">
        <f aca="false">P123+S123+V123+Y123+AB123+AE123+AH123-Q123-T123-W123-Z123-AC123-AF123-AI123-AK123-AM123-DH123-DL123-CN123</f>
        <v>340852.025549168</v>
      </c>
      <c r="AR123" s="431"/>
      <c r="AS123" s="776" t="n">
        <f aca="false">P123+S123+V123+Y123+AB123+AE123+AH123-R123-U123-X123-AA123-AD123-AG123-AJ123-AL123-AN123-O123-L123-CN123</f>
        <v>202596.059367519</v>
      </c>
      <c r="AT123" s="431"/>
      <c r="AU123" s="770" t="n">
        <f aca="false">'wholesale services'!$M$110/12</f>
        <v>39106610.7060185</v>
      </c>
      <c r="AV123" s="770" t="n">
        <f aca="false">'wholesale services'!$M$113/12</f>
        <v>17613.2558333333</v>
      </c>
      <c r="AW123" s="431"/>
      <c r="AX123" s="851" t="n">
        <f aca="false">IF(A123&lt;$AX$6,0,-$R$5/12)</f>
        <v>-715341.083333333</v>
      </c>
      <c r="AY123" s="417" t="n">
        <f aca="false">IF(A123&lt;$AX$6,0,-$S$5/12)</f>
        <v>-705333.333333333</v>
      </c>
      <c r="AZ123" s="431"/>
      <c r="BA123" s="772" t="n">
        <f aca="false">P123-IF($BL$4="mid",Q123,R123)-$BL$9*(IF($BL$4="mid",N123,O123)+IF($BL$4="mid",DL123,L123))</f>
        <v>682007.019974183</v>
      </c>
      <c r="BB123" s="772" t="n">
        <f aca="false">S123-IF($BL$4="mid",T123,U123)-$BM$9*(IF($BL$4="mid",N123,O123)+IF($BL$4="mid",DL123,L123))</f>
        <v>-29649.8240930297</v>
      </c>
      <c r="BC123" s="772" t="n">
        <f aca="false">V123-IF($BL$4="mid",W123,X123)-$BN$9*(IF($BL$4="mid",N123,O123)+IF($BL$4="mid",DL123,L123))</f>
        <v>-9579.67354638496</v>
      </c>
      <c r="BD123" s="772" t="n">
        <f aca="false">Y123-IF($BL$4="mid",Z123,AA123)</f>
        <v>21652.0361376955</v>
      </c>
      <c r="BE123" s="772" t="n">
        <f aca="false">AB123-IF($BL$4="mid",AC123,AD123)</f>
        <v>-12489.7391285199</v>
      </c>
      <c r="BF123" s="772" t="n">
        <f aca="false">AE123-IF($BL$4="mid",AF123,AG123)</f>
        <v>18913.5210764216</v>
      </c>
      <c r="BG123" s="772" t="n">
        <f aca="false">AH123-IF($BL$4="mid",AI123,AJ123)</f>
        <v>22078.2178877662</v>
      </c>
      <c r="BH123" s="772" t="n">
        <f aca="false">-IF($BL$4="mid",AK123,AL123)</f>
        <v>-296858.282758964</v>
      </c>
      <c r="BI123" s="772" t="n">
        <f aca="false">-IF($BL$4="mid",AM123,AN123)</f>
        <v>-55221.25</v>
      </c>
      <c r="BL123" s="772" t="n">
        <f aca="false">BW123-IF($BL$4="mid",Q123,R123)-$BL$9*(IF($BL$4="mid",N123,O123)+IF($BL$4="mid",DL123,L123))</f>
        <v>837900.948137346</v>
      </c>
      <c r="BM123" s="772" t="n">
        <f aca="false">BX123-IF($BL$4="mid",T123,U123)-$BM$9*(IF($BL$4="mid",N123,O123)+IF($BL$4="mid",DL123,L123))</f>
        <v>-24126.6527116202</v>
      </c>
      <c r="BN123" s="772" t="n">
        <f aca="false">BY123-IF($BL$4="mid",W123,X123)-$BN$9*(IF($BL$4="mid",N123,O123)+IF($BL$4="mid",DL123,L123))</f>
        <v>-6799.50383353548</v>
      </c>
      <c r="BO123" s="772" t="n">
        <f aca="false">BZ123-IF($BL$4="mid",Z123,AA123)</f>
        <v>41875.1690355751</v>
      </c>
      <c r="BP123" s="772" t="n">
        <f aca="false">CA123-IF($BL$4="mid",AC123,AD123)</f>
        <v>6117.07578413666</v>
      </c>
      <c r="BQ123" s="772" t="n">
        <f aca="false">CB123-IF($BL$4="mid",AF123,AG123)</f>
        <v>33030.8660650461</v>
      </c>
      <c r="BR123" s="772" t="n">
        <f aca="false">CC123-IF($BL$4="mid",AI123,AJ123)</f>
        <v>23007.4189950019</v>
      </c>
      <c r="BS123" s="772" t="n">
        <f aca="false">-IF($BL$4="mid",AK123,AL123)</f>
        <v>-296858.282758964</v>
      </c>
      <c r="BT123" s="772" t="n">
        <f aca="false">-IF($BL$4="mid",AM123,AN123)</f>
        <v>-55221.25</v>
      </c>
      <c r="BW123" s="872" t="n">
        <f aca="false">Breakout!$L$15/12</f>
        <v>3860000.69962947</v>
      </c>
      <c r="BX123" s="872" t="n">
        <f aca="false">Breakout!$L$26/12</f>
        <v>136756.098506292</v>
      </c>
      <c r="BY123" s="872" t="n">
        <f aca="false">Breakout!$L$37/12</f>
        <v>68838.1976330459</v>
      </c>
      <c r="BZ123" s="872" t="n">
        <f aca="false">Breakout!$L$48/12</f>
        <v>500733.467007223</v>
      </c>
      <c r="CA123" s="872" t="n">
        <f aca="false">Breakout!$L$59/12</f>
        <v>460712.738635713</v>
      </c>
      <c r="CB123" s="872" t="n">
        <f aca="false">Breakout!$L$70/12</f>
        <v>349551.532731713</v>
      </c>
      <c r="CC123" s="872" t="n">
        <f aca="false">Breakout!$L$81/12</f>
        <v>23007.4189950019</v>
      </c>
      <c r="CE123" s="852" t="n">
        <f aca="false">P123/0.96</f>
        <v>3858444.55361073</v>
      </c>
      <c r="CF123" s="852" t="n">
        <f aca="false">S123/0.96</f>
        <v>136700.965755086</v>
      </c>
      <c r="CG123" s="852" t="n">
        <f aca="false">V123/0.96</f>
        <v>68810.4457502046</v>
      </c>
      <c r="CI123" s="852" t="n">
        <f aca="false">N123</f>
        <v>-715341.083333333</v>
      </c>
      <c r="CJ123" s="852" t="n">
        <f aca="false">O123</f>
        <v>-705333.333333333</v>
      </c>
      <c r="CL123" s="772" t="n">
        <f aca="false">'account mgt'!$L$23/12</f>
        <v>-58858.3090046488</v>
      </c>
      <c r="CN123" s="772" t="n">
        <v>0</v>
      </c>
      <c r="CT123" s="772" t="e">
        <f aca="false">CW122</f>
        <v>#VALUE!</v>
      </c>
      <c r="CU123" s="772" t="e">
        <f aca="false">IF(CT123&lt;0.1,0,CT123*$L$3)</f>
        <v>#VALUE!</v>
      </c>
      <c r="CV123" s="772" t="e">
        <f aca="false">IF(CT123&lt;0.1,0,PPMT($L$3,A123-14,unwinds!$B$8*12,$K$5))</f>
        <v>#VALUE!</v>
      </c>
      <c r="CW123" s="772" t="e">
        <f aca="false">IF(CT123-CV123&lt;0,0,CT123-CV123)</f>
        <v>#VALUE!</v>
      </c>
      <c r="CX123" s="772" t="e">
        <f aca="false">IF(CX122-CV123&lt;0,0,CX122-CV123)</f>
        <v>#VALUE!</v>
      </c>
      <c r="DA123" s="772" t="n">
        <f aca="false">DD122</f>
        <v>4287626.99024977</v>
      </c>
      <c r="DB123" s="772" t="n">
        <f aca="false">DA123*$L$3</f>
        <v>33836.5229980544</v>
      </c>
      <c r="DC123" s="772" t="n">
        <f aca="false">PPMT($L$3,A123-14,106,$K$5)</f>
        <v>461561.548673559</v>
      </c>
      <c r="DD123" s="772" t="n">
        <f aca="false">DA123-DC123</f>
        <v>3826065.44157621</v>
      </c>
      <c r="DE123" s="772" t="n">
        <f aca="false">DE122-DC123</f>
        <v>3826065.44157621</v>
      </c>
      <c r="DH123" s="417" t="n">
        <v>-715341.083333333</v>
      </c>
      <c r="DI123" s="417" t="n">
        <v>-705333.333333333</v>
      </c>
      <c r="DJ123" s="417"/>
      <c r="DL123" s="417" t="n">
        <f aca="false">PMT($J$3,106,$I$5,,1)</f>
        <v>474832.92700925</v>
      </c>
      <c r="DN123" s="417" t="n">
        <f aca="false">IF($BL$4="mid",DH123,DI123)</f>
        <v>-715341.083333333</v>
      </c>
      <c r="DO123" s="417" t="n">
        <f aca="false">IF($BL$4="mid",DL123,L123)</f>
        <v>474832.92700925</v>
      </c>
      <c r="DQ123" s="772" t="n">
        <f aca="false">BW123-IF($BL$4="mid",Q123,R123)</f>
        <v>609418.199629467</v>
      </c>
      <c r="DR123" s="772" t="n">
        <f aca="false">BX123-IF($BL$4="mid",T123,U123)</f>
        <v>-36152.0605278244</v>
      </c>
      <c r="DS123" s="772"/>
      <c r="DT123" s="772"/>
      <c r="DU123" s="772"/>
      <c r="DV123" s="772"/>
      <c r="DW123" s="772"/>
      <c r="DX123" s="772"/>
    </row>
    <row r="124" customFormat="false" ht="12.75" hidden="false" customHeight="false" outlineLevel="0" collapsed="false">
      <c r="A124" s="767" t="n">
        <v>113</v>
      </c>
      <c r="B124" s="854" t="n">
        <v>39934</v>
      </c>
      <c r="C124" s="417" t="n">
        <v>0</v>
      </c>
      <c r="D124" s="417" t="n">
        <v>0</v>
      </c>
      <c r="E124" s="417" t="n">
        <v>0</v>
      </c>
      <c r="F124" s="417" t="n">
        <v>29957.6175777203</v>
      </c>
      <c r="G124" s="417" t="n">
        <v>461561.548673563</v>
      </c>
      <c r="H124" s="417" t="n">
        <v>0</v>
      </c>
      <c r="I124" s="417" t="n">
        <v>491519.166251284</v>
      </c>
      <c r="J124" s="417"/>
      <c r="K124" s="417"/>
      <c r="L124" s="417" t="n">
        <f aca="false">PMT($L$3,106,$K$5,,1)</f>
        <v>491519.166251281</v>
      </c>
      <c r="M124" s="417"/>
      <c r="N124" s="850" t="n">
        <f aca="false">IF(A124&lt;$B$8,0,-$R$5/12)</f>
        <v>-715341.083333333</v>
      </c>
      <c r="O124" s="850" t="n">
        <f aca="false">IF(A124&lt;$B$8,0,-$S$5/12)</f>
        <v>-705333.333333333</v>
      </c>
      <c r="P124" s="872" t="n">
        <f aca="false">Breakout!$L$16/12</f>
        <v>3704106.7714663</v>
      </c>
      <c r="Q124" s="770" t="n">
        <f aca="false">'wholesale services'!$D$110*'wholesale services'!$M$111/12</f>
        <v>3250582.5</v>
      </c>
      <c r="R124" s="770" t="n">
        <v>3320487.5</v>
      </c>
      <c r="S124" s="872" t="n">
        <f aca="false">Breakout!$L$27/12</f>
        <v>131232.927124882</v>
      </c>
      <c r="T124" s="770" t="n">
        <f aca="false">'wholesale services'!$D$113*'wholesale services'!$M$114/12</f>
        <v>172908.159034116</v>
      </c>
      <c r="U124" s="770" t="n">
        <v>176436.896973588</v>
      </c>
      <c r="V124" s="872" t="n">
        <f aca="false">Breakout!$L$38/12</f>
        <v>66058.0279201964</v>
      </c>
      <c r="W124" s="431" t="n">
        <f aca="false">Breakout!$L$39/12</f>
        <v>75637.7014665813</v>
      </c>
      <c r="X124" s="431" t="n">
        <v>76451.0100845016</v>
      </c>
      <c r="Y124" s="872" t="n">
        <f aca="false">Breakout!$L$49/12</f>
        <v>480510.334109343</v>
      </c>
      <c r="Z124" s="873" t="n">
        <f aca="false">Breakout!$L$50/12</f>
        <v>458858.297971647</v>
      </c>
      <c r="AA124" s="873" t="n">
        <v>481998.753342911</v>
      </c>
      <c r="AB124" s="872" t="n">
        <f aca="false">Breakout!$L$60/12</f>
        <v>442105.923723057</v>
      </c>
      <c r="AC124" s="873" t="n">
        <f aca="false">Breakout!$L$61/12</f>
        <v>454595.662851577</v>
      </c>
      <c r="AD124" s="873" t="n">
        <v>468770.137862539</v>
      </c>
      <c r="AE124" s="872" t="n">
        <f aca="false">Breakout!$L$71/12</f>
        <v>335434.187743088</v>
      </c>
      <c r="AF124" s="873" t="n">
        <f aca="false">Breakout!$L$72/12</f>
        <v>316520.666666667</v>
      </c>
      <c r="AG124" s="873" t="n">
        <v>316520.666666667</v>
      </c>
      <c r="AH124" s="872" t="n">
        <f aca="false">Breakout!$L$82/12</f>
        <v>22078.2178877662</v>
      </c>
      <c r="AI124" s="873" t="n">
        <f aca="false">Breakout!$L$83/12</f>
        <v>0</v>
      </c>
      <c r="AJ124" s="873" t="n">
        <v>0</v>
      </c>
      <c r="AK124" s="874" t="n">
        <f aca="false">Breakout!$L$91/12</f>
        <v>296858.282758964</v>
      </c>
      <c r="AL124" s="874" t="n">
        <v>296858.282758963</v>
      </c>
      <c r="AM124" s="773" t="n">
        <f aca="false">(Breakout!$L$107/12)*-1</f>
        <v>55221.25</v>
      </c>
      <c r="AN124" s="773" t="n">
        <v>55221.25</v>
      </c>
      <c r="AO124" s="774" t="n">
        <f aca="false">(P124+S124+V124)+Y124+AB124+AE124+AH124</f>
        <v>5181526.38997464</v>
      </c>
      <c r="AP124" s="774" t="n">
        <f aca="false">Q124+T124+W124+AA124+AD124+AG124+AJ124+AL124+AN124</f>
        <v>5118497.45113178</v>
      </c>
      <c r="AQ124" s="775" t="n">
        <f aca="false">P124+S124+V124+Y124+AB124+AE124+AH124-Q124-T124-W124-Z124-AC124-AF124-AI124-AK124-AM124-DH124-DL124-CN124</f>
        <v>340852.025549168</v>
      </c>
      <c r="AR124" s="431"/>
      <c r="AS124" s="776" t="n">
        <f aca="false">P124+S124+V124+Y124+AB124+AE124+AH124-R124-U124-X124-AA124-AD124-AG124-AJ124-AL124-AN124-O124-L124-CN124</f>
        <v>202596.059367519</v>
      </c>
      <c r="AT124" s="431"/>
      <c r="AU124" s="770" t="n">
        <f aca="false">'wholesale services'!$M$110/12</f>
        <v>39106610.7060185</v>
      </c>
      <c r="AV124" s="770" t="n">
        <f aca="false">'wholesale services'!$M$113/12</f>
        <v>17613.2558333333</v>
      </c>
      <c r="AW124" s="431"/>
      <c r="AX124" s="851" t="n">
        <f aca="false">IF(A124&lt;$AX$6,0,-$R$5/12)</f>
        <v>-715341.083333333</v>
      </c>
      <c r="AY124" s="417" t="n">
        <f aca="false">IF(A124&lt;$AX$6,0,-$S$5/12)</f>
        <v>-705333.333333333</v>
      </c>
      <c r="AZ124" s="431"/>
      <c r="BA124" s="772" t="n">
        <f aca="false">P124-IF($BL$4="mid",Q124,R124)-$BL$9*(IF($BL$4="mid",N124,O124)+IF($BL$4="mid",DL124,L124))</f>
        <v>682007.019974183</v>
      </c>
      <c r="BB124" s="772" t="n">
        <f aca="false">S124-IF($BL$4="mid",T124,U124)-$BM$9*(IF($BL$4="mid",N124,O124)+IF($BL$4="mid",DL124,L124))</f>
        <v>-29649.8240930297</v>
      </c>
      <c r="BC124" s="772" t="n">
        <f aca="false">V124-IF($BL$4="mid",W124,X124)-$BN$9*(IF($BL$4="mid",N124,O124)+IF($BL$4="mid",DL124,L124))</f>
        <v>-9579.67354638496</v>
      </c>
      <c r="BD124" s="772" t="n">
        <f aca="false">Y124-IF($BL$4="mid",Z124,AA124)</f>
        <v>21652.0361376955</v>
      </c>
      <c r="BE124" s="772" t="n">
        <f aca="false">AB124-IF($BL$4="mid",AC124,AD124)</f>
        <v>-12489.7391285199</v>
      </c>
      <c r="BF124" s="772" t="n">
        <f aca="false">AE124-IF($BL$4="mid",AF124,AG124)</f>
        <v>18913.5210764216</v>
      </c>
      <c r="BG124" s="772" t="n">
        <f aca="false">AH124-IF($BL$4="mid",AI124,AJ124)</f>
        <v>22078.2178877662</v>
      </c>
      <c r="BH124" s="772" t="n">
        <f aca="false">-IF($BL$4="mid",AK124,AL124)</f>
        <v>-296858.282758964</v>
      </c>
      <c r="BI124" s="772" t="n">
        <f aca="false">-IF($BL$4="mid",AM124,AN124)</f>
        <v>-55221.25</v>
      </c>
      <c r="BL124" s="772" t="n">
        <f aca="false">BW124-IF($BL$4="mid",Q124,R124)-$BL$9*(IF($BL$4="mid",N124,O124)+IF($BL$4="mid",DL124,L124))</f>
        <v>837900.948137346</v>
      </c>
      <c r="BM124" s="772" t="n">
        <f aca="false">BX124-IF($BL$4="mid",T124,U124)-$BM$9*(IF($BL$4="mid",N124,O124)+IF($BL$4="mid",DL124,L124))</f>
        <v>-24126.6527116202</v>
      </c>
      <c r="BN124" s="772" t="n">
        <f aca="false">BY124-IF($BL$4="mid",W124,X124)-$BN$9*(IF($BL$4="mid",N124,O124)+IF($BL$4="mid",DL124,L124))</f>
        <v>-6799.50383353548</v>
      </c>
      <c r="BO124" s="772" t="n">
        <f aca="false">BZ124-IF($BL$4="mid",Z124,AA124)</f>
        <v>41875.1690355751</v>
      </c>
      <c r="BP124" s="772" t="n">
        <f aca="false">CA124-IF($BL$4="mid",AC124,AD124)</f>
        <v>6117.07578413666</v>
      </c>
      <c r="BQ124" s="772" t="n">
        <f aca="false">CB124-IF($BL$4="mid",AF124,AG124)</f>
        <v>33030.8660650461</v>
      </c>
      <c r="BR124" s="772" t="n">
        <f aca="false">CC124-IF($BL$4="mid",AI124,AJ124)</f>
        <v>23007.4189950019</v>
      </c>
      <c r="BS124" s="772" t="n">
        <f aca="false">-IF($BL$4="mid",AK124,AL124)</f>
        <v>-296858.282758964</v>
      </c>
      <c r="BT124" s="772" t="n">
        <f aca="false">-IF($BL$4="mid",AM124,AN124)</f>
        <v>-55221.25</v>
      </c>
      <c r="BW124" s="872" t="n">
        <f aca="false">Breakout!$L$15/12</f>
        <v>3860000.69962947</v>
      </c>
      <c r="BX124" s="872" t="n">
        <f aca="false">Breakout!$L$26/12</f>
        <v>136756.098506292</v>
      </c>
      <c r="BY124" s="872" t="n">
        <f aca="false">Breakout!$L$37/12</f>
        <v>68838.1976330459</v>
      </c>
      <c r="BZ124" s="872" t="n">
        <f aca="false">Breakout!$L$48/12</f>
        <v>500733.467007223</v>
      </c>
      <c r="CA124" s="872" t="n">
        <f aca="false">Breakout!$L$59/12</f>
        <v>460712.738635713</v>
      </c>
      <c r="CB124" s="872" t="n">
        <f aca="false">Breakout!$L$70/12</f>
        <v>349551.532731713</v>
      </c>
      <c r="CC124" s="872" t="n">
        <f aca="false">Breakout!$L$81/12</f>
        <v>23007.4189950019</v>
      </c>
      <c r="CE124" s="852" t="n">
        <f aca="false">P124/0.96</f>
        <v>3858444.55361073</v>
      </c>
      <c r="CF124" s="852" t="n">
        <f aca="false">S124/0.96</f>
        <v>136700.965755086</v>
      </c>
      <c r="CG124" s="852" t="n">
        <f aca="false">V124/0.96</f>
        <v>68810.4457502046</v>
      </c>
      <c r="CI124" s="852" t="n">
        <f aca="false">N124</f>
        <v>-715341.083333333</v>
      </c>
      <c r="CJ124" s="852" t="n">
        <f aca="false">O124</f>
        <v>-705333.333333333</v>
      </c>
      <c r="CL124" s="772" t="n">
        <f aca="false">'account mgt'!$L$23/12</f>
        <v>-58858.3090046488</v>
      </c>
      <c r="CN124" s="772" t="n">
        <v>0</v>
      </c>
      <c r="CT124" s="772" t="e">
        <f aca="false">CW123</f>
        <v>#VALUE!</v>
      </c>
      <c r="CU124" s="772" t="e">
        <f aca="false">IF(CT124&lt;0.1,0,CT124*$L$3)</f>
        <v>#VALUE!</v>
      </c>
      <c r="CV124" s="772" t="e">
        <f aca="false">IF(CT124&lt;0.1,0,PPMT($L$3,A124-14,unwinds!$B$8*12,$K$5))</f>
        <v>#VALUE!</v>
      </c>
      <c r="CW124" s="772" t="e">
        <f aca="false">IF(CT124-CV124&lt;0,0,CT124-CV124)</f>
        <v>#VALUE!</v>
      </c>
      <c r="CX124" s="772" t="e">
        <f aca="false">IF(CX123-CV124&lt;0,0,CX123-CV124)</f>
        <v>#VALUE!</v>
      </c>
      <c r="DA124" s="772" t="n">
        <f aca="false">DD123</f>
        <v>3826065.44157621</v>
      </c>
      <c r="DB124" s="772" t="n">
        <f aca="false">DA124*$L$3</f>
        <v>30194.0331097722</v>
      </c>
      <c r="DC124" s="772" t="n">
        <f aca="false">PPMT($L$3,A124-14,106,$K$5)</f>
        <v>465204.038561841</v>
      </c>
      <c r="DD124" s="772" t="n">
        <f aca="false">DA124-DC124</f>
        <v>3360861.40301437</v>
      </c>
      <c r="DE124" s="772" t="n">
        <f aca="false">DE123-DC124</f>
        <v>3360861.40301437</v>
      </c>
      <c r="DH124" s="417" t="n">
        <v>-715341.083333333</v>
      </c>
      <c r="DI124" s="417" t="n">
        <v>-705333.333333333</v>
      </c>
      <c r="DJ124" s="417"/>
      <c r="DL124" s="417" t="n">
        <f aca="false">PMT($J$3,106,$I$5,,1)</f>
        <v>474832.92700925</v>
      </c>
      <c r="DN124" s="417" t="n">
        <f aca="false">IF($BL$4="mid",DH124,DI124)</f>
        <v>-715341.083333333</v>
      </c>
      <c r="DO124" s="417" t="n">
        <f aca="false">IF($BL$4="mid",DL124,L124)</f>
        <v>474832.92700925</v>
      </c>
      <c r="DQ124" s="772" t="n">
        <f aca="false">BW124-IF($BL$4="mid",Q124,R124)</f>
        <v>609418.199629467</v>
      </c>
      <c r="DR124" s="772" t="n">
        <f aca="false">BX124-IF($BL$4="mid",T124,U124)</f>
        <v>-36152.0605278244</v>
      </c>
      <c r="DS124" s="772"/>
      <c r="DT124" s="772"/>
      <c r="DU124" s="772"/>
      <c r="DV124" s="772"/>
      <c r="DW124" s="772"/>
      <c r="DX124" s="772"/>
    </row>
    <row r="125" customFormat="false" ht="12.75" hidden="false" customHeight="false" outlineLevel="0" collapsed="false">
      <c r="A125" s="767" t="n">
        <v>114</v>
      </c>
      <c r="B125" s="854" t="n">
        <v>39965</v>
      </c>
      <c r="C125" s="417" t="n">
        <v>0</v>
      </c>
      <c r="D125" s="417" t="n">
        <v>0</v>
      </c>
      <c r="E125" s="417" t="n">
        <v>0</v>
      </c>
      <c r="F125" s="417" t="n">
        <v>26315.1276894381</v>
      </c>
      <c r="G125" s="417" t="n">
        <v>465204.038561845</v>
      </c>
      <c r="H125" s="417" t="n">
        <v>0</v>
      </c>
      <c r="I125" s="417" t="n">
        <v>491519.166251284</v>
      </c>
      <c r="J125" s="417"/>
      <c r="K125" s="417"/>
      <c r="L125" s="417" t="n">
        <f aca="false">PMT($L$3,106,$K$5,,1)</f>
        <v>491519.166251281</v>
      </c>
      <c r="M125" s="417"/>
      <c r="N125" s="850" t="n">
        <f aca="false">IF(A125&lt;$B$8,0,-$R$5/12)</f>
        <v>-715341.083333333</v>
      </c>
      <c r="O125" s="850" t="n">
        <f aca="false">IF(A125&lt;$B$8,0,-$S$5/12)</f>
        <v>-705333.333333333</v>
      </c>
      <c r="P125" s="872" t="n">
        <f aca="false">Breakout!$L$16/12</f>
        <v>3704106.7714663</v>
      </c>
      <c r="Q125" s="770" t="n">
        <f aca="false">'wholesale services'!$D$110*'wholesale services'!$M$111/12</f>
        <v>3250582.5</v>
      </c>
      <c r="R125" s="770" t="n">
        <v>3320487.5</v>
      </c>
      <c r="S125" s="872" t="n">
        <f aca="false">Breakout!$L$27/12</f>
        <v>131232.927124882</v>
      </c>
      <c r="T125" s="770" t="n">
        <f aca="false">'wholesale services'!$D$113*'wholesale services'!$M$114/12</f>
        <v>172908.159034116</v>
      </c>
      <c r="U125" s="770" t="n">
        <v>176436.896973588</v>
      </c>
      <c r="V125" s="872" t="n">
        <f aca="false">Breakout!$L$38/12</f>
        <v>66058.0279201964</v>
      </c>
      <c r="W125" s="431" t="n">
        <f aca="false">Breakout!$L$39/12</f>
        <v>75637.7014665813</v>
      </c>
      <c r="X125" s="431" t="n">
        <v>76451.0100845016</v>
      </c>
      <c r="Y125" s="872" t="n">
        <f aca="false">Breakout!$L$49/12</f>
        <v>480510.334109343</v>
      </c>
      <c r="Z125" s="873" t="n">
        <f aca="false">Breakout!$L$50/12</f>
        <v>458858.297971647</v>
      </c>
      <c r="AA125" s="873" t="n">
        <v>481998.753342911</v>
      </c>
      <c r="AB125" s="872" t="n">
        <f aca="false">Breakout!$L$60/12</f>
        <v>442105.923723057</v>
      </c>
      <c r="AC125" s="873" t="n">
        <f aca="false">Breakout!$L$61/12</f>
        <v>454595.662851577</v>
      </c>
      <c r="AD125" s="873" t="n">
        <v>468770.137862539</v>
      </c>
      <c r="AE125" s="872" t="n">
        <f aca="false">Breakout!$L$71/12</f>
        <v>335434.187743088</v>
      </c>
      <c r="AF125" s="873" t="n">
        <f aca="false">Breakout!$L$72/12</f>
        <v>316520.666666667</v>
      </c>
      <c r="AG125" s="873" t="n">
        <v>316520.666666667</v>
      </c>
      <c r="AH125" s="872" t="n">
        <f aca="false">Breakout!$L$82/12</f>
        <v>22078.2178877662</v>
      </c>
      <c r="AI125" s="873" t="n">
        <f aca="false">Breakout!$L$83/12</f>
        <v>0</v>
      </c>
      <c r="AJ125" s="873" t="n">
        <v>0</v>
      </c>
      <c r="AK125" s="874" t="n">
        <f aca="false">Breakout!$L$91/12</f>
        <v>296858.282758964</v>
      </c>
      <c r="AL125" s="874" t="n">
        <v>296858.282758963</v>
      </c>
      <c r="AM125" s="773" t="n">
        <f aca="false">(Breakout!$L$107/12)*-1</f>
        <v>55221.25</v>
      </c>
      <c r="AN125" s="773" t="n">
        <v>55221.25</v>
      </c>
      <c r="AO125" s="774" t="n">
        <f aca="false">(P125+S125+V125)+Y125+AB125+AE125+AH125</f>
        <v>5181526.38997464</v>
      </c>
      <c r="AP125" s="774" t="n">
        <f aca="false">Q125+T125+W125+AA125+AD125+AG125+AJ125+AL125+AN125</f>
        <v>5118497.45113178</v>
      </c>
      <c r="AQ125" s="775" t="n">
        <f aca="false">P125+S125+V125+Y125+AB125+AE125+AH125-Q125-T125-W125-Z125-AC125-AF125-AI125-AK125-AM125-DH125-DL125-CN125</f>
        <v>340852.025549168</v>
      </c>
      <c r="AR125" s="431"/>
      <c r="AS125" s="776" t="n">
        <f aca="false">P125+S125+V125+Y125+AB125+AE125+AH125-R125-U125-X125-AA125-AD125-AG125-AJ125-AL125-AN125-O125-L125-CN125</f>
        <v>202596.059367519</v>
      </c>
      <c r="AT125" s="431"/>
      <c r="AU125" s="770" t="n">
        <f aca="false">'wholesale services'!$M$110/12</f>
        <v>39106610.7060185</v>
      </c>
      <c r="AV125" s="770" t="n">
        <f aca="false">'wholesale services'!$M$113/12</f>
        <v>17613.2558333333</v>
      </c>
      <c r="AW125" s="431"/>
      <c r="AX125" s="851" t="n">
        <f aca="false">IF(A125&lt;$AX$6,0,-$R$5/12)</f>
        <v>-715341.083333333</v>
      </c>
      <c r="AY125" s="417" t="n">
        <f aca="false">IF(A125&lt;$AX$6,0,-$S$5/12)</f>
        <v>-705333.333333333</v>
      </c>
      <c r="AZ125" s="431"/>
      <c r="BA125" s="772" t="n">
        <f aca="false">P125-IF($BL$4="mid",Q125,R125)-$BL$9*(IF($BL$4="mid",N125,O125)+IF($BL$4="mid",DL125,L125))</f>
        <v>682007.019974183</v>
      </c>
      <c r="BB125" s="772" t="n">
        <f aca="false">S125-IF($BL$4="mid",T125,U125)-$BM$9*(IF($BL$4="mid",N125,O125)+IF($BL$4="mid",DL125,L125))</f>
        <v>-29649.8240930297</v>
      </c>
      <c r="BC125" s="772" t="n">
        <f aca="false">V125-IF($BL$4="mid",W125,X125)-$BN$9*(IF($BL$4="mid",N125,O125)+IF($BL$4="mid",DL125,L125))</f>
        <v>-9579.67354638496</v>
      </c>
      <c r="BD125" s="772" t="n">
        <f aca="false">Y125-IF($BL$4="mid",Z125,AA125)</f>
        <v>21652.0361376955</v>
      </c>
      <c r="BE125" s="772" t="n">
        <f aca="false">AB125-IF($BL$4="mid",AC125,AD125)</f>
        <v>-12489.7391285199</v>
      </c>
      <c r="BF125" s="772" t="n">
        <f aca="false">AE125-IF($BL$4="mid",AF125,AG125)</f>
        <v>18913.5210764216</v>
      </c>
      <c r="BG125" s="772" t="n">
        <f aca="false">AH125-IF($BL$4="mid",AI125,AJ125)</f>
        <v>22078.2178877662</v>
      </c>
      <c r="BH125" s="772" t="n">
        <f aca="false">-IF($BL$4="mid",AK125,AL125)</f>
        <v>-296858.282758964</v>
      </c>
      <c r="BI125" s="772" t="n">
        <f aca="false">-IF($BL$4="mid",AM125,AN125)</f>
        <v>-55221.25</v>
      </c>
      <c r="BL125" s="772" t="n">
        <f aca="false">BW125-IF($BL$4="mid",Q125,R125)-$BL$9*(IF($BL$4="mid",N125,O125)+IF($BL$4="mid",DL125,L125))</f>
        <v>837900.948137346</v>
      </c>
      <c r="BM125" s="772" t="n">
        <f aca="false">BX125-IF($BL$4="mid",T125,U125)-$BM$9*(IF($BL$4="mid",N125,O125)+IF($BL$4="mid",DL125,L125))</f>
        <v>-24126.6527116202</v>
      </c>
      <c r="BN125" s="772" t="n">
        <f aca="false">BY125-IF($BL$4="mid",W125,X125)-$BN$9*(IF($BL$4="mid",N125,O125)+IF($BL$4="mid",DL125,L125))</f>
        <v>-6799.50383353548</v>
      </c>
      <c r="BO125" s="772" t="n">
        <f aca="false">BZ125-IF($BL$4="mid",Z125,AA125)</f>
        <v>41875.1690355751</v>
      </c>
      <c r="BP125" s="772" t="n">
        <f aca="false">CA125-IF($BL$4="mid",AC125,AD125)</f>
        <v>6117.07578413666</v>
      </c>
      <c r="BQ125" s="772" t="n">
        <f aca="false">CB125-IF($BL$4="mid",AF125,AG125)</f>
        <v>33030.8660650461</v>
      </c>
      <c r="BR125" s="772" t="n">
        <f aca="false">CC125-IF($BL$4="mid",AI125,AJ125)</f>
        <v>23007.4189950019</v>
      </c>
      <c r="BS125" s="772" t="n">
        <f aca="false">-IF($BL$4="mid",AK125,AL125)</f>
        <v>-296858.282758964</v>
      </c>
      <c r="BT125" s="772" t="n">
        <f aca="false">-IF($BL$4="mid",AM125,AN125)</f>
        <v>-55221.25</v>
      </c>
      <c r="BW125" s="872" t="n">
        <f aca="false">Breakout!$L$15/12</f>
        <v>3860000.69962947</v>
      </c>
      <c r="BX125" s="872" t="n">
        <f aca="false">Breakout!$L$26/12</f>
        <v>136756.098506292</v>
      </c>
      <c r="BY125" s="872" t="n">
        <f aca="false">Breakout!$L$37/12</f>
        <v>68838.1976330459</v>
      </c>
      <c r="BZ125" s="872" t="n">
        <f aca="false">Breakout!$L$48/12</f>
        <v>500733.467007223</v>
      </c>
      <c r="CA125" s="872" t="n">
        <f aca="false">Breakout!$L$59/12</f>
        <v>460712.738635713</v>
      </c>
      <c r="CB125" s="872" t="n">
        <f aca="false">Breakout!$L$70/12</f>
        <v>349551.532731713</v>
      </c>
      <c r="CC125" s="872" t="n">
        <f aca="false">Breakout!$L$81/12</f>
        <v>23007.4189950019</v>
      </c>
      <c r="CE125" s="852" t="n">
        <f aca="false">P125/0.96</f>
        <v>3858444.55361073</v>
      </c>
      <c r="CF125" s="852" t="n">
        <f aca="false">S125/0.96</f>
        <v>136700.965755086</v>
      </c>
      <c r="CG125" s="852" t="n">
        <f aca="false">V125/0.96</f>
        <v>68810.4457502046</v>
      </c>
      <c r="CI125" s="852" t="n">
        <f aca="false">N125</f>
        <v>-715341.083333333</v>
      </c>
      <c r="CJ125" s="852" t="n">
        <f aca="false">O125</f>
        <v>-705333.333333333</v>
      </c>
      <c r="CL125" s="772" t="n">
        <f aca="false">'account mgt'!$L$23/12</f>
        <v>-58858.3090046488</v>
      </c>
      <c r="CN125" s="772" t="n">
        <v>0</v>
      </c>
      <c r="CT125" s="772" t="e">
        <f aca="false">CW124</f>
        <v>#VALUE!</v>
      </c>
      <c r="CU125" s="772" t="e">
        <f aca="false">IF(CT125&lt;0.1,0,CT125*$L$3)</f>
        <v>#VALUE!</v>
      </c>
      <c r="CV125" s="772" t="e">
        <f aca="false">IF(CT125&lt;0.1,0,PPMT($L$3,A125-14,unwinds!$B$8*12,$K$5))</f>
        <v>#VALUE!</v>
      </c>
      <c r="CW125" s="772" t="e">
        <f aca="false">IF(CT125-CV125&lt;0,0,CT125-CV125)</f>
        <v>#VALUE!</v>
      </c>
      <c r="CX125" s="772" t="e">
        <f aca="false">IF(CX124-CV125&lt;0,0,CX124-CV125)</f>
        <v>#VALUE!</v>
      </c>
      <c r="DA125" s="772" t="n">
        <f aca="false">DD124</f>
        <v>3360861.40301437</v>
      </c>
      <c r="DB125" s="772" t="n">
        <f aca="false">DA125*$L$3</f>
        <v>26522.7979054551</v>
      </c>
      <c r="DC125" s="772" t="n">
        <f aca="false">PPMT($L$3,A125-14,106,$K$5)</f>
        <v>468875.273766158</v>
      </c>
      <c r="DD125" s="772" t="n">
        <f aca="false">DA125-DC125</f>
        <v>2891986.12924821</v>
      </c>
      <c r="DE125" s="772" t="n">
        <f aca="false">DE124-DC125</f>
        <v>2891986.12924821</v>
      </c>
      <c r="DH125" s="417" t="n">
        <v>-715341.083333333</v>
      </c>
      <c r="DI125" s="417" t="n">
        <v>-705333.333333333</v>
      </c>
      <c r="DJ125" s="417"/>
      <c r="DL125" s="417" t="n">
        <f aca="false">PMT($J$3,106,$I$5,,1)</f>
        <v>474832.92700925</v>
      </c>
      <c r="DN125" s="417" t="n">
        <f aca="false">IF($BL$4="mid",DH125,DI125)</f>
        <v>-715341.083333333</v>
      </c>
      <c r="DO125" s="417" t="n">
        <f aca="false">IF($BL$4="mid",DL125,L125)</f>
        <v>474832.92700925</v>
      </c>
      <c r="DQ125" s="772" t="n">
        <f aca="false">BW125-IF($BL$4="mid",Q125,R125)</f>
        <v>609418.199629467</v>
      </c>
      <c r="DR125" s="772" t="n">
        <f aca="false">BX125-IF($BL$4="mid",T125,U125)</f>
        <v>-36152.0605278244</v>
      </c>
      <c r="DS125" s="772"/>
      <c r="DT125" s="772"/>
      <c r="DU125" s="772"/>
      <c r="DV125" s="772"/>
      <c r="DW125" s="772"/>
      <c r="DX125" s="772"/>
    </row>
    <row r="126" customFormat="false" ht="12.75" hidden="false" customHeight="false" outlineLevel="0" collapsed="false">
      <c r="A126" s="767" t="n">
        <v>115</v>
      </c>
      <c r="B126" s="854" t="n">
        <v>39995</v>
      </c>
      <c r="C126" s="417" t="n">
        <v>0</v>
      </c>
      <c r="D126" s="417" t="n">
        <v>0</v>
      </c>
      <c r="E126" s="417" t="n">
        <v>0</v>
      </c>
      <c r="F126" s="417" t="n">
        <v>22643.892485121</v>
      </c>
      <c r="G126" s="417" t="n">
        <v>468875.273766163</v>
      </c>
      <c r="H126" s="417" t="n">
        <v>0</v>
      </c>
      <c r="I126" s="417" t="n">
        <v>491519.166251284</v>
      </c>
      <c r="J126" s="417"/>
      <c r="K126" s="417"/>
      <c r="L126" s="417" t="n">
        <f aca="false">PMT($L$3,106,$K$5,,1)</f>
        <v>491519.166251281</v>
      </c>
      <c r="M126" s="417"/>
      <c r="N126" s="850" t="n">
        <f aca="false">IF(A126&lt;$B$8,0,-$R$5/12)</f>
        <v>-715341.083333333</v>
      </c>
      <c r="O126" s="850" t="n">
        <f aca="false">IF(A126&lt;$B$8,0,-$S$5/12)</f>
        <v>-705333.333333333</v>
      </c>
      <c r="P126" s="872" t="n">
        <f aca="false">Breakout!$L$16/12</f>
        <v>3704106.7714663</v>
      </c>
      <c r="Q126" s="770" t="n">
        <f aca="false">'wholesale services'!$D$110*'wholesale services'!$M$111/12</f>
        <v>3250582.5</v>
      </c>
      <c r="R126" s="770" t="n">
        <v>3320487.5</v>
      </c>
      <c r="S126" s="872" t="n">
        <f aca="false">Breakout!$L$27/12</f>
        <v>131232.927124882</v>
      </c>
      <c r="T126" s="770" t="n">
        <f aca="false">'wholesale services'!$D$113*'wholesale services'!$M$114/12</f>
        <v>172908.159034116</v>
      </c>
      <c r="U126" s="770" t="n">
        <v>176436.896973588</v>
      </c>
      <c r="V126" s="872" t="n">
        <f aca="false">Breakout!$L$38/12</f>
        <v>66058.0279201964</v>
      </c>
      <c r="W126" s="431" t="n">
        <f aca="false">Breakout!$L$39/12</f>
        <v>75637.7014665813</v>
      </c>
      <c r="X126" s="431" t="n">
        <v>76451.0100845016</v>
      </c>
      <c r="Y126" s="872" t="n">
        <f aca="false">Breakout!$L$49/12</f>
        <v>480510.334109343</v>
      </c>
      <c r="Z126" s="873" t="n">
        <f aca="false">Breakout!$L$50/12</f>
        <v>458858.297971647</v>
      </c>
      <c r="AA126" s="873" t="n">
        <v>481998.753342911</v>
      </c>
      <c r="AB126" s="872" t="n">
        <f aca="false">Breakout!$L$60/12</f>
        <v>442105.923723057</v>
      </c>
      <c r="AC126" s="873" t="n">
        <f aca="false">Breakout!$L$61/12</f>
        <v>454595.662851577</v>
      </c>
      <c r="AD126" s="873" t="n">
        <v>468770.137862539</v>
      </c>
      <c r="AE126" s="872" t="n">
        <f aca="false">Breakout!$L$71/12</f>
        <v>335434.187743088</v>
      </c>
      <c r="AF126" s="873" t="n">
        <f aca="false">Breakout!$L$72/12</f>
        <v>316520.666666667</v>
      </c>
      <c r="AG126" s="873" t="n">
        <v>316520.666666667</v>
      </c>
      <c r="AH126" s="872" t="n">
        <f aca="false">Breakout!$L$82/12</f>
        <v>22078.2178877662</v>
      </c>
      <c r="AI126" s="873" t="n">
        <f aca="false">Breakout!$L$83/12</f>
        <v>0</v>
      </c>
      <c r="AJ126" s="873" t="n">
        <v>0</v>
      </c>
      <c r="AK126" s="874" t="n">
        <f aca="false">Breakout!$L$91/12</f>
        <v>296858.282758964</v>
      </c>
      <c r="AL126" s="874" t="n">
        <v>296858.282758963</v>
      </c>
      <c r="AM126" s="773" t="n">
        <f aca="false">(Breakout!$L$107/12)*-1</f>
        <v>55221.25</v>
      </c>
      <c r="AN126" s="773" t="n">
        <v>55221.25</v>
      </c>
      <c r="AO126" s="774" t="n">
        <f aca="false">(P126+S126+V126)+Y126+AB126+AE126+AH126</f>
        <v>5181526.38997464</v>
      </c>
      <c r="AP126" s="774" t="n">
        <f aca="false">Q126+T126+W126+AA126+AD126+AG126+AJ126+AL126+AN126</f>
        <v>5118497.45113178</v>
      </c>
      <c r="AQ126" s="775" t="n">
        <f aca="false">P126+S126+V126+Y126+AB126+AE126+AH126-Q126-T126-W126-Z126-AC126-AF126-AI126-AK126-AM126-DH126-DL126-CN126</f>
        <v>340852.025549168</v>
      </c>
      <c r="AR126" s="431"/>
      <c r="AS126" s="776" t="n">
        <f aca="false">P126+S126+V126+Y126+AB126+AE126+AH126-R126-U126-X126-AA126-AD126-AG126-AJ126-AL126-AN126-O126-L126-CN126</f>
        <v>202596.059367519</v>
      </c>
      <c r="AT126" s="431"/>
      <c r="AU126" s="770" t="n">
        <f aca="false">'wholesale services'!$M$110/12</f>
        <v>39106610.7060185</v>
      </c>
      <c r="AV126" s="770" t="n">
        <f aca="false">'wholesale services'!$M$113/12</f>
        <v>17613.2558333333</v>
      </c>
      <c r="AW126" s="431"/>
      <c r="AX126" s="851" t="n">
        <f aca="false">IF(A126&lt;$AX$6,0,-$R$5/12)</f>
        <v>-715341.083333333</v>
      </c>
      <c r="AY126" s="417" t="n">
        <f aca="false">IF(A126&lt;$AX$6,0,-$S$5/12)</f>
        <v>-705333.333333333</v>
      </c>
      <c r="AZ126" s="431"/>
      <c r="BA126" s="772" t="n">
        <f aca="false">P126-IF($BL$4="mid",Q126,R126)-$BL$9*(IF($BL$4="mid",N126,O126)+IF($BL$4="mid",DL126,L126))</f>
        <v>682007.019974183</v>
      </c>
      <c r="BB126" s="772" t="n">
        <f aca="false">S126-IF($BL$4="mid",T126,U126)-$BM$9*(IF($BL$4="mid",N126,O126)+IF($BL$4="mid",DL126,L126))</f>
        <v>-29649.8240930297</v>
      </c>
      <c r="BC126" s="772" t="n">
        <f aca="false">V126-IF($BL$4="mid",W126,X126)-$BN$9*(IF($BL$4="mid",N126,O126)+IF($BL$4="mid",DL126,L126))</f>
        <v>-9579.67354638496</v>
      </c>
      <c r="BD126" s="772" t="n">
        <f aca="false">Y126-IF($BL$4="mid",Z126,AA126)</f>
        <v>21652.0361376955</v>
      </c>
      <c r="BE126" s="772" t="n">
        <f aca="false">AB126-IF($BL$4="mid",AC126,AD126)</f>
        <v>-12489.7391285199</v>
      </c>
      <c r="BF126" s="772" t="n">
        <f aca="false">AE126-IF($BL$4="mid",AF126,AG126)</f>
        <v>18913.5210764216</v>
      </c>
      <c r="BG126" s="772" t="n">
        <f aca="false">AH126-IF($BL$4="mid",AI126,AJ126)</f>
        <v>22078.2178877662</v>
      </c>
      <c r="BH126" s="772" t="n">
        <f aca="false">-IF($BL$4="mid",AK126,AL126)</f>
        <v>-296858.282758964</v>
      </c>
      <c r="BI126" s="772" t="n">
        <f aca="false">-IF($BL$4="mid",AM126,AN126)</f>
        <v>-55221.25</v>
      </c>
      <c r="BL126" s="772" t="n">
        <f aca="false">BW126-IF($BL$4="mid",Q126,R126)-$BL$9*(IF($BL$4="mid",N126,O126)+IF($BL$4="mid",DL126,L126))</f>
        <v>837900.948137346</v>
      </c>
      <c r="BM126" s="772" t="n">
        <f aca="false">BX126-IF($BL$4="mid",T126,U126)-$BM$9*(IF($BL$4="mid",N126,O126)+IF($BL$4="mid",DL126,L126))</f>
        <v>-24126.6527116202</v>
      </c>
      <c r="BN126" s="772" t="n">
        <f aca="false">BY126-IF($BL$4="mid",W126,X126)-$BN$9*(IF($BL$4="mid",N126,O126)+IF($BL$4="mid",DL126,L126))</f>
        <v>-6799.50383353548</v>
      </c>
      <c r="BO126" s="772" t="n">
        <f aca="false">BZ126-IF($BL$4="mid",Z126,AA126)</f>
        <v>41875.1690355751</v>
      </c>
      <c r="BP126" s="772" t="n">
        <f aca="false">CA126-IF($BL$4="mid",AC126,AD126)</f>
        <v>6117.07578413666</v>
      </c>
      <c r="BQ126" s="772" t="n">
        <f aca="false">CB126-IF($BL$4="mid",AF126,AG126)</f>
        <v>33030.8660650461</v>
      </c>
      <c r="BR126" s="772" t="n">
        <f aca="false">CC126-IF($BL$4="mid",AI126,AJ126)</f>
        <v>23007.4189950019</v>
      </c>
      <c r="BS126" s="772" t="n">
        <f aca="false">-IF($BL$4="mid",AK126,AL126)</f>
        <v>-296858.282758964</v>
      </c>
      <c r="BT126" s="772" t="n">
        <f aca="false">-IF($BL$4="mid",AM126,AN126)</f>
        <v>-55221.25</v>
      </c>
      <c r="BW126" s="872" t="n">
        <f aca="false">Breakout!$L$15/12</f>
        <v>3860000.69962947</v>
      </c>
      <c r="BX126" s="872" t="n">
        <f aca="false">Breakout!$L$26/12</f>
        <v>136756.098506292</v>
      </c>
      <c r="BY126" s="872" t="n">
        <f aca="false">Breakout!$L$37/12</f>
        <v>68838.1976330459</v>
      </c>
      <c r="BZ126" s="872" t="n">
        <f aca="false">Breakout!$L$48/12</f>
        <v>500733.467007223</v>
      </c>
      <c r="CA126" s="872" t="n">
        <f aca="false">Breakout!$L$59/12</f>
        <v>460712.738635713</v>
      </c>
      <c r="CB126" s="872" t="n">
        <f aca="false">Breakout!$L$70/12</f>
        <v>349551.532731713</v>
      </c>
      <c r="CC126" s="872" t="n">
        <f aca="false">Breakout!$L$81/12</f>
        <v>23007.4189950019</v>
      </c>
      <c r="CE126" s="852" t="n">
        <f aca="false">P126/0.96</f>
        <v>3858444.55361073</v>
      </c>
      <c r="CF126" s="852" t="n">
        <f aca="false">S126/0.96</f>
        <v>136700.965755086</v>
      </c>
      <c r="CG126" s="852" t="n">
        <f aca="false">V126/0.96</f>
        <v>68810.4457502046</v>
      </c>
      <c r="CI126" s="852" t="n">
        <f aca="false">N126</f>
        <v>-715341.083333333</v>
      </c>
      <c r="CJ126" s="852" t="n">
        <f aca="false">O126</f>
        <v>-705333.333333333</v>
      </c>
      <c r="CL126" s="772" t="n">
        <f aca="false">'account mgt'!$L$23/12</f>
        <v>-58858.3090046488</v>
      </c>
      <c r="CN126" s="772" t="n">
        <v>0</v>
      </c>
      <c r="CT126" s="772" t="e">
        <f aca="false">CW125</f>
        <v>#VALUE!</v>
      </c>
      <c r="CU126" s="772" t="e">
        <f aca="false">IF(CT126&lt;0.1,0,CT126*$L$3)</f>
        <v>#VALUE!</v>
      </c>
      <c r="CV126" s="772" t="e">
        <f aca="false">IF(CT126&lt;0.1,0,PPMT($L$3,A126-14,unwinds!$B$8*12,$K$5))</f>
        <v>#VALUE!</v>
      </c>
      <c r="CW126" s="772" t="e">
        <f aca="false">IF(CT126-CV126&lt;0,0,CT126-CV126)</f>
        <v>#VALUE!</v>
      </c>
      <c r="CX126" s="772" t="e">
        <f aca="false">IF(CX125-CV126&lt;0,0,CX125-CV126)</f>
        <v>#VALUE!</v>
      </c>
      <c r="DA126" s="772" t="n">
        <f aca="false">DD125</f>
        <v>2891986.12924821</v>
      </c>
      <c r="DB126" s="772" t="n">
        <f aca="false">DA126*$L$3</f>
        <v>22822.5905366505</v>
      </c>
      <c r="DC126" s="772" t="n">
        <f aca="false">PPMT($L$3,A126-14,106,$K$5)</f>
        <v>472575.481134963</v>
      </c>
      <c r="DD126" s="772" t="n">
        <f aca="false">DA126-DC126</f>
        <v>2419410.64811325</v>
      </c>
      <c r="DE126" s="772" t="n">
        <f aca="false">DE125-DC126</f>
        <v>2419410.64811325</v>
      </c>
      <c r="DH126" s="417" t="n">
        <v>-715341.083333333</v>
      </c>
      <c r="DI126" s="417" t="n">
        <v>-705333.333333333</v>
      </c>
      <c r="DJ126" s="417"/>
      <c r="DL126" s="417" t="n">
        <f aca="false">PMT($J$3,106,$I$5,,1)</f>
        <v>474832.92700925</v>
      </c>
      <c r="DN126" s="417" t="n">
        <f aca="false">IF($BL$4="mid",DH126,DI126)</f>
        <v>-715341.083333333</v>
      </c>
      <c r="DO126" s="417" t="n">
        <f aca="false">IF($BL$4="mid",DL126,L126)</f>
        <v>474832.92700925</v>
      </c>
      <c r="DQ126" s="772" t="n">
        <f aca="false">BW126-IF($BL$4="mid",Q126,R126)</f>
        <v>609418.199629467</v>
      </c>
      <c r="DR126" s="772" t="n">
        <f aca="false">BX126-IF($BL$4="mid",T126,U126)</f>
        <v>-36152.0605278244</v>
      </c>
      <c r="DS126" s="772"/>
      <c r="DT126" s="772"/>
      <c r="DU126" s="772"/>
      <c r="DV126" s="772"/>
      <c r="DW126" s="772"/>
      <c r="DX126" s="772"/>
    </row>
    <row r="127" customFormat="false" ht="12.75" hidden="false" customHeight="false" outlineLevel="0" collapsed="false">
      <c r="A127" s="767" t="n">
        <v>116</v>
      </c>
      <c r="B127" s="854" t="n">
        <v>40026</v>
      </c>
      <c r="C127" s="417" t="n">
        <v>0</v>
      </c>
      <c r="D127" s="417" t="n">
        <v>0</v>
      </c>
      <c r="E127" s="417" t="n">
        <v>0</v>
      </c>
      <c r="F127" s="417" t="n">
        <v>18943.6851163163</v>
      </c>
      <c r="G127" s="417" t="n">
        <v>472575.481134967</v>
      </c>
      <c r="H127" s="417" t="n">
        <v>0</v>
      </c>
      <c r="I127" s="417" t="n">
        <v>491519.166251284</v>
      </c>
      <c r="J127" s="417"/>
      <c r="K127" s="417"/>
      <c r="L127" s="417" t="n">
        <f aca="false">PMT($L$3,106,$K$5,,1)</f>
        <v>491519.166251281</v>
      </c>
      <c r="M127" s="417"/>
      <c r="N127" s="850" t="n">
        <f aca="false">IF(A127&lt;$B$8,0,-$R$5/12)</f>
        <v>-715341.083333333</v>
      </c>
      <c r="O127" s="850" t="n">
        <f aca="false">IF(A127&lt;$B$8,0,-$S$5/12)</f>
        <v>-705333.333333333</v>
      </c>
      <c r="P127" s="872" t="n">
        <f aca="false">Breakout!$L$16/12</f>
        <v>3704106.7714663</v>
      </c>
      <c r="Q127" s="770" t="n">
        <f aca="false">'wholesale services'!$D$110*'wholesale services'!$M$111/12</f>
        <v>3250582.5</v>
      </c>
      <c r="R127" s="770" t="n">
        <v>3320487.5</v>
      </c>
      <c r="S127" s="872" t="n">
        <f aca="false">Breakout!$L$27/12</f>
        <v>131232.927124882</v>
      </c>
      <c r="T127" s="770" t="n">
        <f aca="false">'wholesale services'!$D$113*'wholesale services'!$M$114/12</f>
        <v>172908.159034116</v>
      </c>
      <c r="U127" s="770" t="n">
        <v>176436.896973588</v>
      </c>
      <c r="V127" s="872" t="n">
        <f aca="false">Breakout!$L$38/12</f>
        <v>66058.0279201964</v>
      </c>
      <c r="W127" s="431" t="n">
        <f aca="false">Breakout!$L$39/12</f>
        <v>75637.7014665813</v>
      </c>
      <c r="X127" s="431" t="n">
        <v>76451.0100845016</v>
      </c>
      <c r="Y127" s="872" t="n">
        <f aca="false">Breakout!$L$49/12</f>
        <v>480510.334109343</v>
      </c>
      <c r="Z127" s="873" t="n">
        <f aca="false">Breakout!$L$50/12</f>
        <v>458858.297971647</v>
      </c>
      <c r="AA127" s="873" t="n">
        <v>481998.753342911</v>
      </c>
      <c r="AB127" s="872" t="n">
        <f aca="false">Breakout!$L$60/12</f>
        <v>442105.923723057</v>
      </c>
      <c r="AC127" s="873" t="n">
        <f aca="false">Breakout!$L$61/12</f>
        <v>454595.662851577</v>
      </c>
      <c r="AD127" s="873" t="n">
        <v>468770.137862539</v>
      </c>
      <c r="AE127" s="872" t="n">
        <f aca="false">Breakout!$L$71/12</f>
        <v>335434.187743088</v>
      </c>
      <c r="AF127" s="873" t="n">
        <f aca="false">Breakout!$L$72/12</f>
        <v>316520.666666667</v>
      </c>
      <c r="AG127" s="873" t="n">
        <v>316520.666666667</v>
      </c>
      <c r="AH127" s="872" t="n">
        <f aca="false">Breakout!$L$82/12</f>
        <v>22078.2178877662</v>
      </c>
      <c r="AI127" s="873" t="n">
        <f aca="false">Breakout!$L$83/12</f>
        <v>0</v>
      </c>
      <c r="AJ127" s="873" t="n">
        <v>0</v>
      </c>
      <c r="AK127" s="874" t="n">
        <f aca="false">Breakout!$L$91/12</f>
        <v>296858.282758964</v>
      </c>
      <c r="AL127" s="874" t="n">
        <v>296858.282758963</v>
      </c>
      <c r="AM127" s="773" t="n">
        <f aca="false">(Breakout!$L$107/12)*-1</f>
        <v>55221.25</v>
      </c>
      <c r="AN127" s="773" t="n">
        <v>55221.25</v>
      </c>
      <c r="AO127" s="774" t="n">
        <f aca="false">(P127+S127+V127)+Y127+AB127+AE127+AH127</f>
        <v>5181526.38997464</v>
      </c>
      <c r="AP127" s="774" t="n">
        <f aca="false">Q127+T127+W127+AA127+AD127+AG127+AJ127+AL127+AN127</f>
        <v>5118497.45113178</v>
      </c>
      <c r="AQ127" s="775" t="n">
        <f aca="false">P127+S127+V127+Y127+AB127+AE127+AH127-Q127-T127-W127-Z127-AC127-AF127-AI127-AK127-AM127-DH127-DL127-CN127</f>
        <v>340852.025549168</v>
      </c>
      <c r="AR127" s="431"/>
      <c r="AS127" s="776" t="n">
        <f aca="false">P127+S127+V127+Y127+AB127+AE127+AH127-R127-U127-X127-AA127-AD127-AG127-AJ127-AL127-AN127-O127-L127-CN127</f>
        <v>202596.059367519</v>
      </c>
      <c r="AT127" s="431"/>
      <c r="AU127" s="770" t="n">
        <f aca="false">'wholesale services'!$M$110/12</f>
        <v>39106610.7060185</v>
      </c>
      <c r="AV127" s="770" t="n">
        <f aca="false">'wholesale services'!$M$113/12</f>
        <v>17613.2558333333</v>
      </c>
      <c r="AW127" s="431"/>
      <c r="AX127" s="851" t="n">
        <f aca="false">IF(A127&lt;$AX$6,0,-$R$5/12)</f>
        <v>-715341.083333333</v>
      </c>
      <c r="AY127" s="417" t="n">
        <f aca="false">IF(A127&lt;$AX$6,0,-$S$5/12)</f>
        <v>-705333.333333333</v>
      </c>
      <c r="AZ127" s="431"/>
      <c r="BA127" s="772" t="n">
        <f aca="false">P127-IF($BL$4="mid",Q127,R127)-$BL$9*(IF($BL$4="mid",N127,O127)+IF($BL$4="mid",DL127,L127))</f>
        <v>682007.019974183</v>
      </c>
      <c r="BB127" s="772" t="n">
        <f aca="false">S127-IF($BL$4="mid",T127,U127)-$BM$9*(IF($BL$4="mid",N127,O127)+IF($BL$4="mid",DL127,L127))</f>
        <v>-29649.8240930297</v>
      </c>
      <c r="BC127" s="772" t="n">
        <f aca="false">V127-IF($BL$4="mid",W127,X127)-$BN$9*(IF($BL$4="mid",N127,O127)+IF($BL$4="mid",DL127,L127))</f>
        <v>-9579.67354638496</v>
      </c>
      <c r="BD127" s="772" t="n">
        <f aca="false">Y127-IF($BL$4="mid",Z127,AA127)</f>
        <v>21652.0361376955</v>
      </c>
      <c r="BE127" s="772" t="n">
        <f aca="false">AB127-IF($BL$4="mid",AC127,AD127)</f>
        <v>-12489.7391285199</v>
      </c>
      <c r="BF127" s="772" t="n">
        <f aca="false">AE127-IF($BL$4="mid",AF127,AG127)</f>
        <v>18913.5210764216</v>
      </c>
      <c r="BG127" s="772" t="n">
        <f aca="false">AH127-IF($BL$4="mid",AI127,AJ127)</f>
        <v>22078.2178877662</v>
      </c>
      <c r="BH127" s="772" t="n">
        <f aca="false">-IF($BL$4="mid",AK127,AL127)</f>
        <v>-296858.282758964</v>
      </c>
      <c r="BI127" s="772" t="n">
        <f aca="false">-IF($BL$4="mid",AM127,AN127)</f>
        <v>-55221.25</v>
      </c>
      <c r="BL127" s="772" t="n">
        <f aca="false">BW127-IF($BL$4="mid",Q127,R127)-$BL$9*(IF($BL$4="mid",N127,O127)+IF($BL$4="mid",DL127,L127))</f>
        <v>837900.948137346</v>
      </c>
      <c r="BM127" s="772" t="n">
        <f aca="false">BX127-IF($BL$4="mid",T127,U127)-$BM$9*(IF($BL$4="mid",N127,O127)+IF($BL$4="mid",DL127,L127))</f>
        <v>-24126.6527116202</v>
      </c>
      <c r="BN127" s="772" t="n">
        <f aca="false">BY127-IF($BL$4="mid",W127,X127)-$BN$9*(IF($BL$4="mid",N127,O127)+IF($BL$4="mid",DL127,L127))</f>
        <v>-6799.50383353548</v>
      </c>
      <c r="BO127" s="772" t="n">
        <f aca="false">BZ127-IF($BL$4="mid",Z127,AA127)</f>
        <v>41875.1690355751</v>
      </c>
      <c r="BP127" s="772" t="n">
        <f aca="false">CA127-IF($BL$4="mid",AC127,AD127)</f>
        <v>6117.07578413666</v>
      </c>
      <c r="BQ127" s="772" t="n">
        <f aca="false">CB127-IF($BL$4="mid",AF127,AG127)</f>
        <v>33030.8660650461</v>
      </c>
      <c r="BR127" s="772" t="n">
        <f aca="false">CC127-IF($BL$4="mid",AI127,AJ127)</f>
        <v>23007.4189950019</v>
      </c>
      <c r="BS127" s="772" t="n">
        <f aca="false">-IF($BL$4="mid",AK127,AL127)</f>
        <v>-296858.282758964</v>
      </c>
      <c r="BT127" s="772" t="n">
        <f aca="false">-IF($BL$4="mid",AM127,AN127)</f>
        <v>-55221.25</v>
      </c>
      <c r="BW127" s="872" t="n">
        <f aca="false">Breakout!$L$15/12</f>
        <v>3860000.69962947</v>
      </c>
      <c r="BX127" s="872" t="n">
        <f aca="false">Breakout!$L$26/12</f>
        <v>136756.098506292</v>
      </c>
      <c r="BY127" s="872" t="n">
        <f aca="false">Breakout!$L$37/12</f>
        <v>68838.1976330459</v>
      </c>
      <c r="BZ127" s="872" t="n">
        <f aca="false">Breakout!$L$48/12</f>
        <v>500733.467007223</v>
      </c>
      <c r="CA127" s="872" t="n">
        <f aca="false">Breakout!$L$59/12</f>
        <v>460712.738635713</v>
      </c>
      <c r="CB127" s="872" t="n">
        <f aca="false">Breakout!$L$70/12</f>
        <v>349551.532731713</v>
      </c>
      <c r="CC127" s="872" t="n">
        <f aca="false">Breakout!$L$81/12</f>
        <v>23007.4189950019</v>
      </c>
      <c r="CE127" s="852" t="n">
        <f aca="false">P127/0.96</f>
        <v>3858444.55361073</v>
      </c>
      <c r="CF127" s="852" t="n">
        <f aca="false">S127/0.96</f>
        <v>136700.965755086</v>
      </c>
      <c r="CG127" s="852" t="n">
        <f aca="false">V127/0.96</f>
        <v>68810.4457502046</v>
      </c>
      <c r="CI127" s="852" t="n">
        <f aca="false">N127</f>
        <v>-715341.083333333</v>
      </c>
      <c r="CJ127" s="852" t="n">
        <f aca="false">O127</f>
        <v>-705333.333333333</v>
      </c>
      <c r="CL127" s="772" t="n">
        <f aca="false">'account mgt'!$L$23/12</f>
        <v>-58858.3090046488</v>
      </c>
      <c r="CN127" s="772" t="n">
        <v>0</v>
      </c>
      <c r="CT127" s="772" t="e">
        <f aca="false">CW126</f>
        <v>#VALUE!</v>
      </c>
      <c r="CU127" s="772" t="e">
        <f aca="false">IF(CT127&lt;0.1,0,CT127*$L$3)</f>
        <v>#VALUE!</v>
      </c>
      <c r="CV127" s="772" t="e">
        <f aca="false">IF(CT127&lt;0.1,0,PPMT($L$3,A127-14,unwinds!$B$8*12,$K$5))</f>
        <v>#VALUE!</v>
      </c>
      <c r="CW127" s="772" t="e">
        <f aca="false">IF(CT127-CV127&lt;0,0,CT127-CV127)</f>
        <v>#VALUE!</v>
      </c>
      <c r="CX127" s="772" t="e">
        <f aca="false">IF(CX126-CV127&lt;0,0,CX126-CV127)</f>
        <v>#VALUE!</v>
      </c>
      <c r="DA127" s="772" t="n">
        <f aca="false">DD126</f>
        <v>2419410.64811325</v>
      </c>
      <c r="DB127" s="772" t="n">
        <f aca="false">DA127*$L$3</f>
        <v>19093.1823646937</v>
      </c>
      <c r="DC127" s="772" t="n">
        <f aca="false">PPMT($L$3,A127-14,106,$K$5)</f>
        <v>476304.889306919</v>
      </c>
      <c r="DD127" s="772" t="n">
        <f aca="false">DA127-DC127</f>
        <v>1943105.75880633</v>
      </c>
      <c r="DE127" s="772" t="n">
        <f aca="false">DE126-DC127</f>
        <v>1943105.75880633</v>
      </c>
      <c r="DH127" s="417" t="n">
        <v>-715341.083333333</v>
      </c>
      <c r="DI127" s="417" t="n">
        <v>-705333.333333333</v>
      </c>
      <c r="DJ127" s="417"/>
      <c r="DL127" s="417" t="n">
        <f aca="false">PMT($J$3,106,$I$5,,1)</f>
        <v>474832.92700925</v>
      </c>
      <c r="DN127" s="417" t="n">
        <f aca="false">IF($BL$4="mid",DH127,DI127)</f>
        <v>-715341.083333333</v>
      </c>
      <c r="DO127" s="417" t="n">
        <f aca="false">IF($BL$4="mid",DL127,L127)</f>
        <v>474832.92700925</v>
      </c>
      <c r="DQ127" s="772" t="n">
        <f aca="false">BW127-IF($BL$4="mid",Q127,R127)</f>
        <v>609418.199629467</v>
      </c>
      <c r="DR127" s="772" t="n">
        <f aca="false">BX127-IF($BL$4="mid",T127,U127)</f>
        <v>-36152.0605278244</v>
      </c>
      <c r="DS127" s="772"/>
      <c r="DT127" s="772"/>
      <c r="DU127" s="772"/>
      <c r="DV127" s="772"/>
      <c r="DW127" s="772"/>
      <c r="DX127" s="772"/>
    </row>
    <row r="128" customFormat="false" ht="12.75" hidden="false" customHeight="false" outlineLevel="0" collapsed="false">
      <c r="A128" s="767" t="n">
        <v>117</v>
      </c>
      <c r="B128" s="854" t="n">
        <v>40057</v>
      </c>
      <c r="C128" s="417" t="n">
        <v>0</v>
      </c>
      <c r="D128" s="417" t="n">
        <v>0</v>
      </c>
      <c r="E128" s="417" t="n">
        <v>0</v>
      </c>
      <c r="F128" s="417" t="n">
        <v>15214.2769443595</v>
      </c>
      <c r="G128" s="417" t="n">
        <v>476304.889306924</v>
      </c>
      <c r="H128" s="417" t="n">
        <v>0</v>
      </c>
      <c r="I128" s="417" t="n">
        <v>491519.166251284</v>
      </c>
      <c r="J128" s="417"/>
      <c r="K128" s="417"/>
      <c r="L128" s="417" t="n">
        <f aca="false">PMT($L$3,106,$K$5,,1)</f>
        <v>491519.166251281</v>
      </c>
      <c r="M128" s="417"/>
      <c r="N128" s="850" t="n">
        <f aca="false">IF(A128&lt;$B$8,0,-$R$5/12)</f>
        <v>-715341.083333333</v>
      </c>
      <c r="O128" s="850" t="n">
        <f aca="false">IF(A128&lt;$B$8,0,-$S$5/12)</f>
        <v>-705333.333333333</v>
      </c>
      <c r="P128" s="872" t="n">
        <f aca="false">Breakout!$L$16/12</f>
        <v>3704106.7714663</v>
      </c>
      <c r="Q128" s="770" t="n">
        <f aca="false">'wholesale services'!$D$110*'wholesale services'!$M$111/12</f>
        <v>3250582.5</v>
      </c>
      <c r="R128" s="770" t="n">
        <v>3320487.5</v>
      </c>
      <c r="S128" s="872" t="n">
        <f aca="false">Breakout!$L$27/12</f>
        <v>131232.927124882</v>
      </c>
      <c r="T128" s="770" t="n">
        <f aca="false">'wholesale services'!$D$113*'wholesale services'!$M$114/12</f>
        <v>172908.159034116</v>
      </c>
      <c r="U128" s="770" t="n">
        <v>176436.896973588</v>
      </c>
      <c r="V128" s="872" t="n">
        <f aca="false">Breakout!$L$38/12</f>
        <v>66058.0279201964</v>
      </c>
      <c r="W128" s="431" t="n">
        <f aca="false">Breakout!$L$39/12</f>
        <v>75637.7014665813</v>
      </c>
      <c r="X128" s="431" t="n">
        <v>76451.0100845016</v>
      </c>
      <c r="Y128" s="872" t="n">
        <f aca="false">Breakout!$L$49/12</f>
        <v>480510.334109343</v>
      </c>
      <c r="Z128" s="873" t="n">
        <f aca="false">Breakout!$L$50/12</f>
        <v>458858.297971647</v>
      </c>
      <c r="AA128" s="873" t="n">
        <v>481998.753342911</v>
      </c>
      <c r="AB128" s="872" t="n">
        <f aca="false">Breakout!$L$60/12</f>
        <v>442105.923723057</v>
      </c>
      <c r="AC128" s="873" t="n">
        <f aca="false">Breakout!$L$61/12</f>
        <v>454595.662851577</v>
      </c>
      <c r="AD128" s="873" t="n">
        <v>468770.137862539</v>
      </c>
      <c r="AE128" s="872" t="n">
        <f aca="false">Breakout!$L$71/12</f>
        <v>335434.187743088</v>
      </c>
      <c r="AF128" s="873" t="n">
        <f aca="false">Breakout!$L$72/12</f>
        <v>316520.666666667</v>
      </c>
      <c r="AG128" s="873" t="n">
        <v>316520.666666667</v>
      </c>
      <c r="AH128" s="872" t="n">
        <f aca="false">Breakout!$L$82/12</f>
        <v>22078.2178877662</v>
      </c>
      <c r="AI128" s="873" t="n">
        <f aca="false">Breakout!$L$83/12</f>
        <v>0</v>
      </c>
      <c r="AJ128" s="873" t="n">
        <v>0</v>
      </c>
      <c r="AK128" s="874" t="n">
        <f aca="false">Breakout!$L$91/12</f>
        <v>296858.282758964</v>
      </c>
      <c r="AL128" s="874" t="n">
        <v>296858.282758963</v>
      </c>
      <c r="AM128" s="773" t="n">
        <f aca="false">(Breakout!$L$107/12)*-1</f>
        <v>55221.25</v>
      </c>
      <c r="AN128" s="773" t="n">
        <v>55221.25</v>
      </c>
      <c r="AO128" s="774" t="n">
        <f aca="false">(P128+S128+V128)+Y128+AB128+AE128+AH128</f>
        <v>5181526.38997464</v>
      </c>
      <c r="AP128" s="774" t="n">
        <f aca="false">Q128+T128+W128+AA128+AD128+AG128+AJ128+AL128+AN128</f>
        <v>5118497.45113178</v>
      </c>
      <c r="AQ128" s="775" t="n">
        <f aca="false">P128+S128+V128+Y128+AB128+AE128+AH128-Q128-T128-W128-Z128-AC128-AF128-AI128-AK128-AM128-DH128-DL128-CN128</f>
        <v>340852.025549168</v>
      </c>
      <c r="AR128" s="431"/>
      <c r="AS128" s="776" t="n">
        <f aca="false">P128+S128+V128+Y128+AB128+AE128+AH128-R128-U128-X128-AA128-AD128-AG128-AJ128-AL128-AN128-O128-L128-CN128</f>
        <v>202596.059367519</v>
      </c>
      <c r="AT128" s="431"/>
      <c r="AU128" s="770" t="n">
        <f aca="false">'wholesale services'!$M$110/12</f>
        <v>39106610.7060185</v>
      </c>
      <c r="AV128" s="770" t="n">
        <f aca="false">'wholesale services'!$M$113/12</f>
        <v>17613.2558333333</v>
      </c>
      <c r="AW128" s="431"/>
      <c r="AX128" s="851" t="n">
        <f aca="false">IF(A128&lt;$AX$6,0,-$R$5/12)</f>
        <v>-715341.083333333</v>
      </c>
      <c r="AY128" s="417" t="n">
        <f aca="false">IF(A128&lt;$AX$6,0,-$S$5/12)</f>
        <v>-705333.333333333</v>
      </c>
      <c r="AZ128" s="431"/>
      <c r="BA128" s="772" t="n">
        <f aca="false">P128-IF($BL$4="mid",Q128,R128)-$BL$9*(IF($BL$4="mid",N128,O128)+IF($BL$4="mid",DL128,L128))</f>
        <v>682007.019974183</v>
      </c>
      <c r="BB128" s="772" t="n">
        <f aca="false">S128-IF($BL$4="mid",T128,U128)-$BM$9*(IF($BL$4="mid",N128,O128)+IF($BL$4="mid",DL128,L128))</f>
        <v>-29649.8240930297</v>
      </c>
      <c r="BC128" s="772" t="n">
        <f aca="false">V128-IF($BL$4="mid",W128,X128)-$BN$9*(IF($BL$4="mid",N128,O128)+IF($BL$4="mid",DL128,L128))</f>
        <v>-9579.67354638496</v>
      </c>
      <c r="BD128" s="772" t="n">
        <f aca="false">Y128-IF($BL$4="mid",Z128,AA128)</f>
        <v>21652.0361376955</v>
      </c>
      <c r="BE128" s="772" t="n">
        <f aca="false">AB128-IF($BL$4="mid",AC128,AD128)</f>
        <v>-12489.7391285199</v>
      </c>
      <c r="BF128" s="772" t="n">
        <f aca="false">AE128-IF($BL$4="mid",AF128,AG128)</f>
        <v>18913.5210764216</v>
      </c>
      <c r="BG128" s="772" t="n">
        <f aca="false">AH128-IF($BL$4="mid",AI128,AJ128)</f>
        <v>22078.2178877662</v>
      </c>
      <c r="BH128" s="772" t="n">
        <f aca="false">-IF($BL$4="mid",AK128,AL128)</f>
        <v>-296858.282758964</v>
      </c>
      <c r="BI128" s="772" t="n">
        <f aca="false">-IF($BL$4="mid",AM128,AN128)</f>
        <v>-55221.25</v>
      </c>
      <c r="BL128" s="772" t="n">
        <f aca="false">BW128-IF($BL$4="mid",Q128,R128)-$BL$9*(IF($BL$4="mid",N128,O128)+IF($BL$4="mid",DL128,L128))</f>
        <v>837900.948137346</v>
      </c>
      <c r="BM128" s="772" t="n">
        <f aca="false">BX128-IF($BL$4="mid",T128,U128)-$BM$9*(IF($BL$4="mid",N128,O128)+IF($BL$4="mid",DL128,L128))</f>
        <v>-24126.6527116202</v>
      </c>
      <c r="BN128" s="772" t="n">
        <f aca="false">BY128-IF($BL$4="mid",W128,X128)-$BN$9*(IF($BL$4="mid",N128,O128)+IF($BL$4="mid",DL128,L128))</f>
        <v>-6799.50383353548</v>
      </c>
      <c r="BO128" s="772" t="n">
        <f aca="false">BZ128-IF($BL$4="mid",Z128,AA128)</f>
        <v>41875.1690355751</v>
      </c>
      <c r="BP128" s="772" t="n">
        <f aca="false">CA128-IF($BL$4="mid",AC128,AD128)</f>
        <v>6117.07578413666</v>
      </c>
      <c r="BQ128" s="772" t="n">
        <f aca="false">CB128-IF($BL$4="mid",AF128,AG128)</f>
        <v>33030.8660650461</v>
      </c>
      <c r="BR128" s="772" t="n">
        <f aca="false">CC128-IF($BL$4="mid",AI128,AJ128)</f>
        <v>23007.4189950019</v>
      </c>
      <c r="BS128" s="772" t="n">
        <f aca="false">-IF($BL$4="mid",AK128,AL128)</f>
        <v>-296858.282758964</v>
      </c>
      <c r="BT128" s="772" t="n">
        <f aca="false">-IF($BL$4="mid",AM128,AN128)</f>
        <v>-55221.25</v>
      </c>
      <c r="BW128" s="872" t="n">
        <f aca="false">Breakout!$L$15/12</f>
        <v>3860000.69962947</v>
      </c>
      <c r="BX128" s="872" t="n">
        <f aca="false">Breakout!$L$26/12</f>
        <v>136756.098506292</v>
      </c>
      <c r="BY128" s="872" t="n">
        <f aca="false">Breakout!$L$37/12</f>
        <v>68838.1976330459</v>
      </c>
      <c r="BZ128" s="872" t="n">
        <f aca="false">Breakout!$L$48/12</f>
        <v>500733.467007223</v>
      </c>
      <c r="CA128" s="872" t="n">
        <f aca="false">Breakout!$L$59/12</f>
        <v>460712.738635713</v>
      </c>
      <c r="CB128" s="872" t="n">
        <f aca="false">Breakout!$L$70/12</f>
        <v>349551.532731713</v>
      </c>
      <c r="CC128" s="872" t="n">
        <f aca="false">Breakout!$L$81/12</f>
        <v>23007.4189950019</v>
      </c>
      <c r="CE128" s="852" t="n">
        <f aca="false">P128/0.96</f>
        <v>3858444.55361073</v>
      </c>
      <c r="CF128" s="852" t="n">
        <f aca="false">S128/0.96</f>
        <v>136700.965755086</v>
      </c>
      <c r="CG128" s="852" t="n">
        <f aca="false">V128/0.96</f>
        <v>68810.4457502046</v>
      </c>
      <c r="CI128" s="852" t="n">
        <f aca="false">N128</f>
        <v>-715341.083333333</v>
      </c>
      <c r="CJ128" s="852" t="n">
        <f aca="false">O128</f>
        <v>-705333.333333333</v>
      </c>
      <c r="CL128" s="772" t="n">
        <f aca="false">'account mgt'!$L$23/12</f>
        <v>-58858.3090046488</v>
      </c>
      <c r="CN128" s="772" t="n">
        <v>0</v>
      </c>
      <c r="CT128" s="772" t="e">
        <f aca="false">CW127</f>
        <v>#VALUE!</v>
      </c>
      <c r="CU128" s="772" t="e">
        <f aca="false">IF(CT128&lt;0.1,0,CT128*$L$3)</f>
        <v>#VALUE!</v>
      </c>
      <c r="CV128" s="772" t="e">
        <f aca="false">IF(CT128&lt;0.1,0,PPMT($L$3,A128-14,unwinds!$B$8*12,$K$5))</f>
        <v>#VALUE!</v>
      </c>
      <c r="CW128" s="772" t="e">
        <f aca="false">IF(CT128-CV128&lt;0,0,CT128-CV128)</f>
        <v>#VALUE!</v>
      </c>
      <c r="CX128" s="772" t="e">
        <f aca="false">IF(CX127-CV128&lt;0,0,CX127-CV128)</f>
        <v>#VALUE!</v>
      </c>
      <c r="DA128" s="772" t="n">
        <f aca="false">DD127</f>
        <v>1943105.75880633</v>
      </c>
      <c r="DB128" s="772" t="n">
        <f aca="false">DA128*$L$3</f>
        <v>15334.3429465799</v>
      </c>
      <c r="DC128" s="772" t="n">
        <f aca="false">PPMT($L$3,A128-14,106,$K$5)</f>
        <v>480063.728725033</v>
      </c>
      <c r="DD128" s="772" t="n">
        <f aca="false">DA128-DC128</f>
        <v>1463042.03008129</v>
      </c>
      <c r="DE128" s="772" t="n">
        <f aca="false">DE127-DC128</f>
        <v>1463042.03008129</v>
      </c>
      <c r="DH128" s="417" t="n">
        <v>-715341.083333333</v>
      </c>
      <c r="DI128" s="417" t="n">
        <v>-705333.333333333</v>
      </c>
      <c r="DJ128" s="417"/>
      <c r="DL128" s="417" t="n">
        <f aca="false">PMT($J$3,106,$I$5,,1)</f>
        <v>474832.92700925</v>
      </c>
      <c r="DN128" s="417" t="n">
        <f aca="false">IF($BL$4="mid",DH128,DI128)</f>
        <v>-715341.083333333</v>
      </c>
      <c r="DO128" s="417" t="n">
        <f aca="false">IF($BL$4="mid",DL128,L128)</f>
        <v>474832.92700925</v>
      </c>
      <c r="DQ128" s="772" t="n">
        <f aca="false">BW128-IF($BL$4="mid",Q128,R128)</f>
        <v>609418.199629467</v>
      </c>
      <c r="DR128" s="772" t="n">
        <f aca="false">BX128-IF($BL$4="mid",T128,U128)</f>
        <v>-36152.0605278244</v>
      </c>
      <c r="DS128" s="772"/>
      <c r="DT128" s="772"/>
      <c r="DU128" s="772"/>
      <c r="DV128" s="772"/>
      <c r="DW128" s="772"/>
      <c r="DX128" s="772"/>
    </row>
    <row r="129" customFormat="false" ht="12.75" hidden="false" customHeight="false" outlineLevel="0" collapsed="false">
      <c r="A129" s="767" t="n">
        <v>118</v>
      </c>
      <c r="B129" s="854" t="n">
        <v>40087</v>
      </c>
      <c r="C129" s="417" t="n">
        <v>0</v>
      </c>
      <c r="D129" s="417" t="n">
        <v>0</v>
      </c>
      <c r="E129" s="417" t="n">
        <v>0</v>
      </c>
      <c r="F129" s="417" t="n">
        <v>11455.4375262458</v>
      </c>
      <c r="G129" s="417" t="n">
        <v>480063.728725038</v>
      </c>
      <c r="H129" s="417" t="n">
        <v>0</v>
      </c>
      <c r="I129" s="417" t="n">
        <v>491519.166251284</v>
      </c>
      <c r="J129" s="417"/>
      <c r="K129" s="417"/>
      <c r="L129" s="417" t="n">
        <f aca="false">PMT($L$3,106,$K$5,,1)</f>
        <v>491519.166251281</v>
      </c>
      <c r="M129" s="417"/>
      <c r="N129" s="850" t="n">
        <f aca="false">IF(A129&lt;$B$8,0,-$R$5/12)</f>
        <v>-715341.083333333</v>
      </c>
      <c r="O129" s="850" t="n">
        <f aca="false">IF(A129&lt;$B$8,0,-$S$5/12)</f>
        <v>-705333.333333333</v>
      </c>
      <c r="P129" s="872" t="n">
        <f aca="false">Breakout!$L$16/12</f>
        <v>3704106.7714663</v>
      </c>
      <c r="Q129" s="770" t="n">
        <f aca="false">'wholesale services'!$D$110*'wholesale services'!$M$111/12</f>
        <v>3250582.5</v>
      </c>
      <c r="R129" s="770" t="n">
        <v>3320487.5</v>
      </c>
      <c r="S129" s="872" t="n">
        <f aca="false">Breakout!$L$27/12</f>
        <v>131232.927124882</v>
      </c>
      <c r="T129" s="770" t="n">
        <f aca="false">'wholesale services'!$D$113*'wholesale services'!$M$114/12</f>
        <v>172908.159034116</v>
      </c>
      <c r="U129" s="770" t="n">
        <v>176436.896973588</v>
      </c>
      <c r="V129" s="872" t="n">
        <f aca="false">Breakout!$L$38/12</f>
        <v>66058.0279201964</v>
      </c>
      <c r="W129" s="431" t="n">
        <f aca="false">Breakout!$L$39/12</f>
        <v>75637.7014665813</v>
      </c>
      <c r="X129" s="431" t="n">
        <v>76451.0100845016</v>
      </c>
      <c r="Y129" s="872" t="n">
        <f aca="false">Breakout!$L$49/12</f>
        <v>480510.334109343</v>
      </c>
      <c r="Z129" s="873" t="n">
        <f aca="false">Breakout!$L$50/12</f>
        <v>458858.297971647</v>
      </c>
      <c r="AA129" s="873" t="n">
        <v>481998.753342911</v>
      </c>
      <c r="AB129" s="872" t="n">
        <f aca="false">Breakout!$L$60/12</f>
        <v>442105.923723057</v>
      </c>
      <c r="AC129" s="873" t="n">
        <f aca="false">Breakout!$L$61/12</f>
        <v>454595.662851577</v>
      </c>
      <c r="AD129" s="873" t="n">
        <v>468770.137862539</v>
      </c>
      <c r="AE129" s="872" t="n">
        <f aca="false">Breakout!$L$71/12</f>
        <v>335434.187743088</v>
      </c>
      <c r="AF129" s="873" t="n">
        <f aca="false">Breakout!$L$72/12</f>
        <v>316520.666666667</v>
      </c>
      <c r="AG129" s="873" t="n">
        <v>316520.666666667</v>
      </c>
      <c r="AH129" s="872" t="n">
        <f aca="false">Breakout!$L$82/12</f>
        <v>22078.2178877662</v>
      </c>
      <c r="AI129" s="873" t="n">
        <f aca="false">Breakout!$L$83/12</f>
        <v>0</v>
      </c>
      <c r="AJ129" s="873" t="n">
        <v>0</v>
      </c>
      <c r="AK129" s="874" t="n">
        <f aca="false">Breakout!$L$91/12</f>
        <v>296858.282758964</v>
      </c>
      <c r="AL129" s="874" t="n">
        <v>296858.282758963</v>
      </c>
      <c r="AM129" s="773" t="n">
        <f aca="false">(Breakout!$L$107/12)*-1</f>
        <v>55221.25</v>
      </c>
      <c r="AN129" s="773" t="n">
        <v>55221.25</v>
      </c>
      <c r="AO129" s="774" t="n">
        <f aca="false">(P129+S129+V129)+Y129+AB129+AE129+AH129</f>
        <v>5181526.38997464</v>
      </c>
      <c r="AP129" s="774" t="n">
        <f aca="false">Q129+T129+W129+AA129+AD129+AG129+AJ129+AL129+AN129</f>
        <v>5118497.45113178</v>
      </c>
      <c r="AQ129" s="775" t="n">
        <f aca="false">P129+S129+V129+Y129+AB129+AE129+AH129-Q129-T129-W129-Z129-AC129-AF129-AI129-AK129-AM129-DH129-DL129-CN129</f>
        <v>340852.025549168</v>
      </c>
      <c r="AR129" s="431"/>
      <c r="AS129" s="776" t="n">
        <f aca="false">P129+S129+V129+Y129+AB129+AE129+AH129-R129-U129-X129-AA129-AD129-AG129-AJ129-AL129-AN129-O129-L129-CN129</f>
        <v>202596.059367519</v>
      </c>
      <c r="AT129" s="431"/>
      <c r="AU129" s="770" t="n">
        <f aca="false">'wholesale services'!$M$110/12</f>
        <v>39106610.7060185</v>
      </c>
      <c r="AV129" s="770" t="n">
        <f aca="false">'wholesale services'!$M$113/12</f>
        <v>17613.2558333333</v>
      </c>
      <c r="AW129" s="431"/>
      <c r="AX129" s="851" t="n">
        <f aca="false">IF(A129&lt;$AX$6,0,-$R$5/12)</f>
        <v>-715341.083333333</v>
      </c>
      <c r="AY129" s="417" t="n">
        <f aca="false">IF(A129&lt;$AX$6,0,-$S$5/12)</f>
        <v>-705333.333333333</v>
      </c>
      <c r="AZ129" s="431"/>
      <c r="BA129" s="772" t="n">
        <f aca="false">P129-IF($BL$4="mid",Q129,R129)-$BL$9*(IF($BL$4="mid",N129,O129)+IF($BL$4="mid",DL129,L129))</f>
        <v>682007.019974183</v>
      </c>
      <c r="BB129" s="772" t="n">
        <f aca="false">S129-IF($BL$4="mid",T129,U129)-$BM$9*(IF($BL$4="mid",N129,O129)+IF($BL$4="mid",DL129,L129))</f>
        <v>-29649.8240930297</v>
      </c>
      <c r="BC129" s="772" t="n">
        <f aca="false">V129-IF($BL$4="mid",W129,X129)-$BN$9*(IF($BL$4="mid",N129,O129)+IF($BL$4="mid",DL129,L129))</f>
        <v>-9579.67354638496</v>
      </c>
      <c r="BD129" s="772" t="n">
        <f aca="false">Y129-IF($BL$4="mid",Z129,AA129)</f>
        <v>21652.0361376955</v>
      </c>
      <c r="BE129" s="772" t="n">
        <f aca="false">AB129-IF($BL$4="mid",AC129,AD129)</f>
        <v>-12489.7391285199</v>
      </c>
      <c r="BF129" s="772" t="n">
        <f aca="false">AE129-IF($BL$4="mid",AF129,AG129)</f>
        <v>18913.5210764216</v>
      </c>
      <c r="BG129" s="772" t="n">
        <f aca="false">AH129-IF($BL$4="mid",AI129,AJ129)</f>
        <v>22078.2178877662</v>
      </c>
      <c r="BH129" s="772" t="n">
        <f aca="false">-IF($BL$4="mid",AK129,AL129)</f>
        <v>-296858.282758964</v>
      </c>
      <c r="BI129" s="772" t="n">
        <f aca="false">-IF($BL$4="mid",AM129,AN129)</f>
        <v>-55221.25</v>
      </c>
      <c r="BL129" s="772" t="n">
        <f aca="false">BW129-IF($BL$4="mid",Q129,R129)-$BL$9*(IF($BL$4="mid",N129,O129)+IF($BL$4="mid",DL129,L129))</f>
        <v>837900.948137346</v>
      </c>
      <c r="BM129" s="772" t="n">
        <f aca="false">BX129-IF($BL$4="mid",T129,U129)-$BM$9*(IF($BL$4="mid",N129,O129)+IF($BL$4="mid",DL129,L129))</f>
        <v>-24126.6527116202</v>
      </c>
      <c r="BN129" s="772" t="n">
        <f aca="false">BY129-IF($BL$4="mid",W129,X129)-$BN$9*(IF($BL$4="mid",N129,O129)+IF($BL$4="mid",DL129,L129))</f>
        <v>-6799.50383353548</v>
      </c>
      <c r="BO129" s="772" t="n">
        <f aca="false">BZ129-IF($BL$4="mid",Z129,AA129)</f>
        <v>41875.1690355751</v>
      </c>
      <c r="BP129" s="772" t="n">
        <f aca="false">CA129-IF($BL$4="mid",AC129,AD129)</f>
        <v>6117.07578413666</v>
      </c>
      <c r="BQ129" s="772" t="n">
        <f aca="false">CB129-IF($BL$4="mid",AF129,AG129)</f>
        <v>33030.8660650461</v>
      </c>
      <c r="BR129" s="772" t="n">
        <f aca="false">CC129-IF($BL$4="mid",AI129,AJ129)</f>
        <v>23007.4189950019</v>
      </c>
      <c r="BS129" s="772" t="n">
        <f aca="false">-IF($BL$4="mid",AK129,AL129)</f>
        <v>-296858.282758964</v>
      </c>
      <c r="BT129" s="772" t="n">
        <f aca="false">-IF($BL$4="mid",AM129,AN129)</f>
        <v>-55221.25</v>
      </c>
      <c r="BW129" s="872" t="n">
        <f aca="false">Breakout!$L$15/12</f>
        <v>3860000.69962947</v>
      </c>
      <c r="BX129" s="872" t="n">
        <f aca="false">Breakout!$L$26/12</f>
        <v>136756.098506292</v>
      </c>
      <c r="BY129" s="872" t="n">
        <f aca="false">Breakout!$L$37/12</f>
        <v>68838.1976330459</v>
      </c>
      <c r="BZ129" s="872" t="n">
        <f aca="false">Breakout!$L$48/12</f>
        <v>500733.467007223</v>
      </c>
      <c r="CA129" s="872" t="n">
        <f aca="false">Breakout!$L$59/12</f>
        <v>460712.738635713</v>
      </c>
      <c r="CB129" s="872" t="n">
        <f aca="false">Breakout!$L$70/12</f>
        <v>349551.532731713</v>
      </c>
      <c r="CC129" s="872" t="n">
        <f aca="false">Breakout!$L$81/12</f>
        <v>23007.4189950019</v>
      </c>
      <c r="CE129" s="852" t="n">
        <f aca="false">P129/0.96</f>
        <v>3858444.55361073</v>
      </c>
      <c r="CF129" s="852" t="n">
        <f aca="false">S129/0.96</f>
        <v>136700.965755086</v>
      </c>
      <c r="CG129" s="852" t="n">
        <f aca="false">V129/0.96</f>
        <v>68810.4457502046</v>
      </c>
      <c r="CI129" s="852" t="n">
        <f aca="false">N129</f>
        <v>-715341.083333333</v>
      </c>
      <c r="CJ129" s="852" t="n">
        <f aca="false">O129</f>
        <v>-705333.333333333</v>
      </c>
      <c r="CL129" s="772" t="n">
        <f aca="false">'account mgt'!$L$23/12</f>
        <v>-58858.3090046488</v>
      </c>
      <c r="CN129" s="772" t="n">
        <v>0</v>
      </c>
      <c r="CT129" s="772" t="e">
        <f aca="false">CW128</f>
        <v>#VALUE!</v>
      </c>
      <c r="CU129" s="772" t="e">
        <f aca="false">IF(CT129&lt;0.1,0,CT129*$L$3)</f>
        <v>#VALUE!</v>
      </c>
      <c r="CV129" s="772" t="e">
        <f aca="false">IF(CT129&lt;0.1,0,PPMT($L$3,A129-14,unwinds!$B$8*12,$K$5))</f>
        <v>#VALUE!</v>
      </c>
      <c r="CW129" s="772" t="e">
        <f aca="false">IF(CT129-CV129&lt;0,0,CT129-CV129)</f>
        <v>#VALUE!</v>
      </c>
      <c r="CX129" s="772" t="e">
        <f aca="false">IF(CX128-CV129&lt;0,0,CX128-CV129)</f>
        <v>#VALUE!</v>
      </c>
      <c r="DA129" s="772" t="n">
        <f aca="false">DD128</f>
        <v>1463042.03008129</v>
      </c>
      <c r="DB129" s="772" t="n">
        <f aca="false">DA129*$L$3</f>
        <v>11545.8400207249</v>
      </c>
      <c r="DC129" s="772" t="n">
        <f aca="false">PPMT($L$3,A129-14,106,$K$5)</f>
        <v>483852.231650888</v>
      </c>
      <c r="DD129" s="772" t="n">
        <f aca="false">DA129-DC129</f>
        <v>979189.798430407</v>
      </c>
      <c r="DE129" s="772" t="n">
        <f aca="false">DE128-DC129</f>
        <v>979189.798430407</v>
      </c>
      <c r="DH129" s="417" t="n">
        <v>-715341.083333333</v>
      </c>
      <c r="DI129" s="417" t="n">
        <v>-705333.333333333</v>
      </c>
      <c r="DJ129" s="417"/>
      <c r="DL129" s="417" t="n">
        <f aca="false">PMT($J$3,106,$I$5,,1)</f>
        <v>474832.92700925</v>
      </c>
      <c r="DN129" s="417" t="n">
        <f aca="false">IF($BL$4="mid",DH129,DI129)</f>
        <v>-715341.083333333</v>
      </c>
      <c r="DO129" s="417" t="n">
        <f aca="false">IF($BL$4="mid",DL129,L129)</f>
        <v>474832.92700925</v>
      </c>
      <c r="DQ129" s="772" t="n">
        <f aca="false">BW129-IF($BL$4="mid",Q129,R129)</f>
        <v>609418.199629467</v>
      </c>
      <c r="DR129" s="772" t="n">
        <f aca="false">BX129-IF($BL$4="mid",T129,U129)</f>
        <v>-36152.0605278244</v>
      </c>
      <c r="DS129" s="772"/>
      <c r="DT129" s="772"/>
      <c r="DU129" s="772"/>
      <c r="DV129" s="772"/>
      <c r="DW129" s="772"/>
      <c r="DX129" s="772"/>
    </row>
    <row r="130" customFormat="false" ht="12.75" hidden="false" customHeight="false" outlineLevel="0" collapsed="false">
      <c r="A130" s="767" t="n">
        <v>119</v>
      </c>
      <c r="B130" s="854" t="n">
        <v>40118</v>
      </c>
      <c r="C130" s="417" t="n">
        <v>0</v>
      </c>
      <c r="D130" s="417" t="n">
        <v>0</v>
      </c>
      <c r="E130" s="417" t="n">
        <v>0</v>
      </c>
      <c r="F130" s="417" t="n">
        <v>7666.93460039058</v>
      </c>
      <c r="G130" s="417" t="n">
        <v>483852.231650893</v>
      </c>
      <c r="H130" s="417" t="n">
        <v>0</v>
      </c>
      <c r="I130" s="417" t="n">
        <v>491519.166251284</v>
      </c>
      <c r="J130" s="417"/>
      <c r="K130" s="417"/>
      <c r="L130" s="417" t="n">
        <f aca="false">PMT($L$3,106,$K$5,,1)</f>
        <v>491519.166251281</v>
      </c>
      <c r="M130" s="417"/>
      <c r="N130" s="850" t="n">
        <f aca="false">IF(A130&lt;$B$8,0,-$R$5/12)</f>
        <v>-715341.083333333</v>
      </c>
      <c r="O130" s="850" t="n">
        <f aca="false">IF(A130&lt;$B$8,0,-$S$5/12)</f>
        <v>-705333.333333333</v>
      </c>
      <c r="P130" s="872" t="n">
        <f aca="false">Breakout!$L$16/12</f>
        <v>3704106.7714663</v>
      </c>
      <c r="Q130" s="770" t="n">
        <f aca="false">'wholesale services'!$D$110*'wholesale services'!$M$111/12</f>
        <v>3250582.5</v>
      </c>
      <c r="R130" s="770" t="n">
        <v>3320487.5</v>
      </c>
      <c r="S130" s="872" t="n">
        <f aca="false">Breakout!$L$27/12</f>
        <v>131232.927124882</v>
      </c>
      <c r="T130" s="770" t="n">
        <f aca="false">'wholesale services'!$D$113*'wholesale services'!$M$114/12</f>
        <v>172908.159034116</v>
      </c>
      <c r="U130" s="770" t="n">
        <v>176436.896973588</v>
      </c>
      <c r="V130" s="872" t="n">
        <f aca="false">Breakout!$L$38/12</f>
        <v>66058.0279201964</v>
      </c>
      <c r="W130" s="431" t="n">
        <f aca="false">Breakout!$L$39/12</f>
        <v>75637.7014665813</v>
      </c>
      <c r="X130" s="431" t="n">
        <v>76451.0100845016</v>
      </c>
      <c r="Y130" s="872" t="n">
        <f aca="false">Breakout!$L$49/12</f>
        <v>480510.334109343</v>
      </c>
      <c r="Z130" s="873" t="n">
        <f aca="false">Breakout!$L$50/12</f>
        <v>458858.297971647</v>
      </c>
      <c r="AA130" s="873" t="n">
        <v>481998.753342911</v>
      </c>
      <c r="AB130" s="872" t="n">
        <f aca="false">Breakout!$L$60/12</f>
        <v>442105.923723057</v>
      </c>
      <c r="AC130" s="873" t="n">
        <f aca="false">Breakout!$L$61/12</f>
        <v>454595.662851577</v>
      </c>
      <c r="AD130" s="873" t="n">
        <v>468770.137862539</v>
      </c>
      <c r="AE130" s="872" t="n">
        <f aca="false">Breakout!$L$71/12</f>
        <v>335434.187743088</v>
      </c>
      <c r="AF130" s="873" t="n">
        <f aca="false">Breakout!$L$72/12</f>
        <v>316520.666666667</v>
      </c>
      <c r="AG130" s="873" t="n">
        <v>316520.666666667</v>
      </c>
      <c r="AH130" s="872" t="n">
        <f aca="false">Breakout!$L$82/12</f>
        <v>22078.2178877662</v>
      </c>
      <c r="AI130" s="873" t="n">
        <f aca="false">Breakout!$L$83/12</f>
        <v>0</v>
      </c>
      <c r="AJ130" s="873" t="n">
        <v>0</v>
      </c>
      <c r="AK130" s="874" t="n">
        <f aca="false">Breakout!$L$91/12</f>
        <v>296858.282758964</v>
      </c>
      <c r="AL130" s="874" t="n">
        <v>296858.282758963</v>
      </c>
      <c r="AM130" s="773" t="n">
        <f aca="false">(Breakout!$L$107/12)*-1</f>
        <v>55221.25</v>
      </c>
      <c r="AN130" s="773" t="n">
        <v>55221.25</v>
      </c>
      <c r="AO130" s="774" t="n">
        <f aca="false">(P130+S130+V130)+Y130+AB130+AE130+AH130</f>
        <v>5181526.38997464</v>
      </c>
      <c r="AP130" s="774" t="n">
        <f aca="false">Q130+T130+W130+AA130+AD130+AG130+AJ130+AL130+AN130</f>
        <v>5118497.45113178</v>
      </c>
      <c r="AQ130" s="775" t="n">
        <f aca="false">P130+S130+V130+Y130+AB130+AE130+AH130-Q130-T130-W130-Z130-AC130-AF130-AI130-AK130-AM130-DH130-DL130-CN130</f>
        <v>340852.025549168</v>
      </c>
      <c r="AR130" s="431"/>
      <c r="AS130" s="776" t="n">
        <f aca="false">P130+S130+V130+Y130+AB130+AE130+AH130-R130-U130-X130-AA130-AD130-AG130-AJ130-AL130-AN130-O130-L130-CN130</f>
        <v>202596.059367519</v>
      </c>
      <c r="AT130" s="431"/>
      <c r="AU130" s="770" t="n">
        <f aca="false">'wholesale services'!$M$110/12</f>
        <v>39106610.7060185</v>
      </c>
      <c r="AV130" s="770" t="n">
        <f aca="false">'wholesale services'!$M$113/12</f>
        <v>17613.2558333333</v>
      </c>
      <c r="AW130" s="431"/>
      <c r="AX130" s="851" t="n">
        <f aca="false">IF(A130&lt;$AX$6,0,-$R$5/12)</f>
        <v>-715341.083333333</v>
      </c>
      <c r="AY130" s="417" t="n">
        <f aca="false">IF(A130&lt;$AX$6,0,-$S$5/12)</f>
        <v>-705333.333333333</v>
      </c>
      <c r="AZ130" s="431"/>
      <c r="BA130" s="772" t="n">
        <f aca="false">P130-IF($BL$4="mid",Q130,R130)-$BL$9*(IF($BL$4="mid",N130,O130)+IF($BL$4="mid",DL130,L130))</f>
        <v>682007.019974183</v>
      </c>
      <c r="BB130" s="772" t="n">
        <f aca="false">S130-IF($BL$4="mid",T130,U130)-$BM$9*(IF($BL$4="mid",N130,O130)+IF($BL$4="mid",DL130,L130))</f>
        <v>-29649.8240930297</v>
      </c>
      <c r="BC130" s="772" t="n">
        <f aca="false">V130-IF($BL$4="mid",W130,X130)-$BN$9*(IF($BL$4="mid",N130,O130)+IF($BL$4="mid",DL130,L130))</f>
        <v>-9579.67354638496</v>
      </c>
      <c r="BD130" s="772" t="n">
        <f aca="false">Y130-IF($BL$4="mid",Z130,AA130)</f>
        <v>21652.0361376955</v>
      </c>
      <c r="BE130" s="772" t="n">
        <f aca="false">AB130-IF($BL$4="mid",AC130,AD130)</f>
        <v>-12489.7391285199</v>
      </c>
      <c r="BF130" s="772" t="n">
        <f aca="false">AE130-IF($BL$4="mid",AF130,AG130)</f>
        <v>18913.5210764216</v>
      </c>
      <c r="BG130" s="772" t="n">
        <f aca="false">AH130-IF($BL$4="mid",AI130,AJ130)</f>
        <v>22078.2178877662</v>
      </c>
      <c r="BH130" s="772" t="n">
        <f aca="false">-IF($BL$4="mid",AK130,AL130)</f>
        <v>-296858.282758964</v>
      </c>
      <c r="BI130" s="772" t="n">
        <f aca="false">-IF($BL$4="mid",AM130,AN130)</f>
        <v>-55221.25</v>
      </c>
      <c r="BL130" s="772" t="n">
        <f aca="false">BW130-IF($BL$4="mid",Q130,R130)-$BL$9*(IF($BL$4="mid",N130,O130)+IF($BL$4="mid",DL130,L130))</f>
        <v>837900.948137346</v>
      </c>
      <c r="BM130" s="772" t="n">
        <f aca="false">BX130-IF($BL$4="mid",T130,U130)-$BM$9*(IF($BL$4="mid",N130,O130)+IF($BL$4="mid",DL130,L130))</f>
        <v>-24126.6527116202</v>
      </c>
      <c r="BN130" s="772" t="n">
        <f aca="false">BY130-IF($BL$4="mid",W130,X130)-$BN$9*(IF($BL$4="mid",N130,O130)+IF($BL$4="mid",DL130,L130))</f>
        <v>-6799.50383353548</v>
      </c>
      <c r="BO130" s="772" t="n">
        <f aca="false">BZ130-IF($BL$4="mid",Z130,AA130)</f>
        <v>41875.1690355751</v>
      </c>
      <c r="BP130" s="772" t="n">
        <f aca="false">CA130-IF($BL$4="mid",AC130,AD130)</f>
        <v>6117.07578413666</v>
      </c>
      <c r="BQ130" s="772" t="n">
        <f aca="false">CB130-IF($BL$4="mid",AF130,AG130)</f>
        <v>33030.8660650461</v>
      </c>
      <c r="BR130" s="772" t="n">
        <f aca="false">CC130-IF($BL$4="mid",AI130,AJ130)</f>
        <v>23007.4189950019</v>
      </c>
      <c r="BS130" s="772" t="n">
        <f aca="false">-IF($BL$4="mid",AK130,AL130)</f>
        <v>-296858.282758964</v>
      </c>
      <c r="BT130" s="772" t="n">
        <f aca="false">-IF($BL$4="mid",AM130,AN130)</f>
        <v>-55221.25</v>
      </c>
      <c r="BW130" s="872" t="n">
        <f aca="false">Breakout!$L$15/12</f>
        <v>3860000.69962947</v>
      </c>
      <c r="BX130" s="872" t="n">
        <f aca="false">Breakout!$L$26/12</f>
        <v>136756.098506292</v>
      </c>
      <c r="BY130" s="872" t="n">
        <f aca="false">Breakout!$L$37/12</f>
        <v>68838.1976330459</v>
      </c>
      <c r="BZ130" s="872" t="n">
        <f aca="false">Breakout!$L$48/12</f>
        <v>500733.467007223</v>
      </c>
      <c r="CA130" s="872" t="n">
        <f aca="false">Breakout!$L$59/12</f>
        <v>460712.738635713</v>
      </c>
      <c r="CB130" s="872" t="n">
        <f aca="false">Breakout!$L$70/12</f>
        <v>349551.532731713</v>
      </c>
      <c r="CC130" s="872" t="n">
        <f aca="false">Breakout!$L$81/12</f>
        <v>23007.4189950019</v>
      </c>
      <c r="CE130" s="852" t="n">
        <f aca="false">P130/0.96</f>
        <v>3858444.55361073</v>
      </c>
      <c r="CF130" s="852" t="n">
        <f aca="false">S130/0.96</f>
        <v>136700.965755086</v>
      </c>
      <c r="CG130" s="852" t="n">
        <f aca="false">V130/0.96</f>
        <v>68810.4457502046</v>
      </c>
      <c r="CI130" s="852" t="n">
        <f aca="false">N130</f>
        <v>-715341.083333333</v>
      </c>
      <c r="CJ130" s="852" t="n">
        <f aca="false">O130</f>
        <v>-705333.333333333</v>
      </c>
      <c r="CL130" s="772" t="n">
        <f aca="false">'account mgt'!$L$23/12</f>
        <v>-58858.3090046488</v>
      </c>
      <c r="CN130" s="772" t="n">
        <v>0</v>
      </c>
      <c r="CT130" s="772" t="e">
        <f aca="false">CW129</f>
        <v>#VALUE!</v>
      </c>
      <c r="CU130" s="772" t="e">
        <f aca="false">IF(CT130&lt;0.1,0,CT130*$L$3)</f>
        <v>#VALUE!</v>
      </c>
      <c r="CV130" s="772" t="e">
        <f aca="false">IF(CT130&lt;0.1,0,PPMT($L$3,A130-14,unwinds!$B$8*12,$K$5))</f>
        <v>#VALUE!</v>
      </c>
      <c r="CW130" s="772" t="e">
        <f aca="false">IF(CT130-CV130&lt;0,0,CT130-CV130)</f>
        <v>#VALUE!</v>
      </c>
      <c r="CX130" s="772" t="e">
        <f aca="false">IF(CX129-CV130&lt;0,0,CX129-CV130)</f>
        <v>#VALUE!</v>
      </c>
      <c r="DA130" s="772" t="n">
        <f aca="false">DD129</f>
        <v>979189.798430407</v>
      </c>
      <c r="DB130" s="772" t="n">
        <f aca="false">DA130*$L$3</f>
        <v>7727.43949261329</v>
      </c>
      <c r="DC130" s="772" t="n">
        <f aca="false">PPMT($L$3,A130-14,106,$K$5)</f>
        <v>487670.632179</v>
      </c>
      <c r="DD130" s="772" t="n">
        <f aca="false">DA130-DC130</f>
        <v>491519.166251407</v>
      </c>
      <c r="DE130" s="772" t="n">
        <f aca="false">DE129-DC130</f>
        <v>491519.166251407</v>
      </c>
      <c r="DH130" s="417" t="n">
        <v>-715341.083333333</v>
      </c>
      <c r="DI130" s="417" t="n">
        <v>-705333.333333333</v>
      </c>
      <c r="DJ130" s="417"/>
      <c r="DL130" s="417" t="n">
        <f aca="false">PMT($J$3,106,$I$5,,1)</f>
        <v>474832.92700925</v>
      </c>
      <c r="DN130" s="417" t="n">
        <f aca="false">IF($BL$4="mid",DH130,DI130)</f>
        <v>-715341.083333333</v>
      </c>
      <c r="DO130" s="417" t="n">
        <f aca="false">IF($BL$4="mid",DL130,L130)</f>
        <v>474832.92700925</v>
      </c>
      <c r="DQ130" s="772" t="n">
        <f aca="false">BW130-IF($BL$4="mid",Q130,R130)</f>
        <v>609418.199629467</v>
      </c>
      <c r="DR130" s="772" t="n">
        <f aca="false">BX130-IF($BL$4="mid",T130,U130)</f>
        <v>-36152.0605278244</v>
      </c>
      <c r="DS130" s="772"/>
      <c r="DT130" s="772"/>
      <c r="DU130" s="772"/>
      <c r="DV130" s="772"/>
      <c r="DW130" s="772"/>
      <c r="DX130" s="772"/>
    </row>
    <row r="131" customFormat="false" ht="12.75" hidden="false" customHeight="false" outlineLevel="0" collapsed="false">
      <c r="A131" s="855" t="n">
        <v>120</v>
      </c>
      <c r="B131" s="856" t="n">
        <v>40148</v>
      </c>
      <c r="C131" s="857" t="n">
        <v>0</v>
      </c>
      <c r="D131" s="857" t="n">
        <v>0</v>
      </c>
      <c r="E131" s="857" t="n">
        <v>0</v>
      </c>
      <c r="F131" s="417" t="n">
        <v>3848.53407227909</v>
      </c>
      <c r="G131" s="417" t="n">
        <v>487670.632179004</v>
      </c>
      <c r="H131" s="417" t="n">
        <v>0</v>
      </c>
      <c r="I131" s="417" t="n">
        <v>491519.166251284</v>
      </c>
      <c r="J131" s="857"/>
      <c r="K131" s="857"/>
      <c r="L131" s="417" t="n">
        <f aca="false">PMT($L$3,106,$K$5,,1)</f>
        <v>491519.166251281</v>
      </c>
      <c r="M131" s="857"/>
      <c r="N131" s="850" t="n">
        <f aca="false">IF(A131&lt;$B$8,0,-$R$5/12)</f>
        <v>-715341.083333333</v>
      </c>
      <c r="O131" s="850" t="n">
        <f aca="false">IF(A131&lt;$B$8,0,-$S$5/12)</f>
        <v>-705333.333333333</v>
      </c>
      <c r="P131" s="859" t="n">
        <f aca="false">Breakout!$L$16/12</f>
        <v>3704106.7714663</v>
      </c>
      <c r="Q131" s="860" t="n">
        <f aca="false">'wholesale services'!$D$110*'wholesale services'!$M$111/12</f>
        <v>3250582.5</v>
      </c>
      <c r="R131" s="860" t="n">
        <v>3320487.5</v>
      </c>
      <c r="S131" s="859" t="n">
        <f aca="false">Breakout!$L$27/12</f>
        <v>131232.927124882</v>
      </c>
      <c r="T131" s="860" t="n">
        <f aca="false">'wholesale services'!$D$113*'wholesale services'!$M$114/12</f>
        <v>172908.159034116</v>
      </c>
      <c r="U131" s="860" t="n">
        <v>176436.896973588</v>
      </c>
      <c r="V131" s="859" t="n">
        <f aca="false">Breakout!$L$38/12</f>
        <v>66058.0279201964</v>
      </c>
      <c r="W131" s="861" t="n">
        <f aca="false">Breakout!$L$39/12</f>
        <v>75637.7014665813</v>
      </c>
      <c r="X131" s="861" t="n">
        <v>76451.0100845016</v>
      </c>
      <c r="Y131" s="859" t="n">
        <f aca="false">Breakout!$L$49/12</f>
        <v>480510.334109343</v>
      </c>
      <c r="Z131" s="860" t="n">
        <f aca="false">Breakout!$L$50/12</f>
        <v>458858.297971647</v>
      </c>
      <c r="AA131" s="860" t="n">
        <v>481998.753342911</v>
      </c>
      <c r="AB131" s="859" t="n">
        <f aca="false">Breakout!$L$60/12</f>
        <v>442105.923723057</v>
      </c>
      <c r="AC131" s="860" t="n">
        <f aca="false">Breakout!$L$61/12</f>
        <v>454595.662851577</v>
      </c>
      <c r="AD131" s="860" t="n">
        <v>468770.137862539</v>
      </c>
      <c r="AE131" s="859" t="n">
        <f aca="false">Breakout!$L$71/12</f>
        <v>335434.187743088</v>
      </c>
      <c r="AF131" s="860" t="n">
        <f aca="false">Breakout!$L$72/12</f>
        <v>316520.666666667</v>
      </c>
      <c r="AG131" s="860" t="n">
        <v>316520.666666667</v>
      </c>
      <c r="AH131" s="859" t="n">
        <f aca="false">Breakout!$L$82/12</f>
        <v>22078.2178877662</v>
      </c>
      <c r="AI131" s="860" t="n">
        <f aca="false">Breakout!$L$83/12</f>
        <v>0</v>
      </c>
      <c r="AJ131" s="860" t="n">
        <v>0</v>
      </c>
      <c r="AK131" s="862" t="n">
        <f aca="false">Breakout!$L$91/12</f>
        <v>296858.282758964</v>
      </c>
      <c r="AL131" s="862" t="n">
        <v>296858.282758963</v>
      </c>
      <c r="AM131" s="862" t="n">
        <f aca="false">(Breakout!$L$107/12)*-1</f>
        <v>55221.25</v>
      </c>
      <c r="AN131" s="862" t="n">
        <v>55221.25</v>
      </c>
      <c r="AO131" s="863" t="n">
        <f aca="false">(P131+S131+V131)+Y131+AB131+AE131+AH131</f>
        <v>5181526.38997464</v>
      </c>
      <c r="AP131" s="863" t="n">
        <f aca="false">Q131+T131+W131+AA131+AD131+AG131+AJ131+AL131+AN131</f>
        <v>5118497.45113178</v>
      </c>
      <c r="AQ131" s="775" t="n">
        <f aca="false">P131+S131+V131+Y131+AB131+AE131+AH131-Q131-T131-W131-Z131-AC131-AF131-AI131-AK131-AM131-DH131-DL131-CN131</f>
        <v>340852.025549168</v>
      </c>
      <c r="AR131" s="861" t="n">
        <f aca="false">SUM(AQ120:AQ131)</f>
        <v>4090224.30659002</v>
      </c>
      <c r="AS131" s="776" t="n">
        <f aca="false">P131+S131+V131+Y131+AB131+AE131+AH131-R131-U131-X131-AA131-AD131-AG131-AJ131-AL131-AN131-O131-L131-CN131</f>
        <v>202596.059367519</v>
      </c>
      <c r="AT131" s="861" t="n">
        <f aca="false">SUM(AS120:AS131)</f>
        <v>2431152.71241022</v>
      </c>
      <c r="AU131" s="860" t="n">
        <f aca="false">'wholesale services'!$M$110/12</f>
        <v>39106610.7060185</v>
      </c>
      <c r="AV131" s="860" t="n">
        <f aca="false">'wholesale services'!$M$113/12</f>
        <v>17613.2558333333</v>
      </c>
      <c r="AW131" s="861"/>
      <c r="AX131" s="851" t="n">
        <f aca="false">IF(A131&lt;$AX$6,0,-$R$5/12)</f>
        <v>-715341.083333333</v>
      </c>
      <c r="AY131" s="417" t="n">
        <f aca="false">IF(A131&lt;$AX$6,0,-$S$5/12)</f>
        <v>-705333.333333333</v>
      </c>
      <c r="AZ131" s="861"/>
      <c r="BA131" s="772" t="n">
        <f aca="false">P131-IF($BL$4="mid",Q131,R131)-$BL$9*(IF($BL$4="mid",N131,O131)+IF($BL$4="mid",DL131,L131))</f>
        <v>682007.019974183</v>
      </c>
      <c r="BB131" s="772" t="n">
        <f aca="false">S131-IF($BL$4="mid",T131,U131)-$BM$9*(IF($BL$4="mid",N131,O131)+IF($BL$4="mid",DL131,L131))</f>
        <v>-29649.8240930297</v>
      </c>
      <c r="BC131" s="772" t="n">
        <f aca="false">V131-IF($BL$4="mid",W131,X131)-$BN$9*(IF($BL$4="mid",N131,O131)+IF($BL$4="mid",DL131,L131))</f>
        <v>-9579.67354638496</v>
      </c>
      <c r="BD131" s="772" t="n">
        <f aca="false">Y131-IF($BL$4="mid",Z131,AA131)</f>
        <v>21652.0361376955</v>
      </c>
      <c r="BE131" s="772" t="n">
        <f aca="false">AB131-IF($BL$4="mid",AC131,AD131)</f>
        <v>-12489.7391285199</v>
      </c>
      <c r="BF131" s="772" t="n">
        <f aca="false">AE131-IF($BL$4="mid",AF131,AG131)</f>
        <v>18913.5210764216</v>
      </c>
      <c r="BG131" s="772" t="n">
        <f aca="false">AH131-IF($BL$4="mid",AI131,AJ131)</f>
        <v>22078.2178877662</v>
      </c>
      <c r="BH131" s="772" t="n">
        <f aca="false">-IF($BL$4="mid",AK131,AL131)</f>
        <v>-296858.282758964</v>
      </c>
      <c r="BI131" s="772" t="n">
        <f aca="false">-IF($BL$4="mid",AM131,AN131)</f>
        <v>-55221.25</v>
      </c>
      <c r="BJ131" s="861"/>
      <c r="BK131" s="431"/>
      <c r="BL131" s="772" t="n">
        <f aca="false">BW131-IF($BL$4="mid",Q131,R131)-$BL$9*(IF($BL$4="mid",N131,O131)+IF($BL$4="mid",DL131,L131))</f>
        <v>837900.948137346</v>
      </c>
      <c r="BM131" s="772" t="n">
        <f aca="false">BX131-IF($BL$4="mid",T131,U131)-$BM$9*(IF($BL$4="mid",N131,O131)+IF($BL$4="mid",DL131,L131))</f>
        <v>-24126.6527116202</v>
      </c>
      <c r="BN131" s="772" t="n">
        <f aca="false">BY131-IF($BL$4="mid",W131,X131)-$BN$9*(IF($BL$4="mid",N131,O131)+IF($BL$4="mid",DL131,L131))</f>
        <v>-6799.50383353548</v>
      </c>
      <c r="BO131" s="772" t="n">
        <f aca="false">BZ131-IF($BL$4="mid",Z131,AA131)</f>
        <v>41875.1690355751</v>
      </c>
      <c r="BP131" s="772" t="n">
        <f aca="false">CA131-IF($BL$4="mid",AC131,AD131)</f>
        <v>6117.07578413666</v>
      </c>
      <c r="BQ131" s="772" t="n">
        <f aca="false">CB131-IF($BL$4="mid",AF131,AG131)</f>
        <v>33030.8660650461</v>
      </c>
      <c r="BR131" s="772" t="n">
        <f aca="false">CC131-IF($BL$4="mid",AI131,AJ131)</f>
        <v>23007.4189950019</v>
      </c>
      <c r="BS131" s="772" t="n">
        <f aca="false">-IF($BL$4="mid",AK131,AL131)</f>
        <v>-296858.282758964</v>
      </c>
      <c r="BT131" s="772" t="n">
        <f aca="false">-IF($BL$4="mid",AM131,AN131)</f>
        <v>-55221.25</v>
      </c>
      <c r="BU131" s="861"/>
      <c r="BV131" s="861"/>
      <c r="BW131" s="859" t="n">
        <f aca="false">Breakout!$L$15/12</f>
        <v>3860000.69962947</v>
      </c>
      <c r="BX131" s="859" t="n">
        <f aca="false">Breakout!$L$26/12</f>
        <v>136756.098506292</v>
      </c>
      <c r="BY131" s="859" t="n">
        <f aca="false">Breakout!$L$37/12</f>
        <v>68838.1976330459</v>
      </c>
      <c r="BZ131" s="859" t="n">
        <f aca="false">Breakout!$L$48/12</f>
        <v>500733.467007223</v>
      </c>
      <c r="CA131" s="859" t="n">
        <f aca="false">Breakout!$L$59/12</f>
        <v>460712.738635713</v>
      </c>
      <c r="CB131" s="859" t="n">
        <f aca="false">Breakout!$L$70/12</f>
        <v>349551.532731713</v>
      </c>
      <c r="CC131" s="859" t="n">
        <f aca="false">Breakout!$L$81/12</f>
        <v>23007.4189950019</v>
      </c>
      <c r="CD131" s="861"/>
      <c r="CE131" s="864" t="n">
        <f aca="false">P131/0.96</f>
        <v>3858444.55361073</v>
      </c>
      <c r="CF131" s="864" t="n">
        <f aca="false">S131/0.96</f>
        <v>136700.965755086</v>
      </c>
      <c r="CG131" s="864" t="n">
        <f aca="false">V131/0.96</f>
        <v>68810.4457502046</v>
      </c>
      <c r="CH131" s="861"/>
      <c r="CI131" s="864" t="n">
        <f aca="false">N131</f>
        <v>-715341.083333333</v>
      </c>
      <c r="CJ131" s="864" t="n">
        <f aca="false">O131</f>
        <v>-705333.333333333</v>
      </c>
      <c r="CK131" s="861"/>
      <c r="CL131" s="861" t="n">
        <f aca="false">'account mgt'!$L$23/12</f>
        <v>-58858.3090046488</v>
      </c>
      <c r="CM131" s="861"/>
      <c r="CN131" s="772" t="n">
        <v>0</v>
      </c>
      <c r="CO131" s="861"/>
      <c r="CP131" s="861"/>
      <c r="CQ131" s="431"/>
      <c r="CR131" s="431"/>
      <c r="CS131" s="431"/>
      <c r="CT131" s="772" t="e">
        <f aca="false">CW130</f>
        <v>#VALUE!</v>
      </c>
      <c r="CU131" s="772" t="e">
        <f aca="false">IF(CT131&lt;0.1,0,CT131*$L$3)</f>
        <v>#VALUE!</v>
      </c>
      <c r="CV131" s="772" t="e">
        <f aca="false">IF(CT131&lt;0.1,0,PPMT($L$3,A131-14,unwinds!$B$8*12,$K$5))</f>
        <v>#VALUE!</v>
      </c>
      <c r="CW131" s="772" t="e">
        <f aca="false">IF(CT131-CV131&lt;0,0,CT131-CV131)</f>
        <v>#VALUE!</v>
      </c>
      <c r="CX131" s="772" t="e">
        <f aca="false">IF(CX130-CV131&lt;0,0,CX130-CV131)</f>
        <v>#VALUE!</v>
      </c>
      <c r="CY131" s="861" t="e">
        <f aca="false">CX131</f>
        <v>#VALUE!</v>
      </c>
      <c r="DA131" s="772" t="n">
        <f aca="false">DD130</f>
        <v>491519.166251407</v>
      </c>
      <c r="DB131" s="772" t="n">
        <f aca="false">DA131*$L$3</f>
        <v>3878.90542033402</v>
      </c>
      <c r="DC131" s="772" t="n">
        <f aca="false">PPMT($L$3,A131-14,106,$K$5)</f>
        <v>491519.166251279</v>
      </c>
      <c r="DD131" s="772" t="n">
        <f aca="false">DA131-DC131</f>
        <v>1.28347892314196E-007</v>
      </c>
      <c r="DE131" s="772" t="n">
        <f aca="false">DE130-DC131</f>
        <v>1.28347892314196E-007</v>
      </c>
      <c r="DF131" s="861" t="n">
        <f aca="false">DE131</f>
        <v>1.28347892314196E-007</v>
      </c>
      <c r="DG131" s="861"/>
      <c r="DH131" s="417" t="n">
        <v>-715341.083333333</v>
      </c>
      <c r="DI131" s="417" t="n">
        <v>-705333.333333333</v>
      </c>
      <c r="DJ131" s="417"/>
      <c r="DK131" s="861"/>
      <c r="DL131" s="417" t="n">
        <f aca="false">PMT($J$3,106,$I$5,,1)</f>
        <v>474832.92700925</v>
      </c>
      <c r="DM131" s="861"/>
      <c r="DN131" s="417" t="n">
        <f aca="false">IF($BL$4="mid",DH131,DI131)</f>
        <v>-715341.083333333</v>
      </c>
      <c r="DO131" s="417" t="n">
        <f aca="false">IF($BL$4="mid",DL131,L131)</f>
        <v>474832.92700925</v>
      </c>
      <c r="DP131" s="861"/>
      <c r="DQ131" s="772" t="n">
        <f aca="false">BW131-IF($BL$4="mid",Q131,R131)</f>
        <v>609418.199629467</v>
      </c>
      <c r="DR131" s="772" t="n">
        <f aca="false">BX131-IF($BL$4="mid",T131,U131)</f>
        <v>-36152.0605278244</v>
      </c>
      <c r="DS131" s="861"/>
      <c r="DT131" s="861"/>
      <c r="DU131" s="861"/>
      <c r="DV131" s="861"/>
      <c r="DW131" s="861"/>
      <c r="DX131" s="861"/>
    </row>
    <row r="132" customFormat="false" ht="12.75" hidden="false" customHeight="false" outlineLevel="0" collapsed="false">
      <c r="A132" s="866" t="n">
        <v>121</v>
      </c>
      <c r="B132" s="867" t="n">
        <v>40179</v>
      </c>
      <c r="C132" s="876" t="n">
        <v>0</v>
      </c>
      <c r="D132" s="876" t="n">
        <v>0</v>
      </c>
      <c r="E132" s="876" t="n">
        <v>0</v>
      </c>
      <c r="F132" s="876" t="n">
        <v>0</v>
      </c>
      <c r="G132" s="876" t="n">
        <v>0</v>
      </c>
      <c r="H132" s="876" t="n">
        <v>0</v>
      </c>
      <c r="I132" s="876" t="n">
        <v>0</v>
      </c>
      <c r="J132" s="876"/>
      <c r="K132" s="876"/>
      <c r="L132" s="876"/>
      <c r="M132" s="876"/>
      <c r="N132" s="876"/>
      <c r="O132" s="876"/>
      <c r="P132" s="769" t="n">
        <f aca="false">(1/0.96)*2929230.56</f>
        <v>3051281.83333333</v>
      </c>
      <c r="Q132" s="870"/>
      <c r="R132" s="877"/>
      <c r="S132" s="769" t="n">
        <f aca="false">(1/0.96)*123939.2</f>
        <v>129103.333333333</v>
      </c>
      <c r="T132" s="870"/>
      <c r="U132" s="877"/>
      <c r="V132" s="769" t="n">
        <f aca="false">(1/0.96)*54324</f>
        <v>56587.5</v>
      </c>
      <c r="W132" s="869"/>
      <c r="X132" s="877"/>
      <c r="Y132" s="868"/>
      <c r="Z132" s="868"/>
      <c r="AA132" s="870"/>
      <c r="AB132" s="868"/>
      <c r="AC132" s="870"/>
      <c r="AD132" s="868"/>
      <c r="AE132" s="870"/>
      <c r="AF132" s="868"/>
      <c r="AG132" s="870"/>
      <c r="AH132" s="871"/>
      <c r="AI132" s="871"/>
      <c r="AJ132" s="878"/>
      <c r="AK132" s="878"/>
      <c r="AL132" s="879"/>
      <c r="AM132" s="869"/>
      <c r="AN132" s="880"/>
      <c r="AO132" s="869"/>
      <c r="AP132" s="869"/>
      <c r="AQ132" s="869"/>
      <c r="AR132" s="869"/>
      <c r="AS132" s="869"/>
      <c r="AT132" s="869"/>
      <c r="AU132" s="869"/>
      <c r="AV132" s="869"/>
      <c r="AW132" s="869"/>
      <c r="AX132" s="869"/>
      <c r="AY132" s="869"/>
      <c r="AZ132" s="869"/>
      <c r="BB132" s="869"/>
      <c r="BC132" s="869"/>
      <c r="BD132" s="869"/>
      <c r="BE132" s="869"/>
      <c r="BF132" s="869"/>
      <c r="BG132" s="869"/>
      <c r="BH132" s="869"/>
      <c r="BI132" s="869"/>
      <c r="BJ132" s="869"/>
      <c r="BK132" s="869"/>
      <c r="BL132" s="869"/>
      <c r="BM132" s="869"/>
      <c r="BN132" s="869"/>
      <c r="BO132" s="869"/>
      <c r="BP132" s="869"/>
      <c r="BQ132" s="869"/>
      <c r="BR132" s="869"/>
      <c r="BS132" s="869"/>
      <c r="BT132" s="869"/>
      <c r="BU132" s="869"/>
      <c r="BV132" s="869"/>
      <c r="BW132" s="869"/>
      <c r="BX132" s="869"/>
      <c r="BY132" s="869"/>
      <c r="BZ132" s="869"/>
      <c r="CA132" s="869"/>
      <c r="CB132" s="869"/>
      <c r="CC132" s="869"/>
      <c r="CD132" s="869"/>
      <c r="CE132" s="869"/>
      <c r="CF132" s="869"/>
      <c r="CG132" s="869"/>
      <c r="CH132" s="869"/>
      <c r="CI132" s="869"/>
      <c r="CJ132" s="869"/>
      <c r="CK132" s="869"/>
      <c r="CL132" s="869"/>
      <c r="CM132" s="869"/>
      <c r="CN132" s="869"/>
      <c r="CO132" s="869"/>
      <c r="CP132" s="869"/>
      <c r="CQ132" s="431"/>
      <c r="CR132" s="431"/>
      <c r="CS132" s="431"/>
      <c r="CT132" s="431"/>
      <c r="CU132" s="431"/>
      <c r="CW132" s="869"/>
      <c r="CX132" s="869"/>
      <c r="CY132" s="869"/>
      <c r="CZ132" s="869"/>
      <c r="DA132" s="431"/>
      <c r="DB132" s="431"/>
      <c r="DD132" s="869"/>
      <c r="DE132" s="869"/>
      <c r="DF132" s="869"/>
      <c r="DG132" s="869"/>
      <c r="DH132" s="417" t="n">
        <v>0</v>
      </c>
      <c r="DI132" s="417" t="n">
        <v>0</v>
      </c>
      <c r="DJ132" s="417"/>
      <c r="DK132" s="869"/>
      <c r="DL132" s="417"/>
      <c r="DM132" s="869"/>
      <c r="DN132" s="417"/>
      <c r="DO132" s="417"/>
      <c r="DP132" s="869"/>
      <c r="DQ132" s="869"/>
      <c r="DR132" s="869"/>
      <c r="DS132" s="869"/>
    </row>
    <row r="133" customFormat="false" ht="12.75" hidden="false" customHeight="false" outlineLevel="0" collapsed="false">
      <c r="A133" s="767" t="n">
        <v>122</v>
      </c>
      <c r="B133" s="854" t="n">
        <v>40210</v>
      </c>
      <c r="C133" s="417" t="n">
        <v>0</v>
      </c>
      <c r="D133" s="417" t="n">
        <v>0</v>
      </c>
      <c r="E133" s="417" t="n">
        <v>0</v>
      </c>
      <c r="F133" s="417" t="n">
        <v>0</v>
      </c>
      <c r="G133" s="417" t="n">
        <v>0</v>
      </c>
      <c r="H133" s="417" t="n">
        <v>0</v>
      </c>
      <c r="I133" s="417" t="n">
        <v>0</v>
      </c>
      <c r="J133" s="417"/>
      <c r="K133" s="417"/>
      <c r="L133" s="417"/>
      <c r="M133" s="417"/>
      <c r="N133" s="417"/>
      <c r="O133" s="417"/>
      <c r="P133" s="769" t="n">
        <f aca="false">(1/0.96)*2929230.56</f>
        <v>3051281.83333333</v>
      </c>
      <c r="S133" s="769" t="n">
        <f aca="false">(1/0.96)*123939.2</f>
        <v>129103.333333333</v>
      </c>
      <c r="V133" s="769" t="n">
        <f aca="false">(1/0.96)*54324</f>
        <v>56587.5</v>
      </c>
      <c r="Z133" s="769"/>
      <c r="AA133" s="770"/>
      <c r="AB133" s="769"/>
      <c r="AC133" s="770"/>
      <c r="AD133" s="769"/>
      <c r="AE133" s="770"/>
      <c r="AF133" s="769"/>
      <c r="AG133" s="770"/>
      <c r="AI133" s="773"/>
      <c r="AK133" s="774"/>
      <c r="AL133" s="775"/>
      <c r="AM133" s="772"/>
      <c r="AN133" s="776"/>
      <c r="DH133" s="417" t="n">
        <v>0</v>
      </c>
      <c r="DI133" s="417" t="n">
        <v>0</v>
      </c>
      <c r="DJ133" s="417"/>
      <c r="DL133" s="417"/>
      <c r="DN133" s="417"/>
      <c r="DO133" s="417"/>
      <c r="DS133" s="772"/>
    </row>
    <row r="134" customFormat="false" ht="12.75" hidden="false" customHeight="false" outlineLevel="0" collapsed="false">
      <c r="A134" s="767" t="n">
        <v>123</v>
      </c>
      <c r="B134" s="854" t="n">
        <v>40238</v>
      </c>
      <c r="C134" s="417" t="n">
        <v>0</v>
      </c>
      <c r="D134" s="417" t="n">
        <v>0</v>
      </c>
      <c r="E134" s="417" t="n">
        <v>0</v>
      </c>
      <c r="F134" s="417" t="n">
        <v>0</v>
      </c>
      <c r="G134" s="417" t="n">
        <v>0</v>
      </c>
      <c r="H134" s="417" t="n">
        <v>0</v>
      </c>
      <c r="I134" s="417" t="n">
        <v>0</v>
      </c>
      <c r="J134" s="417"/>
      <c r="K134" s="417"/>
      <c r="L134" s="417"/>
      <c r="M134" s="417"/>
      <c r="N134" s="417"/>
      <c r="O134" s="417"/>
      <c r="P134" s="769" t="n">
        <f aca="false">(1/0.96)*2929230.56</f>
        <v>3051281.83333333</v>
      </c>
      <c r="S134" s="769" t="n">
        <f aca="false">(1/0.96)*123939.2</f>
        <v>129103.333333333</v>
      </c>
      <c r="V134" s="769" t="n">
        <f aca="false">(1/0.96)*54324</f>
        <v>56587.5</v>
      </c>
      <c r="Z134" s="769"/>
      <c r="AA134" s="770"/>
      <c r="AB134" s="769"/>
      <c r="AC134" s="770"/>
      <c r="AD134" s="769"/>
      <c r="AE134" s="770"/>
      <c r="AF134" s="769"/>
      <c r="AG134" s="770"/>
      <c r="AI134" s="773"/>
      <c r="AK134" s="774"/>
      <c r="AL134" s="775"/>
      <c r="AM134" s="772"/>
      <c r="AN134" s="776"/>
      <c r="DH134" s="417" t="n">
        <v>0</v>
      </c>
      <c r="DI134" s="417" t="n">
        <v>0</v>
      </c>
      <c r="DJ134" s="417"/>
      <c r="DL134" s="417"/>
      <c r="DN134" s="417"/>
      <c r="DO134" s="417"/>
      <c r="DS134" s="772"/>
    </row>
    <row r="135" customFormat="false" ht="12.75" hidden="false" customHeight="false" outlineLevel="0" collapsed="false">
      <c r="A135" s="767" t="n">
        <v>124</v>
      </c>
      <c r="B135" s="854" t="n">
        <v>40269</v>
      </c>
      <c r="C135" s="417" t="n">
        <v>0</v>
      </c>
      <c r="D135" s="417" t="n">
        <v>0</v>
      </c>
      <c r="E135" s="417" t="n">
        <v>0</v>
      </c>
      <c r="F135" s="417" t="n">
        <v>0</v>
      </c>
      <c r="G135" s="417" t="n">
        <v>0</v>
      </c>
      <c r="H135" s="417" t="n">
        <v>0</v>
      </c>
      <c r="I135" s="417" t="n">
        <v>0</v>
      </c>
      <c r="J135" s="417"/>
      <c r="K135" s="417"/>
      <c r="L135" s="417"/>
      <c r="M135" s="417"/>
      <c r="N135" s="417"/>
      <c r="O135" s="417"/>
      <c r="P135" s="769" t="n">
        <f aca="false">(1/0.96)*2929230.56</f>
        <v>3051281.83333333</v>
      </c>
      <c r="S135" s="769" t="n">
        <f aca="false">(1/0.96)*123939.2</f>
        <v>129103.333333333</v>
      </c>
      <c r="V135" s="769" t="n">
        <f aca="false">(1/0.96)*54324</f>
        <v>56587.5</v>
      </c>
      <c r="Z135" s="769"/>
      <c r="AA135" s="770"/>
      <c r="AB135" s="769"/>
      <c r="AC135" s="770"/>
      <c r="AD135" s="769"/>
      <c r="AE135" s="770"/>
      <c r="AF135" s="769"/>
      <c r="AG135" s="770"/>
      <c r="AI135" s="773"/>
      <c r="AK135" s="774"/>
      <c r="AL135" s="775"/>
      <c r="AM135" s="772"/>
      <c r="AN135" s="776"/>
      <c r="DH135" s="417" t="n">
        <v>0</v>
      </c>
      <c r="DI135" s="417" t="n">
        <v>0</v>
      </c>
      <c r="DJ135" s="417"/>
      <c r="DL135" s="417"/>
      <c r="DN135" s="417"/>
      <c r="DO135" s="417"/>
      <c r="DS135" s="772"/>
    </row>
    <row r="136" customFormat="false" ht="12.75" hidden="false" customHeight="false" outlineLevel="0" collapsed="false">
      <c r="A136" s="767" t="n">
        <v>125</v>
      </c>
      <c r="B136" s="854" t="n">
        <v>40299</v>
      </c>
      <c r="C136" s="417" t="n">
        <v>0</v>
      </c>
      <c r="D136" s="417" t="n">
        <v>0</v>
      </c>
      <c r="E136" s="417" t="n">
        <v>0</v>
      </c>
      <c r="F136" s="417" t="n">
        <v>0</v>
      </c>
      <c r="G136" s="417" t="n">
        <v>0</v>
      </c>
      <c r="H136" s="417" t="n">
        <v>0</v>
      </c>
      <c r="I136" s="417" t="n">
        <v>0</v>
      </c>
      <c r="J136" s="417"/>
      <c r="K136" s="417"/>
      <c r="L136" s="417"/>
      <c r="M136" s="417"/>
      <c r="N136" s="417"/>
      <c r="O136" s="417"/>
      <c r="P136" s="769" t="n">
        <f aca="false">(1/0.96)*2929230.56</f>
        <v>3051281.83333333</v>
      </c>
      <c r="S136" s="769" t="n">
        <f aca="false">(1/0.96)*123939.2</f>
        <v>129103.333333333</v>
      </c>
      <c r="V136" s="769" t="n">
        <f aca="false">(1/0.96)*54324</f>
        <v>56587.5</v>
      </c>
      <c r="Z136" s="769"/>
      <c r="AA136" s="770"/>
      <c r="AB136" s="769"/>
      <c r="AC136" s="770"/>
      <c r="AD136" s="769"/>
      <c r="AE136" s="770"/>
      <c r="AF136" s="769"/>
      <c r="AG136" s="770"/>
      <c r="AI136" s="773"/>
      <c r="AK136" s="774"/>
      <c r="AL136" s="775"/>
      <c r="AM136" s="772"/>
      <c r="AN136" s="776"/>
      <c r="DH136" s="417" t="n">
        <v>0</v>
      </c>
      <c r="DI136" s="417" t="n">
        <v>0</v>
      </c>
      <c r="DJ136" s="417"/>
      <c r="DL136" s="417"/>
      <c r="DN136" s="417"/>
      <c r="DO136" s="417"/>
      <c r="DS136" s="772"/>
    </row>
    <row r="137" customFormat="false" ht="12.75" hidden="false" customHeight="false" outlineLevel="0" collapsed="false">
      <c r="A137" s="767" t="n">
        <v>126</v>
      </c>
      <c r="B137" s="854" t="n">
        <v>40330</v>
      </c>
      <c r="C137" s="417" t="n">
        <v>0</v>
      </c>
      <c r="D137" s="417" t="n">
        <v>0</v>
      </c>
      <c r="E137" s="417" t="n">
        <v>0</v>
      </c>
      <c r="F137" s="417" t="n">
        <v>0</v>
      </c>
      <c r="G137" s="417" t="n">
        <v>0</v>
      </c>
      <c r="H137" s="417" t="n">
        <v>0</v>
      </c>
      <c r="I137" s="417" t="n">
        <v>0</v>
      </c>
      <c r="J137" s="417"/>
      <c r="K137" s="417"/>
      <c r="L137" s="417"/>
      <c r="M137" s="417"/>
      <c r="N137" s="417"/>
      <c r="O137" s="417"/>
      <c r="P137" s="769" t="n">
        <f aca="false">(1/0.96)*2929230.56</f>
        <v>3051281.83333333</v>
      </c>
      <c r="S137" s="769" t="n">
        <f aca="false">(1/0.96)*123939.2</f>
        <v>129103.333333333</v>
      </c>
      <c r="V137" s="769" t="n">
        <f aca="false">(1/0.96)*54324</f>
        <v>56587.5</v>
      </c>
      <c r="DH137" s="417" t="n">
        <v>0</v>
      </c>
      <c r="DI137" s="417" t="n">
        <v>0</v>
      </c>
      <c r="DJ137" s="417"/>
      <c r="DL137" s="417"/>
      <c r="DN137" s="417"/>
      <c r="DO137" s="417"/>
    </row>
    <row r="138" customFormat="false" ht="12.75" hidden="false" customHeight="false" outlineLevel="0" collapsed="false">
      <c r="A138" s="767" t="n">
        <v>127</v>
      </c>
      <c r="B138" s="854" t="n">
        <v>40360</v>
      </c>
      <c r="C138" s="417" t="n">
        <v>0</v>
      </c>
      <c r="D138" s="417" t="n">
        <v>0</v>
      </c>
      <c r="E138" s="417" t="n">
        <v>0</v>
      </c>
      <c r="F138" s="417" t="n">
        <v>0</v>
      </c>
      <c r="G138" s="417" t="n">
        <v>0</v>
      </c>
      <c r="H138" s="417" t="n">
        <v>0</v>
      </c>
      <c r="I138" s="417" t="n">
        <v>0</v>
      </c>
      <c r="J138" s="417"/>
      <c r="K138" s="417"/>
      <c r="L138" s="417"/>
      <c r="M138" s="417"/>
      <c r="N138" s="417"/>
      <c r="O138" s="417"/>
      <c r="P138" s="769" t="n">
        <f aca="false">(1/0.96)*2929230.56</f>
        <v>3051281.83333333</v>
      </c>
      <c r="S138" s="769" t="n">
        <f aca="false">(1/0.96)*123939.2</f>
        <v>129103.333333333</v>
      </c>
      <c r="V138" s="769" t="n">
        <f aca="false">(1/0.96)*54324</f>
        <v>56587.5</v>
      </c>
      <c r="DH138" s="417" t="n">
        <v>0</v>
      </c>
      <c r="DI138" s="417" t="n">
        <v>0</v>
      </c>
      <c r="DJ138" s="417"/>
      <c r="DL138" s="417"/>
      <c r="DN138" s="417"/>
      <c r="DO138" s="417"/>
    </row>
    <row r="139" customFormat="false" ht="12.75" hidden="false" customHeight="false" outlineLevel="0" collapsed="false">
      <c r="A139" s="767" t="n">
        <v>128</v>
      </c>
      <c r="B139" s="854" t="n">
        <v>40391</v>
      </c>
      <c r="C139" s="417" t="n">
        <v>0</v>
      </c>
      <c r="D139" s="417" t="n">
        <v>0</v>
      </c>
      <c r="E139" s="417" t="n">
        <v>0</v>
      </c>
      <c r="F139" s="417" t="n">
        <v>0</v>
      </c>
      <c r="G139" s="417" t="n">
        <v>0</v>
      </c>
      <c r="H139" s="417" t="n">
        <v>0</v>
      </c>
      <c r="I139" s="417" t="n">
        <v>0</v>
      </c>
      <c r="J139" s="417"/>
      <c r="K139" s="417"/>
      <c r="L139" s="417"/>
      <c r="M139" s="417"/>
      <c r="N139" s="417"/>
      <c r="O139" s="417"/>
      <c r="P139" s="769" t="n">
        <f aca="false">(1/0.96)*2929230.56</f>
        <v>3051281.83333333</v>
      </c>
      <c r="S139" s="769" t="n">
        <f aca="false">(1/0.96)*123939.2</f>
        <v>129103.333333333</v>
      </c>
      <c r="V139" s="769" t="n">
        <f aca="false">(1/0.96)*54324</f>
        <v>56587.5</v>
      </c>
      <c r="DH139" s="417" t="n">
        <v>0</v>
      </c>
      <c r="DI139" s="417" t="n">
        <v>0</v>
      </c>
      <c r="DJ139" s="417"/>
      <c r="DL139" s="417"/>
      <c r="DN139" s="417"/>
      <c r="DO139" s="417"/>
    </row>
    <row r="140" customFormat="false" ht="12.75" hidden="false" customHeight="false" outlineLevel="0" collapsed="false">
      <c r="A140" s="767" t="n">
        <v>129</v>
      </c>
      <c r="B140" s="854" t="n">
        <v>40422</v>
      </c>
      <c r="C140" s="417" t="n">
        <v>0</v>
      </c>
      <c r="D140" s="417" t="n">
        <v>0</v>
      </c>
      <c r="E140" s="417" t="n">
        <v>0</v>
      </c>
      <c r="F140" s="417" t="n">
        <v>0</v>
      </c>
      <c r="G140" s="417" t="n">
        <v>0</v>
      </c>
      <c r="H140" s="417" t="n">
        <v>0</v>
      </c>
      <c r="I140" s="417" t="n">
        <v>0</v>
      </c>
      <c r="J140" s="417"/>
      <c r="K140" s="417"/>
      <c r="L140" s="417"/>
      <c r="M140" s="417"/>
      <c r="N140" s="417"/>
      <c r="O140" s="417"/>
      <c r="P140" s="769" t="n">
        <f aca="false">(1/0.96)*2929230.56</f>
        <v>3051281.83333333</v>
      </c>
      <c r="S140" s="769" t="n">
        <f aca="false">(1/0.96)*123939.2</f>
        <v>129103.333333333</v>
      </c>
      <c r="V140" s="769" t="n">
        <f aca="false">(1/0.96)*54324</f>
        <v>56587.5</v>
      </c>
      <c r="DH140" s="417" t="n">
        <v>0</v>
      </c>
      <c r="DI140" s="417" t="n">
        <v>0</v>
      </c>
      <c r="DJ140" s="417"/>
      <c r="DL140" s="417"/>
      <c r="DN140" s="417"/>
      <c r="DO140" s="417"/>
    </row>
    <row r="141" customFormat="false" ht="12.75" hidden="false" customHeight="false" outlineLevel="0" collapsed="false">
      <c r="A141" s="767" t="n">
        <v>130</v>
      </c>
      <c r="B141" s="854" t="n">
        <v>40452</v>
      </c>
      <c r="C141" s="417" t="n">
        <v>0</v>
      </c>
      <c r="D141" s="417" t="n">
        <v>0</v>
      </c>
      <c r="E141" s="417" t="n">
        <v>0</v>
      </c>
      <c r="F141" s="417" t="n">
        <v>0</v>
      </c>
      <c r="G141" s="417" t="n">
        <v>0</v>
      </c>
      <c r="H141" s="417" t="n">
        <v>0</v>
      </c>
      <c r="I141" s="417" t="n">
        <v>0</v>
      </c>
      <c r="J141" s="417"/>
      <c r="K141" s="417"/>
      <c r="L141" s="417"/>
      <c r="M141" s="417"/>
      <c r="N141" s="417"/>
      <c r="O141" s="417"/>
      <c r="P141" s="769" t="n">
        <f aca="false">(1/0.96)*2929230.56</f>
        <v>3051281.83333333</v>
      </c>
      <c r="S141" s="769" t="n">
        <f aca="false">(1/0.96)*123939.2</f>
        <v>129103.333333333</v>
      </c>
      <c r="V141" s="769" t="n">
        <f aca="false">(1/0.96)*54324</f>
        <v>56587.5</v>
      </c>
      <c r="DH141" s="417" t="n">
        <v>0</v>
      </c>
      <c r="DI141" s="417" t="n">
        <v>0</v>
      </c>
      <c r="DJ141" s="417"/>
      <c r="DL141" s="417"/>
      <c r="DN141" s="417"/>
      <c r="DO141" s="417"/>
    </row>
    <row r="142" customFormat="false" ht="12.75" hidden="false" customHeight="false" outlineLevel="0" collapsed="false">
      <c r="A142" s="767" t="n">
        <v>131</v>
      </c>
      <c r="B142" s="854" t="n">
        <v>40483</v>
      </c>
      <c r="C142" s="417" t="n">
        <v>0</v>
      </c>
      <c r="D142" s="417" t="n">
        <v>0</v>
      </c>
      <c r="E142" s="417" t="n">
        <v>0</v>
      </c>
      <c r="F142" s="417" t="n">
        <v>0</v>
      </c>
      <c r="G142" s="417" t="n">
        <v>0</v>
      </c>
      <c r="H142" s="417" t="n">
        <v>0</v>
      </c>
      <c r="I142" s="417" t="n">
        <v>0</v>
      </c>
      <c r="J142" s="417"/>
      <c r="K142" s="417"/>
      <c r="L142" s="417"/>
      <c r="M142" s="417"/>
      <c r="N142" s="417"/>
      <c r="O142" s="417"/>
      <c r="P142" s="769" t="n">
        <f aca="false">(1/0.96)*2929230.56</f>
        <v>3051281.83333333</v>
      </c>
      <c r="S142" s="769" t="n">
        <f aca="false">(1/0.96)*123939.2</f>
        <v>129103.333333333</v>
      </c>
      <c r="V142" s="769" t="n">
        <f aca="false">(1/0.96)*54324</f>
        <v>56587.5</v>
      </c>
      <c r="DH142" s="417" t="n">
        <v>0</v>
      </c>
      <c r="DI142" s="417" t="n">
        <v>0</v>
      </c>
      <c r="DJ142" s="417"/>
      <c r="DL142" s="417"/>
      <c r="DN142" s="417"/>
      <c r="DO142" s="417"/>
    </row>
    <row r="143" customFormat="false" ht="12.75" hidden="false" customHeight="false" outlineLevel="0" collapsed="false">
      <c r="A143" s="881" t="n">
        <v>132</v>
      </c>
      <c r="B143" s="875" t="n">
        <v>40513</v>
      </c>
      <c r="C143" s="882" t="n">
        <v>0</v>
      </c>
      <c r="D143" s="882" t="n">
        <v>0</v>
      </c>
      <c r="E143" s="882" t="n">
        <v>0</v>
      </c>
      <c r="F143" s="882" t="n">
        <v>0</v>
      </c>
      <c r="G143" s="882" t="n">
        <v>0</v>
      </c>
      <c r="H143" s="882" t="n">
        <v>0</v>
      </c>
      <c r="I143" s="882" t="n">
        <v>0</v>
      </c>
      <c r="J143" s="882"/>
      <c r="K143" s="882"/>
      <c r="L143" s="882"/>
      <c r="M143" s="882"/>
      <c r="N143" s="882"/>
      <c r="O143" s="882"/>
      <c r="P143" s="769" t="n">
        <f aca="false">(1/0.96)*2929230.56</f>
        <v>3051281.83333333</v>
      </c>
      <c r="Q143" s="883"/>
      <c r="R143" s="884"/>
      <c r="S143" s="769" t="n">
        <f aca="false">(1/0.96)*123939.2</f>
        <v>129103.333333333</v>
      </c>
      <c r="T143" s="883"/>
      <c r="U143" s="884"/>
      <c r="V143" s="769" t="n">
        <f aca="false">(1/0.96)*54324</f>
        <v>56587.5</v>
      </c>
      <c r="W143" s="885"/>
      <c r="X143" s="884"/>
      <c r="Y143" s="886"/>
      <c r="Z143" s="883"/>
      <c r="AA143" s="886"/>
      <c r="AB143" s="883"/>
      <c r="AC143" s="886"/>
      <c r="AD143" s="883"/>
      <c r="AE143" s="886"/>
      <c r="AF143" s="883"/>
      <c r="AG143" s="887"/>
      <c r="AH143" s="887"/>
      <c r="AI143" s="888"/>
      <c r="AJ143" s="888"/>
      <c r="AK143" s="889"/>
      <c r="AL143" s="885"/>
      <c r="AM143" s="890"/>
      <c r="AN143" s="885"/>
      <c r="AO143" s="885"/>
      <c r="AP143" s="885"/>
      <c r="AQ143" s="885"/>
      <c r="AR143" s="885"/>
      <c r="AS143" s="885"/>
      <c r="AT143" s="885"/>
      <c r="AU143" s="885"/>
      <c r="AV143" s="885"/>
      <c r="AW143" s="885"/>
      <c r="AX143" s="885"/>
      <c r="AY143" s="885"/>
      <c r="AZ143" s="885"/>
      <c r="BA143" s="885"/>
      <c r="BB143" s="885"/>
      <c r="BC143" s="885"/>
      <c r="BD143" s="885"/>
      <c r="BE143" s="885"/>
      <c r="BF143" s="885"/>
      <c r="BG143" s="885"/>
      <c r="BH143" s="885"/>
      <c r="BI143" s="885"/>
      <c r="BJ143" s="885"/>
      <c r="BK143" s="885"/>
      <c r="BL143" s="885"/>
      <c r="BM143" s="885"/>
      <c r="BN143" s="885"/>
      <c r="BO143" s="885"/>
      <c r="BP143" s="885"/>
      <c r="BQ143" s="885"/>
      <c r="BR143" s="885"/>
      <c r="BS143" s="885"/>
      <c r="BT143" s="885"/>
      <c r="BU143" s="885"/>
      <c r="BV143" s="885"/>
      <c r="BW143" s="885"/>
      <c r="BX143" s="885"/>
      <c r="BY143" s="885"/>
      <c r="BZ143" s="885"/>
      <c r="CA143" s="885"/>
      <c r="CB143" s="885"/>
      <c r="CC143" s="885"/>
      <c r="CD143" s="885"/>
      <c r="CE143" s="885"/>
      <c r="CF143" s="885"/>
      <c r="CG143" s="885"/>
      <c r="CH143" s="885"/>
      <c r="CI143" s="885"/>
      <c r="CJ143" s="885"/>
      <c r="CK143" s="885"/>
      <c r="CL143" s="885"/>
      <c r="CM143" s="885"/>
      <c r="CN143" s="885"/>
      <c r="CO143" s="885"/>
      <c r="CP143" s="885"/>
      <c r="CQ143" s="885"/>
      <c r="CR143" s="885"/>
      <c r="CS143" s="885"/>
      <c r="CT143" s="885"/>
      <c r="CU143" s="885"/>
      <c r="CV143" s="885"/>
      <c r="CW143" s="885"/>
      <c r="CX143" s="885"/>
      <c r="CY143" s="885"/>
      <c r="CZ143" s="885"/>
      <c r="DA143" s="885"/>
      <c r="DB143" s="885"/>
      <c r="DC143" s="885"/>
      <c r="DD143" s="885"/>
      <c r="DE143" s="885"/>
      <c r="DF143" s="885"/>
      <c r="DG143" s="885"/>
      <c r="DH143" s="417" t="n">
        <v>0</v>
      </c>
      <c r="DI143" s="417" t="n">
        <v>0</v>
      </c>
      <c r="DJ143" s="417"/>
      <c r="DK143" s="885"/>
      <c r="DL143" s="417"/>
      <c r="DM143" s="885"/>
      <c r="DN143" s="417"/>
      <c r="DO143" s="417"/>
      <c r="DP143" s="885"/>
      <c r="DQ143" s="885"/>
      <c r="DR143" s="885"/>
    </row>
    <row r="144" customFormat="false" ht="12.75" hidden="false" customHeight="false" outlineLevel="0" collapsed="false">
      <c r="A144" s="866" t="n">
        <v>133</v>
      </c>
      <c r="B144" s="867" t="n">
        <v>40544</v>
      </c>
      <c r="C144" s="876" t="n">
        <v>0</v>
      </c>
      <c r="D144" s="876" t="n">
        <v>0</v>
      </c>
      <c r="E144" s="876" t="n">
        <v>0</v>
      </c>
      <c r="F144" s="876" t="n">
        <v>0</v>
      </c>
      <c r="G144" s="876" t="n">
        <v>0</v>
      </c>
      <c r="H144" s="876" t="n">
        <v>0</v>
      </c>
      <c r="I144" s="876" t="n">
        <v>0</v>
      </c>
      <c r="J144" s="876"/>
      <c r="K144" s="876"/>
      <c r="L144" s="876"/>
      <c r="M144" s="876"/>
      <c r="N144" s="876"/>
      <c r="O144" s="876"/>
      <c r="P144" s="769" t="n">
        <f aca="false">(1/0.96)*2959599.70699273</f>
        <v>3082916.36145077</v>
      </c>
      <c r="Q144" s="870"/>
      <c r="R144" s="877"/>
      <c r="S144" s="769" t="n">
        <f aca="false">(1/0.96)*125224.154429453</f>
        <v>130441.827530681</v>
      </c>
      <c r="T144" s="870"/>
      <c r="U144" s="877"/>
      <c r="V144" s="769" t="n">
        <f aca="false">(1/0.96)*54887.2105453773</f>
        <v>57174.1776514347</v>
      </c>
      <c r="W144" s="869"/>
      <c r="X144" s="877"/>
      <c r="Y144" s="868"/>
      <c r="Z144" s="870"/>
      <c r="AA144" s="868"/>
      <c r="AB144" s="870"/>
      <c r="AC144" s="868"/>
      <c r="AD144" s="870"/>
      <c r="AE144" s="868"/>
      <c r="AF144" s="870"/>
      <c r="AG144" s="871"/>
      <c r="AH144" s="871"/>
      <c r="AI144" s="878"/>
      <c r="AJ144" s="878"/>
      <c r="AK144" s="879"/>
      <c r="AL144" s="869"/>
      <c r="AM144" s="880"/>
      <c r="AN144" s="869"/>
      <c r="AO144" s="869"/>
      <c r="AP144" s="869"/>
      <c r="AQ144" s="869"/>
      <c r="AR144" s="869"/>
      <c r="AS144" s="869"/>
      <c r="AT144" s="869"/>
      <c r="AU144" s="869"/>
      <c r="AV144" s="869"/>
      <c r="AW144" s="869"/>
      <c r="AX144" s="869"/>
      <c r="AY144" s="869"/>
      <c r="AZ144" s="869"/>
      <c r="BA144" s="869"/>
      <c r="BB144" s="869"/>
      <c r="BC144" s="869"/>
      <c r="BD144" s="869"/>
      <c r="BE144" s="869"/>
      <c r="BF144" s="869"/>
      <c r="BG144" s="869"/>
      <c r="BH144" s="869"/>
      <c r="BI144" s="869"/>
      <c r="BJ144" s="869"/>
      <c r="BK144" s="869"/>
      <c r="BL144" s="869"/>
      <c r="BM144" s="869"/>
      <c r="BN144" s="869"/>
      <c r="BO144" s="869"/>
      <c r="BP144" s="869"/>
      <c r="BQ144" s="869"/>
      <c r="BR144" s="869"/>
      <c r="BS144" s="869"/>
      <c r="BT144" s="869"/>
      <c r="BU144" s="869"/>
      <c r="BV144" s="869"/>
      <c r="BW144" s="869"/>
      <c r="BX144" s="869"/>
      <c r="BY144" s="869"/>
      <c r="BZ144" s="869"/>
      <c r="CA144" s="869"/>
      <c r="CB144" s="869"/>
      <c r="CC144" s="869"/>
      <c r="CD144" s="869"/>
      <c r="CE144" s="869"/>
      <c r="CF144" s="869"/>
      <c r="CG144" s="869"/>
      <c r="CH144" s="869"/>
      <c r="CI144" s="869"/>
      <c r="CJ144" s="869"/>
      <c r="CK144" s="869"/>
      <c r="CL144" s="869"/>
      <c r="CM144" s="869"/>
      <c r="CN144" s="869"/>
      <c r="CO144" s="869"/>
      <c r="CP144" s="869"/>
      <c r="CQ144" s="869"/>
      <c r="CR144" s="869"/>
      <c r="CS144" s="869"/>
      <c r="CT144" s="869"/>
      <c r="CU144" s="869"/>
      <c r="CV144" s="869"/>
      <c r="CW144" s="869"/>
      <c r="CX144" s="869"/>
      <c r="CY144" s="869"/>
      <c r="CZ144" s="869"/>
      <c r="DA144" s="869"/>
      <c r="DB144" s="869"/>
      <c r="DC144" s="869"/>
      <c r="DD144" s="869"/>
      <c r="DE144" s="869"/>
      <c r="DF144" s="869"/>
      <c r="DG144" s="869"/>
      <c r="DH144" s="417" t="n">
        <v>0</v>
      </c>
      <c r="DI144" s="417" t="n">
        <v>0</v>
      </c>
      <c r="DJ144" s="417"/>
      <c r="DK144" s="869"/>
      <c r="DL144" s="417"/>
      <c r="DM144" s="869"/>
      <c r="DN144" s="417"/>
      <c r="DO144" s="417"/>
      <c r="DP144" s="869"/>
      <c r="DQ144" s="869"/>
      <c r="DR144" s="869"/>
    </row>
    <row r="145" customFormat="false" ht="12.75" hidden="false" customHeight="false" outlineLevel="0" collapsed="false">
      <c r="A145" s="767" t="n">
        <v>134</v>
      </c>
      <c r="B145" s="854" t="n">
        <v>40575</v>
      </c>
      <c r="C145" s="417" t="n">
        <v>0</v>
      </c>
      <c r="D145" s="417" t="n">
        <v>0</v>
      </c>
      <c r="E145" s="417" t="n">
        <v>0</v>
      </c>
      <c r="F145" s="417" t="n">
        <v>0</v>
      </c>
      <c r="G145" s="417" t="n">
        <v>0</v>
      </c>
      <c r="H145" s="417" t="n">
        <v>0</v>
      </c>
      <c r="I145" s="417" t="n">
        <v>0</v>
      </c>
      <c r="J145" s="417"/>
      <c r="K145" s="417"/>
      <c r="L145" s="417"/>
      <c r="M145" s="417"/>
      <c r="N145" s="417"/>
      <c r="O145" s="417"/>
      <c r="P145" s="769" t="n">
        <f aca="false">(1/0.96)*2959599.70699273</f>
        <v>3082916.36145077</v>
      </c>
      <c r="S145" s="769" t="n">
        <f aca="false">(1/0.96)*125224.154429453</f>
        <v>130441.827530681</v>
      </c>
      <c r="V145" s="769" t="n">
        <f aca="false">(1/0.96)*54887.2105453773</f>
        <v>57174.1776514347</v>
      </c>
      <c r="DH145" s="417" t="n">
        <v>0</v>
      </c>
      <c r="DI145" s="417" t="n">
        <v>0</v>
      </c>
      <c r="DJ145" s="417"/>
      <c r="DL145" s="417"/>
      <c r="DN145" s="417"/>
      <c r="DO145" s="417"/>
    </row>
    <row r="146" customFormat="false" ht="12.75" hidden="false" customHeight="false" outlineLevel="0" collapsed="false">
      <c r="A146" s="767" t="n">
        <v>135</v>
      </c>
      <c r="B146" s="854" t="n">
        <v>40603</v>
      </c>
      <c r="C146" s="417" t="n">
        <v>0</v>
      </c>
      <c r="D146" s="417" t="n">
        <v>0</v>
      </c>
      <c r="E146" s="417" t="n">
        <v>0</v>
      </c>
      <c r="F146" s="417" t="n">
        <v>0</v>
      </c>
      <c r="G146" s="417" t="n">
        <v>0</v>
      </c>
      <c r="H146" s="417" t="n">
        <v>0</v>
      </c>
      <c r="I146" s="417" t="n">
        <v>0</v>
      </c>
      <c r="J146" s="417"/>
      <c r="K146" s="417"/>
      <c r="L146" s="417"/>
      <c r="M146" s="417"/>
      <c r="N146" s="417"/>
      <c r="O146" s="417"/>
      <c r="P146" s="769" t="n">
        <f aca="false">(1/0.96)*2959599.70699273</f>
        <v>3082916.36145077</v>
      </c>
      <c r="S146" s="769" t="n">
        <f aca="false">(1/0.96)*125224.154429453</f>
        <v>130441.827530681</v>
      </c>
      <c r="V146" s="769" t="n">
        <f aca="false">(1/0.96)*54887.2105453773</f>
        <v>57174.1776514347</v>
      </c>
      <c r="DH146" s="417" t="n">
        <v>0</v>
      </c>
      <c r="DI146" s="417" t="n">
        <v>0</v>
      </c>
      <c r="DJ146" s="417"/>
      <c r="DL146" s="417"/>
      <c r="DN146" s="417"/>
      <c r="DO146" s="417"/>
    </row>
    <row r="147" customFormat="false" ht="12.75" hidden="false" customHeight="false" outlineLevel="0" collapsed="false">
      <c r="A147" s="767" t="n">
        <v>136</v>
      </c>
      <c r="B147" s="854" t="n">
        <v>40634</v>
      </c>
      <c r="C147" s="417" t="n">
        <v>0</v>
      </c>
      <c r="D147" s="417" t="n">
        <v>0</v>
      </c>
      <c r="E147" s="417" t="n">
        <v>0</v>
      </c>
      <c r="F147" s="417" t="n">
        <v>0</v>
      </c>
      <c r="G147" s="417" t="n">
        <v>0</v>
      </c>
      <c r="H147" s="417" t="n">
        <v>0</v>
      </c>
      <c r="I147" s="417" t="n">
        <v>0</v>
      </c>
      <c r="J147" s="417"/>
      <c r="K147" s="417"/>
      <c r="L147" s="417"/>
      <c r="M147" s="417"/>
      <c r="N147" s="417"/>
      <c r="O147" s="417"/>
      <c r="P147" s="769" t="n">
        <f aca="false">(1/0.96)*2959599.70699273</f>
        <v>3082916.36145077</v>
      </c>
      <c r="S147" s="769" t="n">
        <f aca="false">(1/0.96)*125224.154429453</f>
        <v>130441.827530681</v>
      </c>
      <c r="V147" s="769" t="n">
        <f aca="false">(1/0.96)*54887.2105453773</f>
        <v>57174.1776514347</v>
      </c>
      <c r="DH147" s="417" t="n">
        <v>0</v>
      </c>
      <c r="DI147" s="417" t="n">
        <v>0</v>
      </c>
      <c r="DJ147" s="417"/>
      <c r="DL147" s="417"/>
      <c r="DN147" s="417"/>
      <c r="DO147" s="417"/>
    </row>
    <row r="148" customFormat="false" ht="12.75" hidden="false" customHeight="false" outlineLevel="0" collapsed="false">
      <c r="A148" s="767" t="n">
        <v>137</v>
      </c>
      <c r="B148" s="854" t="n">
        <v>40664</v>
      </c>
      <c r="C148" s="417" t="n">
        <v>0</v>
      </c>
      <c r="D148" s="417" t="n">
        <v>0</v>
      </c>
      <c r="E148" s="417" t="n">
        <v>0</v>
      </c>
      <c r="F148" s="417" t="n">
        <v>0</v>
      </c>
      <c r="G148" s="417" t="n">
        <v>0</v>
      </c>
      <c r="H148" s="417" t="n">
        <v>0</v>
      </c>
      <c r="I148" s="417" t="n">
        <v>0</v>
      </c>
      <c r="J148" s="417"/>
      <c r="K148" s="417"/>
      <c r="L148" s="417"/>
      <c r="M148" s="417"/>
      <c r="N148" s="417"/>
      <c r="O148" s="417"/>
      <c r="P148" s="769" t="n">
        <f aca="false">(1/0.96)*2959599.70699273</f>
        <v>3082916.36145077</v>
      </c>
      <c r="S148" s="769" t="n">
        <f aca="false">(1/0.96)*125224.154429453</f>
        <v>130441.827530681</v>
      </c>
      <c r="V148" s="769" t="n">
        <f aca="false">(1/0.96)*54887.2105453773</f>
        <v>57174.1776514347</v>
      </c>
      <c r="DH148" s="417" t="n">
        <v>0</v>
      </c>
      <c r="DI148" s="417" t="n">
        <v>0</v>
      </c>
      <c r="DJ148" s="417"/>
      <c r="DL148" s="417"/>
      <c r="DN148" s="417"/>
      <c r="DO148" s="417"/>
    </row>
    <row r="149" customFormat="false" ht="12.75" hidden="false" customHeight="false" outlineLevel="0" collapsed="false">
      <c r="A149" s="767" t="n">
        <v>138</v>
      </c>
      <c r="B149" s="854" t="n">
        <v>40695</v>
      </c>
      <c r="C149" s="417" t="n">
        <v>0</v>
      </c>
      <c r="D149" s="417" t="n">
        <v>0</v>
      </c>
      <c r="E149" s="417" t="n">
        <v>0</v>
      </c>
      <c r="F149" s="417" t="n">
        <v>0</v>
      </c>
      <c r="G149" s="417" t="n">
        <v>0</v>
      </c>
      <c r="H149" s="417" t="n">
        <v>0</v>
      </c>
      <c r="I149" s="417" t="n">
        <v>0</v>
      </c>
      <c r="J149" s="417"/>
      <c r="K149" s="417"/>
      <c r="L149" s="417"/>
      <c r="M149" s="417"/>
      <c r="N149" s="417"/>
      <c r="O149" s="417"/>
      <c r="P149" s="769" t="n">
        <f aca="false">(1/0.96)*2959599.70699273</f>
        <v>3082916.36145077</v>
      </c>
      <c r="S149" s="769" t="n">
        <f aca="false">(1/0.96)*125224.154429453</f>
        <v>130441.827530681</v>
      </c>
      <c r="V149" s="769" t="n">
        <f aca="false">(1/0.96)*54887.2105453773</f>
        <v>57174.1776514347</v>
      </c>
      <c r="DH149" s="417" t="n">
        <v>0</v>
      </c>
      <c r="DI149" s="417" t="n">
        <v>0</v>
      </c>
      <c r="DJ149" s="417"/>
      <c r="DL149" s="417"/>
      <c r="DN149" s="417"/>
      <c r="DO149" s="417"/>
    </row>
    <row r="150" customFormat="false" ht="12.75" hidden="false" customHeight="false" outlineLevel="0" collapsed="false">
      <c r="A150" s="767" t="n">
        <v>139</v>
      </c>
      <c r="B150" s="854" t="n">
        <v>40725</v>
      </c>
      <c r="C150" s="417" t="n">
        <v>0</v>
      </c>
      <c r="D150" s="417" t="n">
        <v>0</v>
      </c>
      <c r="E150" s="417" t="n">
        <v>0</v>
      </c>
      <c r="F150" s="417" t="n">
        <v>0</v>
      </c>
      <c r="G150" s="417" t="n">
        <v>0</v>
      </c>
      <c r="H150" s="417" t="n">
        <v>0</v>
      </c>
      <c r="I150" s="417" t="n">
        <v>0</v>
      </c>
      <c r="J150" s="417"/>
      <c r="K150" s="417"/>
      <c r="L150" s="417"/>
      <c r="M150" s="417"/>
      <c r="N150" s="417"/>
      <c r="O150" s="417"/>
      <c r="P150" s="769" t="n">
        <f aca="false">(1/0.96)*2959599.70699273</f>
        <v>3082916.36145077</v>
      </c>
      <c r="S150" s="769" t="n">
        <f aca="false">(1/0.96)*125224.154429453</f>
        <v>130441.827530681</v>
      </c>
      <c r="V150" s="769" t="n">
        <f aca="false">(1/0.96)*54887.2105453773</f>
        <v>57174.1776514347</v>
      </c>
      <c r="DH150" s="417" t="n">
        <v>0</v>
      </c>
      <c r="DI150" s="417" t="n">
        <v>0</v>
      </c>
      <c r="DJ150" s="417"/>
      <c r="DL150" s="417"/>
      <c r="DN150" s="417"/>
      <c r="DO150" s="417"/>
    </row>
    <row r="151" customFormat="false" ht="12.75" hidden="false" customHeight="false" outlineLevel="0" collapsed="false">
      <c r="A151" s="767" t="n">
        <v>140</v>
      </c>
      <c r="B151" s="854" t="n">
        <v>40756</v>
      </c>
      <c r="C151" s="417" t="n">
        <v>0</v>
      </c>
      <c r="D151" s="417" t="n">
        <v>0</v>
      </c>
      <c r="E151" s="417" t="n">
        <v>0</v>
      </c>
      <c r="F151" s="417" t="n">
        <v>0</v>
      </c>
      <c r="G151" s="417" t="n">
        <v>0</v>
      </c>
      <c r="H151" s="417" t="n">
        <v>0</v>
      </c>
      <c r="I151" s="417" t="n">
        <v>0</v>
      </c>
      <c r="J151" s="417"/>
      <c r="K151" s="417"/>
      <c r="L151" s="417"/>
      <c r="M151" s="417"/>
      <c r="N151" s="417"/>
      <c r="O151" s="417"/>
      <c r="P151" s="769" t="n">
        <f aca="false">(1/0.96)*2959599.70699273</f>
        <v>3082916.36145077</v>
      </c>
      <c r="S151" s="769" t="n">
        <f aca="false">(1/0.96)*125224.154429453</f>
        <v>130441.827530681</v>
      </c>
      <c r="V151" s="769" t="n">
        <f aca="false">(1/0.96)*54887.2105453773</f>
        <v>57174.1776514347</v>
      </c>
      <c r="DH151" s="417" t="n">
        <v>0</v>
      </c>
      <c r="DI151" s="417" t="n">
        <v>0</v>
      </c>
      <c r="DJ151" s="417"/>
      <c r="DL151" s="417"/>
      <c r="DN151" s="417"/>
      <c r="DO151" s="417"/>
    </row>
    <row r="152" customFormat="false" ht="12.75" hidden="false" customHeight="false" outlineLevel="0" collapsed="false">
      <c r="A152" s="767" t="n">
        <v>141</v>
      </c>
      <c r="B152" s="854" t="n">
        <v>40787</v>
      </c>
      <c r="C152" s="417" t="n">
        <v>0</v>
      </c>
      <c r="D152" s="417" t="n">
        <v>0</v>
      </c>
      <c r="E152" s="417" t="n">
        <v>0</v>
      </c>
      <c r="F152" s="417" t="n">
        <v>0</v>
      </c>
      <c r="G152" s="417" t="n">
        <v>0</v>
      </c>
      <c r="H152" s="417" t="n">
        <v>0</v>
      </c>
      <c r="I152" s="417" t="n">
        <v>0</v>
      </c>
      <c r="J152" s="417"/>
      <c r="K152" s="417"/>
      <c r="L152" s="417"/>
      <c r="M152" s="417"/>
      <c r="N152" s="417"/>
      <c r="O152" s="417"/>
      <c r="P152" s="769" t="n">
        <f aca="false">(1/0.96)*2959599.70699273</f>
        <v>3082916.36145077</v>
      </c>
      <c r="S152" s="769" t="n">
        <f aca="false">(1/0.96)*125224.154429453</f>
        <v>130441.827530681</v>
      </c>
      <c r="V152" s="769" t="n">
        <f aca="false">(1/0.96)*54887.2105453773</f>
        <v>57174.1776514347</v>
      </c>
      <c r="DH152" s="417" t="n">
        <v>0</v>
      </c>
      <c r="DI152" s="417" t="n">
        <v>0</v>
      </c>
      <c r="DJ152" s="417"/>
      <c r="DL152" s="417"/>
      <c r="DN152" s="417"/>
      <c r="DO152" s="417"/>
    </row>
    <row r="153" customFormat="false" ht="12.75" hidden="false" customHeight="false" outlineLevel="0" collapsed="false">
      <c r="A153" s="767" t="n">
        <v>142</v>
      </c>
      <c r="B153" s="854" t="n">
        <v>40817</v>
      </c>
      <c r="C153" s="417" t="n">
        <v>0</v>
      </c>
      <c r="D153" s="417" t="n">
        <v>0</v>
      </c>
      <c r="E153" s="417" t="n">
        <v>0</v>
      </c>
      <c r="F153" s="417" t="n">
        <v>0</v>
      </c>
      <c r="G153" s="417" t="n">
        <v>0</v>
      </c>
      <c r="H153" s="417" t="n">
        <v>0</v>
      </c>
      <c r="I153" s="417" t="n">
        <v>0</v>
      </c>
      <c r="J153" s="417"/>
      <c r="K153" s="417"/>
      <c r="L153" s="417"/>
      <c r="M153" s="417"/>
      <c r="N153" s="417"/>
      <c r="O153" s="417"/>
      <c r="P153" s="769" t="n">
        <f aca="false">(1/0.96)*2959599.70699273</f>
        <v>3082916.36145077</v>
      </c>
      <c r="S153" s="769" t="n">
        <f aca="false">(1/0.96)*125224.154429453</f>
        <v>130441.827530681</v>
      </c>
      <c r="V153" s="769" t="n">
        <f aca="false">(1/0.96)*54887.2105453773</f>
        <v>57174.1776514347</v>
      </c>
      <c r="DH153" s="417" t="n">
        <v>0</v>
      </c>
      <c r="DI153" s="417" t="n">
        <v>0</v>
      </c>
      <c r="DJ153" s="417"/>
      <c r="DL153" s="417"/>
      <c r="DN153" s="417"/>
      <c r="DO153" s="417"/>
    </row>
    <row r="154" customFormat="false" ht="12.75" hidden="false" customHeight="false" outlineLevel="0" collapsed="false">
      <c r="A154" s="767" t="n">
        <v>143</v>
      </c>
      <c r="B154" s="854" t="n">
        <v>40848</v>
      </c>
      <c r="C154" s="417" t="n">
        <v>0</v>
      </c>
      <c r="D154" s="417" t="n">
        <v>0</v>
      </c>
      <c r="E154" s="417" t="n">
        <v>0</v>
      </c>
      <c r="F154" s="417" t="n">
        <v>0</v>
      </c>
      <c r="G154" s="417" t="n">
        <v>0</v>
      </c>
      <c r="H154" s="417" t="n">
        <v>0</v>
      </c>
      <c r="I154" s="417" t="n">
        <v>0</v>
      </c>
      <c r="J154" s="417"/>
      <c r="K154" s="417"/>
      <c r="L154" s="417"/>
      <c r="M154" s="417"/>
      <c r="N154" s="417"/>
      <c r="O154" s="417"/>
      <c r="P154" s="769" t="n">
        <f aca="false">(1/0.96)*2959599.70699273</f>
        <v>3082916.36145077</v>
      </c>
      <c r="S154" s="769" t="n">
        <f aca="false">(1/0.96)*125224.154429453</f>
        <v>130441.827530681</v>
      </c>
      <c r="V154" s="769" t="n">
        <f aca="false">(1/0.96)*54887.2105453773</f>
        <v>57174.1776514347</v>
      </c>
      <c r="DH154" s="417" t="n">
        <v>0</v>
      </c>
      <c r="DI154" s="417" t="n">
        <v>0</v>
      </c>
      <c r="DJ154" s="417"/>
      <c r="DL154" s="417"/>
      <c r="DN154" s="417"/>
      <c r="DO154" s="417"/>
    </row>
    <row r="155" customFormat="false" ht="12.75" hidden="false" customHeight="false" outlineLevel="0" collapsed="false">
      <c r="A155" s="881" t="n">
        <v>144</v>
      </c>
      <c r="B155" s="875" t="n">
        <v>40878</v>
      </c>
      <c r="C155" s="882" t="n">
        <v>0</v>
      </c>
      <c r="D155" s="882" t="n">
        <v>0</v>
      </c>
      <c r="E155" s="882" t="n">
        <v>0</v>
      </c>
      <c r="F155" s="882" t="n">
        <v>0</v>
      </c>
      <c r="G155" s="882" t="n">
        <v>0</v>
      </c>
      <c r="H155" s="882" t="n">
        <v>0</v>
      </c>
      <c r="I155" s="882" t="n">
        <v>0</v>
      </c>
      <c r="J155" s="882"/>
      <c r="K155" s="882"/>
      <c r="L155" s="882"/>
      <c r="M155" s="882"/>
      <c r="N155" s="882"/>
      <c r="O155" s="882"/>
      <c r="P155" s="769" t="n">
        <f aca="false">(1/0.96)*2959599.70699273</f>
        <v>3082916.36145077</v>
      </c>
      <c r="Q155" s="883"/>
      <c r="R155" s="884"/>
      <c r="S155" s="769" t="n">
        <f aca="false">(1/0.96)*125224.154429453</f>
        <v>130441.827530681</v>
      </c>
      <c r="T155" s="883"/>
      <c r="U155" s="884"/>
      <c r="V155" s="769" t="n">
        <f aca="false">(1/0.96)*54887.2105453773</f>
        <v>57174.1776514347</v>
      </c>
      <c r="W155" s="885"/>
      <c r="X155" s="884"/>
      <c r="Y155" s="886"/>
      <c r="Z155" s="883"/>
      <c r="AA155" s="886"/>
      <c r="AB155" s="883"/>
      <c r="AC155" s="886"/>
      <c r="AD155" s="883"/>
      <c r="AE155" s="886"/>
      <c r="AF155" s="883"/>
      <c r="AG155" s="887"/>
      <c r="AH155" s="887"/>
      <c r="AI155" s="888"/>
      <c r="AJ155" s="888"/>
      <c r="AK155" s="889"/>
      <c r="AL155" s="885"/>
      <c r="AM155" s="890"/>
      <c r="AN155" s="885"/>
      <c r="AO155" s="885"/>
      <c r="AP155" s="885"/>
      <c r="AQ155" s="885"/>
      <c r="AR155" s="885"/>
      <c r="AS155" s="885"/>
      <c r="AT155" s="885"/>
      <c r="AU155" s="885"/>
      <c r="AV155" s="885"/>
      <c r="AW155" s="885"/>
      <c r="AX155" s="885"/>
      <c r="AY155" s="885"/>
      <c r="AZ155" s="885"/>
      <c r="BA155" s="885"/>
      <c r="BB155" s="885"/>
      <c r="BC155" s="885"/>
      <c r="BD155" s="885"/>
      <c r="BE155" s="885"/>
      <c r="BF155" s="885"/>
      <c r="BG155" s="885"/>
      <c r="BH155" s="885"/>
      <c r="BI155" s="885"/>
      <c r="BJ155" s="885"/>
      <c r="BK155" s="885"/>
      <c r="BL155" s="885"/>
      <c r="BM155" s="885"/>
      <c r="BN155" s="885"/>
      <c r="BO155" s="885"/>
      <c r="BP155" s="885"/>
      <c r="BQ155" s="885"/>
      <c r="BR155" s="885"/>
      <c r="BS155" s="885"/>
      <c r="BT155" s="885"/>
      <c r="BU155" s="885"/>
      <c r="BV155" s="885"/>
      <c r="BW155" s="885"/>
      <c r="BX155" s="885"/>
      <c r="BY155" s="885"/>
      <c r="BZ155" s="885"/>
      <c r="CA155" s="885"/>
      <c r="CB155" s="885"/>
      <c r="CC155" s="885"/>
      <c r="CD155" s="885"/>
      <c r="CE155" s="885"/>
      <c r="CF155" s="885"/>
      <c r="CG155" s="885"/>
      <c r="CH155" s="885"/>
      <c r="CI155" s="885"/>
      <c r="CJ155" s="885"/>
      <c r="CK155" s="885"/>
      <c r="CL155" s="885"/>
      <c r="CM155" s="885"/>
      <c r="CN155" s="885"/>
      <c r="CO155" s="885"/>
      <c r="CP155" s="885"/>
      <c r="CQ155" s="885"/>
      <c r="CR155" s="885"/>
      <c r="CS155" s="885"/>
      <c r="CT155" s="885"/>
      <c r="CU155" s="885"/>
      <c r="CV155" s="885"/>
      <c r="CW155" s="885"/>
      <c r="CX155" s="885"/>
      <c r="CY155" s="885"/>
      <c r="CZ155" s="885"/>
      <c r="DA155" s="885"/>
      <c r="DB155" s="885"/>
      <c r="DC155" s="885"/>
      <c r="DD155" s="885"/>
      <c r="DE155" s="885"/>
      <c r="DF155" s="885"/>
      <c r="DG155" s="885"/>
      <c r="DH155" s="417" t="n">
        <v>0</v>
      </c>
      <c r="DI155" s="417" t="n">
        <v>0</v>
      </c>
      <c r="DJ155" s="417"/>
      <c r="DK155" s="885"/>
      <c r="DL155" s="417"/>
      <c r="DM155" s="885"/>
      <c r="DN155" s="417"/>
      <c r="DO155" s="417"/>
      <c r="DP155" s="885"/>
      <c r="DQ155" s="885"/>
      <c r="DR155" s="885"/>
    </row>
    <row r="156" customFormat="false" ht="12.75" hidden="false" customHeight="false" outlineLevel="0" collapsed="false">
      <c r="A156" s="866" t="n">
        <v>145</v>
      </c>
      <c r="B156" s="867" t="n">
        <v>40909</v>
      </c>
      <c r="C156" s="876" t="n">
        <v>0</v>
      </c>
      <c r="D156" s="876" t="n">
        <v>0</v>
      </c>
      <c r="E156" s="876" t="n">
        <v>0</v>
      </c>
      <c r="F156" s="876" t="n">
        <v>0</v>
      </c>
      <c r="G156" s="876" t="n">
        <v>0</v>
      </c>
      <c r="H156" s="876" t="n">
        <v>0</v>
      </c>
      <c r="I156" s="876" t="n">
        <v>0</v>
      </c>
      <c r="J156" s="876"/>
      <c r="K156" s="876"/>
      <c r="L156" s="876"/>
      <c r="M156" s="876"/>
      <c r="N156" s="876"/>
      <c r="O156" s="876"/>
      <c r="P156" s="769" t="n">
        <f aca="false">(1/0.96)*2989654.69828643</f>
        <v>3114223.64404837</v>
      </c>
      <c r="Q156" s="870"/>
      <c r="R156" s="877"/>
      <c r="S156" s="769" t="n">
        <f aca="false">(1/0.96)*126495.816560736</f>
        <v>131766.4755841</v>
      </c>
      <c r="T156" s="870"/>
      <c r="U156" s="877"/>
      <c r="V156" s="769" t="n">
        <f aca="false">(1/0.96)*55444.5949211018</f>
        <v>57754.7863761477</v>
      </c>
      <c r="W156" s="869"/>
      <c r="X156" s="877"/>
      <c r="Y156" s="868"/>
      <c r="Z156" s="870"/>
      <c r="AA156" s="868"/>
      <c r="AB156" s="870"/>
      <c r="AC156" s="868"/>
      <c r="AD156" s="870"/>
      <c r="AE156" s="868"/>
      <c r="AF156" s="870"/>
      <c r="AG156" s="871"/>
      <c r="AH156" s="871"/>
      <c r="AI156" s="878"/>
      <c r="AJ156" s="878"/>
      <c r="AK156" s="879"/>
      <c r="AL156" s="869"/>
      <c r="AM156" s="880"/>
      <c r="AN156" s="869"/>
      <c r="AO156" s="869"/>
      <c r="AP156" s="869"/>
      <c r="AQ156" s="869"/>
      <c r="AR156" s="869"/>
      <c r="AS156" s="869"/>
      <c r="AT156" s="869"/>
      <c r="AU156" s="869"/>
      <c r="AV156" s="869"/>
      <c r="AW156" s="869"/>
      <c r="AX156" s="869"/>
      <c r="AY156" s="869"/>
      <c r="AZ156" s="869"/>
      <c r="BA156" s="869"/>
      <c r="BB156" s="869"/>
      <c r="BC156" s="869"/>
      <c r="BD156" s="869"/>
      <c r="BE156" s="869"/>
      <c r="BF156" s="869"/>
      <c r="BG156" s="869"/>
      <c r="BH156" s="869"/>
      <c r="BI156" s="869"/>
      <c r="BJ156" s="869"/>
      <c r="BK156" s="869"/>
      <c r="BL156" s="869"/>
      <c r="BM156" s="869"/>
      <c r="BN156" s="869"/>
      <c r="BO156" s="869"/>
      <c r="BP156" s="869"/>
      <c r="BQ156" s="869"/>
      <c r="BR156" s="869"/>
      <c r="BS156" s="869"/>
      <c r="BT156" s="869"/>
      <c r="BU156" s="869"/>
      <c r="BV156" s="869"/>
      <c r="BW156" s="869"/>
      <c r="BX156" s="869"/>
      <c r="BY156" s="869"/>
      <c r="BZ156" s="869"/>
      <c r="CA156" s="869"/>
      <c r="CB156" s="869"/>
      <c r="CC156" s="869"/>
      <c r="CD156" s="869"/>
      <c r="CE156" s="869"/>
      <c r="CF156" s="869"/>
      <c r="CG156" s="869"/>
      <c r="CH156" s="869"/>
      <c r="CI156" s="869"/>
      <c r="CJ156" s="869"/>
      <c r="CK156" s="869"/>
      <c r="CL156" s="869"/>
      <c r="CM156" s="869"/>
      <c r="CN156" s="869"/>
      <c r="CO156" s="869"/>
      <c r="CP156" s="869"/>
      <c r="CQ156" s="869"/>
      <c r="CR156" s="869"/>
      <c r="CS156" s="869"/>
      <c r="CT156" s="869"/>
      <c r="CU156" s="869"/>
      <c r="CV156" s="869"/>
      <c r="CW156" s="869"/>
      <c r="CX156" s="869"/>
      <c r="CY156" s="869"/>
      <c r="CZ156" s="869"/>
      <c r="DA156" s="869"/>
      <c r="DB156" s="869"/>
      <c r="DC156" s="869"/>
      <c r="DD156" s="869"/>
      <c r="DE156" s="869"/>
      <c r="DF156" s="869"/>
      <c r="DG156" s="869"/>
      <c r="DH156" s="417" t="n">
        <v>0</v>
      </c>
      <c r="DI156" s="417" t="n">
        <v>0</v>
      </c>
      <c r="DJ156" s="417"/>
      <c r="DK156" s="869"/>
      <c r="DL156" s="417"/>
      <c r="DM156" s="869"/>
      <c r="DN156" s="417"/>
      <c r="DO156" s="417"/>
      <c r="DP156" s="869"/>
      <c r="DQ156" s="869"/>
      <c r="DR156" s="869"/>
    </row>
    <row r="157" customFormat="false" ht="12.75" hidden="false" customHeight="false" outlineLevel="0" collapsed="false">
      <c r="A157" s="767" t="n">
        <v>146</v>
      </c>
      <c r="B157" s="854" t="n">
        <v>40940</v>
      </c>
      <c r="C157" s="417" t="n">
        <v>0</v>
      </c>
      <c r="D157" s="417" t="n">
        <v>0</v>
      </c>
      <c r="E157" s="417" t="n">
        <v>0</v>
      </c>
      <c r="F157" s="417" t="n">
        <v>0</v>
      </c>
      <c r="G157" s="417" t="n">
        <v>0</v>
      </c>
      <c r="H157" s="417" t="n">
        <v>0</v>
      </c>
      <c r="I157" s="417" t="n">
        <v>0</v>
      </c>
      <c r="J157" s="417"/>
      <c r="K157" s="417"/>
      <c r="L157" s="417"/>
      <c r="M157" s="417"/>
      <c r="N157" s="417"/>
      <c r="O157" s="417"/>
      <c r="P157" s="769" t="n">
        <f aca="false">(1/0.96)*2989654.69828643</f>
        <v>3114223.64404837</v>
      </c>
      <c r="S157" s="769" t="n">
        <f aca="false">(1/0.96)*126495.816560736</f>
        <v>131766.4755841</v>
      </c>
      <c r="V157" s="769" t="n">
        <f aca="false">(1/0.96)*55444.5949211018</f>
        <v>57754.7863761477</v>
      </c>
      <c r="DH157" s="417" t="n">
        <v>0</v>
      </c>
      <c r="DI157" s="417" t="n">
        <v>0</v>
      </c>
      <c r="DJ157" s="417"/>
      <c r="DL157" s="417"/>
      <c r="DN157" s="417"/>
      <c r="DO157" s="417"/>
    </row>
    <row r="158" customFormat="false" ht="12.75" hidden="false" customHeight="false" outlineLevel="0" collapsed="false">
      <c r="A158" s="767" t="n">
        <v>147</v>
      </c>
      <c r="B158" s="854" t="n">
        <v>40969</v>
      </c>
      <c r="C158" s="417" t="n">
        <v>0</v>
      </c>
      <c r="D158" s="417" t="n">
        <v>0</v>
      </c>
      <c r="E158" s="417" t="n">
        <v>0</v>
      </c>
      <c r="F158" s="417" t="n">
        <v>0</v>
      </c>
      <c r="G158" s="417" t="n">
        <v>0</v>
      </c>
      <c r="H158" s="417" t="n">
        <v>0</v>
      </c>
      <c r="I158" s="417" t="n">
        <v>0</v>
      </c>
      <c r="J158" s="417"/>
      <c r="K158" s="417"/>
      <c r="L158" s="417"/>
      <c r="M158" s="417"/>
      <c r="N158" s="417"/>
      <c r="O158" s="417"/>
      <c r="P158" s="769" t="n">
        <f aca="false">(1/0.96)*2989654.69828643</f>
        <v>3114223.64404837</v>
      </c>
      <c r="S158" s="769" t="n">
        <f aca="false">(1/0.96)*126495.816560736</f>
        <v>131766.4755841</v>
      </c>
      <c r="V158" s="769" t="n">
        <f aca="false">(1/0.96)*55444.5949211018</f>
        <v>57754.7863761477</v>
      </c>
      <c r="DH158" s="417" t="n">
        <v>0</v>
      </c>
      <c r="DI158" s="417" t="n">
        <v>0</v>
      </c>
      <c r="DJ158" s="417"/>
      <c r="DL158" s="417"/>
      <c r="DN158" s="417"/>
      <c r="DO158" s="417"/>
    </row>
    <row r="159" customFormat="false" ht="12.75" hidden="false" customHeight="false" outlineLevel="0" collapsed="false">
      <c r="A159" s="767" t="n">
        <v>148</v>
      </c>
      <c r="B159" s="854" t="n">
        <v>41000</v>
      </c>
      <c r="C159" s="417" t="n">
        <v>0</v>
      </c>
      <c r="D159" s="417" t="n">
        <v>0</v>
      </c>
      <c r="E159" s="417" t="n">
        <v>0</v>
      </c>
      <c r="F159" s="417" t="n">
        <v>0</v>
      </c>
      <c r="G159" s="417" t="n">
        <v>0</v>
      </c>
      <c r="H159" s="417" t="n">
        <v>0</v>
      </c>
      <c r="I159" s="417" t="n">
        <v>0</v>
      </c>
      <c r="J159" s="417"/>
      <c r="K159" s="417"/>
      <c r="L159" s="417"/>
      <c r="M159" s="417"/>
      <c r="N159" s="417"/>
      <c r="O159" s="417"/>
      <c r="P159" s="769" t="n">
        <f aca="false">(1/0.96)*2989654.69828643</f>
        <v>3114223.64404837</v>
      </c>
      <c r="S159" s="769" t="n">
        <f aca="false">(1/0.96)*126495.816560736</f>
        <v>131766.4755841</v>
      </c>
      <c r="V159" s="769" t="n">
        <f aca="false">(1/0.96)*55444.5949211018</f>
        <v>57754.7863761477</v>
      </c>
      <c r="DH159" s="417" t="n">
        <v>0</v>
      </c>
      <c r="DI159" s="417" t="n">
        <v>0</v>
      </c>
      <c r="DJ159" s="417"/>
      <c r="DL159" s="417"/>
      <c r="DN159" s="417"/>
      <c r="DO159" s="417"/>
    </row>
    <row r="160" customFormat="false" ht="12.75" hidden="false" customHeight="false" outlineLevel="0" collapsed="false">
      <c r="A160" s="767" t="n">
        <v>149</v>
      </c>
      <c r="B160" s="854" t="n">
        <v>41030</v>
      </c>
      <c r="C160" s="417" t="n">
        <v>0</v>
      </c>
      <c r="D160" s="417" t="n">
        <v>0</v>
      </c>
      <c r="E160" s="417" t="n">
        <v>0</v>
      </c>
      <c r="F160" s="417" t="n">
        <v>0</v>
      </c>
      <c r="G160" s="417" t="n">
        <v>0</v>
      </c>
      <c r="H160" s="417" t="n">
        <v>0</v>
      </c>
      <c r="I160" s="417" t="n">
        <v>0</v>
      </c>
      <c r="J160" s="417"/>
      <c r="K160" s="417"/>
      <c r="L160" s="417"/>
      <c r="M160" s="417"/>
      <c r="N160" s="417"/>
      <c r="O160" s="417"/>
      <c r="P160" s="769" t="n">
        <f aca="false">(1/0.96)*2989654.69828643</f>
        <v>3114223.64404837</v>
      </c>
      <c r="S160" s="769" t="n">
        <f aca="false">(1/0.96)*126495.816560736</f>
        <v>131766.4755841</v>
      </c>
      <c r="V160" s="769" t="n">
        <f aca="false">(1/0.96)*55444.5949211018</f>
        <v>57754.7863761477</v>
      </c>
      <c r="DH160" s="417" t="n">
        <v>0</v>
      </c>
      <c r="DI160" s="417" t="n">
        <v>0</v>
      </c>
      <c r="DJ160" s="417"/>
      <c r="DL160" s="417"/>
      <c r="DN160" s="417"/>
      <c r="DO160" s="417"/>
    </row>
    <row r="161" customFormat="false" ht="12.75" hidden="false" customHeight="false" outlineLevel="0" collapsed="false">
      <c r="A161" s="767" t="n">
        <v>150</v>
      </c>
      <c r="B161" s="854" t="n">
        <v>41061</v>
      </c>
      <c r="C161" s="417" t="n">
        <v>0</v>
      </c>
      <c r="D161" s="417" t="n">
        <v>0</v>
      </c>
      <c r="E161" s="417" t="n">
        <v>0</v>
      </c>
      <c r="F161" s="417" t="n">
        <v>0</v>
      </c>
      <c r="G161" s="417" t="n">
        <v>0</v>
      </c>
      <c r="H161" s="417" t="n">
        <v>0</v>
      </c>
      <c r="I161" s="417" t="n">
        <v>0</v>
      </c>
      <c r="J161" s="417"/>
      <c r="K161" s="417"/>
      <c r="L161" s="417"/>
      <c r="M161" s="417"/>
      <c r="N161" s="417"/>
      <c r="O161" s="417"/>
      <c r="P161" s="769" t="n">
        <f aca="false">(1/0.96)*2989654.69828643</f>
        <v>3114223.64404837</v>
      </c>
      <c r="S161" s="769" t="n">
        <f aca="false">(1/0.96)*126495.816560736</f>
        <v>131766.4755841</v>
      </c>
      <c r="V161" s="769" t="n">
        <f aca="false">(1/0.96)*55444.5949211018</f>
        <v>57754.7863761477</v>
      </c>
      <c r="DH161" s="417" t="n">
        <v>0</v>
      </c>
      <c r="DI161" s="417" t="n">
        <v>0</v>
      </c>
      <c r="DJ161" s="417"/>
      <c r="DL161" s="417"/>
      <c r="DN161" s="417"/>
      <c r="DO161" s="417"/>
    </row>
    <row r="162" customFormat="false" ht="12.75" hidden="false" customHeight="false" outlineLevel="0" collapsed="false">
      <c r="A162" s="767" t="n">
        <v>151</v>
      </c>
      <c r="B162" s="854" t="n">
        <v>41091</v>
      </c>
      <c r="C162" s="417" t="n">
        <v>0</v>
      </c>
      <c r="D162" s="417" t="n">
        <v>0</v>
      </c>
      <c r="E162" s="417" t="n">
        <v>0</v>
      </c>
      <c r="F162" s="417" t="n">
        <v>0</v>
      </c>
      <c r="G162" s="417" t="n">
        <v>0</v>
      </c>
      <c r="H162" s="417" t="n">
        <v>0</v>
      </c>
      <c r="I162" s="417" t="n">
        <v>0</v>
      </c>
      <c r="J162" s="417"/>
      <c r="K162" s="417"/>
      <c r="L162" s="417"/>
      <c r="M162" s="417"/>
      <c r="N162" s="417"/>
      <c r="O162" s="417"/>
      <c r="P162" s="769" t="n">
        <f aca="false">(1/0.96)*2989654.69828643</f>
        <v>3114223.64404837</v>
      </c>
      <c r="S162" s="769" t="n">
        <f aca="false">(1/0.96)*126495.816560736</f>
        <v>131766.4755841</v>
      </c>
      <c r="V162" s="769" t="n">
        <f aca="false">(1/0.96)*55444.5949211018</f>
        <v>57754.7863761477</v>
      </c>
      <c r="DH162" s="417" t="n">
        <v>0</v>
      </c>
      <c r="DI162" s="417" t="n">
        <v>0</v>
      </c>
      <c r="DJ162" s="417"/>
      <c r="DL162" s="417"/>
      <c r="DN162" s="417"/>
      <c r="DO162" s="417"/>
    </row>
    <row r="163" customFormat="false" ht="12.75" hidden="false" customHeight="false" outlineLevel="0" collapsed="false">
      <c r="A163" s="767" t="n">
        <v>152</v>
      </c>
      <c r="B163" s="854" t="n">
        <v>41122</v>
      </c>
      <c r="C163" s="417" t="n">
        <v>0</v>
      </c>
      <c r="D163" s="417" t="n">
        <v>0</v>
      </c>
      <c r="E163" s="417" t="n">
        <v>0</v>
      </c>
      <c r="F163" s="417" t="n">
        <v>0</v>
      </c>
      <c r="G163" s="417" t="n">
        <v>0</v>
      </c>
      <c r="H163" s="417" t="n">
        <v>0</v>
      </c>
      <c r="I163" s="417" t="n">
        <v>0</v>
      </c>
      <c r="J163" s="417"/>
      <c r="K163" s="417"/>
      <c r="L163" s="417"/>
      <c r="M163" s="417"/>
      <c r="N163" s="417"/>
      <c r="O163" s="417"/>
      <c r="P163" s="769" t="n">
        <f aca="false">(1/0.96)*2989654.69828643</f>
        <v>3114223.64404837</v>
      </c>
      <c r="S163" s="769" t="n">
        <f aca="false">(1/0.96)*126495.816560736</f>
        <v>131766.4755841</v>
      </c>
      <c r="V163" s="769" t="n">
        <f aca="false">(1/0.96)*55444.5949211018</f>
        <v>57754.7863761477</v>
      </c>
      <c r="DH163" s="417" t="n">
        <v>0</v>
      </c>
      <c r="DI163" s="417" t="n">
        <v>0</v>
      </c>
      <c r="DJ163" s="417"/>
      <c r="DL163" s="417"/>
      <c r="DN163" s="417"/>
      <c r="DO163" s="417"/>
    </row>
    <row r="164" customFormat="false" ht="12.75" hidden="false" customHeight="false" outlineLevel="0" collapsed="false">
      <c r="A164" s="767" t="n">
        <v>153</v>
      </c>
      <c r="B164" s="854" t="n">
        <v>41153</v>
      </c>
      <c r="C164" s="417" t="n">
        <v>0</v>
      </c>
      <c r="D164" s="417" t="n">
        <v>0</v>
      </c>
      <c r="E164" s="417" t="n">
        <v>0</v>
      </c>
      <c r="F164" s="417" t="n">
        <v>0</v>
      </c>
      <c r="G164" s="417" t="n">
        <v>0</v>
      </c>
      <c r="H164" s="417" t="n">
        <v>0</v>
      </c>
      <c r="I164" s="417" t="n">
        <v>0</v>
      </c>
      <c r="J164" s="417"/>
      <c r="K164" s="417"/>
      <c r="L164" s="417"/>
      <c r="M164" s="417"/>
      <c r="N164" s="417"/>
      <c r="O164" s="417"/>
      <c r="P164" s="769" t="n">
        <f aca="false">(1/0.96)*2989654.69828643</f>
        <v>3114223.64404837</v>
      </c>
      <c r="S164" s="769" t="n">
        <f aca="false">(1/0.96)*126495.816560736</f>
        <v>131766.4755841</v>
      </c>
      <c r="V164" s="769" t="n">
        <f aca="false">(1/0.96)*55444.5949211018</f>
        <v>57754.7863761477</v>
      </c>
      <c r="DH164" s="417" t="n">
        <v>0</v>
      </c>
      <c r="DI164" s="417" t="n">
        <v>0</v>
      </c>
      <c r="DJ164" s="417"/>
      <c r="DL164" s="417"/>
      <c r="DN164" s="417"/>
      <c r="DO164" s="417"/>
    </row>
    <row r="165" customFormat="false" ht="12.75" hidden="false" customHeight="false" outlineLevel="0" collapsed="false">
      <c r="A165" s="767" t="n">
        <v>154</v>
      </c>
      <c r="B165" s="854" t="n">
        <v>41183</v>
      </c>
      <c r="C165" s="417" t="n">
        <v>0</v>
      </c>
      <c r="D165" s="417" t="n">
        <v>0</v>
      </c>
      <c r="E165" s="417" t="n">
        <v>0</v>
      </c>
      <c r="F165" s="417" t="n">
        <v>0</v>
      </c>
      <c r="G165" s="417" t="n">
        <v>0</v>
      </c>
      <c r="H165" s="417" t="n">
        <v>0</v>
      </c>
      <c r="I165" s="417" t="n">
        <v>0</v>
      </c>
      <c r="J165" s="417"/>
      <c r="K165" s="417"/>
      <c r="L165" s="417"/>
      <c r="M165" s="417"/>
      <c r="N165" s="417"/>
      <c r="O165" s="417"/>
      <c r="P165" s="769" t="n">
        <f aca="false">(1/0.96)*2989654.69828643</f>
        <v>3114223.64404837</v>
      </c>
      <c r="S165" s="769" t="n">
        <f aca="false">(1/0.96)*126495.816560736</f>
        <v>131766.4755841</v>
      </c>
      <c r="V165" s="769" t="n">
        <f aca="false">(1/0.96)*55444.5949211018</f>
        <v>57754.7863761477</v>
      </c>
      <c r="DH165" s="417" t="n">
        <v>0</v>
      </c>
      <c r="DI165" s="417" t="n">
        <v>0</v>
      </c>
      <c r="DJ165" s="417"/>
      <c r="DL165" s="417"/>
      <c r="DN165" s="417"/>
      <c r="DO165" s="417"/>
    </row>
    <row r="166" customFormat="false" ht="12.75" hidden="false" customHeight="false" outlineLevel="0" collapsed="false">
      <c r="A166" s="767" t="n">
        <v>155</v>
      </c>
      <c r="B166" s="854" t="n">
        <v>41214</v>
      </c>
      <c r="C166" s="417" t="n">
        <v>0</v>
      </c>
      <c r="D166" s="417" t="n">
        <v>0</v>
      </c>
      <c r="E166" s="417" t="n">
        <v>0</v>
      </c>
      <c r="F166" s="417" t="n">
        <v>0</v>
      </c>
      <c r="G166" s="417" t="n">
        <v>0</v>
      </c>
      <c r="H166" s="417" t="n">
        <v>0</v>
      </c>
      <c r="I166" s="417" t="n">
        <v>0</v>
      </c>
      <c r="J166" s="417"/>
      <c r="K166" s="417"/>
      <c r="L166" s="417"/>
      <c r="M166" s="417"/>
      <c r="N166" s="417"/>
      <c r="O166" s="417"/>
      <c r="P166" s="769" t="n">
        <f aca="false">(1/0.96)*2989654.69828643</f>
        <v>3114223.64404837</v>
      </c>
      <c r="S166" s="769" t="n">
        <f aca="false">(1/0.96)*126495.816560736</f>
        <v>131766.4755841</v>
      </c>
      <c r="V166" s="769" t="n">
        <f aca="false">(1/0.96)*55444.5949211018</f>
        <v>57754.7863761477</v>
      </c>
      <c r="DH166" s="417" t="n">
        <v>0</v>
      </c>
      <c r="DI166" s="417" t="n">
        <v>0</v>
      </c>
      <c r="DJ166" s="417"/>
      <c r="DL166" s="417"/>
      <c r="DN166" s="417"/>
      <c r="DO166" s="417"/>
    </row>
    <row r="167" customFormat="false" ht="12.75" hidden="false" customHeight="false" outlineLevel="0" collapsed="false">
      <c r="A167" s="881" t="n">
        <v>156</v>
      </c>
      <c r="B167" s="875" t="n">
        <v>41244</v>
      </c>
      <c r="C167" s="882" t="n">
        <v>0</v>
      </c>
      <c r="D167" s="882" t="n">
        <v>0</v>
      </c>
      <c r="E167" s="882" t="n">
        <v>0</v>
      </c>
      <c r="F167" s="882" t="n">
        <v>0</v>
      </c>
      <c r="G167" s="882" t="n">
        <v>0</v>
      </c>
      <c r="H167" s="882" t="n">
        <v>0</v>
      </c>
      <c r="I167" s="882" t="n">
        <v>0</v>
      </c>
      <c r="J167" s="882"/>
      <c r="K167" s="882"/>
      <c r="L167" s="882"/>
      <c r="M167" s="882"/>
      <c r="N167" s="882"/>
      <c r="O167" s="882"/>
      <c r="P167" s="769" t="n">
        <f aca="false">(1/0.96)*2989654.69828643</f>
        <v>3114223.64404837</v>
      </c>
      <c r="Q167" s="883"/>
      <c r="R167" s="884"/>
      <c r="S167" s="769" t="n">
        <f aca="false">(1/0.96)*126495.816560736</f>
        <v>131766.4755841</v>
      </c>
      <c r="T167" s="883"/>
      <c r="U167" s="884"/>
      <c r="V167" s="769" t="n">
        <f aca="false">(1/0.96)*55444.5949211018</f>
        <v>57754.7863761477</v>
      </c>
      <c r="W167" s="885"/>
      <c r="X167" s="884"/>
      <c r="Y167" s="886"/>
      <c r="Z167" s="883"/>
      <c r="AA167" s="886"/>
      <c r="AB167" s="883"/>
      <c r="AC167" s="886"/>
      <c r="AD167" s="883"/>
      <c r="AE167" s="886"/>
      <c r="AF167" s="883"/>
      <c r="AG167" s="887"/>
      <c r="AH167" s="887"/>
      <c r="AI167" s="888"/>
      <c r="AJ167" s="888"/>
      <c r="AK167" s="889"/>
      <c r="AL167" s="885"/>
      <c r="AM167" s="890"/>
      <c r="AN167" s="885"/>
      <c r="AO167" s="885"/>
      <c r="AP167" s="885"/>
      <c r="AQ167" s="885"/>
      <c r="AR167" s="885"/>
      <c r="AS167" s="885"/>
      <c r="AT167" s="885"/>
      <c r="AU167" s="885"/>
      <c r="AV167" s="885"/>
      <c r="AW167" s="885"/>
      <c r="AX167" s="885"/>
      <c r="AY167" s="885"/>
      <c r="AZ167" s="885"/>
      <c r="BA167" s="885"/>
      <c r="BB167" s="885"/>
      <c r="BC167" s="885"/>
      <c r="BD167" s="885"/>
      <c r="BE167" s="885"/>
      <c r="BF167" s="885"/>
      <c r="BG167" s="885"/>
      <c r="BH167" s="885"/>
      <c r="BI167" s="885"/>
      <c r="BJ167" s="885"/>
      <c r="BK167" s="885"/>
      <c r="BL167" s="885"/>
      <c r="BM167" s="885"/>
      <c r="BN167" s="885"/>
      <c r="BO167" s="885"/>
      <c r="BP167" s="885"/>
      <c r="BQ167" s="885"/>
      <c r="BR167" s="885"/>
      <c r="BS167" s="885"/>
      <c r="BT167" s="885"/>
      <c r="BU167" s="885"/>
      <c r="BV167" s="885"/>
      <c r="BW167" s="885"/>
      <c r="BX167" s="885"/>
      <c r="BY167" s="885"/>
      <c r="BZ167" s="885"/>
      <c r="CA167" s="885"/>
      <c r="CB167" s="885"/>
      <c r="CC167" s="885"/>
      <c r="CD167" s="885"/>
      <c r="CE167" s="885"/>
      <c r="CF167" s="885"/>
      <c r="CG167" s="885"/>
      <c r="CH167" s="885"/>
      <c r="CI167" s="885"/>
      <c r="CJ167" s="885"/>
      <c r="CK167" s="885"/>
      <c r="CL167" s="885"/>
      <c r="CM167" s="885"/>
      <c r="CN167" s="885"/>
      <c r="CO167" s="885"/>
      <c r="CP167" s="885"/>
      <c r="CQ167" s="885"/>
      <c r="CR167" s="885"/>
      <c r="CS167" s="885"/>
      <c r="CT167" s="885"/>
      <c r="CU167" s="885"/>
      <c r="CV167" s="885"/>
      <c r="CW167" s="885"/>
      <c r="CX167" s="885"/>
      <c r="CY167" s="885"/>
      <c r="CZ167" s="885"/>
      <c r="DA167" s="885"/>
      <c r="DB167" s="885"/>
      <c r="DC167" s="885"/>
      <c r="DD167" s="885"/>
      <c r="DE167" s="885"/>
      <c r="DF167" s="885"/>
      <c r="DG167" s="885"/>
      <c r="DH167" s="417" t="n">
        <v>0</v>
      </c>
      <c r="DI167" s="417" t="n">
        <v>0</v>
      </c>
      <c r="DJ167" s="417"/>
      <c r="DK167" s="885"/>
      <c r="DL167" s="417"/>
      <c r="DM167" s="885"/>
      <c r="DN167" s="417"/>
      <c r="DO167" s="417"/>
      <c r="DP167" s="885"/>
      <c r="DQ167" s="885"/>
      <c r="DR167" s="885"/>
    </row>
    <row r="168" customFormat="false" ht="12.75" hidden="false" customHeight="false" outlineLevel="0" collapsed="false">
      <c r="A168" s="767" t="n">
        <v>157</v>
      </c>
      <c r="B168" s="854" t="n">
        <v>41275</v>
      </c>
      <c r="C168" s="417" t="n">
        <v>0</v>
      </c>
      <c r="D168" s="417" t="n">
        <v>0</v>
      </c>
      <c r="E168" s="417" t="n">
        <v>0</v>
      </c>
      <c r="F168" s="417" t="n">
        <v>0</v>
      </c>
      <c r="G168" s="417" t="n">
        <v>0</v>
      </c>
      <c r="H168" s="417" t="n">
        <v>0</v>
      </c>
      <c r="I168" s="417" t="n">
        <v>0</v>
      </c>
      <c r="J168" s="417"/>
      <c r="K168" s="417"/>
      <c r="L168" s="417"/>
      <c r="M168" s="417"/>
      <c r="N168" s="417"/>
      <c r="O168" s="417"/>
      <c r="P168" s="769" t="n">
        <f aca="false">(1/0.96)*3020055.32198001</f>
        <v>3145890.96039584</v>
      </c>
      <c r="S168" s="769" t="n">
        <f aca="false">(1/0.96)*127782.102806528</f>
        <v>133106.357090134</v>
      </c>
      <c r="V168" s="769" t="n">
        <f aca="false">(1/0.96)*56008.3892171472</f>
        <v>58342.072101195</v>
      </c>
      <c r="DH168" s="417" t="n">
        <v>0</v>
      </c>
      <c r="DI168" s="417" t="n">
        <v>0</v>
      </c>
      <c r="DJ168" s="417"/>
      <c r="DL168" s="417"/>
      <c r="DN168" s="417"/>
      <c r="DO168" s="417"/>
    </row>
    <row r="169" customFormat="false" ht="12.75" hidden="false" customHeight="false" outlineLevel="0" collapsed="false">
      <c r="A169" s="767" t="n">
        <v>158</v>
      </c>
      <c r="B169" s="854" t="n">
        <v>41306</v>
      </c>
      <c r="C169" s="417" t="n">
        <v>0</v>
      </c>
      <c r="D169" s="417" t="n">
        <v>0</v>
      </c>
      <c r="E169" s="417" t="n">
        <v>0</v>
      </c>
      <c r="F169" s="417" t="n">
        <v>0</v>
      </c>
      <c r="G169" s="417" t="n">
        <v>0</v>
      </c>
      <c r="H169" s="417" t="n">
        <v>0</v>
      </c>
      <c r="I169" s="417" t="n">
        <v>0</v>
      </c>
      <c r="J169" s="417"/>
      <c r="K169" s="417"/>
      <c r="L169" s="417"/>
      <c r="M169" s="417"/>
      <c r="N169" s="417"/>
      <c r="O169" s="417"/>
      <c r="P169" s="769" t="n">
        <f aca="false">(1/0.96)*3020055.32198001</f>
        <v>3145890.96039584</v>
      </c>
      <c r="S169" s="769" t="n">
        <f aca="false">(1/0.96)*127782.102806528</f>
        <v>133106.357090134</v>
      </c>
      <c r="V169" s="769" t="n">
        <f aca="false">(1/0.96)*56008.3892171472</f>
        <v>58342.072101195</v>
      </c>
      <c r="DH169" s="417" t="n">
        <v>0</v>
      </c>
      <c r="DI169" s="417" t="n">
        <v>0</v>
      </c>
      <c r="DJ169" s="417"/>
      <c r="DL169" s="417"/>
      <c r="DN169" s="417"/>
      <c r="DO169" s="417"/>
    </row>
    <row r="170" customFormat="false" ht="12.75" hidden="false" customHeight="false" outlineLevel="0" collapsed="false">
      <c r="A170" s="767" t="n">
        <v>159</v>
      </c>
      <c r="B170" s="854" t="n">
        <v>41334</v>
      </c>
      <c r="C170" s="417" t="n">
        <v>0</v>
      </c>
      <c r="D170" s="417" t="n">
        <v>0</v>
      </c>
      <c r="E170" s="417" t="n">
        <v>0</v>
      </c>
      <c r="F170" s="417" t="n">
        <v>0</v>
      </c>
      <c r="G170" s="417" t="n">
        <v>0</v>
      </c>
      <c r="H170" s="417" t="n">
        <v>0</v>
      </c>
      <c r="I170" s="417" t="n">
        <v>0</v>
      </c>
      <c r="J170" s="417"/>
      <c r="K170" s="417"/>
      <c r="L170" s="417"/>
      <c r="M170" s="417"/>
      <c r="N170" s="417"/>
      <c r="O170" s="417"/>
      <c r="P170" s="769" t="n">
        <f aca="false">(1/0.96)*3020055.32198001</f>
        <v>3145890.96039584</v>
      </c>
      <c r="S170" s="769" t="n">
        <f aca="false">(1/0.96)*127782.102806528</f>
        <v>133106.357090134</v>
      </c>
      <c r="V170" s="769" t="n">
        <f aca="false">(1/0.96)*56008.3892171472</f>
        <v>58342.072101195</v>
      </c>
      <c r="DH170" s="417" t="n">
        <v>0</v>
      </c>
      <c r="DI170" s="417" t="n">
        <v>0</v>
      </c>
      <c r="DJ170" s="417"/>
      <c r="DL170" s="417"/>
      <c r="DN170" s="417"/>
      <c r="DO170" s="417"/>
    </row>
    <row r="171" customFormat="false" ht="12.75" hidden="false" customHeight="false" outlineLevel="0" collapsed="false">
      <c r="A171" s="767" t="n">
        <v>160</v>
      </c>
      <c r="B171" s="854" t="n">
        <v>41365</v>
      </c>
      <c r="C171" s="417" t="n">
        <v>0</v>
      </c>
      <c r="D171" s="417" t="n">
        <v>0</v>
      </c>
      <c r="E171" s="417" t="n">
        <v>0</v>
      </c>
      <c r="F171" s="417" t="n">
        <v>0</v>
      </c>
      <c r="G171" s="417" t="n">
        <v>0</v>
      </c>
      <c r="H171" s="417" t="n">
        <v>0</v>
      </c>
      <c r="I171" s="417" t="n">
        <v>0</v>
      </c>
      <c r="J171" s="417"/>
      <c r="K171" s="417"/>
      <c r="L171" s="417"/>
      <c r="M171" s="417"/>
      <c r="N171" s="417"/>
      <c r="O171" s="417"/>
      <c r="P171" s="769" t="n">
        <f aca="false">(1/0.96)*3020055.32198001</f>
        <v>3145890.96039584</v>
      </c>
      <c r="S171" s="769" t="n">
        <f aca="false">(1/0.96)*127782.102806528</f>
        <v>133106.357090134</v>
      </c>
      <c r="V171" s="769" t="n">
        <f aca="false">(1/0.96)*56008.3892171472</f>
        <v>58342.072101195</v>
      </c>
      <c r="DH171" s="417" t="n">
        <v>0</v>
      </c>
      <c r="DI171" s="417" t="n">
        <v>0</v>
      </c>
      <c r="DJ171" s="417"/>
      <c r="DL171" s="417"/>
      <c r="DN171" s="417"/>
      <c r="DO171" s="417"/>
    </row>
    <row r="172" customFormat="false" ht="12.75" hidden="false" customHeight="false" outlineLevel="0" collapsed="false">
      <c r="A172" s="767" t="n">
        <v>161</v>
      </c>
      <c r="B172" s="854" t="n">
        <v>41395</v>
      </c>
      <c r="C172" s="417" t="n">
        <v>0</v>
      </c>
      <c r="D172" s="417" t="n">
        <v>0</v>
      </c>
      <c r="E172" s="417" t="n">
        <v>0</v>
      </c>
      <c r="F172" s="417" t="n">
        <v>0</v>
      </c>
      <c r="G172" s="417" t="n">
        <v>0</v>
      </c>
      <c r="H172" s="417" t="n">
        <v>0</v>
      </c>
      <c r="I172" s="417" t="n">
        <v>0</v>
      </c>
      <c r="J172" s="417"/>
      <c r="K172" s="417"/>
      <c r="L172" s="417"/>
      <c r="M172" s="417"/>
      <c r="N172" s="417"/>
      <c r="O172" s="417"/>
      <c r="P172" s="769" t="n">
        <f aca="false">(1/0.96)*3020055.32198001</f>
        <v>3145890.96039584</v>
      </c>
      <c r="S172" s="769" t="n">
        <f aca="false">(1/0.96)*127782.102806528</f>
        <v>133106.357090134</v>
      </c>
      <c r="V172" s="769" t="n">
        <f aca="false">(1/0.96)*56008.3892171472</f>
        <v>58342.072101195</v>
      </c>
      <c r="DH172" s="417" t="n">
        <v>0</v>
      </c>
      <c r="DI172" s="417" t="n">
        <v>0</v>
      </c>
      <c r="DJ172" s="417"/>
      <c r="DL172" s="417"/>
      <c r="DN172" s="417"/>
      <c r="DO172" s="417"/>
    </row>
    <row r="173" customFormat="false" ht="12.75" hidden="false" customHeight="false" outlineLevel="0" collapsed="false">
      <c r="A173" s="767" t="n">
        <v>162</v>
      </c>
      <c r="B173" s="854" t="n">
        <v>41426</v>
      </c>
      <c r="C173" s="417" t="n">
        <v>0</v>
      </c>
      <c r="D173" s="417" t="n">
        <v>0</v>
      </c>
      <c r="E173" s="417" t="n">
        <v>0</v>
      </c>
      <c r="F173" s="417" t="n">
        <v>0</v>
      </c>
      <c r="G173" s="417" t="n">
        <v>0</v>
      </c>
      <c r="H173" s="417" t="n">
        <v>0</v>
      </c>
      <c r="I173" s="417" t="n">
        <v>0</v>
      </c>
      <c r="J173" s="417"/>
      <c r="K173" s="417"/>
      <c r="L173" s="417"/>
      <c r="M173" s="417"/>
      <c r="N173" s="417"/>
      <c r="O173" s="417"/>
      <c r="P173" s="769" t="n">
        <f aca="false">(1/0.96)*3020055.32198001</f>
        <v>3145890.96039584</v>
      </c>
      <c r="S173" s="769" t="n">
        <f aca="false">(1/0.96)*127782.102806528</f>
        <v>133106.357090134</v>
      </c>
      <c r="V173" s="769" t="n">
        <f aca="false">(1/0.96)*56008.3892171472</f>
        <v>58342.072101195</v>
      </c>
      <c r="DH173" s="417" t="n">
        <v>0</v>
      </c>
      <c r="DI173" s="417" t="n">
        <v>0</v>
      </c>
      <c r="DJ173" s="417"/>
      <c r="DL173" s="417"/>
      <c r="DN173" s="417"/>
      <c r="DO173" s="417"/>
    </row>
    <row r="174" customFormat="false" ht="12.75" hidden="false" customHeight="false" outlineLevel="0" collapsed="false">
      <c r="A174" s="767" t="n">
        <v>163</v>
      </c>
      <c r="B174" s="854" t="n">
        <v>41456</v>
      </c>
      <c r="C174" s="417" t="n">
        <v>0</v>
      </c>
      <c r="D174" s="417" t="n">
        <v>0</v>
      </c>
      <c r="E174" s="417" t="n">
        <v>0</v>
      </c>
      <c r="F174" s="417" t="n">
        <v>0</v>
      </c>
      <c r="G174" s="417" t="n">
        <v>0</v>
      </c>
      <c r="H174" s="417" t="n">
        <v>0</v>
      </c>
      <c r="I174" s="417" t="n">
        <v>0</v>
      </c>
      <c r="J174" s="417"/>
      <c r="K174" s="417"/>
      <c r="L174" s="417"/>
      <c r="M174" s="417"/>
      <c r="N174" s="417"/>
      <c r="O174" s="417"/>
      <c r="P174" s="769" t="n">
        <f aca="false">(1/0.96)*3020055.32198001</f>
        <v>3145890.96039584</v>
      </c>
      <c r="S174" s="769" t="n">
        <f aca="false">(1/0.96)*127782.102806528</f>
        <v>133106.357090134</v>
      </c>
      <c r="V174" s="769" t="n">
        <f aca="false">(1/0.96)*56008.3892171472</f>
        <v>58342.072101195</v>
      </c>
      <c r="DH174" s="417" t="n">
        <v>0</v>
      </c>
      <c r="DI174" s="417" t="n">
        <v>0</v>
      </c>
      <c r="DJ174" s="417"/>
      <c r="DL174" s="417"/>
      <c r="DN174" s="417"/>
      <c r="DO174" s="417"/>
    </row>
    <row r="175" customFormat="false" ht="12.75" hidden="false" customHeight="false" outlineLevel="0" collapsed="false">
      <c r="A175" s="767" t="n">
        <v>164</v>
      </c>
      <c r="B175" s="854" t="n">
        <v>41487</v>
      </c>
      <c r="C175" s="417" t="n">
        <v>0</v>
      </c>
      <c r="D175" s="417" t="n">
        <v>0</v>
      </c>
      <c r="E175" s="417" t="n">
        <v>0</v>
      </c>
      <c r="F175" s="417" t="n">
        <v>0</v>
      </c>
      <c r="G175" s="417" t="n">
        <v>0</v>
      </c>
      <c r="H175" s="417" t="n">
        <v>0</v>
      </c>
      <c r="I175" s="417" t="n">
        <v>0</v>
      </c>
      <c r="J175" s="417"/>
      <c r="K175" s="417"/>
      <c r="L175" s="417"/>
      <c r="M175" s="417"/>
      <c r="N175" s="417"/>
      <c r="O175" s="417"/>
      <c r="P175" s="769" t="n">
        <f aca="false">(1/0.96)*3020055.32198001</f>
        <v>3145890.96039584</v>
      </c>
      <c r="S175" s="769" t="n">
        <f aca="false">(1/0.96)*127782.102806528</f>
        <v>133106.357090134</v>
      </c>
      <c r="V175" s="769" t="n">
        <f aca="false">(1/0.96)*56008.3892171472</f>
        <v>58342.072101195</v>
      </c>
      <c r="DH175" s="417" t="n">
        <v>0</v>
      </c>
      <c r="DI175" s="417" t="n">
        <v>0</v>
      </c>
      <c r="DJ175" s="417"/>
      <c r="DL175" s="417"/>
      <c r="DN175" s="417"/>
      <c r="DO175" s="417"/>
    </row>
    <row r="176" customFormat="false" ht="12.75" hidden="false" customHeight="false" outlineLevel="0" collapsed="false">
      <c r="A176" s="767" t="n">
        <v>165</v>
      </c>
      <c r="B176" s="854" t="n">
        <v>41518</v>
      </c>
      <c r="C176" s="417" t="n">
        <v>0</v>
      </c>
      <c r="D176" s="417" t="n">
        <v>0</v>
      </c>
      <c r="E176" s="417" t="n">
        <v>0</v>
      </c>
      <c r="F176" s="417" t="n">
        <v>0</v>
      </c>
      <c r="G176" s="417" t="n">
        <v>0</v>
      </c>
      <c r="H176" s="417" t="n">
        <v>0</v>
      </c>
      <c r="I176" s="417" t="n">
        <v>0</v>
      </c>
      <c r="J176" s="417"/>
      <c r="K176" s="417"/>
      <c r="L176" s="417"/>
      <c r="M176" s="417"/>
      <c r="N176" s="417"/>
      <c r="O176" s="417"/>
      <c r="P176" s="769" t="n">
        <f aca="false">(1/0.96)*3020055.32198001</f>
        <v>3145890.96039584</v>
      </c>
      <c r="S176" s="769" t="n">
        <f aca="false">(1/0.96)*127782.102806528</f>
        <v>133106.357090134</v>
      </c>
      <c r="V176" s="769" t="n">
        <f aca="false">(1/0.96)*56008.3892171472</f>
        <v>58342.072101195</v>
      </c>
      <c r="DH176" s="417" t="n">
        <v>0</v>
      </c>
      <c r="DI176" s="417" t="n">
        <v>0</v>
      </c>
      <c r="DJ176" s="417"/>
      <c r="DL176" s="417"/>
      <c r="DN176" s="417"/>
      <c r="DO176" s="417"/>
    </row>
    <row r="177" customFormat="false" ht="12.75" hidden="false" customHeight="false" outlineLevel="0" collapsed="false">
      <c r="A177" s="767" t="n">
        <v>166</v>
      </c>
      <c r="B177" s="854" t="n">
        <v>41548</v>
      </c>
      <c r="C177" s="417" t="n">
        <v>0</v>
      </c>
      <c r="D177" s="417" t="n">
        <v>0</v>
      </c>
      <c r="E177" s="417" t="n">
        <v>0</v>
      </c>
      <c r="F177" s="417" t="n">
        <v>0</v>
      </c>
      <c r="G177" s="417" t="n">
        <v>0</v>
      </c>
      <c r="H177" s="417" t="n">
        <v>0</v>
      </c>
      <c r="I177" s="417" t="n">
        <v>0</v>
      </c>
      <c r="J177" s="417"/>
      <c r="K177" s="417"/>
      <c r="L177" s="417"/>
      <c r="M177" s="417"/>
      <c r="N177" s="417"/>
      <c r="O177" s="417"/>
      <c r="P177" s="769" t="n">
        <f aca="false">(1/0.96)*3020055.32198001</f>
        <v>3145890.96039584</v>
      </c>
      <c r="S177" s="769" t="n">
        <f aca="false">(1/0.96)*127782.102806528</f>
        <v>133106.357090134</v>
      </c>
      <c r="V177" s="769" t="n">
        <f aca="false">(1/0.96)*56008.3892171472</f>
        <v>58342.072101195</v>
      </c>
      <c r="DH177" s="417" t="n">
        <v>0</v>
      </c>
      <c r="DI177" s="417" t="n">
        <v>0</v>
      </c>
      <c r="DJ177" s="417"/>
      <c r="DL177" s="417"/>
      <c r="DN177" s="417"/>
      <c r="DO177" s="417"/>
    </row>
    <row r="178" customFormat="false" ht="12.75" hidden="false" customHeight="false" outlineLevel="0" collapsed="false">
      <c r="A178" s="767" t="n">
        <v>167</v>
      </c>
      <c r="B178" s="854" t="n">
        <v>41579</v>
      </c>
      <c r="C178" s="417" t="n">
        <v>0</v>
      </c>
      <c r="D178" s="417" t="n">
        <v>0</v>
      </c>
      <c r="E178" s="417" t="n">
        <v>0</v>
      </c>
      <c r="F178" s="417" t="n">
        <v>0</v>
      </c>
      <c r="G178" s="417" t="n">
        <v>0</v>
      </c>
      <c r="H178" s="417" t="n">
        <v>0</v>
      </c>
      <c r="I178" s="417" t="n">
        <v>0</v>
      </c>
      <c r="J178" s="417"/>
      <c r="K178" s="417"/>
      <c r="L178" s="417"/>
      <c r="M178" s="417"/>
      <c r="N178" s="417"/>
      <c r="O178" s="417"/>
      <c r="P178" s="769" t="n">
        <f aca="false">(1/0.96)*3020055.32198001</f>
        <v>3145890.96039584</v>
      </c>
      <c r="S178" s="769" t="n">
        <f aca="false">(1/0.96)*127782.102806528</f>
        <v>133106.357090134</v>
      </c>
      <c r="V178" s="769" t="n">
        <f aca="false">(1/0.96)*56008.3892171472</f>
        <v>58342.072101195</v>
      </c>
      <c r="DH178" s="417" t="n">
        <v>0</v>
      </c>
      <c r="DI178" s="417" t="n">
        <v>0</v>
      </c>
      <c r="DJ178" s="417"/>
      <c r="DL178" s="417"/>
      <c r="DN178" s="417"/>
      <c r="DO178" s="417"/>
    </row>
    <row r="179" customFormat="false" ht="12.75" hidden="false" customHeight="false" outlineLevel="0" collapsed="false">
      <c r="A179" s="881" t="n">
        <v>168</v>
      </c>
      <c r="B179" s="875" t="n">
        <v>41609</v>
      </c>
      <c r="C179" s="882" t="n">
        <v>0</v>
      </c>
      <c r="D179" s="882" t="n">
        <v>0</v>
      </c>
      <c r="E179" s="882" t="n">
        <v>0</v>
      </c>
      <c r="F179" s="882" t="n">
        <v>0</v>
      </c>
      <c r="G179" s="882" t="n">
        <v>0</v>
      </c>
      <c r="H179" s="882" t="n">
        <v>0</v>
      </c>
      <c r="I179" s="882" t="n">
        <v>0</v>
      </c>
      <c r="J179" s="882"/>
      <c r="K179" s="882"/>
      <c r="L179" s="882"/>
      <c r="M179" s="882"/>
      <c r="N179" s="882"/>
      <c r="O179" s="882"/>
      <c r="P179" s="769" t="n">
        <f aca="false">(1/0.96)*3020055.32198001</f>
        <v>3145890.96039584</v>
      </c>
      <c r="Q179" s="883"/>
      <c r="R179" s="884"/>
      <c r="S179" s="769" t="n">
        <f aca="false">(1/0.96)*127782.102806528</f>
        <v>133106.357090134</v>
      </c>
      <c r="T179" s="883"/>
      <c r="U179" s="884"/>
      <c r="V179" s="769" t="n">
        <f aca="false">(1/0.96)*56008.3892171472</f>
        <v>58342.072101195</v>
      </c>
      <c r="W179" s="885"/>
      <c r="X179" s="884"/>
      <c r="Y179" s="886"/>
      <c r="Z179" s="883"/>
      <c r="AA179" s="886"/>
      <c r="AB179" s="883"/>
      <c r="AC179" s="886"/>
      <c r="AD179" s="883"/>
      <c r="AE179" s="886"/>
      <c r="AF179" s="883"/>
      <c r="AG179" s="887"/>
      <c r="AH179" s="887"/>
      <c r="AI179" s="888"/>
      <c r="AJ179" s="888"/>
      <c r="AK179" s="889"/>
      <c r="AL179" s="885"/>
      <c r="AM179" s="890"/>
      <c r="AN179" s="885"/>
      <c r="AO179" s="885"/>
      <c r="AP179" s="885"/>
      <c r="AQ179" s="885"/>
      <c r="AR179" s="885"/>
      <c r="AS179" s="885"/>
      <c r="AT179" s="885"/>
      <c r="AU179" s="885"/>
      <c r="AV179" s="885"/>
      <c r="AW179" s="885"/>
      <c r="AX179" s="885"/>
      <c r="AY179" s="885"/>
      <c r="AZ179" s="885"/>
      <c r="BA179" s="885"/>
      <c r="BB179" s="885"/>
      <c r="BC179" s="885"/>
      <c r="BD179" s="885"/>
      <c r="BE179" s="885"/>
      <c r="BF179" s="885"/>
      <c r="BG179" s="885"/>
      <c r="BH179" s="885"/>
      <c r="BI179" s="885"/>
      <c r="BJ179" s="885"/>
      <c r="BK179" s="885"/>
      <c r="BL179" s="885"/>
      <c r="BM179" s="885"/>
      <c r="BN179" s="885"/>
      <c r="BO179" s="885"/>
      <c r="BP179" s="885"/>
      <c r="BQ179" s="885"/>
      <c r="BR179" s="885"/>
      <c r="BS179" s="885"/>
      <c r="BT179" s="885"/>
      <c r="BU179" s="885"/>
      <c r="BV179" s="885"/>
      <c r="BW179" s="885"/>
      <c r="BX179" s="885"/>
      <c r="BY179" s="885"/>
      <c r="BZ179" s="885"/>
      <c r="CA179" s="885"/>
      <c r="CB179" s="885"/>
      <c r="CC179" s="885"/>
      <c r="CD179" s="885"/>
      <c r="CE179" s="885"/>
      <c r="CF179" s="885"/>
      <c r="CG179" s="885"/>
      <c r="CH179" s="885"/>
      <c r="CI179" s="885"/>
      <c r="CJ179" s="885"/>
      <c r="CK179" s="885"/>
      <c r="CL179" s="885"/>
      <c r="CM179" s="885"/>
      <c r="CN179" s="885"/>
      <c r="CO179" s="885"/>
      <c r="CP179" s="885"/>
      <c r="CQ179" s="885"/>
      <c r="CR179" s="885"/>
      <c r="CS179" s="885"/>
      <c r="CT179" s="885"/>
      <c r="CU179" s="885"/>
      <c r="CV179" s="885"/>
      <c r="CW179" s="885"/>
      <c r="CX179" s="885"/>
      <c r="CY179" s="885"/>
      <c r="CZ179" s="885"/>
      <c r="DA179" s="885"/>
      <c r="DB179" s="885"/>
      <c r="DC179" s="885"/>
      <c r="DD179" s="885"/>
      <c r="DE179" s="885"/>
      <c r="DF179" s="885"/>
      <c r="DG179" s="885"/>
      <c r="DH179" s="417" t="n">
        <v>0</v>
      </c>
      <c r="DI179" s="417" t="n">
        <v>0</v>
      </c>
      <c r="DJ179" s="417"/>
      <c r="DK179" s="885"/>
      <c r="DL179" s="417"/>
      <c r="DM179" s="885"/>
      <c r="DN179" s="417"/>
      <c r="DO179" s="417"/>
      <c r="DP179" s="885"/>
      <c r="DQ179" s="885"/>
      <c r="DR179" s="885"/>
    </row>
    <row r="180" customFormat="false" ht="12.75" hidden="false" customHeight="false" outlineLevel="0" collapsed="false">
      <c r="A180" s="767" t="n">
        <v>169</v>
      </c>
      <c r="B180" s="854" t="n">
        <v>41640</v>
      </c>
      <c r="C180" s="417" t="n">
        <v>0</v>
      </c>
      <c r="D180" s="417" t="n">
        <v>0</v>
      </c>
      <c r="E180" s="417" t="n">
        <v>0</v>
      </c>
      <c r="F180" s="417" t="n">
        <v>0</v>
      </c>
      <c r="G180" s="417" t="n">
        <v>0</v>
      </c>
      <c r="H180" s="417" t="n">
        <v>0</v>
      </c>
      <c r="I180" s="417" t="n">
        <v>0</v>
      </c>
      <c r="J180" s="417"/>
      <c r="K180" s="417"/>
      <c r="L180" s="417"/>
      <c r="M180" s="417"/>
      <c r="N180" s="417"/>
      <c r="O180" s="417"/>
      <c r="P180" s="769" t="n">
        <f aca="false">(1/0.96)*3050805.55284606</f>
        <v>3177922.45088132</v>
      </c>
      <c r="S180" s="769" t="n">
        <f aca="false">(1/0.96)*129083.181344148</f>
        <v>134461.647233487</v>
      </c>
      <c r="V180" s="769" t="n">
        <f aca="false">(1/0.96)*56578.6671475971</f>
        <v>58936.1116120803</v>
      </c>
      <c r="DH180" s="417" t="n">
        <v>0</v>
      </c>
      <c r="DI180" s="417" t="n">
        <v>0</v>
      </c>
      <c r="DJ180" s="417"/>
      <c r="DL180" s="417"/>
      <c r="DN180" s="417"/>
      <c r="DO180" s="417"/>
    </row>
    <row r="181" customFormat="false" ht="12.75" hidden="false" customHeight="false" outlineLevel="0" collapsed="false">
      <c r="A181" s="767" t="n">
        <v>170</v>
      </c>
      <c r="B181" s="854" t="n">
        <v>41671</v>
      </c>
      <c r="C181" s="417" t="n">
        <v>0</v>
      </c>
      <c r="D181" s="417" t="n">
        <v>0</v>
      </c>
      <c r="E181" s="417" t="n">
        <v>0</v>
      </c>
      <c r="F181" s="417" t="n">
        <v>0</v>
      </c>
      <c r="G181" s="417" t="n">
        <v>0</v>
      </c>
      <c r="H181" s="417" t="n">
        <v>0</v>
      </c>
      <c r="I181" s="417" t="n">
        <v>0</v>
      </c>
      <c r="J181" s="417"/>
      <c r="K181" s="417"/>
      <c r="L181" s="417"/>
      <c r="M181" s="417"/>
      <c r="N181" s="417"/>
      <c r="O181" s="417"/>
      <c r="P181" s="769" t="n">
        <f aca="false">(1/0.96)*3050805.55284606</f>
        <v>3177922.45088132</v>
      </c>
      <c r="S181" s="769" t="n">
        <f aca="false">(1/0.96)*129083.181344148</f>
        <v>134461.647233487</v>
      </c>
      <c r="V181" s="769" t="n">
        <f aca="false">(1/0.96)*56578.6671475971</f>
        <v>58936.1116120803</v>
      </c>
      <c r="DH181" s="417" t="n">
        <v>0</v>
      </c>
      <c r="DI181" s="417" t="n">
        <v>0</v>
      </c>
      <c r="DJ181" s="417"/>
      <c r="DL181" s="417"/>
      <c r="DN181" s="417"/>
      <c r="DO181" s="417"/>
    </row>
    <row r="182" customFormat="false" ht="12.75" hidden="false" customHeight="false" outlineLevel="0" collapsed="false">
      <c r="A182" s="767" t="n">
        <v>171</v>
      </c>
      <c r="B182" s="854" t="n">
        <v>41699</v>
      </c>
      <c r="C182" s="417" t="n">
        <v>0</v>
      </c>
      <c r="D182" s="417" t="n">
        <v>0</v>
      </c>
      <c r="E182" s="417" t="n">
        <v>0</v>
      </c>
      <c r="F182" s="417" t="n">
        <v>0</v>
      </c>
      <c r="G182" s="417" t="n">
        <v>0</v>
      </c>
      <c r="H182" s="417" t="n">
        <v>0</v>
      </c>
      <c r="I182" s="417" t="n">
        <v>0</v>
      </c>
      <c r="J182" s="417"/>
      <c r="K182" s="417"/>
      <c r="L182" s="417"/>
      <c r="M182" s="417"/>
      <c r="N182" s="417"/>
      <c r="O182" s="417"/>
      <c r="P182" s="769" t="n">
        <f aca="false">(1/0.96)*3050805.55284606</f>
        <v>3177922.45088132</v>
      </c>
      <c r="S182" s="769" t="n">
        <f aca="false">(1/0.96)*129083.181344148</f>
        <v>134461.647233487</v>
      </c>
      <c r="V182" s="769" t="n">
        <f aca="false">(1/0.96)*56578.6671475971</f>
        <v>58936.1116120803</v>
      </c>
      <c r="DH182" s="417" t="n">
        <v>0</v>
      </c>
      <c r="DI182" s="417" t="n">
        <v>0</v>
      </c>
      <c r="DJ182" s="417"/>
      <c r="DL182" s="417"/>
      <c r="DN182" s="417"/>
      <c r="DO182" s="417"/>
    </row>
    <row r="183" customFormat="false" ht="12.75" hidden="false" customHeight="false" outlineLevel="0" collapsed="false">
      <c r="A183" s="767" t="n">
        <v>172</v>
      </c>
      <c r="B183" s="854" t="n">
        <v>41730</v>
      </c>
      <c r="C183" s="417" t="n">
        <v>0</v>
      </c>
      <c r="D183" s="417" t="n">
        <v>0</v>
      </c>
      <c r="E183" s="417" t="n">
        <v>0</v>
      </c>
      <c r="F183" s="417" t="n">
        <v>0</v>
      </c>
      <c r="G183" s="417" t="n">
        <v>0</v>
      </c>
      <c r="H183" s="417" t="n">
        <v>0</v>
      </c>
      <c r="I183" s="417" t="n">
        <v>0</v>
      </c>
      <c r="J183" s="417"/>
      <c r="K183" s="417"/>
      <c r="L183" s="417"/>
      <c r="M183" s="417"/>
      <c r="N183" s="417"/>
      <c r="O183" s="417"/>
      <c r="P183" s="769" t="n">
        <f aca="false">(1/0.96)*3050805.55284606</f>
        <v>3177922.45088132</v>
      </c>
      <c r="S183" s="769" t="n">
        <f aca="false">(1/0.96)*129083.181344148</f>
        <v>134461.647233487</v>
      </c>
      <c r="V183" s="769" t="n">
        <f aca="false">(1/0.96)*56578.6671475971</f>
        <v>58936.1116120803</v>
      </c>
      <c r="DH183" s="417" t="n">
        <v>0</v>
      </c>
      <c r="DI183" s="417" t="n">
        <v>0</v>
      </c>
      <c r="DJ183" s="417"/>
      <c r="DL183" s="417"/>
      <c r="DN183" s="417"/>
      <c r="DO183" s="417"/>
    </row>
    <row r="184" customFormat="false" ht="12.75" hidden="false" customHeight="false" outlineLevel="0" collapsed="false">
      <c r="A184" s="767" t="n">
        <v>173</v>
      </c>
      <c r="B184" s="854" t="n">
        <v>41760</v>
      </c>
      <c r="C184" s="417" t="n">
        <v>0</v>
      </c>
      <c r="D184" s="417" t="n">
        <v>0</v>
      </c>
      <c r="E184" s="417" t="n">
        <v>0</v>
      </c>
      <c r="F184" s="417" t="n">
        <v>0</v>
      </c>
      <c r="G184" s="417" t="n">
        <v>0</v>
      </c>
      <c r="H184" s="417" t="n">
        <v>0</v>
      </c>
      <c r="I184" s="417" t="n">
        <v>0</v>
      </c>
      <c r="J184" s="417"/>
      <c r="K184" s="417"/>
      <c r="L184" s="417"/>
      <c r="M184" s="417"/>
      <c r="N184" s="417"/>
      <c r="O184" s="417"/>
      <c r="P184" s="769" t="n">
        <f aca="false">(1/0.96)*3050805.55284606</f>
        <v>3177922.45088132</v>
      </c>
      <c r="S184" s="769" t="n">
        <f aca="false">(1/0.96)*129083.181344148</f>
        <v>134461.647233487</v>
      </c>
      <c r="V184" s="769" t="n">
        <f aca="false">(1/0.96)*56578.6671475971</f>
        <v>58936.1116120803</v>
      </c>
      <c r="DH184" s="417" t="n">
        <v>0</v>
      </c>
      <c r="DI184" s="417" t="n">
        <v>0</v>
      </c>
      <c r="DJ184" s="417"/>
      <c r="DL184" s="417"/>
      <c r="DN184" s="417"/>
      <c r="DO184" s="417"/>
    </row>
    <row r="185" customFormat="false" ht="12.75" hidden="false" customHeight="false" outlineLevel="0" collapsed="false">
      <c r="A185" s="767" t="n">
        <v>174</v>
      </c>
      <c r="B185" s="854" t="n">
        <v>41791</v>
      </c>
      <c r="C185" s="417" t="n">
        <v>0</v>
      </c>
      <c r="D185" s="417" t="n">
        <v>0</v>
      </c>
      <c r="E185" s="417" t="n">
        <v>0</v>
      </c>
      <c r="F185" s="417" t="n">
        <v>0</v>
      </c>
      <c r="G185" s="417" t="n">
        <v>0</v>
      </c>
      <c r="H185" s="417" t="n">
        <v>0</v>
      </c>
      <c r="I185" s="417" t="n">
        <v>0</v>
      </c>
      <c r="J185" s="417"/>
      <c r="K185" s="417"/>
      <c r="L185" s="417"/>
      <c r="M185" s="417"/>
      <c r="N185" s="417"/>
      <c r="O185" s="417"/>
      <c r="P185" s="769" t="n">
        <f aca="false">(1/0.96)*3050805.55284606</f>
        <v>3177922.45088132</v>
      </c>
      <c r="S185" s="769" t="n">
        <f aca="false">(1/0.96)*129083.181344148</f>
        <v>134461.647233487</v>
      </c>
      <c r="V185" s="769" t="n">
        <f aca="false">(1/0.96)*56578.6671475971</f>
        <v>58936.1116120803</v>
      </c>
      <c r="DH185" s="417" t="n">
        <v>0</v>
      </c>
      <c r="DI185" s="417" t="n">
        <v>0</v>
      </c>
      <c r="DJ185" s="417"/>
      <c r="DL185" s="417"/>
      <c r="DN185" s="417"/>
      <c r="DO185" s="417"/>
    </row>
    <row r="186" customFormat="false" ht="12.75" hidden="false" customHeight="false" outlineLevel="0" collapsed="false">
      <c r="A186" s="767" t="n">
        <v>175</v>
      </c>
      <c r="B186" s="854" t="n">
        <v>41821</v>
      </c>
      <c r="C186" s="417" t="n">
        <v>0</v>
      </c>
      <c r="D186" s="417" t="n">
        <v>0</v>
      </c>
      <c r="E186" s="417" t="n">
        <v>0</v>
      </c>
      <c r="F186" s="417" t="n">
        <v>0</v>
      </c>
      <c r="G186" s="417" t="n">
        <v>0</v>
      </c>
      <c r="H186" s="417" t="n">
        <v>0</v>
      </c>
      <c r="I186" s="417" t="n">
        <v>0</v>
      </c>
      <c r="J186" s="417"/>
      <c r="K186" s="417"/>
      <c r="L186" s="417"/>
      <c r="M186" s="417"/>
      <c r="N186" s="417"/>
      <c r="O186" s="417"/>
      <c r="P186" s="769" t="n">
        <f aca="false">(1/0.96)*3050805.55284606</f>
        <v>3177922.45088132</v>
      </c>
      <c r="S186" s="769" t="n">
        <f aca="false">(1/0.96)*129083.181344148</f>
        <v>134461.647233487</v>
      </c>
      <c r="V186" s="769" t="n">
        <f aca="false">(1/0.96)*56578.6671475971</f>
        <v>58936.1116120803</v>
      </c>
      <c r="DH186" s="417" t="n">
        <v>0</v>
      </c>
      <c r="DI186" s="417" t="n">
        <v>0</v>
      </c>
      <c r="DJ186" s="417"/>
      <c r="DL186" s="417"/>
      <c r="DN186" s="417"/>
      <c r="DO186" s="417"/>
    </row>
    <row r="187" customFormat="false" ht="12.75" hidden="false" customHeight="false" outlineLevel="0" collapsed="false">
      <c r="A187" s="767" t="n">
        <v>176</v>
      </c>
      <c r="B187" s="854" t="n">
        <v>41852</v>
      </c>
      <c r="C187" s="417" t="n">
        <v>0</v>
      </c>
      <c r="D187" s="417" t="n">
        <v>0</v>
      </c>
      <c r="E187" s="417" t="n">
        <v>0</v>
      </c>
      <c r="F187" s="417" t="n">
        <v>0</v>
      </c>
      <c r="G187" s="417" t="n">
        <v>0</v>
      </c>
      <c r="H187" s="417" t="n">
        <v>0</v>
      </c>
      <c r="I187" s="417" t="n">
        <v>0</v>
      </c>
      <c r="J187" s="417"/>
      <c r="K187" s="417"/>
      <c r="L187" s="417"/>
      <c r="M187" s="417"/>
      <c r="N187" s="417"/>
      <c r="O187" s="417"/>
      <c r="P187" s="769" t="n">
        <f aca="false">(1/0.96)*3050805.55284606</f>
        <v>3177922.45088132</v>
      </c>
      <c r="S187" s="769" t="n">
        <f aca="false">(1/0.96)*129083.181344148</f>
        <v>134461.647233487</v>
      </c>
      <c r="V187" s="769" t="n">
        <f aca="false">(1/0.96)*56578.6671475971</f>
        <v>58936.1116120803</v>
      </c>
      <c r="DH187" s="417" t="n">
        <v>0</v>
      </c>
      <c r="DI187" s="417" t="n">
        <v>0</v>
      </c>
      <c r="DJ187" s="417"/>
      <c r="DL187" s="417"/>
      <c r="DN187" s="417"/>
      <c r="DO187" s="417"/>
    </row>
    <row r="188" customFormat="false" ht="12.75" hidden="false" customHeight="false" outlineLevel="0" collapsed="false">
      <c r="A188" s="767" t="n">
        <v>177</v>
      </c>
      <c r="B188" s="854" t="n">
        <v>41883</v>
      </c>
      <c r="C188" s="417" t="n">
        <v>0</v>
      </c>
      <c r="D188" s="417" t="n">
        <v>0</v>
      </c>
      <c r="E188" s="417" t="n">
        <v>0</v>
      </c>
      <c r="F188" s="417" t="n">
        <v>0</v>
      </c>
      <c r="G188" s="417" t="n">
        <v>0</v>
      </c>
      <c r="H188" s="417" t="n">
        <v>0</v>
      </c>
      <c r="I188" s="417" t="n">
        <v>0</v>
      </c>
      <c r="J188" s="417"/>
      <c r="K188" s="417"/>
      <c r="L188" s="417"/>
      <c r="M188" s="417"/>
      <c r="N188" s="417"/>
      <c r="O188" s="417"/>
      <c r="P188" s="769" t="n">
        <f aca="false">(1/0.96)*3050805.55284606</f>
        <v>3177922.45088132</v>
      </c>
      <c r="S188" s="769" t="n">
        <f aca="false">(1/0.96)*129083.181344148</f>
        <v>134461.647233487</v>
      </c>
      <c r="V188" s="769" t="n">
        <f aca="false">(1/0.96)*56578.6671475971</f>
        <v>58936.1116120803</v>
      </c>
      <c r="DH188" s="417" t="n">
        <v>0</v>
      </c>
      <c r="DI188" s="417" t="n">
        <v>0</v>
      </c>
      <c r="DJ188" s="417"/>
      <c r="DL188" s="417"/>
      <c r="DN188" s="417"/>
      <c r="DO188" s="417"/>
    </row>
    <row r="189" customFormat="false" ht="12.75" hidden="false" customHeight="false" outlineLevel="0" collapsed="false">
      <c r="A189" s="767" t="n">
        <v>178</v>
      </c>
      <c r="B189" s="854" t="n">
        <v>41913</v>
      </c>
      <c r="C189" s="417" t="n">
        <v>0</v>
      </c>
      <c r="D189" s="417" t="n">
        <v>0</v>
      </c>
      <c r="E189" s="417" t="n">
        <v>0</v>
      </c>
      <c r="F189" s="417" t="n">
        <v>0</v>
      </c>
      <c r="G189" s="417" t="n">
        <v>0</v>
      </c>
      <c r="H189" s="417" t="n">
        <v>0</v>
      </c>
      <c r="I189" s="417" t="n">
        <v>0</v>
      </c>
      <c r="J189" s="417"/>
      <c r="K189" s="417"/>
      <c r="L189" s="417"/>
      <c r="M189" s="417"/>
      <c r="N189" s="417"/>
      <c r="O189" s="417"/>
      <c r="P189" s="769" t="n">
        <f aca="false">(1/0.96)*3050805.55284606</f>
        <v>3177922.45088132</v>
      </c>
      <c r="S189" s="769" t="n">
        <f aca="false">(1/0.96)*129083.181344148</f>
        <v>134461.647233487</v>
      </c>
      <c r="V189" s="769" t="n">
        <f aca="false">(1/0.96)*56578.6671475971</f>
        <v>58936.1116120803</v>
      </c>
      <c r="DH189" s="417" t="n">
        <v>0</v>
      </c>
      <c r="DI189" s="417" t="n">
        <v>0</v>
      </c>
      <c r="DJ189" s="417"/>
      <c r="DL189" s="417"/>
      <c r="DN189" s="417"/>
      <c r="DO189" s="417"/>
    </row>
    <row r="190" customFormat="false" ht="12.75" hidden="false" customHeight="false" outlineLevel="0" collapsed="false">
      <c r="A190" s="767" t="n">
        <v>179</v>
      </c>
      <c r="B190" s="854" t="n">
        <v>41944</v>
      </c>
      <c r="C190" s="417" t="n">
        <v>0</v>
      </c>
      <c r="D190" s="417" t="n">
        <v>0</v>
      </c>
      <c r="E190" s="417" t="n">
        <v>0</v>
      </c>
      <c r="F190" s="417" t="n">
        <v>0</v>
      </c>
      <c r="G190" s="417" t="n">
        <v>0</v>
      </c>
      <c r="H190" s="417" t="n">
        <v>0</v>
      </c>
      <c r="I190" s="417" t="n">
        <v>0</v>
      </c>
      <c r="J190" s="417"/>
      <c r="K190" s="417"/>
      <c r="L190" s="417"/>
      <c r="M190" s="417"/>
      <c r="N190" s="417"/>
      <c r="O190" s="417"/>
      <c r="P190" s="769" t="n">
        <f aca="false">(1/0.96)*3050805.55284606</f>
        <v>3177922.45088132</v>
      </c>
      <c r="S190" s="769" t="n">
        <f aca="false">(1/0.96)*129083.181344148</f>
        <v>134461.647233487</v>
      </c>
      <c r="V190" s="769" t="n">
        <f aca="false">(1/0.96)*56578.6671475971</f>
        <v>58936.1116120803</v>
      </c>
      <c r="DH190" s="417" t="n">
        <v>0</v>
      </c>
      <c r="DI190" s="417" t="n">
        <v>0</v>
      </c>
      <c r="DJ190" s="417"/>
      <c r="DL190" s="417"/>
      <c r="DN190" s="417"/>
      <c r="DO190" s="417"/>
    </row>
    <row r="191" customFormat="false" ht="12.75" hidden="false" customHeight="false" outlineLevel="0" collapsed="false">
      <c r="A191" s="767" t="n">
        <v>180</v>
      </c>
      <c r="B191" s="854" t="n">
        <v>41974</v>
      </c>
      <c r="C191" s="417" t="n">
        <v>0</v>
      </c>
      <c r="D191" s="417" t="n">
        <v>0</v>
      </c>
      <c r="E191" s="417" t="n">
        <v>0</v>
      </c>
      <c r="F191" s="417" t="n">
        <v>0</v>
      </c>
      <c r="G191" s="417" t="n">
        <v>0</v>
      </c>
      <c r="H191" s="417" t="n">
        <v>0</v>
      </c>
      <c r="I191" s="417" t="n">
        <v>0</v>
      </c>
      <c r="J191" s="417"/>
      <c r="K191" s="417"/>
      <c r="L191" s="417"/>
      <c r="M191" s="417"/>
      <c r="N191" s="417"/>
      <c r="O191" s="417"/>
      <c r="P191" s="769" t="n">
        <f aca="false">(1/0.96)*3050805.55284606</f>
        <v>3177922.45088132</v>
      </c>
      <c r="S191" s="769" t="n">
        <f aca="false">(1/0.96)*129083.181344148</f>
        <v>134461.647233487</v>
      </c>
      <c r="V191" s="769" t="n">
        <f aca="false">(1/0.96)*56578.6671475971</f>
        <v>58936.1116120803</v>
      </c>
      <c r="DH191" s="417" t="n">
        <v>0</v>
      </c>
      <c r="DI191" s="417" t="n">
        <v>0</v>
      </c>
      <c r="DJ191" s="417"/>
      <c r="DL191" s="417"/>
      <c r="DN191" s="417"/>
      <c r="DO191" s="417"/>
    </row>
    <row r="192" customFormat="false" ht="12.75" hidden="false" customHeight="false" outlineLevel="0" collapsed="false">
      <c r="A192" s="767" t="n">
        <v>181</v>
      </c>
      <c r="B192" s="854" t="n">
        <v>42005</v>
      </c>
      <c r="C192" s="417" t="n">
        <v>0</v>
      </c>
      <c r="D192" s="417" t="n">
        <v>0</v>
      </c>
      <c r="E192" s="417" t="n">
        <v>0</v>
      </c>
      <c r="F192" s="417" t="n">
        <v>0</v>
      </c>
      <c r="G192" s="417" t="n">
        <v>0</v>
      </c>
      <c r="H192" s="417" t="n">
        <v>0</v>
      </c>
      <c r="I192" s="417" t="n">
        <v>0</v>
      </c>
      <c r="J192" s="417"/>
      <c r="K192" s="417"/>
      <c r="L192" s="417"/>
      <c r="M192" s="417"/>
      <c r="N192" s="417"/>
      <c r="O192" s="417"/>
      <c r="P192" s="769" t="n">
        <f aca="false">(1/0.96)*3081909.41136708</f>
        <v>3210322.30350737</v>
      </c>
      <c r="S192" s="769" t="n">
        <f aca="false">(1/0.96)*130399.222284949</f>
        <v>135832.523213489</v>
      </c>
      <c r="V192" s="769" t="n">
        <f aca="false">(1/0.96)*57155.5032742472</f>
        <v>59536.9825773408</v>
      </c>
      <c r="DH192" s="417" t="n">
        <v>0</v>
      </c>
      <c r="DI192" s="417" t="n">
        <v>0</v>
      </c>
      <c r="DJ192" s="417"/>
      <c r="DL192" s="417"/>
      <c r="DN192" s="417"/>
      <c r="DO192" s="417"/>
    </row>
    <row r="193" customFormat="false" ht="12.75" hidden="false" customHeight="false" outlineLevel="0" collapsed="false">
      <c r="A193" s="767" t="n">
        <v>182</v>
      </c>
      <c r="B193" s="854" t="n">
        <v>42036</v>
      </c>
      <c r="C193" s="417" t="n">
        <v>0</v>
      </c>
      <c r="D193" s="417" t="n">
        <v>0</v>
      </c>
      <c r="E193" s="417" t="n">
        <v>0</v>
      </c>
      <c r="F193" s="417" t="n">
        <v>0</v>
      </c>
      <c r="G193" s="417" t="n">
        <v>0</v>
      </c>
      <c r="H193" s="417" t="n">
        <v>0</v>
      </c>
      <c r="I193" s="417" t="n">
        <v>0</v>
      </c>
      <c r="J193" s="417"/>
      <c r="K193" s="417"/>
      <c r="L193" s="417"/>
      <c r="M193" s="417"/>
      <c r="N193" s="417"/>
      <c r="O193" s="417"/>
      <c r="P193" s="769" t="n">
        <f aca="false">(1/0.96)*3081909.41136708</f>
        <v>3210322.30350737</v>
      </c>
      <c r="S193" s="769" t="n">
        <f aca="false">(1/0.96)*130399.222284949</f>
        <v>135832.523213489</v>
      </c>
      <c r="V193" s="769" t="n">
        <f aca="false">(1/0.96)*57155.5032742472</f>
        <v>59536.9825773408</v>
      </c>
      <c r="DH193" s="417" t="n">
        <v>0</v>
      </c>
      <c r="DI193" s="417" t="n">
        <v>0</v>
      </c>
      <c r="DJ193" s="417"/>
      <c r="DL193" s="417"/>
      <c r="DN193" s="417"/>
      <c r="DO193" s="417"/>
    </row>
    <row r="194" customFormat="false" ht="12.75" hidden="false" customHeight="false" outlineLevel="0" collapsed="false">
      <c r="A194" s="767" t="n">
        <v>183</v>
      </c>
      <c r="B194" s="854" t="n">
        <v>42064</v>
      </c>
      <c r="C194" s="417" t="n">
        <v>0</v>
      </c>
      <c r="D194" s="417" t="n">
        <v>0</v>
      </c>
      <c r="E194" s="417" t="n">
        <v>0</v>
      </c>
      <c r="F194" s="417" t="n">
        <v>0</v>
      </c>
      <c r="G194" s="417" t="n">
        <v>0</v>
      </c>
      <c r="H194" s="417" t="n">
        <v>0</v>
      </c>
      <c r="I194" s="417" t="n">
        <v>0</v>
      </c>
      <c r="J194" s="417"/>
      <c r="K194" s="417"/>
      <c r="L194" s="417"/>
      <c r="M194" s="417"/>
      <c r="N194" s="417"/>
      <c r="O194" s="417"/>
      <c r="P194" s="769" t="n">
        <f aca="false">(1/0.96)*3081909.41136708</f>
        <v>3210322.30350737</v>
      </c>
      <c r="S194" s="769" t="n">
        <f aca="false">(1/0.96)*130399.222284949</f>
        <v>135832.523213489</v>
      </c>
      <c r="V194" s="769" t="n">
        <f aca="false">(1/0.96)*57155.5032742472</f>
        <v>59536.9825773408</v>
      </c>
      <c r="DH194" s="417" t="n">
        <v>0</v>
      </c>
      <c r="DI194" s="417" t="n">
        <v>0</v>
      </c>
      <c r="DJ194" s="417"/>
      <c r="DL194" s="417"/>
      <c r="DN194" s="417"/>
      <c r="DO194" s="417"/>
    </row>
    <row r="195" customFormat="false" ht="12.75" hidden="false" customHeight="false" outlineLevel="0" collapsed="false">
      <c r="A195" s="767" t="n">
        <v>184</v>
      </c>
      <c r="B195" s="854" t="n">
        <v>42095</v>
      </c>
      <c r="C195" s="417" t="n">
        <v>0</v>
      </c>
      <c r="D195" s="417" t="n">
        <v>0</v>
      </c>
      <c r="E195" s="417" t="n">
        <v>0</v>
      </c>
      <c r="F195" s="417" t="n">
        <v>0</v>
      </c>
      <c r="G195" s="417" t="n">
        <v>0</v>
      </c>
      <c r="H195" s="417" t="n">
        <v>0</v>
      </c>
      <c r="I195" s="417" t="n">
        <v>0</v>
      </c>
      <c r="J195" s="417"/>
      <c r="K195" s="417"/>
      <c r="L195" s="417"/>
      <c r="M195" s="417"/>
      <c r="N195" s="417"/>
      <c r="O195" s="417"/>
      <c r="P195" s="769" t="n">
        <f aca="false">(1/0.96)*3081909.41136708</f>
        <v>3210322.30350737</v>
      </c>
      <c r="S195" s="769" t="n">
        <f aca="false">(1/0.96)*130399.222284949</f>
        <v>135832.523213489</v>
      </c>
      <c r="V195" s="769" t="n">
        <f aca="false">(1/0.96)*57155.5032742472</f>
        <v>59536.9825773408</v>
      </c>
      <c r="DH195" s="417" t="n">
        <v>0</v>
      </c>
      <c r="DI195" s="417" t="n">
        <v>0</v>
      </c>
      <c r="DJ195" s="417"/>
      <c r="DL195" s="417"/>
      <c r="DN195" s="417"/>
      <c r="DO195" s="417"/>
    </row>
    <row r="196" customFormat="false" ht="12.75" hidden="false" customHeight="false" outlineLevel="0" collapsed="false">
      <c r="A196" s="767" t="n">
        <v>185</v>
      </c>
      <c r="B196" s="854" t="n">
        <v>42125</v>
      </c>
      <c r="C196" s="417" t="n">
        <v>0</v>
      </c>
      <c r="D196" s="417" t="n">
        <v>0</v>
      </c>
      <c r="E196" s="417" t="n">
        <v>0</v>
      </c>
      <c r="F196" s="417" t="n">
        <v>0</v>
      </c>
      <c r="G196" s="417" t="n">
        <v>0</v>
      </c>
      <c r="H196" s="417" t="n">
        <v>0</v>
      </c>
      <c r="I196" s="417" t="n">
        <v>0</v>
      </c>
      <c r="J196" s="417"/>
      <c r="K196" s="417"/>
      <c r="L196" s="417"/>
      <c r="M196" s="417"/>
      <c r="N196" s="417"/>
      <c r="O196" s="417"/>
      <c r="P196" s="769" t="n">
        <f aca="false">(1/0.96)*3081909.41136708</f>
        <v>3210322.30350737</v>
      </c>
      <c r="S196" s="769" t="n">
        <f aca="false">(1/0.96)*130399.222284949</f>
        <v>135832.523213489</v>
      </c>
      <c r="V196" s="769" t="n">
        <f aca="false">(1/0.96)*57155.5032742472</f>
        <v>59536.9825773408</v>
      </c>
      <c r="DH196" s="417" t="n">
        <v>0</v>
      </c>
      <c r="DI196" s="417" t="n">
        <v>0</v>
      </c>
      <c r="DJ196" s="417"/>
      <c r="DL196" s="417"/>
      <c r="DN196" s="417"/>
      <c r="DO196" s="417"/>
    </row>
    <row r="197" customFormat="false" ht="12.75" hidden="false" customHeight="false" outlineLevel="0" collapsed="false">
      <c r="A197" s="767" t="n">
        <v>186</v>
      </c>
      <c r="B197" s="854" t="n">
        <v>42156</v>
      </c>
      <c r="C197" s="417" t="n">
        <v>0</v>
      </c>
      <c r="D197" s="417" t="n">
        <v>0</v>
      </c>
      <c r="E197" s="417" t="n">
        <v>0</v>
      </c>
      <c r="F197" s="417" t="n">
        <v>0</v>
      </c>
      <c r="G197" s="417" t="n">
        <v>0</v>
      </c>
      <c r="H197" s="417" t="n">
        <v>0</v>
      </c>
      <c r="I197" s="417" t="n">
        <v>0</v>
      </c>
      <c r="J197" s="417"/>
      <c r="K197" s="417"/>
      <c r="L197" s="417"/>
      <c r="M197" s="417"/>
      <c r="N197" s="417"/>
      <c r="O197" s="417"/>
      <c r="P197" s="769" t="n">
        <f aca="false">(1/0.96)*3081909.41136708</f>
        <v>3210322.30350737</v>
      </c>
      <c r="S197" s="769" t="n">
        <f aca="false">(1/0.96)*130399.222284949</f>
        <v>135832.523213489</v>
      </c>
      <c r="V197" s="769" t="n">
        <f aca="false">(1/0.96)*57155.5032742472</f>
        <v>59536.9825773408</v>
      </c>
      <c r="DH197" s="417" t="n">
        <v>0</v>
      </c>
      <c r="DI197" s="417" t="n">
        <v>0</v>
      </c>
      <c r="DJ197" s="417"/>
      <c r="DL197" s="417"/>
      <c r="DN197" s="417"/>
      <c r="DO197" s="417"/>
    </row>
    <row r="198" customFormat="false" ht="12.75" hidden="false" customHeight="false" outlineLevel="0" collapsed="false">
      <c r="A198" s="767" t="n">
        <v>187</v>
      </c>
      <c r="B198" s="854" t="n">
        <v>42186</v>
      </c>
      <c r="C198" s="417" t="n">
        <v>0</v>
      </c>
      <c r="D198" s="417" t="n">
        <v>0</v>
      </c>
      <c r="E198" s="417" t="n">
        <v>0</v>
      </c>
      <c r="F198" s="417" t="n">
        <v>0</v>
      </c>
      <c r="G198" s="417" t="n">
        <v>0</v>
      </c>
      <c r="H198" s="417" t="n">
        <v>0</v>
      </c>
      <c r="I198" s="417" t="n">
        <v>0</v>
      </c>
      <c r="J198" s="417"/>
      <c r="K198" s="417"/>
      <c r="L198" s="417"/>
      <c r="M198" s="417"/>
      <c r="N198" s="417"/>
      <c r="O198" s="417"/>
      <c r="P198" s="769" t="n">
        <f aca="false">(1/0.96)*3081909.41136708</f>
        <v>3210322.30350737</v>
      </c>
      <c r="S198" s="769" t="n">
        <f aca="false">(1/0.96)*130399.222284949</f>
        <v>135832.523213489</v>
      </c>
      <c r="V198" s="769" t="n">
        <f aca="false">(1/0.96)*57155.5032742472</f>
        <v>59536.9825773408</v>
      </c>
      <c r="DH198" s="417" t="n">
        <v>0</v>
      </c>
      <c r="DI198" s="417" t="n">
        <v>0</v>
      </c>
      <c r="DJ198" s="417"/>
      <c r="DL198" s="417"/>
      <c r="DN198" s="417"/>
      <c r="DO198" s="417"/>
    </row>
    <row r="199" customFormat="false" ht="12.75" hidden="false" customHeight="false" outlineLevel="0" collapsed="false">
      <c r="A199" s="767" t="n">
        <v>188</v>
      </c>
      <c r="B199" s="854" t="n">
        <v>42217</v>
      </c>
      <c r="C199" s="417" t="n">
        <v>0</v>
      </c>
      <c r="D199" s="417" t="n">
        <v>0</v>
      </c>
      <c r="E199" s="417" t="n">
        <v>0</v>
      </c>
      <c r="F199" s="417" t="n">
        <v>0</v>
      </c>
      <c r="G199" s="417" t="n">
        <v>0</v>
      </c>
      <c r="H199" s="417" t="n">
        <v>0</v>
      </c>
      <c r="I199" s="417" t="n">
        <v>0</v>
      </c>
      <c r="J199" s="417"/>
      <c r="K199" s="417"/>
      <c r="L199" s="417"/>
      <c r="M199" s="417"/>
      <c r="N199" s="417"/>
      <c r="O199" s="417"/>
      <c r="P199" s="769" t="n">
        <f aca="false">(1/0.96)*3081909.41136708</f>
        <v>3210322.30350737</v>
      </c>
      <c r="S199" s="769" t="n">
        <f aca="false">(1/0.96)*130399.222284949</f>
        <v>135832.523213489</v>
      </c>
      <c r="V199" s="769" t="n">
        <f aca="false">(1/0.96)*57155.5032742472</f>
        <v>59536.9825773408</v>
      </c>
      <c r="DH199" s="417" t="n">
        <v>0</v>
      </c>
      <c r="DI199" s="417" t="n">
        <v>0</v>
      </c>
      <c r="DJ199" s="417"/>
      <c r="DL199" s="417"/>
      <c r="DN199" s="417"/>
      <c r="DO199" s="417"/>
    </row>
    <row r="200" customFormat="false" ht="12.75" hidden="false" customHeight="false" outlineLevel="0" collapsed="false">
      <c r="A200" s="767" t="n">
        <v>189</v>
      </c>
      <c r="B200" s="854" t="n">
        <v>42248</v>
      </c>
      <c r="C200" s="417" t="n">
        <v>0</v>
      </c>
      <c r="D200" s="417" t="n">
        <v>0</v>
      </c>
      <c r="E200" s="417" t="n">
        <v>0</v>
      </c>
      <c r="F200" s="417" t="n">
        <v>0</v>
      </c>
      <c r="G200" s="417" t="n">
        <v>0</v>
      </c>
      <c r="H200" s="417" t="n">
        <v>0</v>
      </c>
      <c r="I200" s="417" t="n">
        <v>0</v>
      </c>
      <c r="J200" s="417"/>
      <c r="K200" s="417"/>
      <c r="L200" s="417"/>
      <c r="M200" s="417"/>
      <c r="N200" s="417"/>
      <c r="O200" s="417"/>
      <c r="P200" s="769" t="n">
        <f aca="false">(1/0.96)*3081909.41136708</f>
        <v>3210322.30350737</v>
      </c>
      <c r="S200" s="769" t="n">
        <f aca="false">(1/0.96)*130399.222284949</f>
        <v>135832.523213489</v>
      </c>
      <c r="V200" s="769" t="n">
        <f aca="false">(1/0.96)*57155.5032742472</f>
        <v>59536.9825773408</v>
      </c>
      <c r="DH200" s="417" t="n">
        <v>0</v>
      </c>
      <c r="DI200" s="417" t="n">
        <v>0</v>
      </c>
      <c r="DJ200" s="417"/>
      <c r="DL200" s="417"/>
      <c r="DN200" s="417"/>
      <c r="DO200" s="417"/>
    </row>
    <row r="201" customFormat="false" ht="12.75" hidden="false" customHeight="false" outlineLevel="0" collapsed="false">
      <c r="A201" s="767" t="n">
        <v>190</v>
      </c>
      <c r="B201" s="854" t="n">
        <v>42278</v>
      </c>
      <c r="C201" s="417" t="n">
        <v>0</v>
      </c>
      <c r="D201" s="417" t="n">
        <v>0</v>
      </c>
      <c r="E201" s="417" t="n">
        <v>0</v>
      </c>
      <c r="F201" s="417" t="n">
        <v>0</v>
      </c>
      <c r="G201" s="417" t="n">
        <v>0</v>
      </c>
      <c r="H201" s="417" t="n">
        <v>0</v>
      </c>
      <c r="I201" s="417" t="n">
        <v>0</v>
      </c>
      <c r="J201" s="417"/>
      <c r="K201" s="417"/>
      <c r="L201" s="417"/>
      <c r="M201" s="417"/>
      <c r="N201" s="417"/>
      <c r="O201" s="417"/>
      <c r="P201" s="769" t="n">
        <f aca="false">(1/0.96)*3081909.41136708</f>
        <v>3210322.30350737</v>
      </c>
      <c r="S201" s="769" t="n">
        <f aca="false">(1/0.96)*130399.222284949</f>
        <v>135832.523213489</v>
      </c>
      <c r="V201" s="769" t="n">
        <f aca="false">(1/0.96)*57155.5032742472</f>
        <v>59536.9825773408</v>
      </c>
      <c r="DH201" s="417" t="n">
        <v>0</v>
      </c>
      <c r="DI201" s="417" t="n">
        <v>0</v>
      </c>
      <c r="DJ201" s="417"/>
      <c r="DL201" s="417"/>
      <c r="DN201" s="417"/>
      <c r="DO201" s="417"/>
    </row>
    <row r="202" customFormat="false" ht="12.75" hidden="false" customHeight="false" outlineLevel="0" collapsed="false">
      <c r="A202" s="767" t="n">
        <v>191</v>
      </c>
      <c r="B202" s="854" t="n">
        <v>42309</v>
      </c>
      <c r="C202" s="417" t="n">
        <v>0</v>
      </c>
      <c r="D202" s="417" t="n">
        <v>0</v>
      </c>
      <c r="E202" s="417" t="n">
        <v>0</v>
      </c>
      <c r="F202" s="417" t="n">
        <v>0</v>
      </c>
      <c r="G202" s="417" t="n">
        <v>0</v>
      </c>
      <c r="H202" s="417" t="n">
        <v>0</v>
      </c>
      <c r="I202" s="417" t="n">
        <v>0</v>
      </c>
      <c r="J202" s="417"/>
      <c r="K202" s="417"/>
      <c r="L202" s="417"/>
      <c r="M202" s="417"/>
      <c r="N202" s="417"/>
      <c r="O202" s="417"/>
      <c r="P202" s="769" t="n">
        <f aca="false">(1/0.96)*3081909.41136708</f>
        <v>3210322.30350737</v>
      </c>
      <c r="S202" s="769" t="n">
        <f aca="false">(1/0.96)*130399.222284949</f>
        <v>135832.523213489</v>
      </c>
      <c r="V202" s="769" t="n">
        <f aca="false">(1/0.96)*57155.5032742472</f>
        <v>59536.9825773408</v>
      </c>
      <c r="DH202" s="417" t="n">
        <v>0</v>
      </c>
      <c r="DI202" s="417" t="n">
        <v>0</v>
      </c>
      <c r="DJ202" s="417"/>
      <c r="DL202" s="417"/>
      <c r="DN202" s="417"/>
      <c r="DO202" s="417"/>
    </row>
    <row r="203" customFormat="false" ht="12.75" hidden="false" customHeight="false" outlineLevel="0" collapsed="false">
      <c r="A203" s="767" t="n">
        <v>192</v>
      </c>
      <c r="B203" s="854" t="n">
        <v>42339</v>
      </c>
      <c r="C203" s="417" t="n">
        <v>0</v>
      </c>
      <c r="D203" s="417" t="n">
        <v>0</v>
      </c>
      <c r="E203" s="417" t="n">
        <v>0</v>
      </c>
      <c r="F203" s="417" t="n">
        <v>0</v>
      </c>
      <c r="G203" s="417" t="n">
        <v>0</v>
      </c>
      <c r="H203" s="417" t="n">
        <v>0</v>
      </c>
      <c r="I203" s="417" t="n">
        <v>0</v>
      </c>
      <c r="J203" s="417"/>
      <c r="K203" s="417"/>
      <c r="L203" s="417"/>
      <c r="M203" s="417"/>
      <c r="N203" s="417"/>
      <c r="O203" s="417"/>
      <c r="P203" s="769" t="n">
        <f aca="false">(1/0.96)*3081909.41136708</f>
        <v>3210322.30350737</v>
      </c>
      <c r="S203" s="769" t="n">
        <f aca="false">(1/0.96)*130399.222284949</f>
        <v>135832.523213489</v>
      </c>
      <c r="V203" s="769" t="n">
        <f aca="false">(1/0.96)*57155.5032742472</f>
        <v>59536.9825773408</v>
      </c>
      <c r="DH203" s="417" t="n">
        <v>0</v>
      </c>
      <c r="DI203" s="417" t="n">
        <v>0</v>
      </c>
      <c r="DJ203" s="417"/>
      <c r="DL203" s="417"/>
      <c r="DN203" s="417"/>
      <c r="DO203" s="417"/>
    </row>
    <row r="204" customFormat="false" ht="12.75" hidden="false" customHeight="false" outlineLevel="0" collapsed="false">
      <c r="A204" s="767" t="n">
        <v>193</v>
      </c>
      <c r="B204" s="854" t="n">
        <v>42370</v>
      </c>
      <c r="C204" s="417" t="n">
        <v>0</v>
      </c>
      <c r="D204" s="417" t="n">
        <v>0</v>
      </c>
      <c r="E204" s="417" t="n">
        <v>0</v>
      </c>
      <c r="F204" s="417" t="n">
        <v>0</v>
      </c>
      <c r="G204" s="417" t="n">
        <v>0</v>
      </c>
      <c r="H204" s="417" t="n">
        <v>0</v>
      </c>
      <c r="I204" s="417" t="n">
        <v>0</v>
      </c>
      <c r="J204" s="417"/>
      <c r="K204" s="417"/>
      <c r="L204" s="417"/>
      <c r="M204" s="417"/>
      <c r="N204" s="417"/>
      <c r="O204" s="417"/>
      <c r="P204" s="769" t="n">
        <f aca="false">(1/0.96)*3113370.96426108</f>
        <v>3243094.75443862</v>
      </c>
      <c r="S204" s="769" t="n">
        <f aca="false">(1/0.96)*131730.39769657</f>
        <v>137219.164267261</v>
      </c>
      <c r="V204" s="769" t="n">
        <f aca="false">(1/0.96)*57738.9730163538</f>
        <v>60144.7635587018</v>
      </c>
      <c r="DH204" s="417" t="n">
        <v>0</v>
      </c>
      <c r="DI204" s="417" t="n">
        <v>0</v>
      </c>
      <c r="DJ204" s="417"/>
      <c r="DL204" s="417"/>
      <c r="DN204" s="417"/>
      <c r="DO204" s="417"/>
    </row>
    <row r="205" customFormat="false" ht="12.75" hidden="false" customHeight="false" outlineLevel="0" collapsed="false">
      <c r="A205" s="767" t="n">
        <v>194</v>
      </c>
      <c r="B205" s="854" t="n">
        <v>42401</v>
      </c>
      <c r="C205" s="417" t="n">
        <v>0</v>
      </c>
      <c r="D205" s="417" t="n">
        <v>0</v>
      </c>
      <c r="E205" s="417" t="n">
        <v>0</v>
      </c>
      <c r="F205" s="417" t="n">
        <v>0</v>
      </c>
      <c r="G205" s="417" t="n">
        <v>0</v>
      </c>
      <c r="H205" s="417" t="n">
        <v>0</v>
      </c>
      <c r="I205" s="417" t="n">
        <v>0</v>
      </c>
      <c r="J205" s="417"/>
      <c r="K205" s="417"/>
      <c r="L205" s="417"/>
      <c r="M205" s="417"/>
      <c r="N205" s="417"/>
      <c r="O205" s="417"/>
      <c r="P205" s="769" t="n">
        <f aca="false">(1/0.96)*3113370.96426108</f>
        <v>3243094.75443862</v>
      </c>
      <c r="S205" s="769" t="n">
        <f aca="false">(1/0.96)*131730.39769657</f>
        <v>137219.164267261</v>
      </c>
      <c r="V205" s="769" t="n">
        <f aca="false">(1/0.96)*57738.9730163538</f>
        <v>60144.7635587018</v>
      </c>
      <c r="DH205" s="417" t="n">
        <v>0</v>
      </c>
      <c r="DI205" s="417" t="n">
        <v>0</v>
      </c>
      <c r="DJ205" s="417"/>
      <c r="DL205" s="417"/>
      <c r="DN205" s="417"/>
      <c r="DO205" s="417"/>
    </row>
    <row r="206" customFormat="false" ht="12.75" hidden="false" customHeight="false" outlineLevel="0" collapsed="false">
      <c r="A206" s="767" t="n">
        <v>195</v>
      </c>
      <c r="B206" s="854" t="n">
        <v>42430</v>
      </c>
      <c r="C206" s="417" t="n">
        <v>0</v>
      </c>
      <c r="D206" s="417" t="n">
        <v>0</v>
      </c>
      <c r="E206" s="417" t="n">
        <v>0</v>
      </c>
      <c r="F206" s="417" t="n">
        <v>0</v>
      </c>
      <c r="G206" s="417" t="n">
        <v>0</v>
      </c>
      <c r="H206" s="417" t="n">
        <v>0</v>
      </c>
      <c r="I206" s="417" t="n">
        <v>0</v>
      </c>
      <c r="J206" s="417"/>
      <c r="K206" s="417"/>
      <c r="L206" s="417"/>
      <c r="M206" s="417"/>
      <c r="N206" s="417"/>
      <c r="O206" s="417"/>
      <c r="P206" s="769" t="n">
        <f aca="false">(1/0.96)*3113370.96426108</f>
        <v>3243094.75443862</v>
      </c>
      <c r="S206" s="769" t="n">
        <f aca="false">(1/0.96)*131730.39769657</f>
        <v>137219.164267261</v>
      </c>
      <c r="V206" s="769" t="n">
        <f aca="false">(1/0.96)*57738.9730163538</f>
        <v>60144.7635587018</v>
      </c>
      <c r="DH206" s="417" t="n">
        <v>0</v>
      </c>
      <c r="DI206" s="417" t="n">
        <v>0</v>
      </c>
      <c r="DJ206" s="417"/>
      <c r="DL206" s="417"/>
      <c r="DN206" s="417"/>
      <c r="DO206" s="417"/>
    </row>
    <row r="207" customFormat="false" ht="12.75" hidden="false" customHeight="false" outlineLevel="0" collapsed="false">
      <c r="A207" s="767" t="n">
        <v>196</v>
      </c>
      <c r="B207" s="854" t="n">
        <v>42461</v>
      </c>
      <c r="C207" s="417" t="n">
        <v>0</v>
      </c>
      <c r="D207" s="417" t="n">
        <v>0</v>
      </c>
      <c r="E207" s="417" t="n">
        <v>0</v>
      </c>
      <c r="F207" s="417" t="n">
        <v>0</v>
      </c>
      <c r="G207" s="417" t="n">
        <v>0</v>
      </c>
      <c r="H207" s="417" t="n">
        <v>0</v>
      </c>
      <c r="I207" s="417" t="n">
        <v>0</v>
      </c>
      <c r="J207" s="417"/>
      <c r="K207" s="417"/>
      <c r="L207" s="417"/>
      <c r="M207" s="417"/>
      <c r="N207" s="417"/>
      <c r="O207" s="417"/>
      <c r="P207" s="769" t="n">
        <f aca="false">(1/0.96)*3113370.96426108</f>
        <v>3243094.75443862</v>
      </c>
      <c r="S207" s="769" t="n">
        <f aca="false">(1/0.96)*131730.39769657</f>
        <v>137219.164267261</v>
      </c>
      <c r="V207" s="769" t="n">
        <f aca="false">(1/0.96)*57738.9730163538</f>
        <v>60144.7635587018</v>
      </c>
      <c r="DH207" s="417" t="n">
        <v>0</v>
      </c>
      <c r="DI207" s="417" t="n">
        <v>0</v>
      </c>
      <c r="DJ207" s="417"/>
      <c r="DL207" s="417"/>
      <c r="DN207" s="417"/>
      <c r="DO207" s="417"/>
    </row>
    <row r="208" customFormat="false" ht="12.75" hidden="false" customHeight="false" outlineLevel="0" collapsed="false">
      <c r="A208" s="767" t="n">
        <v>197</v>
      </c>
      <c r="B208" s="854" t="n">
        <v>42491</v>
      </c>
      <c r="C208" s="417" t="n">
        <v>0</v>
      </c>
      <c r="D208" s="417" t="n">
        <v>0</v>
      </c>
      <c r="E208" s="417" t="n">
        <v>0</v>
      </c>
      <c r="F208" s="417" t="n">
        <v>0</v>
      </c>
      <c r="G208" s="417" t="n">
        <v>0</v>
      </c>
      <c r="H208" s="417" t="n">
        <v>0</v>
      </c>
      <c r="I208" s="417" t="n">
        <v>0</v>
      </c>
      <c r="J208" s="417"/>
      <c r="K208" s="417"/>
      <c r="L208" s="417"/>
      <c r="M208" s="417"/>
      <c r="N208" s="417"/>
      <c r="O208" s="417"/>
      <c r="P208" s="769" t="n">
        <f aca="false">(1/0.96)*3113370.96426108</f>
        <v>3243094.75443862</v>
      </c>
      <c r="S208" s="769" t="n">
        <f aca="false">(1/0.96)*131730.39769657</f>
        <v>137219.164267261</v>
      </c>
      <c r="V208" s="769" t="n">
        <f aca="false">(1/0.96)*57738.9730163538</f>
        <v>60144.7635587018</v>
      </c>
      <c r="DH208" s="417" t="n">
        <v>0</v>
      </c>
      <c r="DI208" s="417" t="n">
        <v>0</v>
      </c>
      <c r="DJ208" s="417"/>
      <c r="DL208" s="417"/>
      <c r="DN208" s="417"/>
      <c r="DO208" s="417"/>
    </row>
    <row r="209" customFormat="false" ht="12.75" hidden="false" customHeight="false" outlineLevel="0" collapsed="false">
      <c r="A209" s="767" t="n">
        <v>198</v>
      </c>
      <c r="B209" s="854" t="n">
        <v>42522</v>
      </c>
      <c r="C209" s="417" t="n">
        <v>0</v>
      </c>
      <c r="D209" s="417" t="n">
        <v>0</v>
      </c>
      <c r="E209" s="417" t="n">
        <v>0</v>
      </c>
      <c r="F209" s="417" t="n">
        <v>0</v>
      </c>
      <c r="G209" s="417" t="n">
        <v>0</v>
      </c>
      <c r="H209" s="417" t="n">
        <v>0</v>
      </c>
      <c r="I209" s="417" t="n">
        <v>0</v>
      </c>
      <c r="J209" s="417"/>
      <c r="K209" s="417"/>
      <c r="L209" s="417"/>
      <c r="M209" s="417"/>
      <c r="N209" s="417"/>
      <c r="O209" s="417"/>
      <c r="P209" s="769" t="n">
        <f aca="false">(1/0.96)*3113370.96426108</f>
        <v>3243094.75443862</v>
      </c>
      <c r="S209" s="769" t="n">
        <f aca="false">(1/0.96)*131730.39769657</f>
        <v>137219.164267261</v>
      </c>
      <c r="V209" s="769" t="n">
        <f aca="false">(1/0.96)*57738.9730163538</f>
        <v>60144.7635587018</v>
      </c>
      <c r="DH209" s="417" t="n">
        <v>0</v>
      </c>
      <c r="DI209" s="417" t="n">
        <v>0</v>
      </c>
      <c r="DJ209" s="417"/>
      <c r="DL209" s="417"/>
      <c r="DN209" s="417"/>
      <c r="DO209" s="417"/>
    </row>
    <row r="210" customFormat="false" ht="12.75" hidden="false" customHeight="false" outlineLevel="0" collapsed="false">
      <c r="A210" s="767" t="n">
        <v>199</v>
      </c>
      <c r="B210" s="854" t="n">
        <v>42552</v>
      </c>
      <c r="C210" s="417" t="n">
        <v>0</v>
      </c>
      <c r="D210" s="417" t="n">
        <v>0</v>
      </c>
      <c r="E210" s="417" t="n">
        <v>0</v>
      </c>
      <c r="F210" s="417" t="n">
        <v>0</v>
      </c>
      <c r="G210" s="417" t="n">
        <v>0</v>
      </c>
      <c r="H210" s="417" t="n">
        <v>0</v>
      </c>
      <c r="I210" s="417" t="n">
        <v>0</v>
      </c>
      <c r="J210" s="417"/>
      <c r="K210" s="417"/>
      <c r="L210" s="417"/>
      <c r="M210" s="417"/>
      <c r="N210" s="417"/>
      <c r="O210" s="417"/>
      <c r="P210" s="769" t="n">
        <f aca="false">(1/0.96)*3113370.96426108</f>
        <v>3243094.75443862</v>
      </c>
      <c r="S210" s="769" t="n">
        <f aca="false">(1/0.96)*131730.39769657</f>
        <v>137219.164267261</v>
      </c>
      <c r="V210" s="769" t="n">
        <f aca="false">(1/0.96)*57738.9730163538</f>
        <v>60144.7635587018</v>
      </c>
      <c r="DH210" s="417" t="n">
        <v>0</v>
      </c>
      <c r="DI210" s="417" t="n">
        <v>0</v>
      </c>
      <c r="DJ210" s="417"/>
      <c r="DL210" s="417"/>
      <c r="DN210" s="417"/>
      <c r="DO210" s="417"/>
    </row>
    <row r="211" customFormat="false" ht="12.75" hidden="false" customHeight="false" outlineLevel="0" collapsed="false">
      <c r="A211" s="767" t="n">
        <v>200</v>
      </c>
      <c r="B211" s="854" t="n">
        <v>42583</v>
      </c>
      <c r="C211" s="417" t="n">
        <v>0</v>
      </c>
      <c r="D211" s="417" t="n">
        <v>0</v>
      </c>
      <c r="E211" s="417" t="n">
        <v>0</v>
      </c>
      <c r="F211" s="417" t="n">
        <v>0</v>
      </c>
      <c r="G211" s="417" t="n">
        <v>0</v>
      </c>
      <c r="H211" s="417" t="n">
        <v>0</v>
      </c>
      <c r="I211" s="417" t="n">
        <v>0</v>
      </c>
      <c r="J211" s="417"/>
      <c r="K211" s="417"/>
      <c r="L211" s="417"/>
      <c r="M211" s="417"/>
      <c r="N211" s="417"/>
      <c r="O211" s="417"/>
      <c r="P211" s="769" t="n">
        <f aca="false">(1/0.96)*3113370.96426108</f>
        <v>3243094.75443862</v>
      </c>
      <c r="S211" s="769" t="n">
        <f aca="false">(1/0.96)*131730.39769657</f>
        <v>137219.164267261</v>
      </c>
      <c r="V211" s="769" t="n">
        <f aca="false">(1/0.96)*57738.9730163538</f>
        <v>60144.7635587018</v>
      </c>
      <c r="DH211" s="417" t="n">
        <v>0</v>
      </c>
      <c r="DI211" s="417" t="n">
        <v>0</v>
      </c>
      <c r="DJ211" s="417"/>
      <c r="DL211" s="417"/>
      <c r="DN211" s="417"/>
      <c r="DO211" s="417"/>
    </row>
    <row r="212" customFormat="false" ht="12.75" hidden="false" customHeight="false" outlineLevel="0" collapsed="false">
      <c r="A212" s="767" t="n">
        <v>201</v>
      </c>
      <c r="B212" s="854" t="n">
        <v>42614</v>
      </c>
      <c r="C212" s="417" t="n">
        <v>0</v>
      </c>
      <c r="D212" s="417" t="n">
        <v>0</v>
      </c>
      <c r="E212" s="417" t="n">
        <v>0</v>
      </c>
      <c r="F212" s="417" t="n">
        <v>0</v>
      </c>
      <c r="G212" s="417" t="n">
        <v>0</v>
      </c>
      <c r="H212" s="417" t="n">
        <v>0</v>
      </c>
      <c r="I212" s="417" t="n">
        <v>0</v>
      </c>
      <c r="J212" s="417"/>
      <c r="K212" s="417"/>
      <c r="L212" s="417"/>
      <c r="M212" s="417"/>
      <c r="N212" s="417"/>
      <c r="O212" s="417"/>
      <c r="P212" s="769" t="n">
        <f aca="false">(1/0.96)*3113370.96426108</f>
        <v>3243094.75443862</v>
      </c>
      <c r="S212" s="769" t="n">
        <f aca="false">(1/0.96)*131730.39769657</f>
        <v>137219.164267261</v>
      </c>
      <c r="V212" s="769" t="n">
        <f aca="false">(1/0.96)*57738.9730163538</f>
        <v>60144.7635587018</v>
      </c>
      <c r="DH212" s="417" t="n">
        <v>0</v>
      </c>
      <c r="DI212" s="417" t="n">
        <v>0</v>
      </c>
      <c r="DJ212" s="417"/>
      <c r="DL212" s="417"/>
      <c r="DN212" s="417"/>
      <c r="DO212" s="417"/>
    </row>
    <row r="213" customFormat="false" ht="12.75" hidden="false" customHeight="false" outlineLevel="0" collapsed="false">
      <c r="A213" s="767" t="n">
        <v>202</v>
      </c>
      <c r="B213" s="854" t="n">
        <v>42644</v>
      </c>
      <c r="C213" s="417" t="n">
        <v>0</v>
      </c>
      <c r="D213" s="417" t="n">
        <v>0</v>
      </c>
      <c r="E213" s="417" t="n">
        <v>0</v>
      </c>
      <c r="F213" s="417" t="n">
        <v>0</v>
      </c>
      <c r="G213" s="417" t="n">
        <v>0</v>
      </c>
      <c r="H213" s="417" t="n">
        <v>0</v>
      </c>
      <c r="I213" s="417" t="n">
        <v>0</v>
      </c>
      <c r="J213" s="417"/>
      <c r="K213" s="417"/>
      <c r="L213" s="417"/>
      <c r="M213" s="417"/>
      <c r="N213" s="417"/>
      <c r="O213" s="417"/>
      <c r="P213" s="769" t="n">
        <f aca="false">(1/0.96)*3113370.96426108</f>
        <v>3243094.75443862</v>
      </c>
      <c r="S213" s="769" t="n">
        <f aca="false">(1/0.96)*131730.39769657</f>
        <v>137219.164267261</v>
      </c>
      <c r="V213" s="769" t="n">
        <f aca="false">(1/0.96)*57738.9730163538</f>
        <v>60144.7635587018</v>
      </c>
      <c r="DH213" s="417" t="n">
        <v>0</v>
      </c>
      <c r="DI213" s="417" t="n">
        <v>0</v>
      </c>
      <c r="DJ213" s="417"/>
      <c r="DL213" s="417"/>
      <c r="DN213" s="417"/>
      <c r="DO213" s="417"/>
    </row>
    <row r="214" customFormat="false" ht="12.75" hidden="false" customHeight="false" outlineLevel="0" collapsed="false">
      <c r="A214" s="767" t="n">
        <v>203</v>
      </c>
      <c r="B214" s="854" t="n">
        <v>42675</v>
      </c>
      <c r="C214" s="417" t="n">
        <v>0</v>
      </c>
      <c r="D214" s="417" t="n">
        <v>0</v>
      </c>
      <c r="E214" s="417" t="n">
        <v>0</v>
      </c>
      <c r="F214" s="417" t="n">
        <v>0</v>
      </c>
      <c r="G214" s="417" t="n">
        <v>0</v>
      </c>
      <c r="H214" s="417" t="n">
        <v>0</v>
      </c>
      <c r="I214" s="417" t="n">
        <v>0</v>
      </c>
      <c r="J214" s="417"/>
      <c r="K214" s="417"/>
      <c r="L214" s="417"/>
      <c r="M214" s="417"/>
      <c r="N214" s="417"/>
      <c r="O214" s="417"/>
      <c r="P214" s="769" t="n">
        <f aca="false">(1/0.96)*3113370.96426108</f>
        <v>3243094.75443862</v>
      </c>
      <c r="S214" s="769" t="n">
        <f aca="false">(1/0.96)*131730.39769657</f>
        <v>137219.164267261</v>
      </c>
      <c r="V214" s="769" t="n">
        <f aca="false">(1/0.96)*57738.9730163538</f>
        <v>60144.7635587018</v>
      </c>
      <c r="DH214" s="417" t="n">
        <v>0</v>
      </c>
      <c r="DI214" s="417" t="n">
        <v>0</v>
      </c>
      <c r="DJ214" s="417"/>
      <c r="DL214" s="417"/>
      <c r="DN214" s="417"/>
      <c r="DO214" s="417"/>
    </row>
    <row r="215" customFormat="false" ht="12.75" hidden="false" customHeight="false" outlineLevel="0" collapsed="false">
      <c r="A215" s="767" t="n">
        <v>204</v>
      </c>
      <c r="B215" s="854" t="n">
        <v>42705</v>
      </c>
      <c r="C215" s="417" t="n">
        <v>0</v>
      </c>
      <c r="D215" s="417" t="n">
        <v>0</v>
      </c>
      <c r="E215" s="417" t="n">
        <v>0</v>
      </c>
      <c r="F215" s="417" t="n">
        <v>0</v>
      </c>
      <c r="G215" s="417" t="n">
        <v>0</v>
      </c>
      <c r="H215" s="417" t="n">
        <v>0</v>
      </c>
      <c r="I215" s="417" t="n">
        <v>0</v>
      </c>
      <c r="J215" s="417"/>
      <c r="K215" s="417"/>
      <c r="L215" s="417"/>
      <c r="M215" s="417"/>
      <c r="N215" s="417"/>
      <c r="O215" s="417"/>
      <c r="P215" s="769" t="n">
        <f aca="false">(1/0.96)*3113370.96426108</f>
        <v>3243094.75443862</v>
      </c>
      <c r="S215" s="769" t="n">
        <f aca="false">(1/0.96)*131730.39769657</f>
        <v>137219.164267261</v>
      </c>
      <c r="V215" s="769" t="n">
        <f aca="false">(1/0.96)*57738.9730163538</f>
        <v>60144.7635587018</v>
      </c>
      <c r="DH215" s="417" t="n">
        <v>0</v>
      </c>
      <c r="DI215" s="417" t="n">
        <v>0</v>
      </c>
      <c r="DJ215" s="417"/>
      <c r="DL215" s="417"/>
      <c r="DN215" s="417"/>
      <c r="DO215" s="417"/>
    </row>
    <row r="216" customFormat="false" ht="12.75" hidden="false" customHeight="false" outlineLevel="0" collapsed="false">
      <c r="A216" s="767" t="n">
        <v>205</v>
      </c>
      <c r="B216" s="854" t="n">
        <v>42736</v>
      </c>
      <c r="C216" s="417" t="n">
        <v>0</v>
      </c>
      <c r="D216" s="417" t="n">
        <v>0</v>
      </c>
      <c r="E216" s="417" t="n">
        <v>0</v>
      </c>
      <c r="F216" s="417" t="n">
        <v>0</v>
      </c>
      <c r="G216" s="417" t="n">
        <v>0</v>
      </c>
      <c r="H216" s="417" t="n">
        <v>0</v>
      </c>
      <c r="I216" s="417" t="n">
        <v>0</v>
      </c>
      <c r="J216" s="417"/>
      <c r="K216" s="417"/>
      <c r="L216" s="417"/>
      <c r="M216" s="417"/>
      <c r="N216" s="417"/>
      <c r="O216" s="417"/>
      <c r="P216" s="769" t="n">
        <f aca="false">(1/0.96)*3145194.32501336</f>
        <v>3276244.08855559</v>
      </c>
      <c r="S216" s="769" t="n">
        <f aca="false">(1/0.96)*133076.881625425</f>
        <v>138621.751693151</v>
      </c>
      <c r="V216" s="769" t="n">
        <f aca="false">(1/0.96)*58329.1526604946</f>
        <v>60759.5340213485</v>
      </c>
      <c r="DH216" s="417" t="n">
        <v>0</v>
      </c>
      <c r="DI216" s="417" t="n">
        <v>0</v>
      </c>
      <c r="DJ216" s="417"/>
      <c r="DL216" s="417"/>
      <c r="DN216" s="417"/>
      <c r="DO216" s="417"/>
    </row>
    <row r="217" customFormat="false" ht="12.75" hidden="false" customHeight="false" outlineLevel="0" collapsed="false">
      <c r="A217" s="767" t="n">
        <v>206</v>
      </c>
      <c r="B217" s="854" t="n">
        <v>42767</v>
      </c>
      <c r="C217" s="417" t="n">
        <v>0</v>
      </c>
      <c r="D217" s="417" t="n">
        <v>0</v>
      </c>
      <c r="E217" s="417" t="n">
        <v>0</v>
      </c>
      <c r="F217" s="417" t="n">
        <v>0</v>
      </c>
      <c r="G217" s="417" t="n">
        <v>0</v>
      </c>
      <c r="H217" s="417" t="n">
        <v>0</v>
      </c>
      <c r="I217" s="417" t="n">
        <v>0</v>
      </c>
      <c r="J217" s="417"/>
      <c r="K217" s="417"/>
      <c r="L217" s="417"/>
      <c r="M217" s="417"/>
      <c r="N217" s="417"/>
      <c r="O217" s="417"/>
      <c r="P217" s="769" t="n">
        <f aca="false">(1/0.96)*3145194.32501336</f>
        <v>3276244.08855559</v>
      </c>
      <c r="S217" s="769" t="n">
        <f aca="false">(1/0.96)*133076.881625425</f>
        <v>138621.751693151</v>
      </c>
      <c r="V217" s="769" t="n">
        <f aca="false">(1/0.96)*58329.1526604946</f>
        <v>60759.5340213485</v>
      </c>
      <c r="DH217" s="417" t="n">
        <v>0</v>
      </c>
      <c r="DI217" s="417" t="n">
        <v>0</v>
      </c>
      <c r="DJ217" s="417"/>
      <c r="DL217" s="417"/>
      <c r="DN217" s="417"/>
      <c r="DO217" s="417"/>
    </row>
    <row r="218" customFormat="false" ht="12.75" hidden="false" customHeight="false" outlineLevel="0" collapsed="false">
      <c r="A218" s="767" t="n">
        <v>207</v>
      </c>
      <c r="B218" s="854" t="n">
        <v>42795</v>
      </c>
      <c r="C218" s="417" t="n">
        <v>0</v>
      </c>
      <c r="D218" s="417" t="n">
        <v>0</v>
      </c>
      <c r="E218" s="417" t="n">
        <v>0</v>
      </c>
      <c r="F218" s="417" t="n">
        <v>0</v>
      </c>
      <c r="G218" s="417" t="n">
        <v>0</v>
      </c>
      <c r="H218" s="417" t="n">
        <v>0</v>
      </c>
      <c r="I218" s="417" t="n">
        <v>0</v>
      </c>
      <c r="J218" s="417"/>
      <c r="K218" s="417"/>
      <c r="L218" s="417"/>
      <c r="M218" s="417"/>
      <c r="N218" s="417"/>
      <c r="O218" s="417"/>
      <c r="P218" s="769" t="n">
        <f aca="false">(1/0.96)*3145194.32501336</f>
        <v>3276244.08855559</v>
      </c>
      <c r="S218" s="769" t="n">
        <f aca="false">(1/0.96)*133076.881625425</f>
        <v>138621.751693151</v>
      </c>
      <c r="V218" s="769" t="n">
        <f aca="false">(1/0.96)*58329.1526604946</f>
        <v>60759.5340213485</v>
      </c>
      <c r="DH218" s="417" t="n">
        <v>0</v>
      </c>
      <c r="DI218" s="417" t="n">
        <v>0</v>
      </c>
      <c r="DJ218" s="417"/>
      <c r="DL218" s="417"/>
      <c r="DN218" s="417"/>
      <c r="DO218" s="417"/>
    </row>
    <row r="219" customFormat="false" ht="12.75" hidden="false" customHeight="false" outlineLevel="0" collapsed="false">
      <c r="A219" s="767" t="n">
        <v>208</v>
      </c>
      <c r="B219" s="854" t="n">
        <v>42826</v>
      </c>
      <c r="C219" s="417" t="n">
        <v>0</v>
      </c>
      <c r="D219" s="417" t="n">
        <v>0</v>
      </c>
      <c r="E219" s="417" t="n">
        <v>0</v>
      </c>
      <c r="F219" s="417" t="n">
        <v>0</v>
      </c>
      <c r="G219" s="417" t="n">
        <v>0</v>
      </c>
      <c r="H219" s="417" t="n">
        <v>0</v>
      </c>
      <c r="I219" s="417" t="n">
        <v>0</v>
      </c>
      <c r="J219" s="417"/>
      <c r="K219" s="417"/>
      <c r="L219" s="417"/>
      <c r="M219" s="417"/>
      <c r="N219" s="417"/>
      <c r="O219" s="417"/>
      <c r="P219" s="769" t="n">
        <f aca="false">(1/0.96)*3145194.32501336</f>
        <v>3276244.08855559</v>
      </c>
      <c r="S219" s="769" t="n">
        <f aca="false">(1/0.96)*133076.881625425</f>
        <v>138621.751693151</v>
      </c>
      <c r="V219" s="769" t="n">
        <f aca="false">(1/0.96)*58329.1526604946</f>
        <v>60759.5340213485</v>
      </c>
      <c r="DH219" s="417" t="n">
        <v>0</v>
      </c>
      <c r="DI219" s="417" t="n">
        <v>0</v>
      </c>
      <c r="DJ219" s="417"/>
      <c r="DL219" s="417"/>
      <c r="DN219" s="417"/>
      <c r="DO219" s="417"/>
    </row>
    <row r="220" customFormat="false" ht="12.75" hidden="false" customHeight="false" outlineLevel="0" collapsed="false">
      <c r="A220" s="767" t="n">
        <v>209</v>
      </c>
      <c r="B220" s="854" t="n">
        <v>42856</v>
      </c>
      <c r="C220" s="417" t="n">
        <v>0</v>
      </c>
      <c r="D220" s="417" t="n">
        <v>0</v>
      </c>
      <c r="E220" s="417" t="n">
        <v>0</v>
      </c>
      <c r="F220" s="417" t="n">
        <v>0</v>
      </c>
      <c r="G220" s="417" t="n">
        <v>0</v>
      </c>
      <c r="H220" s="417" t="n">
        <v>0</v>
      </c>
      <c r="I220" s="417" t="n">
        <v>0</v>
      </c>
      <c r="J220" s="417"/>
      <c r="K220" s="417"/>
      <c r="L220" s="417"/>
      <c r="M220" s="417"/>
      <c r="N220" s="417"/>
      <c r="O220" s="417"/>
      <c r="P220" s="769" t="n">
        <f aca="false">(1/0.96)*3145194.32501336</f>
        <v>3276244.08855559</v>
      </c>
      <c r="S220" s="769" t="n">
        <f aca="false">(1/0.96)*133076.881625425</f>
        <v>138621.751693151</v>
      </c>
      <c r="V220" s="769" t="n">
        <f aca="false">(1/0.96)*58329.1526604946</f>
        <v>60759.5340213485</v>
      </c>
      <c r="DH220" s="417" t="n">
        <v>0</v>
      </c>
      <c r="DI220" s="417" t="n">
        <v>0</v>
      </c>
      <c r="DJ220" s="417"/>
      <c r="DL220" s="417"/>
      <c r="DN220" s="417"/>
      <c r="DO220" s="417"/>
    </row>
    <row r="221" customFormat="false" ht="12.75" hidden="false" customHeight="false" outlineLevel="0" collapsed="false">
      <c r="A221" s="767" t="n">
        <v>210</v>
      </c>
      <c r="B221" s="854" t="n">
        <v>42887</v>
      </c>
      <c r="C221" s="417" t="n">
        <v>0</v>
      </c>
      <c r="D221" s="417" t="n">
        <v>0</v>
      </c>
      <c r="E221" s="417" t="n">
        <v>0</v>
      </c>
      <c r="F221" s="417" t="n">
        <v>0</v>
      </c>
      <c r="G221" s="417" t="n">
        <v>0</v>
      </c>
      <c r="H221" s="417" t="n">
        <v>0</v>
      </c>
      <c r="I221" s="417" t="n">
        <v>0</v>
      </c>
      <c r="J221" s="417"/>
      <c r="K221" s="417"/>
      <c r="L221" s="417"/>
      <c r="M221" s="417"/>
      <c r="N221" s="417"/>
      <c r="O221" s="417"/>
      <c r="P221" s="769" t="n">
        <f aca="false">(1/0.96)*3145194.32501336</f>
        <v>3276244.08855559</v>
      </c>
      <c r="S221" s="769" t="n">
        <f aca="false">(1/0.96)*133076.881625425</f>
        <v>138621.751693151</v>
      </c>
      <c r="V221" s="769" t="n">
        <f aca="false">(1/0.96)*58329.1526604946</f>
        <v>60759.5340213485</v>
      </c>
      <c r="DH221" s="417" t="n">
        <v>0</v>
      </c>
      <c r="DI221" s="417" t="n">
        <v>0</v>
      </c>
      <c r="DJ221" s="417"/>
      <c r="DL221" s="417"/>
      <c r="DN221" s="417"/>
      <c r="DO221" s="417"/>
    </row>
    <row r="222" customFormat="false" ht="12.75" hidden="false" customHeight="false" outlineLevel="0" collapsed="false">
      <c r="A222" s="767" t="n">
        <v>211</v>
      </c>
      <c r="B222" s="854" t="n">
        <v>42917</v>
      </c>
      <c r="C222" s="417" t="n">
        <v>0</v>
      </c>
      <c r="D222" s="417" t="n">
        <v>0</v>
      </c>
      <c r="E222" s="417" t="n">
        <v>0</v>
      </c>
      <c r="F222" s="417" t="n">
        <v>0</v>
      </c>
      <c r="G222" s="417" t="n">
        <v>0</v>
      </c>
      <c r="H222" s="417" t="n">
        <v>0</v>
      </c>
      <c r="I222" s="417" t="n">
        <v>0</v>
      </c>
      <c r="J222" s="417"/>
      <c r="K222" s="417"/>
      <c r="L222" s="417"/>
      <c r="M222" s="417"/>
      <c r="N222" s="417"/>
      <c r="O222" s="417"/>
      <c r="P222" s="769" t="n">
        <f aca="false">(1/0.96)*3145194.32501336</f>
        <v>3276244.08855559</v>
      </c>
      <c r="S222" s="769" t="n">
        <f aca="false">(1/0.96)*133076.881625425</f>
        <v>138621.751693151</v>
      </c>
      <c r="V222" s="769" t="n">
        <f aca="false">(1/0.96)*58329.1526604946</f>
        <v>60759.5340213485</v>
      </c>
      <c r="DH222" s="417" t="n">
        <v>0</v>
      </c>
      <c r="DI222" s="417" t="n">
        <v>0</v>
      </c>
      <c r="DJ222" s="417"/>
      <c r="DL222" s="417"/>
      <c r="DN222" s="417"/>
      <c r="DO222" s="417"/>
    </row>
    <row r="223" customFormat="false" ht="12.75" hidden="false" customHeight="false" outlineLevel="0" collapsed="false">
      <c r="A223" s="767" t="n">
        <v>212</v>
      </c>
      <c r="B223" s="854" t="n">
        <v>42948</v>
      </c>
      <c r="C223" s="417" t="n">
        <v>0</v>
      </c>
      <c r="D223" s="417" t="n">
        <v>0</v>
      </c>
      <c r="E223" s="417" t="n">
        <v>0</v>
      </c>
      <c r="F223" s="417" t="n">
        <v>0</v>
      </c>
      <c r="G223" s="417" t="n">
        <v>0</v>
      </c>
      <c r="H223" s="417" t="n">
        <v>0</v>
      </c>
      <c r="I223" s="417" t="n">
        <v>0</v>
      </c>
      <c r="J223" s="417"/>
      <c r="K223" s="417"/>
      <c r="L223" s="417"/>
      <c r="M223" s="417"/>
      <c r="N223" s="417"/>
      <c r="O223" s="417"/>
      <c r="P223" s="769" t="n">
        <f aca="false">(1/0.96)*3145194.32501336</f>
        <v>3276244.08855559</v>
      </c>
      <c r="S223" s="769" t="n">
        <f aca="false">(1/0.96)*133076.881625425</f>
        <v>138621.751693151</v>
      </c>
      <c r="V223" s="769" t="n">
        <f aca="false">(1/0.96)*58329.1526604946</f>
        <v>60759.5340213485</v>
      </c>
      <c r="DH223" s="417" t="n">
        <v>0</v>
      </c>
      <c r="DI223" s="417" t="n">
        <v>0</v>
      </c>
      <c r="DJ223" s="417"/>
      <c r="DL223" s="417"/>
      <c r="DN223" s="417"/>
      <c r="DO223" s="417"/>
    </row>
    <row r="224" customFormat="false" ht="12.75" hidden="false" customHeight="false" outlineLevel="0" collapsed="false">
      <c r="A224" s="767" t="n">
        <v>213</v>
      </c>
      <c r="B224" s="854" t="n">
        <v>42979</v>
      </c>
      <c r="C224" s="417" t="n">
        <v>0</v>
      </c>
      <c r="D224" s="417" t="n">
        <v>0</v>
      </c>
      <c r="E224" s="417" t="n">
        <v>0</v>
      </c>
      <c r="F224" s="417" t="n">
        <v>0</v>
      </c>
      <c r="G224" s="417" t="n">
        <v>0</v>
      </c>
      <c r="H224" s="417" t="n">
        <v>0</v>
      </c>
      <c r="I224" s="417" t="n">
        <v>0</v>
      </c>
      <c r="J224" s="417"/>
      <c r="K224" s="417"/>
      <c r="L224" s="417"/>
      <c r="M224" s="417"/>
      <c r="N224" s="417"/>
      <c r="O224" s="417"/>
      <c r="P224" s="769" t="n">
        <f aca="false">(1/0.96)*3145194.32501336</f>
        <v>3276244.08855559</v>
      </c>
      <c r="S224" s="769" t="n">
        <f aca="false">(1/0.96)*133076.881625425</f>
        <v>138621.751693151</v>
      </c>
      <c r="V224" s="769" t="n">
        <f aca="false">(1/0.96)*58329.1526604946</f>
        <v>60759.5340213485</v>
      </c>
      <c r="DH224" s="417" t="n">
        <v>0</v>
      </c>
      <c r="DI224" s="417" t="n">
        <v>0</v>
      </c>
      <c r="DJ224" s="417"/>
      <c r="DL224" s="417"/>
      <c r="DN224" s="417"/>
      <c r="DO224" s="417"/>
    </row>
    <row r="225" customFormat="false" ht="12.75" hidden="false" customHeight="false" outlineLevel="0" collapsed="false">
      <c r="A225" s="767" t="n">
        <v>214</v>
      </c>
      <c r="B225" s="854" t="n">
        <v>43009</v>
      </c>
      <c r="C225" s="417" t="n">
        <v>0</v>
      </c>
      <c r="D225" s="417" t="n">
        <v>0</v>
      </c>
      <c r="E225" s="417" t="n">
        <v>0</v>
      </c>
      <c r="F225" s="417" t="n">
        <v>0</v>
      </c>
      <c r="G225" s="417" t="n">
        <v>0</v>
      </c>
      <c r="H225" s="417" t="n">
        <v>0</v>
      </c>
      <c r="I225" s="417" t="n">
        <v>0</v>
      </c>
      <c r="J225" s="417"/>
      <c r="K225" s="417"/>
      <c r="L225" s="417"/>
      <c r="M225" s="417"/>
      <c r="N225" s="417"/>
      <c r="O225" s="417"/>
      <c r="P225" s="769" t="n">
        <f aca="false">(1/0.96)*3145194.32501336</f>
        <v>3276244.08855559</v>
      </c>
      <c r="S225" s="769" t="n">
        <f aca="false">(1/0.96)*133076.881625425</f>
        <v>138621.751693151</v>
      </c>
      <c r="V225" s="769" t="n">
        <f aca="false">(1/0.96)*58329.1526604946</f>
        <v>60759.5340213485</v>
      </c>
      <c r="DH225" s="417" t="n">
        <v>0</v>
      </c>
      <c r="DI225" s="417" t="n">
        <v>0</v>
      </c>
      <c r="DJ225" s="417"/>
      <c r="DL225" s="417"/>
      <c r="DN225" s="417"/>
      <c r="DO225" s="417"/>
    </row>
    <row r="226" customFormat="false" ht="12.75" hidden="false" customHeight="false" outlineLevel="0" collapsed="false">
      <c r="A226" s="767" t="n">
        <v>215</v>
      </c>
      <c r="B226" s="854" t="n">
        <v>43040</v>
      </c>
      <c r="C226" s="417" t="n">
        <v>0</v>
      </c>
      <c r="D226" s="417" t="n">
        <v>0</v>
      </c>
      <c r="E226" s="417" t="n">
        <v>0</v>
      </c>
      <c r="F226" s="417" t="n">
        <v>0</v>
      </c>
      <c r="G226" s="417" t="n">
        <v>0</v>
      </c>
      <c r="H226" s="417" t="n">
        <v>0</v>
      </c>
      <c r="I226" s="417" t="n">
        <v>0</v>
      </c>
      <c r="J226" s="417"/>
      <c r="K226" s="417"/>
      <c r="L226" s="417"/>
      <c r="M226" s="417"/>
      <c r="N226" s="417"/>
      <c r="O226" s="417"/>
      <c r="P226" s="769" t="n">
        <f aca="false">(1/0.96)*3145194.32501336</f>
        <v>3276244.08855559</v>
      </c>
      <c r="S226" s="769" t="n">
        <f aca="false">(1/0.96)*133076.881625425</f>
        <v>138621.751693151</v>
      </c>
      <c r="V226" s="769" t="n">
        <f aca="false">(1/0.96)*58329.1526604946</f>
        <v>60759.5340213485</v>
      </c>
      <c r="DH226" s="417" t="n">
        <v>0</v>
      </c>
      <c r="DI226" s="417" t="n">
        <v>0</v>
      </c>
      <c r="DJ226" s="417"/>
      <c r="DL226" s="417"/>
      <c r="DN226" s="417"/>
      <c r="DO226" s="417"/>
    </row>
    <row r="227" customFormat="false" ht="12.75" hidden="false" customHeight="false" outlineLevel="0" collapsed="false">
      <c r="A227" s="767" t="n">
        <v>216</v>
      </c>
      <c r="B227" s="854" t="n">
        <v>43070</v>
      </c>
      <c r="C227" s="417" t="n">
        <v>0</v>
      </c>
      <c r="D227" s="417" t="n">
        <v>0</v>
      </c>
      <c r="E227" s="417" t="n">
        <v>0</v>
      </c>
      <c r="F227" s="417" t="n">
        <v>0</v>
      </c>
      <c r="G227" s="417" t="n">
        <v>0</v>
      </c>
      <c r="H227" s="417" t="n">
        <v>0</v>
      </c>
      <c r="I227" s="417" t="n">
        <v>0</v>
      </c>
      <c r="J227" s="417"/>
      <c r="K227" s="417"/>
      <c r="L227" s="417"/>
      <c r="M227" s="417"/>
      <c r="N227" s="417"/>
      <c r="O227" s="417"/>
      <c r="P227" s="769" t="n">
        <f aca="false">(1/0.96)*3145194.32501336</f>
        <v>3276244.08855559</v>
      </c>
      <c r="S227" s="769" t="n">
        <f aca="false">(1/0.96)*133076.881625425</f>
        <v>138621.751693151</v>
      </c>
      <c r="V227" s="769" t="n">
        <f aca="false">(1/0.96)*58329.1526604946</f>
        <v>60759.5340213485</v>
      </c>
      <c r="DH227" s="417" t="n">
        <v>0</v>
      </c>
      <c r="DI227" s="417" t="n">
        <v>0</v>
      </c>
      <c r="DJ227" s="417"/>
      <c r="DL227" s="417"/>
      <c r="DN227" s="417"/>
      <c r="DO227" s="417"/>
    </row>
    <row r="228" customFormat="false" ht="12.75" hidden="false" customHeight="false" outlineLevel="0" collapsed="false">
      <c r="A228" s="767" t="n">
        <v>217</v>
      </c>
      <c r="B228" s="854" t="n">
        <v>43101</v>
      </c>
      <c r="C228" s="417" t="n">
        <v>0</v>
      </c>
      <c r="D228" s="417" t="n">
        <v>0</v>
      </c>
      <c r="E228" s="417" t="n">
        <v>0</v>
      </c>
      <c r="F228" s="417" t="n">
        <v>0</v>
      </c>
      <c r="G228" s="417" t="n">
        <v>0</v>
      </c>
      <c r="H228" s="417" t="n">
        <v>0</v>
      </c>
      <c r="I228" s="417" t="n">
        <v>0</v>
      </c>
      <c r="J228" s="417"/>
      <c r="K228" s="417"/>
      <c r="L228" s="417"/>
      <c r="M228" s="417"/>
      <c r="N228" s="417"/>
      <c r="O228" s="417"/>
      <c r="P228" s="769" t="n">
        <f aca="false">(1/0.96)*3177383.6544143</f>
        <v>3309774.6400149</v>
      </c>
      <c r="S228" s="769" t="n">
        <f aca="false">(1/0.96)*134438.850119461</f>
        <v>140040.468874439</v>
      </c>
      <c r="V228" s="769" t="n">
        <f aca="false">(1/0.96)*58926.119370543</f>
        <v>61381.3743443156</v>
      </c>
      <c r="DH228" s="417" t="n">
        <v>0</v>
      </c>
      <c r="DI228" s="417" t="n">
        <v>0</v>
      </c>
      <c r="DJ228" s="417"/>
      <c r="DL228" s="417"/>
      <c r="DN228" s="417"/>
      <c r="DO228" s="417"/>
    </row>
    <row r="229" customFormat="false" ht="12.75" hidden="false" customHeight="false" outlineLevel="0" collapsed="false">
      <c r="A229" s="767" t="n">
        <v>218</v>
      </c>
      <c r="B229" s="854" t="n">
        <v>43132</v>
      </c>
      <c r="C229" s="417" t="n">
        <v>0</v>
      </c>
      <c r="D229" s="417" t="n">
        <v>0</v>
      </c>
      <c r="E229" s="417" t="n">
        <v>0</v>
      </c>
      <c r="F229" s="417" t="n">
        <v>0</v>
      </c>
      <c r="G229" s="417" t="n">
        <v>0</v>
      </c>
      <c r="H229" s="417" t="n">
        <v>0</v>
      </c>
      <c r="I229" s="417" t="n">
        <v>0</v>
      </c>
      <c r="J229" s="417"/>
      <c r="K229" s="417"/>
      <c r="L229" s="417"/>
      <c r="M229" s="417"/>
      <c r="N229" s="417"/>
      <c r="O229" s="417"/>
      <c r="P229" s="769" t="n">
        <f aca="false">(1/0.96)*3177383.6544143</f>
        <v>3309774.6400149</v>
      </c>
      <c r="S229" s="769" t="n">
        <f aca="false">(1/0.96)*134438.850119461</f>
        <v>140040.468874439</v>
      </c>
      <c r="V229" s="769" t="n">
        <f aca="false">(1/0.96)*58926.119370543</f>
        <v>61381.3743443156</v>
      </c>
      <c r="DH229" s="417" t="n">
        <v>0</v>
      </c>
      <c r="DI229" s="417" t="n">
        <v>0</v>
      </c>
      <c r="DJ229" s="417"/>
      <c r="DL229" s="417"/>
      <c r="DN229" s="417"/>
      <c r="DO229" s="417"/>
    </row>
    <row r="230" customFormat="false" ht="12.75" hidden="false" customHeight="false" outlineLevel="0" collapsed="false">
      <c r="A230" s="767" t="n">
        <v>219</v>
      </c>
      <c r="B230" s="854" t="n">
        <v>43160</v>
      </c>
      <c r="C230" s="417" t="n">
        <v>0</v>
      </c>
      <c r="D230" s="417" t="n">
        <v>0</v>
      </c>
      <c r="E230" s="417" t="n">
        <v>0</v>
      </c>
      <c r="F230" s="417" t="n">
        <v>0</v>
      </c>
      <c r="G230" s="417" t="n">
        <v>0</v>
      </c>
      <c r="H230" s="417" t="n">
        <v>0</v>
      </c>
      <c r="I230" s="417" t="n">
        <v>0</v>
      </c>
      <c r="J230" s="417"/>
      <c r="K230" s="417"/>
      <c r="L230" s="417"/>
      <c r="M230" s="417"/>
      <c r="N230" s="417"/>
      <c r="O230" s="417"/>
      <c r="P230" s="769" t="n">
        <f aca="false">(1/0.96)*3177383.6544143</f>
        <v>3309774.6400149</v>
      </c>
      <c r="S230" s="769" t="n">
        <f aca="false">(1/0.96)*134438.850119461</f>
        <v>140040.468874439</v>
      </c>
      <c r="V230" s="769" t="n">
        <f aca="false">(1/0.96)*58926.119370543</f>
        <v>61381.3743443156</v>
      </c>
      <c r="DH230" s="417" t="n">
        <v>0</v>
      </c>
      <c r="DI230" s="417" t="n">
        <v>0</v>
      </c>
      <c r="DJ230" s="417"/>
      <c r="DL230" s="417"/>
      <c r="DN230" s="417"/>
      <c r="DO230" s="417"/>
    </row>
    <row r="231" customFormat="false" ht="12.75" hidden="false" customHeight="false" outlineLevel="0" collapsed="false">
      <c r="A231" s="767" t="n">
        <v>220</v>
      </c>
      <c r="B231" s="854" t="n">
        <v>43191</v>
      </c>
      <c r="C231" s="417" t="n">
        <v>0</v>
      </c>
      <c r="D231" s="417" t="n">
        <v>0</v>
      </c>
      <c r="E231" s="417" t="n">
        <v>0</v>
      </c>
      <c r="F231" s="417" t="n">
        <v>0</v>
      </c>
      <c r="G231" s="417" t="n">
        <v>0</v>
      </c>
      <c r="H231" s="417" t="n">
        <v>0</v>
      </c>
      <c r="I231" s="417" t="n">
        <v>0</v>
      </c>
      <c r="J231" s="417"/>
      <c r="K231" s="417"/>
      <c r="L231" s="417"/>
      <c r="M231" s="417"/>
      <c r="N231" s="417"/>
      <c r="O231" s="417"/>
      <c r="P231" s="769" t="n">
        <f aca="false">(1/0.96)*3177383.6544143</f>
        <v>3309774.6400149</v>
      </c>
      <c r="S231" s="769" t="n">
        <f aca="false">(1/0.96)*134438.850119461</f>
        <v>140040.468874439</v>
      </c>
      <c r="V231" s="769" t="n">
        <f aca="false">(1/0.96)*58926.119370543</f>
        <v>61381.3743443156</v>
      </c>
      <c r="DH231" s="417" t="n">
        <v>0</v>
      </c>
      <c r="DI231" s="417" t="n">
        <v>0</v>
      </c>
      <c r="DJ231" s="417"/>
      <c r="DL231" s="417"/>
      <c r="DN231" s="417"/>
      <c r="DO231" s="417"/>
    </row>
    <row r="232" customFormat="false" ht="12.75" hidden="false" customHeight="false" outlineLevel="0" collapsed="false">
      <c r="A232" s="767" t="n">
        <v>221</v>
      </c>
      <c r="B232" s="854" t="n">
        <v>43221</v>
      </c>
      <c r="C232" s="417" t="n">
        <v>0</v>
      </c>
      <c r="D232" s="417" t="n">
        <v>0</v>
      </c>
      <c r="E232" s="417" t="n">
        <v>0</v>
      </c>
      <c r="F232" s="417" t="n">
        <v>0</v>
      </c>
      <c r="G232" s="417" t="n">
        <v>0</v>
      </c>
      <c r="H232" s="417" t="n">
        <v>0</v>
      </c>
      <c r="I232" s="417" t="n">
        <v>0</v>
      </c>
      <c r="J232" s="417"/>
      <c r="K232" s="417"/>
      <c r="L232" s="417"/>
      <c r="M232" s="417"/>
      <c r="N232" s="417"/>
      <c r="O232" s="417"/>
      <c r="P232" s="769" t="n">
        <f aca="false">(1/0.96)*3177383.6544143</f>
        <v>3309774.6400149</v>
      </c>
      <c r="S232" s="769" t="n">
        <f aca="false">(1/0.96)*134438.850119461</f>
        <v>140040.468874439</v>
      </c>
      <c r="V232" s="769" t="n">
        <f aca="false">(1/0.96)*58926.119370543</f>
        <v>61381.3743443156</v>
      </c>
      <c r="DH232" s="417" t="n">
        <v>0</v>
      </c>
      <c r="DI232" s="417" t="n">
        <v>0</v>
      </c>
      <c r="DJ232" s="417"/>
      <c r="DL232" s="417"/>
      <c r="DN232" s="417"/>
      <c r="DO232" s="417"/>
    </row>
    <row r="233" customFormat="false" ht="12.75" hidden="false" customHeight="false" outlineLevel="0" collapsed="false">
      <c r="A233" s="767" t="n">
        <v>222</v>
      </c>
      <c r="B233" s="854" t="n">
        <v>43252</v>
      </c>
      <c r="C233" s="417" t="n">
        <v>0</v>
      </c>
      <c r="D233" s="417" t="n">
        <v>0</v>
      </c>
      <c r="E233" s="417" t="n">
        <v>0</v>
      </c>
      <c r="F233" s="417" t="n">
        <v>0</v>
      </c>
      <c r="G233" s="417" t="n">
        <v>0</v>
      </c>
      <c r="H233" s="417" t="n">
        <v>0</v>
      </c>
      <c r="I233" s="417" t="n">
        <v>0</v>
      </c>
      <c r="J233" s="417"/>
      <c r="K233" s="417"/>
      <c r="L233" s="417"/>
      <c r="M233" s="417"/>
      <c r="N233" s="417"/>
      <c r="O233" s="417"/>
      <c r="P233" s="769" t="n">
        <f aca="false">(1/0.96)*3177383.6544143</f>
        <v>3309774.6400149</v>
      </c>
      <c r="S233" s="769" t="n">
        <f aca="false">(1/0.96)*134438.850119461</f>
        <v>140040.468874439</v>
      </c>
      <c r="V233" s="769" t="n">
        <f aca="false">(1/0.96)*58926.119370543</f>
        <v>61381.3743443156</v>
      </c>
      <c r="DH233" s="417" t="n">
        <v>0</v>
      </c>
      <c r="DI233" s="417" t="n">
        <v>0</v>
      </c>
      <c r="DJ233" s="417"/>
      <c r="DL233" s="417"/>
      <c r="DN233" s="417"/>
      <c r="DO233" s="417"/>
    </row>
    <row r="234" customFormat="false" ht="12.75" hidden="false" customHeight="false" outlineLevel="0" collapsed="false">
      <c r="A234" s="767" t="n">
        <v>223</v>
      </c>
      <c r="B234" s="854" t="n">
        <v>43282</v>
      </c>
      <c r="C234" s="417" t="n">
        <v>0</v>
      </c>
      <c r="D234" s="417" t="n">
        <v>0</v>
      </c>
      <c r="E234" s="417" t="n">
        <v>0</v>
      </c>
      <c r="F234" s="417" t="n">
        <v>0</v>
      </c>
      <c r="G234" s="417" t="n">
        <v>0</v>
      </c>
      <c r="H234" s="417" t="n">
        <v>0</v>
      </c>
      <c r="I234" s="417" t="n">
        <v>0</v>
      </c>
      <c r="J234" s="417"/>
      <c r="K234" s="417"/>
      <c r="L234" s="417"/>
      <c r="M234" s="417"/>
      <c r="N234" s="417"/>
      <c r="O234" s="417"/>
      <c r="P234" s="769" t="n">
        <f aca="false">(1/0.96)*3177383.6544143</f>
        <v>3309774.6400149</v>
      </c>
      <c r="S234" s="769" t="n">
        <f aca="false">(1/0.96)*134438.850119461</f>
        <v>140040.468874439</v>
      </c>
      <c r="V234" s="769" t="n">
        <f aca="false">(1/0.96)*58926.119370543</f>
        <v>61381.3743443156</v>
      </c>
      <c r="DH234" s="417" t="n">
        <v>0</v>
      </c>
      <c r="DI234" s="417" t="n">
        <v>0</v>
      </c>
      <c r="DJ234" s="417"/>
      <c r="DL234" s="417"/>
      <c r="DN234" s="417"/>
      <c r="DO234" s="417"/>
    </row>
    <row r="235" customFormat="false" ht="12.75" hidden="false" customHeight="false" outlineLevel="0" collapsed="false">
      <c r="A235" s="767" t="n">
        <v>224</v>
      </c>
      <c r="B235" s="854" t="n">
        <v>43313</v>
      </c>
      <c r="C235" s="417" t="n">
        <v>0</v>
      </c>
      <c r="D235" s="417" t="n">
        <v>0</v>
      </c>
      <c r="E235" s="417" t="n">
        <v>0</v>
      </c>
      <c r="F235" s="417" t="n">
        <v>0</v>
      </c>
      <c r="G235" s="417" t="n">
        <v>0</v>
      </c>
      <c r="H235" s="417" t="n">
        <v>0</v>
      </c>
      <c r="I235" s="417" t="n">
        <v>0</v>
      </c>
      <c r="J235" s="417"/>
      <c r="K235" s="417"/>
      <c r="L235" s="417"/>
      <c r="M235" s="417"/>
      <c r="N235" s="417"/>
      <c r="O235" s="417"/>
      <c r="P235" s="769" t="n">
        <f aca="false">(1/0.96)*3177383.6544143</f>
        <v>3309774.6400149</v>
      </c>
      <c r="S235" s="769" t="n">
        <f aca="false">(1/0.96)*134438.850119461</f>
        <v>140040.468874439</v>
      </c>
      <c r="V235" s="769" t="n">
        <f aca="false">(1/0.96)*58926.119370543</f>
        <v>61381.3743443156</v>
      </c>
      <c r="DH235" s="417" t="n">
        <v>0</v>
      </c>
      <c r="DI235" s="417" t="n">
        <v>0</v>
      </c>
      <c r="DJ235" s="417"/>
      <c r="DL235" s="417"/>
      <c r="DN235" s="417"/>
      <c r="DO235" s="417"/>
    </row>
    <row r="236" customFormat="false" ht="12.75" hidden="false" customHeight="false" outlineLevel="0" collapsed="false">
      <c r="A236" s="767" t="n">
        <v>225</v>
      </c>
      <c r="B236" s="854" t="n">
        <v>43344</v>
      </c>
      <c r="C236" s="417" t="n">
        <v>0</v>
      </c>
      <c r="D236" s="417" t="n">
        <v>0</v>
      </c>
      <c r="E236" s="417" t="n">
        <v>0</v>
      </c>
      <c r="F236" s="417" t="n">
        <v>0</v>
      </c>
      <c r="G236" s="417" t="n">
        <v>0</v>
      </c>
      <c r="H236" s="417" t="n">
        <v>0</v>
      </c>
      <c r="I236" s="417" t="n">
        <v>0</v>
      </c>
      <c r="J236" s="417"/>
      <c r="K236" s="417"/>
      <c r="L236" s="417"/>
      <c r="M236" s="417"/>
      <c r="N236" s="417"/>
      <c r="O236" s="417"/>
      <c r="P236" s="769" t="n">
        <f aca="false">(1/0.96)*3177383.6544143</f>
        <v>3309774.6400149</v>
      </c>
      <c r="S236" s="769" t="n">
        <f aca="false">(1/0.96)*134438.850119461</f>
        <v>140040.468874439</v>
      </c>
      <c r="V236" s="769" t="n">
        <f aca="false">(1/0.96)*58926.119370543</f>
        <v>61381.3743443156</v>
      </c>
      <c r="DH236" s="417" t="n">
        <v>0</v>
      </c>
      <c r="DI236" s="417" t="n">
        <v>0</v>
      </c>
      <c r="DJ236" s="417"/>
      <c r="DL236" s="417"/>
      <c r="DN236" s="417"/>
      <c r="DO236" s="417"/>
    </row>
    <row r="237" customFormat="false" ht="12.75" hidden="false" customHeight="false" outlineLevel="0" collapsed="false">
      <c r="A237" s="767" t="n">
        <v>226</v>
      </c>
      <c r="B237" s="854" t="n">
        <v>43374</v>
      </c>
      <c r="C237" s="417" t="n">
        <v>0</v>
      </c>
      <c r="D237" s="417" t="n">
        <v>0</v>
      </c>
      <c r="E237" s="417" t="n">
        <v>0</v>
      </c>
      <c r="F237" s="417" t="n">
        <v>0</v>
      </c>
      <c r="G237" s="417" t="n">
        <v>0</v>
      </c>
      <c r="H237" s="417" t="n">
        <v>0</v>
      </c>
      <c r="I237" s="417" t="n">
        <v>0</v>
      </c>
      <c r="J237" s="417"/>
      <c r="K237" s="417"/>
      <c r="L237" s="417"/>
      <c r="M237" s="417"/>
      <c r="N237" s="417"/>
      <c r="O237" s="417"/>
      <c r="P237" s="769" t="n">
        <f aca="false">(1/0.96)*3177383.6544143</f>
        <v>3309774.6400149</v>
      </c>
      <c r="S237" s="769" t="n">
        <f aca="false">(1/0.96)*134438.850119461</f>
        <v>140040.468874439</v>
      </c>
      <c r="V237" s="769" t="n">
        <f aca="false">(1/0.96)*58926.119370543</f>
        <v>61381.3743443156</v>
      </c>
      <c r="DH237" s="417" t="n">
        <v>0</v>
      </c>
      <c r="DI237" s="417" t="n">
        <v>0</v>
      </c>
      <c r="DJ237" s="417"/>
      <c r="DL237" s="417"/>
      <c r="DN237" s="417"/>
      <c r="DO237" s="417"/>
    </row>
    <row r="238" customFormat="false" ht="12.75" hidden="false" customHeight="false" outlineLevel="0" collapsed="false">
      <c r="A238" s="767" t="n">
        <v>227</v>
      </c>
      <c r="B238" s="854" t="n">
        <v>43405</v>
      </c>
      <c r="C238" s="417" t="n">
        <v>0</v>
      </c>
      <c r="D238" s="417" t="n">
        <v>0</v>
      </c>
      <c r="E238" s="417" t="n">
        <v>0</v>
      </c>
      <c r="F238" s="417" t="n">
        <v>0</v>
      </c>
      <c r="G238" s="417" t="n">
        <v>0</v>
      </c>
      <c r="H238" s="417" t="n">
        <v>0</v>
      </c>
      <c r="I238" s="417" t="n">
        <v>0</v>
      </c>
      <c r="J238" s="417"/>
      <c r="K238" s="417"/>
      <c r="L238" s="417"/>
      <c r="M238" s="417"/>
      <c r="N238" s="417"/>
      <c r="O238" s="417"/>
      <c r="P238" s="769" t="n">
        <f aca="false">(1/0.96)*3177383.6544143</f>
        <v>3309774.6400149</v>
      </c>
      <c r="S238" s="769" t="n">
        <f aca="false">(1/0.96)*134438.850119461</f>
        <v>140040.468874439</v>
      </c>
      <c r="V238" s="769" t="n">
        <f aca="false">(1/0.96)*58926.119370543</f>
        <v>61381.3743443156</v>
      </c>
      <c r="DH238" s="417" t="n">
        <v>0</v>
      </c>
      <c r="DI238" s="417" t="n">
        <v>0</v>
      </c>
      <c r="DJ238" s="417"/>
      <c r="DL238" s="417"/>
      <c r="DN238" s="417"/>
      <c r="DO238" s="417"/>
    </row>
    <row r="239" customFormat="false" ht="12.75" hidden="false" customHeight="false" outlineLevel="0" collapsed="false">
      <c r="A239" s="767" t="n">
        <v>228</v>
      </c>
      <c r="B239" s="854" t="n">
        <v>43435</v>
      </c>
      <c r="C239" s="417" t="n">
        <v>0</v>
      </c>
      <c r="D239" s="417" t="n">
        <v>0</v>
      </c>
      <c r="E239" s="417" t="n">
        <v>0</v>
      </c>
      <c r="F239" s="417" t="n">
        <v>0</v>
      </c>
      <c r="G239" s="417" t="n">
        <v>0</v>
      </c>
      <c r="H239" s="417" t="n">
        <v>0</v>
      </c>
      <c r="I239" s="417" t="n">
        <v>0</v>
      </c>
      <c r="J239" s="417"/>
      <c r="K239" s="417"/>
      <c r="L239" s="417"/>
      <c r="M239" s="417"/>
      <c r="N239" s="417"/>
      <c r="O239" s="417"/>
      <c r="P239" s="769" t="n">
        <f aca="false">(1/0.96)*3177383.6544143</f>
        <v>3309774.6400149</v>
      </c>
      <c r="S239" s="769" t="n">
        <f aca="false">(1/0.96)*134438.850119461</f>
        <v>140040.468874439</v>
      </c>
      <c r="V239" s="769" t="n">
        <f aca="false">(1/0.96)*58926.119370543</f>
        <v>61381.3743443156</v>
      </c>
      <c r="DH239" s="417" t="n">
        <v>0</v>
      </c>
      <c r="DI239" s="417" t="n">
        <v>0</v>
      </c>
      <c r="DJ239" s="417"/>
      <c r="DL239" s="417"/>
      <c r="DN239" s="417"/>
      <c r="DO239" s="417"/>
    </row>
    <row r="240" customFormat="false" ht="12.75" hidden="false" customHeight="false" outlineLevel="0" collapsed="false">
      <c r="A240" s="767" t="n">
        <v>229</v>
      </c>
      <c r="B240" s="854" t="n">
        <v>43466</v>
      </c>
      <c r="C240" s="417" t="n">
        <v>0</v>
      </c>
      <c r="D240" s="417" t="n">
        <v>0</v>
      </c>
      <c r="E240" s="417" t="n">
        <v>0</v>
      </c>
      <c r="F240" s="417" t="n">
        <v>0</v>
      </c>
      <c r="G240" s="417" t="n">
        <v>0</v>
      </c>
      <c r="H240" s="417" t="n">
        <v>0</v>
      </c>
      <c r="I240" s="417" t="n">
        <v>0</v>
      </c>
      <c r="J240" s="417"/>
      <c r="K240" s="417"/>
      <c r="L240" s="417"/>
      <c r="M240" s="417"/>
      <c r="N240" s="417"/>
      <c r="O240" s="417"/>
      <c r="P240" s="769" t="n">
        <f aca="false">(1/0.96)*3209943.16110335</f>
        <v>3343690.79281599</v>
      </c>
      <c r="S240" s="769" t="n">
        <f aca="false">(1/0.96)*135816.481251179</f>
        <v>141475.501303311</v>
      </c>
      <c r="V240" s="769" t="n">
        <f aca="false">(1/0.96)*59529.9511977569</f>
        <v>62010.3658309968</v>
      </c>
      <c r="DH240" s="417" t="n">
        <v>0</v>
      </c>
      <c r="DI240" s="417" t="n">
        <v>0</v>
      </c>
      <c r="DJ240" s="417"/>
      <c r="DL240" s="417"/>
      <c r="DN240" s="417"/>
      <c r="DO240" s="417"/>
    </row>
    <row r="241" customFormat="false" ht="12.75" hidden="false" customHeight="false" outlineLevel="0" collapsed="false">
      <c r="A241" s="767" t="n">
        <v>230</v>
      </c>
      <c r="B241" s="854" t="n">
        <v>43497</v>
      </c>
      <c r="C241" s="417" t="n">
        <v>0</v>
      </c>
      <c r="D241" s="417" t="n">
        <v>0</v>
      </c>
      <c r="E241" s="417" t="n">
        <v>0</v>
      </c>
      <c r="F241" s="417" t="n">
        <v>0</v>
      </c>
      <c r="G241" s="417" t="n">
        <v>0</v>
      </c>
      <c r="H241" s="417" t="n">
        <v>0</v>
      </c>
      <c r="I241" s="417" t="n">
        <v>0</v>
      </c>
      <c r="J241" s="417"/>
      <c r="K241" s="417"/>
      <c r="L241" s="417"/>
      <c r="M241" s="417"/>
      <c r="N241" s="417"/>
      <c r="O241" s="417"/>
      <c r="P241" s="769" t="n">
        <f aca="false">(1/0.96)*3209943.16110335</f>
        <v>3343690.79281599</v>
      </c>
      <c r="S241" s="769" t="n">
        <f aca="false">(1/0.96)*135816.481251179</f>
        <v>141475.501303311</v>
      </c>
      <c r="V241" s="769" t="n">
        <f aca="false">(1/0.96)*59529.9511977569</f>
        <v>62010.3658309968</v>
      </c>
      <c r="DH241" s="417" t="n">
        <v>0</v>
      </c>
      <c r="DI241" s="417" t="n">
        <v>0</v>
      </c>
      <c r="DJ241" s="417"/>
      <c r="DL241" s="417"/>
      <c r="DN241" s="417"/>
      <c r="DO241" s="417"/>
    </row>
    <row r="242" customFormat="false" ht="12.75" hidden="false" customHeight="false" outlineLevel="0" collapsed="false">
      <c r="A242" s="767" t="n">
        <v>231</v>
      </c>
      <c r="B242" s="854" t="n">
        <v>43525</v>
      </c>
      <c r="C242" s="417" t="n">
        <v>0</v>
      </c>
      <c r="D242" s="417" t="n">
        <v>0</v>
      </c>
      <c r="E242" s="417" t="n">
        <v>0</v>
      </c>
      <c r="F242" s="417" t="n">
        <v>0</v>
      </c>
      <c r="G242" s="417" t="n">
        <v>0</v>
      </c>
      <c r="H242" s="417" t="n">
        <v>0</v>
      </c>
      <c r="I242" s="417" t="n">
        <v>0</v>
      </c>
      <c r="J242" s="417"/>
      <c r="K242" s="417"/>
      <c r="L242" s="417"/>
      <c r="M242" s="417"/>
      <c r="N242" s="417"/>
      <c r="O242" s="417"/>
      <c r="P242" s="769" t="n">
        <f aca="false">(1/0.96)*3209943.16110335</f>
        <v>3343690.79281599</v>
      </c>
      <c r="S242" s="769" t="n">
        <f aca="false">(1/0.96)*135816.481251179</f>
        <v>141475.501303311</v>
      </c>
      <c r="V242" s="769" t="n">
        <f aca="false">(1/0.96)*59529.9511977569</f>
        <v>62010.3658309968</v>
      </c>
      <c r="DH242" s="417" t="n">
        <v>0</v>
      </c>
      <c r="DI242" s="417" t="n">
        <v>0</v>
      </c>
      <c r="DJ242" s="417"/>
      <c r="DL242" s="417"/>
      <c r="DN242" s="417"/>
      <c r="DO242" s="417"/>
    </row>
    <row r="243" customFormat="false" ht="12.75" hidden="false" customHeight="false" outlineLevel="0" collapsed="false">
      <c r="A243" s="767" t="n">
        <v>232</v>
      </c>
      <c r="B243" s="854" t="n">
        <v>43556</v>
      </c>
      <c r="C243" s="417" t="n">
        <v>0</v>
      </c>
      <c r="D243" s="417" t="n">
        <v>0</v>
      </c>
      <c r="E243" s="417" t="n">
        <v>0</v>
      </c>
      <c r="F243" s="417" t="n">
        <v>0</v>
      </c>
      <c r="G243" s="417" t="n">
        <v>0</v>
      </c>
      <c r="H243" s="417" t="n">
        <v>0</v>
      </c>
      <c r="I243" s="417" t="n">
        <v>0</v>
      </c>
      <c r="J243" s="417"/>
      <c r="K243" s="417"/>
      <c r="L243" s="417"/>
      <c r="M243" s="417"/>
      <c r="N243" s="417"/>
      <c r="O243" s="417"/>
      <c r="P243" s="769" t="n">
        <f aca="false">(1/0.96)*3209943.16110335</f>
        <v>3343690.79281599</v>
      </c>
      <c r="S243" s="769" t="n">
        <f aca="false">(1/0.96)*135816.481251179</f>
        <v>141475.501303311</v>
      </c>
      <c r="V243" s="769" t="n">
        <f aca="false">(1/0.96)*59529.9511977569</f>
        <v>62010.3658309968</v>
      </c>
      <c r="DH243" s="417" t="n">
        <v>0</v>
      </c>
      <c r="DI243" s="417" t="n">
        <v>0</v>
      </c>
      <c r="DJ243" s="417"/>
      <c r="DL243" s="417"/>
      <c r="DN243" s="417"/>
      <c r="DO243" s="417"/>
    </row>
    <row r="244" customFormat="false" ht="12.75" hidden="false" customHeight="false" outlineLevel="0" collapsed="false">
      <c r="A244" s="767" t="n">
        <v>233</v>
      </c>
      <c r="B244" s="854" t="n">
        <v>43586</v>
      </c>
      <c r="C244" s="417" t="n">
        <v>0</v>
      </c>
      <c r="D244" s="417" t="n">
        <v>0</v>
      </c>
      <c r="E244" s="417" t="n">
        <v>0</v>
      </c>
      <c r="F244" s="417" t="n">
        <v>0</v>
      </c>
      <c r="G244" s="417" t="n">
        <v>0</v>
      </c>
      <c r="H244" s="417" t="n">
        <v>0</v>
      </c>
      <c r="I244" s="417" t="n">
        <v>0</v>
      </c>
      <c r="J244" s="417"/>
      <c r="K244" s="417"/>
      <c r="L244" s="417"/>
      <c r="M244" s="417"/>
      <c r="N244" s="417"/>
      <c r="O244" s="417"/>
      <c r="P244" s="769" t="n">
        <f aca="false">(1/0.96)*3209943.16110335</f>
        <v>3343690.79281599</v>
      </c>
      <c r="S244" s="769" t="n">
        <f aca="false">(1/0.96)*135816.481251179</f>
        <v>141475.501303311</v>
      </c>
      <c r="V244" s="769" t="n">
        <f aca="false">(1/0.96)*59529.9511977569</f>
        <v>62010.3658309968</v>
      </c>
      <c r="DH244" s="417" t="n">
        <v>0</v>
      </c>
      <c r="DI244" s="417" t="n">
        <v>0</v>
      </c>
      <c r="DJ244" s="417"/>
      <c r="DL244" s="417"/>
      <c r="DN244" s="417"/>
      <c r="DO244" s="417"/>
    </row>
    <row r="245" customFormat="false" ht="12.75" hidden="false" customHeight="false" outlineLevel="0" collapsed="false">
      <c r="A245" s="767" t="n">
        <v>234</v>
      </c>
      <c r="B245" s="854" t="n">
        <v>43617</v>
      </c>
      <c r="C245" s="417" t="n">
        <v>0</v>
      </c>
      <c r="D245" s="417" t="n">
        <v>0</v>
      </c>
      <c r="E245" s="417" t="n">
        <v>0</v>
      </c>
      <c r="F245" s="417" t="n">
        <v>0</v>
      </c>
      <c r="G245" s="417" t="n">
        <v>0</v>
      </c>
      <c r="H245" s="417" t="n">
        <v>0</v>
      </c>
      <c r="I245" s="417" t="n">
        <v>0</v>
      </c>
      <c r="J245" s="417"/>
      <c r="K245" s="417"/>
      <c r="L245" s="417"/>
      <c r="M245" s="417"/>
      <c r="N245" s="417"/>
      <c r="O245" s="417"/>
      <c r="P245" s="769" t="n">
        <f aca="false">(1/0.96)*3209943.16110335</f>
        <v>3343690.79281599</v>
      </c>
      <c r="S245" s="769" t="n">
        <f aca="false">(1/0.96)*135816.481251179</f>
        <v>141475.501303311</v>
      </c>
      <c r="V245" s="769" t="n">
        <f aca="false">(1/0.96)*59529.9511977569</f>
        <v>62010.3658309968</v>
      </c>
      <c r="DH245" s="417" t="n">
        <v>0</v>
      </c>
      <c r="DI245" s="417" t="n">
        <v>0</v>
      </c>
      <c r="DJ245" s="417"/>
      <c r="DL245" s="417"/>
      <c r="DN245" s="417"/>
      <c r="DO245" s="417"/>
    </row>
    <row r="246" customFormat="false" ht="12.75" hidden="false" customHeight="false" outlineLevel="0" collapsed="false">
      <c r="A246" s="767" t="n">
        <v>235</v>
      </c>
      <c r="B246" s="854" t="n">
        <v>43647</v>
      </c>
      <c r="C246" s="417" t="n">
        <v>0</v>
      </c>
      <c r="D246" s="417" t="n">
        <v>0</v>
      </c>
      <c r="E246" s="417" t="n">
        <v>0</v>
      </c>
      <c r="F246" s="417" t="n">
        <v>0</v>
      </c>
      <c r="G246" s="417" t="n">
        <v>0</v>
      </c>
      <c r="H246" s="417" t="n">
        <v>0</v>
      </c>
      <c r="I246" s="417" t="n">
        <v>0</v>
      </c>
      <c r="J246" s="417"/>
      <c r="K246" s="417"/>
      <c r="L246" s="417"/>
      <c r="M246" s="417"/>
      <c r="N246" s="417"/>
      <c r="O246" s="417"/>
      <c r="P246" s="769" t="n">
        <f aca="false">(1/0.96)*3209943.16110335</f>
        <v>3343690.79281599</v>
      </c>
      <c r="S246" s="769" t="n">
        <f aca="false">(1/0.96)*135816.481251179</f>
        <v>141475.501303311</v>
      </c>
      <c r="V246" s="769" t="n">
        <f aca="false">(1/0.96)*59529.9511977569</f>
        <v>62010.3658309968</v>
      </c>
      <c r="DH246" s="417" t="n">
        <v>0</v>
      </c>
      <c r="DI246" s="417" t="n">
        <v>0</v>
      </c>
      <c r="DJ246" s="417"/>
      <c r="DL246" s="417"/>
      <c r="DN246" s="417"/>
      <c r="DO246" s="417"/>
    </row>
    <row r="247" customFormat="false" ht="12.75" hidden="false" customHeight="false" outlineLevel="0" collapsed="false">
      <c r="A247" s="767" t="n">
        <v>236</v>
      </c>
      <c r="B247" s="854" t="n">
        <v>43678</v>
      </c>
      <c r="C247" s="417" t="n">
        <v>0</v>
      </c>
      <c r="D247" s="417" t="n">
        <v>0</v>
      </c>
      <c r="E247" s="417" t="n">
        <v>0</v>
      </c>
      <c r="F247" s="417" t="n">
        <v>0</v>
      </c>
      <c r="G247" s="417" t="n">
        <v>0</v>
      </c>
      <c r="H247" s="417" t="n">
        <v>0</v>
      </c>
      <c r="I247" s="417" t="n">
        <v>0</v>
      </c>
      <c r="J247" s="417"/>
      <c r="K247" s="417"/>
      <c r="L247" s="417"/>
      <c r="M247" s="417"/>
      <c r="N247" s="417"/>
      <c r="O247" s="417"/>
      <c r="P247" s="769" t="n">
        <f aca="false">(1/0.96)*3209943.16110335</f>
        <v>3343690.79281599</v>
      </c>
      <c r="S247" s="769" t="n">
        <f aca="false">(1/0.96)*135816.481251179</f>
        <v>141475.501303311</v>
      </c>
      <c r="V247" s="769" t="n">
        <f aca="false">(1/0.96)*59529.9511977569</f>
        <v>62010.3658309968</v>
      </c>
      <c r="DH247" s="417" t="n">
        <v>0</v>
      </c>
      <c r="DI247" s="417" t="n">
        <v>0</v>
      </c>
      <c r="DJ247" s="417"/>
      <c r="DL247" s="417"/>
      <c r="DN247" s="417"/>
      <c r="DO247" s="417"/>
    </row>
    <row r="248" customFormat="false" ht="12.75" hidden="false" customHeight="false" outlineLevel="0" collapsed="false">
      <c r="A248" s="767" t="n">
        <v>237</v>
      </c>
      <c r="B248" s="854" t="n">
        <v>43709</v>
      </c>
      <c r="C248" s="417" t="n">
        <v>0</v>
      </c>
      <c r="D248" s="417" t="n">
        <v>0</v>
      </c>
      <c r="E248" s="417" t="n">
        <v>0</v>
      </c>
      <c r="F248" s="417" t="n">
        <v>0</v>
      </c>
      <c r="G248" s="417" t="n">
        <v>0</v>
      </c>
      <c r="H248" s="417" t="n">
        <v>0</v>
      </c>
      <c r="I248" s="417" t="n">
        <v>0</v>
      </c>
      <c r="J248" s="417"/>
      <c r="K248" s="417"/>
      <c r="L248" s="417"/>
      <c r="M248" s="417"/>
      <c r="N248" s="417"/>
      <c r="O248" s="417"/>
      <c r="P248" s="769" t="n">
        <f aca="false">(1/0.96)*3209943.16110335</f>
        <v>3343690.79281599</v>
      </c>
      <c r="S248" s="769" t="n">
        <f aca="false">(1/0.96)*135816.481251179</f>
        <v>141475.501303311</v>
      </c>
      <c r="V248" s="769" t="n">
        <f aca="false">(1/0.96)*59529.9511977569</f>
        <v>62010.3658309968</v>
      </c>
      <c r="DH248" s="417" t="n">
        <v>0</v>
      </c>
      <c r="DI248" s="417" t="n">
        <v>0</v>
      </c>
      <c r="DJ248" s="417"/>
      <c r="DL248" s="417"/>
      <c r="DN248" s="417"/>
      <c r="DO248" s="417"/>
    </row>
    <row r="249" customFormat="false" ht="12.75" hidden="false" customHeight="false" outlineLevel="0" collapsed="false">
      <c r="A249" s="767" t="n">
        <v>238</v>
      </c>
      <c r="B249" s="854" t="n">
        <v>43739</v>
      </c>
      <c r="C249" s="417" t="n">
        <v>0</v>
      </c>
      <c r="D249" s="417" t="n">
        <v>0</v>
      </c>
      <c r="E249" s="417" t="n">
        <v>0</v>
      </c>
      <c r="F249" s="417" t="n">
        <v>0</v>
      </c>
      <c r="G249" s="417" t="n">
        <v>0</v>
      </c>
      <c r="H249" s="417" t="n">
        <v>0</v>
      </c>
      <c r="I249" s="417" t="n">
        <v>0</v>
      </c>
      <c r="J249" s="417"/>
      <c r="K249" s="417"/>
      <c r="L249" s="417"/>
      <c r="M249" s="417"/>
      <c r="N249" s="417"/>
      <c r="O249" s="417"/>
      <c r="P249" s="769" t="n">
        <f aca="false">(1/0.96)*3209943.16110335</f>
        <v>3343690.79281599</v>
      </c>
      <c r="S249" s="769" t="n">
        <f aca="false">(1/0.96)*135816.481251179</f>
        <v>141475.501303311</v>
      </c>
      <c r="V249" s="769" t="n">
        <f aca="false">(1/0.96)*59529.9511977569</f>
        <v>62010.3658309968</v>
      </c>
      <c r="DH249" s="417" t="n">
        <v>0</v>
      </c>
      <c r="DI249" s="417" t="n">
        <v>0</v>
      </c>
      <c r="DJ249" s="417"/>
      <c r="DL249" s="417"/>
      <c r="DN249" s="417"/>
      <c r="DO249" s="417"/>
    </row>
    <row r="250" customFormat="false" ht="12.75" hidden="false" customHeight="false" outlineLevel="0" collapsed="false">
      <c r="A250" s="767" t="n">
        <v>239</v>
      </c>
      <c r="B250" s="854" t="n">
        <v>43770</v>
      </c>
      <c r="C250" s="417" t="n">
        <v>0</v>
      </c>
      <c r="D250" s="417" t="n">
        <v>0</v>
      </c>
      <c r="E250" s="417" t="n">
        <v>0</v>
      </c>
      <c r="F250" s="417" t="n">
        <v>0</v>
      </c>
      <c r="G250" s="417" t="n">
        <v>0</v>
      </c>
      <c r="H250" s="417" t="n">
        <v>0</v>
      </c>
      <c r="I250" s="417" t="n">
        <v>0</v>
      </c>
      <c r="J250" s="417"/>
      <c r="K250" s="417"/>
      <c r="L250" s="417"/>
      <c r="M250" s="417"/>
      <c r="N250" s="417"/>
      <c r="O250" s="417"/>
      <c r="P250" s="769" t="n">
        <f aca="false">(1/0.96)*3209943.16110335</f>
        <v>3343690.79281599</v>
      </c>
      <c r="S250" s="769" t="n">
        <f aca="false">(1/0.96)*135816.481251179</f>
        <v>141475.501303311</v>
      </c>
      <c r="V250" s="769" t="n">
        <f aca="false">(1/0.96)*59529.9511977569</f>
        <v>62010.3658309968</v>
      </c>
      <c r="DH250" s="417" t="n">
        <v>0</v>
      </c>
      <c r="DI250" s="417" t="n">
        <v>0</v>
      </c>
      <c r="DJ250" s="417"/>
      <c r="DL250" s="417"/>
      <c r="DN250" s="417"/>
      <c r="DO250" s="417"/>
    </row>
    <row r="251" customFormat="false" ht="12.75" hidden="false" customHeight="false" outlineLevel="0" collapsed="false">
      <c r="A251" s="767" t="n">
        <v>240</v>
      </c>
      <c r="B251" s="854" t="n">
        <v>43800</v>
      </c>
      <c r="C251" s="417" t="n">
        <v>0</v>
      </c>
      <c r="D251" s="417" t="n">
        <v>0</v>
      </c>
      <c r="E251" s="417" t="n">
        <v>0</v>
      </c>
      <c r="F251" s="417" t="n">
        <v>0</v>
      </c>
      <c r="G251" s="417" t="n">
        <v>0</v>
      </c>
      <c r="H251" s="417" t="n">
        <v>0</v>
      </c>
      <c r="I251" s="417" t="n">
        <v>0</v>
      </c>
      <c r="J251" s="417"/>
      <c r="K251" s="417"/>
      <c r="L251" s="417"/>
      <c r="M251" s="417"/>
      <c r="N251" s="417"/>
      <c r="O251" s="417"/>
      <c r="P251" s="769" t="n">
        <f aca="false">(1/0.96)*3209943.16110335</f>
        <v>3343690.79281599</v>
      </c>
      <c r="S251" s="769" t="n">
        <f aca="false">(1/0.96)*135816.481251179</f>
        <v>141475.501303311</v>
      </c>
      <c r="V251" s="769" t="n">
        <f aca="false">(1/0.96)*59529.9511977569</f>
        <v>62010.3658309968</v>
      </c>
      <c r="DH251" s="417" t="n">
        <v>0</v>
      </c>
      <c r="DI251" s="417" t="n">
        <v>0</v>
      </c>
      <c r="DJ251" s="417"/>
      <c r="DL251" s="417"/>
      <c r="DN251" s="417"/>
      <c r="DO251" s="417"/>
    </row>
    <row r="252" customFormat="false" ht="12.75" hidden="false" customHeight="false" outlineLevel="0" collapsed="false">
      <c r="A252" s="767" t="n">
        <v>241</v>
      </c>
      <c r="B252" s="854" t="n">
        <v>43831</v>
      </c>
      <c r="C252" s="417" t="n">
        <v>0</v>
      </c>
      <c r="D252" s="417" t="n">
        <v>0</v>
      </c>
      <c r="E252" s="417" t="n">
        <v>0</v>
      </c>
      <c r="F252" s="417" t="n">
        <v>0</v>
      </c>
      <c r="G252" s="417" t="n">
        <v>0</v>
      </c>
      <c r="H252" s="417" t="n">
        <v>0</v>
      </c>
      <c r="I252" s="417" t="n">
        <v>0</v>
      </c>
      <c r="J252" s="417"/>
      <c r="K252" s="417"/>
      <c r="L252" s="417"/>
      <c r="M252" s="417"/>
      <c r="N252" s="417"/>
      <c r="O252" s="417"/>
      <c r="DH252" s="417" t="n">
        <v>0</v>
      </c>
      <c r="DI252" s="417" t="n">
        <v>0</v>
      </c>
      <c r="DJ252" s="417"/>
      <c r="DL252" s="417"/>
      <c r="DN252" s="417"/>
      <c r="DO252" s="417"/>
    </row>
    <row r="253" customFormat="false" ht="12.75" hidden="false" customHeight="false" outlineLevel="0" collapsed="false">
      <c r="A253" s="767" t="n">
        <v>242</v>
      </c>
      <c r="B253" s="854" t="n">
        <v>43862</v>
      </c>
      <c r="C253" s="417" t="n">
        <v>0</v>
      </c>
      <c r="D253" s="417" t="n">
        <v>0</v>
      </c>
      <c r="E253" s="417" t="n">
        <v>0</v>
      </c>
      <c r="F253" s="417" t="n">
        <v>0</v>
      </c>
      <c r="G253" s="417" t="n">
        <v>0</v>
      </c>
      <c r="H253" s="417" t="n">
        <v>0</v>
      </c>
      <c r="I253" s="417" t="n">
        <v>0</v>
      </c>
      <c r="J253" s="417"/>
      <c r="K253" s="417"/>
      <c r="L253" s="417"/>
      <c r="M253" s="417"/>
      <c r="N253" s="417"/>
      <c r="O253" s="417"/>
      <c r="DH253" s="417" t="n">
        <v>0</v>
      </c>
      <c r="DI253" s="417" t="n">
        <v>0</v>
      </c>
      <c r="DJ253" s="417"/>
      <c r="DL253" s="417"/>
      <c r="DN253" s="417"/>
      <c r="DO253" s="417"/>
    </row>
    <row r="254" customFormat="false" ht="12.75" hidden="false" customHeight="false" outlineLevel="0" collapsed="false">
      <c r="A254" s="767" t="n">
        <v>243</v>
      </c>
      <c r="B254" s="854" t="n">
        <v>43891</v>
      </c>
      <c r="C254" s="417" t="n">
        <v>0</v>
      </c>
      <c r="D254" s="417" t="n">
        <v>0</v>
      </c>
      <c r="E254" s="417" t="n">
        <v>0</v>
      </c>
      <c r="F254" s="417" t="n">
        <v>0</v>
      </c>
      <c r="G254" s="417" t="n">
        <v>0</v>
      </c>
      <c r="H254" s="417" t="n">
        <v>0</v>
      </c>
      <c r="I254" s="417" t="n">
        <v>0</v>
      </c>
      <c r="J254" s="417"/>
      <c r="K254" s="417"/>
      <c r="L254" s="417"/>
      <c r="M254" s="417"/>
      <c r="N254" s="417"/>
      <c r="O254" s="417"/>
      <c r="DH254" s="417" t="n">
        <v>0</v>
      </c>
      <c r="DI254" s="417" t="n">
        <v>0</v>
      </c>
      <c r="DJ254" s="417"/>
      <c r="DL254" s="417"/>
      <c r="DN254" s="417"/>
      <c r="DO254" s="417"/>
    </row>
    <row r="255" customFormat="false" ht="12.75" hidden="false" customHeight="false" outlineLevel="0" collapsed="false">
      <c r="A255" s="767" t="n">
        <v>244</v>
      </c>
      <c r="B255" s="854" t="n">
        <v>43922</v>
      </c>
      <c r="C255" s="417" t="n">
        <v>0</v>
      </c>
      <c r="D255" s="417" t="n">
        <v>0</v>
      </c>
      <c r="E255" s="417" t="n">
        <v>0</v>
      </c>
      <c r="F255" s="417" t="n">
        <v>0</v>
      </c>
      <c r="G255" s="417" t="n">
        <v>0</v>
      </c>
      <c r="H255" s="417" t="n">
        <v>0</v>
      </c>
      <c r="I255" s="417" t="n">
        <v>0</v>
      </c>
      <c r="J255" s="417"/>
      <c r="K255" s="417"/>
      <c r="L255" s="417"/>
      <c r="M255" s="417"/>
      <c r="N255" s="417"/>
      <c r="O255" s="417"/>
      <c r="DH255" s="417" t="n">
        <v>0</v>
      </c>
      <c r="DI255" s="417" t="n">
        <v>0</v>
      </c>
      <c r="DJ255" s="417"/>
      <c r="DL255" s="417"/>
      <c r="DN255" s="417"/>
      <c r="DO255" s="417"/>
    </row>
    <row r="256" customFormat="false" ht="12.75" hidden="false" customHeight="false" outlineLevel="0" collapsed="false">
      <c r="A256" s="767" t="n">
        <v>245</v>
      </c>
      <c r="B256" s="854" t="n">
        <v>43952</v>
      </c>
      <c r="C256" s="417" t="n">
        <v>0</v>
      </c>
      <c r="D256" s="417" t="n">
        <v>0</v>
      </c>
      <c r="E256" s="417" t="n">
        <v>0</v>
      </c>
      <c r="F256" s="417" t="n">
        <v>0</v>
      </c>
      <c r="G256" s="417" t="n">
        <v>0</v>
      </c>
      <c r="H256" s="417" t="n">
        <v>0</v>
      </c>
      <c r="I256" s="417" t="n">
        <v>0</v>
      </c>
      <c r="J256" s="417"/>
      <c r="K256" s="417"/>
      <c r="L256" s="417"/>
      <c r="M256" s="417"/>
      <c r="N256" s="417"/>
      <c r="O256" s="417"/>
      <c r="DH256" s="417" t="n">
        <v>0</v>
      </c>
      <c r="DI256" s="417" t="n">
        <v>0</v>
      </c>
      <c r="DJ256" s="417"/>
      <c r="DL256" s="417"/>
      <c r="DN256" s="417"/>
      <c r="DO256" s="417"/>
    </row>
    <row r="257" customFormat="false" ht="12.75" hidden="false" customHeight="false" outlineLevel="0" collapsed="false">
      <c r="A257" s="767" t="n">
        <v>246</v>
      </c>
      <c r="B257" s="854" t="n">
        <v>43983</v>
      </c>
      <c r="C257" s="417" t="n">
        <v>0</v>
      </c>
      <c r="D257" s="417" t="n">
        <v>0</v>
      </c>
      <c r="E257" s="417" t="n">
        <v>0</v>
      </c>
      <c r="F257" s="417" t="n">
        <v>0</v>
      </c>
      <c r="G257" s="417" t="n">
        <v>0</v>
      </c>
      <c r="H257" s="417" t="n">
        <v>0</v>
      </c>
      <c r="I257" s="417" t="n">
        <v>0</v>
      </c>
      <c r="J257" s="417"/>
      <c r="K257" s="417"/>
      <c r="L257" s="417"/>
      <c r="M257" s="417"/>
      <c r="N257" s="417"/>
      <c r="O257" s="417"/>
      <c r="DH257" s="417" t="n">
        <v>0</v>
      </c>
      <c r="DI257" s="417" t="n">
        <v>0</v>
      </c>
      <c r="DJ257" s="417"/>
      <c r="DL257" s="417"/>
      <c r="DN257" s="417"/>
      <c r="DO257" s="417"/>
    </row>
    <row r="258" customFormat="false" ht="12.75" hidden="false" customHeight="false" outlineLevel="0" collapsed="false">
      <c r="A258" s="767" t="n">
        <v>247</v>
      </c>
      <c r="B258" s="854" t="n">
        <v>44013</v>
      </c>
      <c r="C258" s="417" t="n">
        <v>0</v>
      </c>
      <c r="D258" s="417" t="n">
        <v>0</v>
      </c>
      <c r="E258" s="417" t="n">
        <v>0</v>
      </c>
      <c r="F258" s="417" t="n">
        <v>0</v>
      </c>
      <c r="G258" s="417" t="n">
        <v>0</v>
      </c>
      <c r="H258" s="417" t="n">
        <v>0</v>
      </c>
      <c r="I258" s="417" t="n">
        <v>0</v>
      </c>
      <c r="J258" s="417"/>
      <c r="K258" s="417"/>
      <c r="L258" s="417"/>
      <c r="M258" s="417"/>
      <c r="N258" s="417"/>
      <c r="O258" s="417"/>
      <c r="DH258" s="417" t="n">
        <v>0</v>
      </c>
      <c r="DI258" s="417" t="n">
        <v>0</v>
      </c>
      <c r="DJ258" s="417"/>
      <c r="DL258" s="417"/>
      <c r="DN258" s="417"/>
      <c r="DO258" s="417"/>
    </row>
    <row r="259" customFormat="false" ht="12.75" hidden="false" customHeight="false" outlineLevel="0" collapsed="false">
      <c r="A259" s="767" t="n">
        <v>248</v>
      </c>
      <c r="B259" s="854" t="n">
        <v>44044</v>
      </c>
      <c r="C259" s="417" t="n">
        <v>0</v>
      </c>
      <c r="D259" s="417" t="n">
        <v>0</v>
      </c>
      <c r="E259" s="417" t="n">
        <v>0</v>
      </c>
      <c r="F259" s="417" t="n">
        <v>0</v>
      </c>
      <c r="G259" s="417" t="n">
        <v>0</v>
      </c>
      <c r="H259" s="417" t="n">
        <v>0</v>
      </c>
      <c r="I259" s="417" t="n">
        <v>0</v>
      </c>
      <c r="J259" s="417"/>
      <c r="K259" s="417"/>
      <c r="L259" s="417"/>
      <c r="M259" s="417"/>
      <c r="N259" s="417"/>
      <c r="O259" s="417"/>
      <c r="DH259" s="417" t="n">
        <v>0</v>
      </c>
      <c r="DI259" s="417" t="n">
        <v>0</v>
      </c>
      <c r="DJ259" s="417"/>
      <c r="DL259" s="417"/>
      <c r="DN259" s="417"/>
      <c r="DO259" s="417"/>
    </row>
    <row r="260" customFormat="false" ht="12.75" hidden="false" customHeight="false" outlineLevel="0" collapsed="false">
      <c r="A260" s="767" t="n">
        <v>249</v>
      </c>
      <c r="B260" s="854" t="n">
        <v>44075</v>
      </c>
      <c r="C260" s="417" t="n">
        <v>0</v>
      </c>
      <c r="D260" s="417" t="n">
        <v>0</v>
      </c>
      <c r="E260" s="417" t="n">
        <v>0</v>
      </c>
      <c r="F260" s="417" t="n">
        <v>0</v>
      </c>
      <c r="G260" s="417" t="n">
        <v>0</v>
      </c>
      <c r="H260" s="417" t="n">
        <v>0</v>
      </c>
      <c r="I260" s="417" t="n">
        <v>0</v>
      </c>
      <c r="J260" s="417"/>
      <c r="K260" s="417"/>
      <c r="L260" s="417"/>
      <c r="M260" s="417"/>
      <c r="N260" s="417"/>
      <c r="O260" s="417"/>
      <c r="DH260" s="417" t="n">
        <v>0</v>
      </c>
      <c r="DI260" s="417" t="n">
        <v>0</v>
      </c>
      <c r="DJ260" s="417"/>
      <c r="DL260" s="417"/>
      <c r="DN260" s="417"/>
      <c r="DO260" s="417"/>
    </row>
    <row r="261" customFormat="false" ht="12.75" hidden="false" customHeight="false" outlineLevel="0" collapsed="false">
      <c r="A261" s="767" t="n">
        <v>250</v>
      </c>
      <c r="B261" s="854" t="n">
        <v>44105</v>
      </c>
      <c r="C261" s="417" t="n">
        <v>0</v>
      </c>
      <c r="D261" s="417" t="n">
        <v>0</v>
      </c>
      <c r="E261" s="417" t="n">
        <v>0</v>
      </c>
      <c r="F261" s="417" t="n">
        <v>0</v>
      </c>
      <c r="G261" s="417" t="n">
        <v>0</v>
      </c>
      <c r="H261" s="417" t="n">
        <v>0</v>
      </c>
      <c r="I261" s="417" t="n">
        <v>0</v>
      </c>
      <c r="J261" s="417"/>
      <c r="K261" s="417"/>
      <c r="L261" s="417"/>
      <c r="M261" s="417"/>
      <c r="N261" s="417"/>
      <c r="O261" s="417"/>
      <c r="DH261" s="417" t="n">
        <v>0</v>
      </c>
      <c r="DI261" s="417" t="n">
        <v>0</v>
      </c>
      <c r="DJ261" s="417"/>
      <c r="DL261" s="417"/>
      <c r="DN261" s="417"/>
      <c r="DO261" s="417"/>
    </row>
    <row r="262" customFormat="false" ht="12.75" hidden="false" customHeight="false" outlineLevel="0" collapsed="false">
      <c r="A262" s="767" t="n">
        <v>251</v>
      </c>
      <c r="B262" s="854" t="n">
        <v>44136</v>
      </c>
      <c r="C262" s="417" t="n">
        <v>0</v>
      </c>
      <c r="D262" s="417" t="n">
        <v>0</v>
      </c>
      <c r="E262" s="417" t="n">
        <v>0</v>
      </c>
      <c r="F262" s="417" t="n">
        <v>0</v>
      </c>
      <c r="G262" s="417" t="n">
        <v>0</v>
      </c>
      <c r="H262" s="417" t="n">
        <v>0</v>
      </c>
      <c r="I262" s="417" t="n">
        <v>0</v>
      </c>
      <c r="J262" s="417"/>
      <c r="K262" s="417"/>
      <c r="L262" s="417"/>
      <c r="M262" s="417"/>
      <c r="N262" s="417"/>
      <c r="O262" s="417"/>
      <c r="DH262" s="417" t="n">
        <v>0</v>
      </c>
      <c r="DI262" s="417" t="n">
        <v>0</v>
      </c>
      <c r="DJ262" s="417"/>
      <c r="DL262" s="417"/>
      <c r="DN262" s="417"/>
      <c r="DO262" s="417"/>
    </row>
    <row r="263" customFormat="false" ht="12.75" hidden="false" customHeight="false" outlineLevel="0" collapsed="false">
      <c r="A263" s="767" t="n">
        <v>252</v>
      </c>
      <c r="B263" s="854" t="n">
        <v>44166</v>
      </c>
      <c r="C263" s="417" t="n">
        <v>0</v>
      </c>
      <c r="D263" s="417" t="n">
        <v>0</v>
      </c>
      <c r="E263" s="417" t="n">
        <v>0</v>
      </c>
      <c r="F263" s="417" t="n">
        <v>0</v>
      </c>
      <c r="G263" s="417" t="n">
        <v>0</v>
      </c>
      <c r="H263" s="417" t="n">
        <v>0</v>
      </c>
      <c r="I263" s="417" t="n">
        <v>0</v>
      </c>
      <c r="J263" s="417"/>
      <c r="K263" s="417"/>
      <c r="L263" s="417"/>
      <c r="M263" s="417"/>
      <c r="N263" s="417"/>
      <c r="O263" s="417"/>
      <c r="DH263" s="417" t="n">
        <v>0</v>
      </c>
      <c r="DI263" s="417" t="n">
        <v>0</v>
      </c>
      <c r="DJ263" s="417"/>
      <c r="DL263" s="417"/>
      <c r="DN263" s="417"/>
      <c r="DO263" s="417"/>
    </row>
    <row r="264" customFormat="false" ht="12.75" hidden="false" customHeight="false" outlineLevel="0" collapsed="false">
      <c r="DH264" s="417" t="n">
        <v>0</v>
      </c>
      <c r="DI264" s="417" t="n">
        <v>0</v>
      </c>
      <c r="DJ264" s="417"/>
      <c r="DL264" s="417"/>
      <c r="DN264" s="417"/>
      <c r="DO264" s="417"/>
    </row>
    <row r="265" customFormat="false" ht="12.75" hidden="false" customHeight="false" outlineLevel="0" collapsed="false">
      <c r="DH265" s="417" t="n">
        <v>0</v>
      </c>
      <c r="DI265" s="417" t="n">
        <v>0</v>
      </c>
      <c r="DJ265" s="417"/>
      <c r="DL265" s="417"/>
      <c r="DN265" s="417"/>
      <c r="DO265" s="417"/>
    </row>
    <row r="266" customFormat="false" ht="12.75" hidden="false" customHeight="false" outlineLevel="0" collapsed="false">
      <c r="DH266" s="417" t="n">
        <v>0</v>
      </c>
      <c r="DI266" s="417" t="n">
        <v>0</v>
      </c>
      <c r="DJ266" s="417"/>
      <c r="DL266" s="417"/>
      <c r="DN266" s="417"/>
      <c r="DO266" s="417"/>
    </row>
    <row r="267" customFormat="false" ht="12.75" hidden="false" customHeight="false" outlineLevel="0" collapsed="false">
      <c r="DH267" s="417" t="n">
        <v>0</v>
      </c>
      <c r="DI267" s="417" t="n">
        <v>0</v>
      </c>
      <c r="DJ267" s="417"/>
      <c r="DL267" s="417"/>
      <c r="DN267" s="417"/>
      <c r="DO267" s="417"/>
    </row>
    <row r="268" customFormat="false" ht="12.75" hidden="false" customHeight="false" outlineLevel="0" collapsed="false">
      <c r="DH268" s="417" t="n">
        <v>0</v>
      </c>
      <c r="DI268" s="417" t="n">
        <v>0</v>
      </c>
      <c r="DJ268" s="417"/>
      <c r="DL268" s="417"/>
      <c r="DN268" s="417"/>
      <c r="DO268" s="417"/>
    </row>
    <row r="269" customFormat="false" ht="12.75" hidden="false" customHeight="false" outlineLevel="0" collapsed="false">
      <c r="DH269" s="417" t="n">
        <v>0</v>
      </c>
      <c r="DI269" s="417" t="n">
        <v>0</v>
      </c>
      <c r="DJ269" s="417"/>
      <c r="DL269" s="417"/>
      <c r="DN269" s="417"/>
      <c r="DO269" s="417"/>
    </row>
    <row r="270" customFormat="false" ht="12.75" hidden="false" customHeight="false" outlineLevel="0" collapsed="false">
      <c r="DH270" s="417" t="n">
        <v>0</v>
      </c>
      <c r="DI270" s="417" t="n">
        <v>0</v>
      </c>
      <c r="DJ270" s="417"/>
      <c r="DL270" s="417"/>
      <c r="DN270" s="417"/>
      <c r="DO270" s="417"/>
    </row>
    <row r="271" customFormat="false" ht="12.75" hidden="false" customHeight="false" outlineLevel="0" collapsed="false">
      <c r="DH271" s="417" t="n">
        <v>0</v>
      </c>
      <c r="DI271" s="417" t="n">
        <v>0</v>
      </c>
      <c r="DJ271" s="417"/>
      <c r="DL271" s="417"/>
      <c r="DN271" s="417"/>
      <c r="DO271" s="417"/>
    </row>
    <row r="272" customFormat="false" ht="12.75" hidden="false" customHeight="false" outlineLevel="0" collapsed="false">
      <c r="DH272" s="417" t="n">
        <v>0</v>
      </c>
      <c r="DI272" s="417" t="n">
        <v>0</v>
      </c>
      <c r="DJ272" s="417"/>
      <c r="DL272" s="417"/>
      <c r="DN272" s="417"/>
      <c r="DO272" s="417"/>
    </row>
    <row r="273" customFormat="false" ht="12.75" hidden="false" customHeight="false" outlineLevel="0" collapsed="false">
      <c r="DH273" s="417" t="n">
        <v>0</v>
      </c>
      <c r="DI273" s="417" t="n">
        <v>0</v>
      </c>
      <c r="DJ273" s="417"/>
      <c r="DL273" s="417"/>
      <c r="DN273" s="417"/>
      <c r="DO273" s="417"/>
    </row>
    <row r="274" customFormat="false" ht="12.75" hidden="false" customHeight="false" outlineLevel="0" collapsed="false">
      <c r="DH274" s="417" t="n">
        <v>0</v>
      </c>
      <c r="DI274" s="417" t="n">
        <v>0</v>
      </c>
      <c r="DJ274" s="417"/>
      <c r="DL274" s="417"/>
      <c r="DN274" s="417"/>
      <c r="DO274" s="417"/>
    </row>
    <row r="275" customFormat="false" ht="12.75" hidden="false" customHeight="false" outlineLevel="0" collapsed="false">
      <c r="DH275" s="417" t="n">
        <v>0</v>
      </c>
      <c r="DI275" s="417" t="n">
        <v>0</v>
      </c>
      <c r="DJ275" s="417"/>
      <c r="DL275" s="417"/>
      <c r="DN275" s="417"/>
      <c r="DO275" s="417"/>
    </row>
    <row r="276" customFormat="false" ht="12.75" hidden="false" customHeight="false" outlineLevel="0" collapsed="false">
      <c r="DH276" s="417" t="n">
        <v>0</v>
      </c>
      <c r="DI276" s="417" t="n">
        <v>0</v>
      </c>
      <c r="DJ276" s="417"/>
      <c r="DL276" s="417"/>
      <c r="DN276" s="417"/>
      <c r="DO276" s="417"/>
    </row>
    <row r="277" customFormat="false" ht="12.75" hidden="false" customHeight="false" outlineLevel="0" collapsed="false">
      <c r="DH277" s="417" t="n">
        <v>0</v>
      </c>
      <c r="DI277" s="417" t="n">
        <v>0</v>
      </c>
      <c r="DJ277" s="417"/>
      <c r="DL277" s="417"/>
      <c r="DN277" s="417"/>
      <c r="DO277" s="417"/>
    </row>
    <row r="278" customFormat="false" ht="12.75" hidden="false" customHeight="false" outlineLevel="0" collapsed="false">
      <c r="DH278" s="417" t="n">
        <v>0</v>
      </c>
      <c r="DI278" s="417" t="n">
        <v>0</v>
      </c>
      <c r="DJ278" s="417"/>
      <c r="DL278" s="417"/>
      <c r="DN278" s="417"/>
      <c r="DO278" s="417"/>
    </row>
    <row r="279" customFormat="false" ht="12.75" hidden="false" customHeight="false" outlineLevel="0" collapsed="false">
      <c r="DH279" s="417" t="n">
        <v>0</v>
      </c>
      <c r="DI279" s="417" t="n">
        <v>0</v>
      </c>
      <c r="DJ279" s="417"/>
      <c r="DL279" s="417"/>
      <c r="DN279" s="417"/>
      <c r="DO279" s="417"/>
    </row>
    <row r="280" customFormat="false" ht="12.75" hidden="false" customHeight="false" outlineLevel="0" collapsed="false">
      <c r="DH280" s="417" t="n">
        <v>0</v>
      </c>
      <c r="DI280" s="417" t="n">
        <v>0</v>
      </c>
      <c r="DJ280" s="417"/>
      <c r="DL280" s="417"/>
      <c r="DN280" s="417"/>
      <c r="DO280" s="417"/>
    </row>
    <row r="281" customFormat="false" ht="12.75" hidden="false" customHeight="false" outlineLevel="0" collapsed="false">
      <c r="DH281" s="417" t="n">
        <v>0</v>
      </c>
      <c r="DI281" s="417" t="n">
        <v>0</v>
      </c>
      <c r="DJ281" s="417"/>
      <c r="DL281" s="417"/>
      <c r="DN281" s="417"/>
      <c r="DO281" s="417"/>
    </row>
    <row r="282" customFormat="false" ht="12.75" hidden="false" customHeight="false" outlineLevel="0" collapsed="false">
      <c r="DH282" s="417" t="n">
        <v>0</v>
      </c>
      <c r="DI282" s="417" t="n">
        <v>0</v>
      </c>
      <c r="DJ282" s="417"/>
      <c r="DL282" s="417"/>
      <c r="DN282" s="417"/>
      <c r="DO282" s="417"/>
    </row>
    <row r="283" customFormat="false" ht="12.75" hidden="false" customHeight="false" outlineLevel="0" collapsed="false">
      <c r="DH283" s="417" t="n">
        <v>0</v>
      </c>
      <c r="DI283" s="417" t="n">
        <v>0</v>
      </c>
      <c r="DJ283" s="417"/>
      <c r="DL283" s="417"/>
      <c r="DN283" s="417"/>
      <c r="DO283" s="417"/>
    </row>
    <row r="284" customFormat="false" ht="12.75" hidden="false" customHeight="false" outlineLevel="0" collapsed="false">
      <c r="DH284" s="417" t="n">
        <v>0</v>
      </c>
      <c r="DI284" s="417" t="n">
        <v>0</v>
      </c>
      <c r="DJ284" s="417"/>
      <c r="DL284" s="417"/>
      <c r="DN284" s="417"/>
      <c r="DO284" s="417"/>
    </row>
    <row r="285" customFormat="false" ht="12.75" hidden="false" customHeight="false" outlineLevel="0" collapsed="false">
      <c r="DH285" s="417" t="n">
        <v>0</v>
      </c>
      <c r="DI285" s="417" t="n">
        <v>0</v>
      </c>
      <c r="DJ285" s="417"/>
      <c r="DL285" s="417"/>
      <c r="DN285" s="417"/>
      <c r="DO285" s="417"/>
    </row>
    <row r="286" customFormat="false" ht="12.75" hidden="false" customHeight="false" outlineLevel="0" collapsed="false">
      <c r="DH286" s="417" t="n">
        <v>0</v>
      </c>
      <c r="DI286" s="417" t="n">
        <v>0</v>
      </c>
      <c r="DJ286" s="417"/>
      <c r="DL286" s="417"/>
      <c r="DN286" s="417"/>
      <c r="DO286" s="417"/>
    </row>
    <row r="287" customFormat="false" ht="12.75" hidden="false" customHeight="false" outlineLevel="0" collapsed="false">
      <c r="DH287" s="417" t="n">
        <v>0</v>
      </c>
      <c r="DI287" s="417" t="n">
        <v>0</v>
      </c>
      <c r="DJ287" s="417"/>
      <c r="DL287" s="417"/>
      <c r="DN287" s="417"/>
      <c r="DO287" s="417"/>
    </row>
    <row r="288" customFormat="false" ht="12.75" hidden="false" customHeight="false" outlineLevel="0" collapsed="false">
      <c r="DH288" s="417" t="n">
        <v>0</v>
      </c>
      <c r="DI288" s="417" t="n">
        <v>0</v>
      </c>
      <c r="DJ288" s="417"/>
      <c r="DL288" s="417"/>
      <c r="DN288" s="417"/>
      <c r="DO288" s="417"/>
    </row>
    <row r="289" customFormat="false" ht="12.75" hidden="false" customHeight="false" outlineLevel="0" collapsed="false">
      <c r="DH289" s="417" t="n">
        <v>0</v>
      </c>
      <c r="DI289" s="417" t="n">
        <v>0</v>
      </c>
      <c r="DJ289" s="417"/>
      <c r="DL289" s="417"/>
      <c r="DN289" s="417"/>
      <c r="DO289" s="417"/>
    </row>
    <row r="290" customFormat="false" ht="12.75" hidden="false" customHeight="false" outlineLevel="0" collapsed="false">
      <c r="DH290" s="417" t="n">
        <v>0</v>
      </c>
      <c r="DI290" s="417" t="n">
        <v>0</v>
      </c>
      <c r="DJ290" s="417"/>
      <c r="DL290" s="417"/>
      <c r="DN290" s="417"/>
      <c r="DO290" s="417"/>
    </row>
    <row r="291" customFormat="false" ht="12.75" hidden="false" customHeight="false" outlineLevel="0" collapsed="false">
      <c r="DH291" s="417" t="n">
        <v>0</v>
      </c>
      <c r="DI291" s="417" t="n">
        <v>0</v>
      </c>
      <c r="DJ291" s="417"/>
      <c r="DL291" s="417"/>
      <c r="DN291" s="417"/>
      <c r="DO291" s="417"/>
    </row>
    <row r="292" customFormat="false" ht="12.75" hidden="false" customHeight="false" outlineLevel="0" collapsed="false">
      <c r="DH292" s="417" t="n">
        <v>0</v>
      </c>
      <c r="DI292" s="417" t="n">
        <v>0</v>
      </c>
      <c r="DJ292" s="417"/>
      <c r="DL292" s="417"/>
      <c r="DN292" s="417"/>
      <c r="DO292" s="417"/>
    </row>
    <row r="293" customFormat="false" ht="12.75" hidden="false" customHeight="false" outlineLevel="0" collapsed="false">
      <c r="DH293" s="417" t="n">
        <v>0</v>
      </c>
      <c r="DI293" s="417" t="n">
        <v>0</v>
      </c>
      <c r="DJ293" s="417"/>
      <c r="DL293" s="417"/>
      <c r="DN293" s="417"/>
      <c r="DO293" s="417"/>
    </row>
    <row r="294" customFormat="false" ht="12.75" hidden="false" customHeight="false" outlineLevel="0" collapsed="false">
      <c r="DH294" s="417" t="n">
        <v>0</v>
      </c>
      <c r="DI294" s="417" t="n">
        <v>0</v>
      </c>
      <c r="DJ294" s="417"/>
      <c r="DL294" s="417"/>
      <c r="DN294" s="417"/>
      <c r="DO294" s="417"/>
    </row>
    <row r="295" customFormat="false" ht="12.75" hidden="false" customHeight="false" outlineLevel="0" collapsed="false">
      <c r="DH295" s="417" t="n">
        <v>0</v>
      </c>
      <c r="DI295" s="417" t="n">
        <v>0</v>
      </c>
      <c r="DJ295" s="417"/>
      <c r="DL295" s="417"/>
      <c r="DN295" s="417"/>
      <c r="DO295" s="417"/>
    </row>
    <row r="296" customFormat="false" ht="12.75" hidden="false" customHeight="false" outlineLevel="0" collapsed="false">
      <c r="DH296" s="417" t="n">
        <v>0</v>
      </c>
      <c r="DI296" s="417" t="n">
        <v>0</v>
      </c>
      <c r="DJ296" s="417"/>
      <c r="DL296" s="417"/>
      <c r="DN296" s="417"/>
      <c r="DO296" s="417"/>
    </row>
    <row r="297" customFormat="false" ht="12.75" hidden="false" customHeight="false" outlineLevel="0" collapsed="false">
      <c r="DH297" s="417" t="n">
        <v>0</v>
      </c>
      <c r="DI297" s="417" t="n">
        <v>0</v>
      </c>
      <c r="DJ297" s="417"/>
      <c r="DL297" s="417"/>
      <c r="DN297" s="417"/>
      <c r="DO297" s="417"/>
    </row>
    <row r="298" customFormat="false" ht="12.75" hidden="false" customHeight="false" outlineLevel="0" collapsed="false">
      <c r="DH298" s="417" t="n">
        <v>0</v>
      </c>
      <c r="DI298" s="417" t="n">
        <v>0</v>
      </c>
      <c r="DJ298" s="417"/>
      <c r="DL298" s="417"/>
      <c r="DN298" s="417"/>
      <c r="DO298" s="417"/>
    </row>
    <row r="299" customFormat="false" ht="12.75" hidden="false" customHeight="false" outlineLevel="0" collapsed="false">
      <c r="DH299" s="417" t="n">
        <v>0</v>
      </c>
      <c r="DI299" s="417" t="n">
        <v>0</v>
      </c>
      <c r="DJ299" s="417"/>
      <c r="DL299" s="417"/>
      <c r="DN299" s="417"/>
      <c r="DO299" s="417"/>
    </row>
    <row r="300" customFormat="false" ht="12.75" hidden="false" customHeight="false" outlineLevel="0" collapsed="false">
      <c r="DH300" s="417" t="n">
        <v>0</v>
      </c>
      <c r="DI300" s="417" t="n">
        <v>0</v>
      </c>
      <c r="DJ300" s="417"/>
      <c r="DL300" s="417"/>
      <c r="DN300" s="417"/>
      <c r="DO300" s="417"/>
    </row>
    <row r="301" customFormat="false" ht="12.75" hidden="false" customHeight="false" outlineLevel="0" collapsed="false">
      <c r="DH301" s="417" t="n">
        <v>0</v>
      </c>
      <c r="DI301" s="417" t="n">
        <v>0</v>
      </c>
      <c r="DJ301" s="417"/>
      <c r="DL301" s="417"/>
      <c r="DN301" s="417"/>
      <c r="DO301" s="417"/>
    </row>
    <row r="302" customFormat="false" ht="12.75" hidden="false" customHeight="false" outlineLevel="0" collapsed="false">
      <c r="DH302" s="417" t="n">
        <v>0</v>
      </c>
      <c r="DI302" s="417" t="n">
        <v>0</v>
      </c>
      <c r="DJ302" s="417"/>
      <c r="DL302" s="417"/>
      <c r="DN302" s="417"/>
      <c r="DO302" s="417"/>
    </row>
    <row r="303" customFormat="false" ht="12.75" hidden="false" customHeight="false" outlineLevel="0" collapsed="false">
      <c r="DH303" s="417" t="n">
        <v>0</v>
      </c>
      <c r="DI303" s="417" t="n">
        <v>0</v>
      </c>
      <c r="DJ303" s="417"/>
      <c r="DL303" s="417"/>
      <c r="DN303" s="417"/>
      <c r="DO303" s="417"/>
    </row>
    <row r="304" customFormat="false" ht="12.75" hidden="false" customHeight="false" outlineLevel="0" collapsed="false">
      <c r="DH304" s="417" t="n">
        <v>0</v>
      </c>
      <c r="DI304" s="417" t="n">
        <v>0</v>
      </c>
      <c r="DJ304" s="417"/>
      <c r="DL304" s="417"/>
      <c r="DN304" s="417"/>
      <c r="DO304" s="417"/>
    </row>
    <row r="305" customFormat="false" ht="12.75" hidden="false" customHeight="false" outlineLevel="0" collapsed="false">
      <c r="DH305" s="417" t="n">
        <v>0</v>
      </c>
      <c r="DI305" s="417" t="n">
        <v>0</v>
      </c>
      <c r="DJ305" s="417"/>
      <c r="DL305" s="417"/>
      <c r="DN305" s="417"/>
      <c r="DO305" s="417"/>
    </row>
    <row r="306" customFormat="false" ht="12.75" hidden="false" customHeight="false" outlineLevel="0" collapsed="false">
      <c r="DH306" s="417" t="n">
        <v>0</v>
      </c>
      <c r="DI306" s="417" t="n">
        <v>0</v>
      </c>
      <c r="DJ306" s="417"/>
      <c r="DL306" s="417"/>
      <c r="DN306" s="417"/>
      <c r="DO306" s="417"/>
    </row>
    <row r="307" customFormat="false" ht="12.75" hidden="false" customHeight="false" outlineLevel="0" collapsed="false">
      <c r="DH307" s="417" t="n">
        <v>0</v>
      </c>
      <c r="DI307" s="417" t="n">
        <v>0</v>
      </c>
      <c r="DJ307" s="417"/>
      <c r="DL307" s="417"/>
      <c r="DN307" s="417"/>
      <c r="DO307" s="417"/>
    </row>
    <row r="308" customFormat="false" ht="12.75" hidden="false" customHeight="false" outlineLevel="0" collapsed="false">
      <c r="DH308" s="417" t="n">
        <v>0</v>
      </c>
      <c r="DI308" s="417" t="n">
        <v>0</v>
      </c>
      <c r="DJ308" s="417"/>
      <c r="DL308" s="417"/>
      <c r="DN308" s="417"/>
      <c r="DO308" s="417"/>
    </row>
    <row r="309" customFormat="false" ht="12.75" hidden="false" customHeight="false" outlineLevel="0" collapsed="false">
      <c r="DH309" s="417" t="n">
        <v>0</v>
      </c>
      <c r="DI309" s="417" t="n">
        <v>0</v>
      </c>
      <c r="DJ309" s="417"/>
      <c r="DL309" s="417"/>
      <c r="DN309" s="417"/>
      <c r="DO309" s="417"/>
    </row>
    <row r="310" customFormat="false" ht="12.75" hidden="false" customHeight="false" outlineLevel="0" collapsed="false">
      <c r="DH310" s="417" t="n">
        <v>0</v>
      </c>
      <c r="DI310" s="417" t="n">
        <v>0</v>
      </c>
      <c r="DJ310" s="417"/>
      <c r="DL310" s="417"/>
      <c r="DN310" s="417"/>
      <c r="DO310" s="417"/>
    </row>
    <row r="311" customFormat="false" ht="12.75" hidden="false" customHeight="false" outlineLevel="0" collapsed="false">
      <c r="DH311" s="417" t="n">
        <v>0</v>
      </c>
      <c r="DI311" s="417" t="n">
        <v>0</v>
      </c>
      <c r="DJ311" s="417"/>
      <c r="DL311" s="417"/>
      <c r="DN311" s="417"/>
      <c r="DO311" s="417"/>
    </row>
    <row r="312" customFormat="false" ht="12.75" hidden="false" customHeight="false" outlineLevel="0" collapsed="false">
      <c r="DH312" s="417" t="n">
        <v>0</v>
      </c>
      <c r="DI312" s="417" t="n">
        <v>0</v>
      </c>
      <c r="DJ312" s="417"/>
      <c r="DL312" s="417"/>
      <c r="DN312" s="417"/>
      <c r="DO312" s="417"/>
    </row>
    <row r="313" customFormat="false" ht="12.75" hidden="false" customHeight="false" outlineLevel="0" collapsed="false">
      <c r="DH313" s="417" t="n">
        <v>0</v>
      </c>
      <c r="DI313" s="417" t="n">
        <v>0</v>
      </c>
      <c r="DJ313" s="417"/>
      <c r="DL313" s="417"/>
      <c r="DN313" s="417"/>
      <c r="DO313" s="417"/>
    </row>
    <row r="314" customFormat="false" ht="12.75" hidden="false" customHeight="false" outlineLevel="0" collapsed="false">
      <c r="DH314" s="417" t="n">
        <v>0</v>
      </c>
      <c r="DI314" s="417" t="n">
        <v>0</v>
      </c>
      <c r="DJ314" s="417"/>
      <c r="DL314" s="417"/>
      <c r="DN314" s="417"/>
      <c r="DO314" s="417"/>
    </row>
    <row r="315" customFormat="false" ht="12.75" hidden="false" customHeight="false" outlineLevel="0" collapsed="false">
      <c r="DH315" s="417" t="n">
        <v>0</v>
      </c>
      <c r="DI315" s="417" t="n">
        <v>0</v>
      </c>
      <c r="DJ315" s="417"/>
      <c r="DL315" s="417"/>
      <c r="DN315" s="417"/>
      <c r="DO315" s="417"/>
    </row>
    <row r="316" customFormat="false" ht="12.75" hidden="false" customHeight="false" outlineLevel="0" collapsed="false">
      <c r="DH316" s="417" t="n">
        <v>0</v>
      </c>
      <c r="DI316" s="417" t="n">
        <v>0</v>
      </c>
      <c r="DJ316" s="417"/>
      <c r="DL316" s="417"/>
      <c r="DN316" s="417"/>
      <c r="DO316" s="417"/>
    </row>
    <row r="317" customFormat="false" ht="12.75" hidden="false" customHeight="false" outlineLevel="0" collapsed="false">
      <c r="DH317" s="417" t="n">
        <v>0</v>
      </c>
      <c r="DI317" s="417" t="n">
        <v>0</v>
      </c>
      <c r="DJ317" s="417"/>
      <c r="DL317" s="417"/>
      <c r="DN317" s="417"/>
      <c r="DO317" s="417"/>
    </row>
    <row r="318" customFormat="false" ht="12.75" hidden="false" customHeight="false" outlineLevel="0" collapsed="false">
      <c r="DH318" s="417" t="n">
        <v>0</v>
      </c>
      <c r="DI318" s="417" t="n">
        <v>0</v>
      </c>
      <c r="DJ318" s="417"/>
      <c r="DL318" s="417"/>
      <c r="DN318" s="417"/>
      <c r="DO318" s="417"/>
    </row>
    <row r="319" customFormat="false" ht="12.75" hidden="false" customHeight="false" outlineLevel="0" collapsed="false">
      <c r="DH319" s="417" t="n">
        <v>0</v>
      </c>
      <c r="DI319" s="417" t="n">
        <v>0</v>
      </c>
      <c r="DJ319" s="417"/>
      <c r="DL319" s="417"/>
      <c r="DN319" s="417"/>
      <c r="DO319" s="417"/>
    </row>
    <row r="320" customFormat="false" ht="12.75" hidden="false" customHeight="false" outlineLevel="0" collapsed="false">
      <c r="DH320" s="417" t="n">
        <v>0</v>
      </c>
      <c r="DI320" s="417" t="n">
        <v>0</v>
      </c>
      <c r="DJ320" s="417"/>
      <c r="DL320" s="417"/>
      <c r="DN320" s="417"/>
      <c r="DO320" s="417"/>
    </row>
    <row r="321" customFormat="false" ht="12.75" hidden="false" customHeight="false" outlineLevel="0" collapsed="false">
      <c r="DH321" s="417" t="n">
        <v>0</v>
      </c>
      <c r="DI321" s="417" t="n">
        <v>0</v>
      </c>
      <c r="DJ321" s="417"/>
      <c r="DL321" s="417"/>
      <c r="DN321" s="417"/>
      <c r="DO321" s="417"/>
    </row>
    <row r="322" customFormat="false" ht="12.75" hidden="false" customHeight="false" outlineLevel="0" collapsed="false">
      <c r="DH322" s="417" t="n">
        <v>0</v>
      </c>
      <c r="DI322" s="417" t="n">
        <v>0</v>
      </c>
      <c r="DJ322" s="417"/>
      <c r="DL322" s="417"/>
      <c r="DN322" s="417"/>
      <c r="DO322" s="417"/>
    </row>
    <row r="323" customFormat="false" ht="12.75" hidden="false" customHeight="false" outlineLevel="0" collapsed="false">
      <c r="DH323" s="417" t="n">
        <v>0</v>
      </c>
      <c r="DI323" s="417" t="n">
        <v>0</v>
      </c>
      <c r="DJ323" s="417"/>
      <c r="DL323" s="417"/>
      <c r="DN323" s="417"/>
      <c r="DO323" s="417"/>
    </row>
    <row r="324" customFormat="false" ht="12.75" hidden="false" customHeight="false" outlineLevel="0" collapsed="false">
      <c r="DH324" s="417" t="n">
        <v>0</v>
      </c>
      <c r="DI324" s="417" t="n">
        <v>0</v>
      </c>
      <c r="DJ324" s="417"/>
      <c r="DL324" s="417"/>
      <c r="DN324" s="417"/>
      <c r="DO324" s="417"/>
    </row>
    <row r="325" customFormat="false" ht="12.75" hidden="false" customHeight="false" outlineLevel="0" collapsed="false">
      <c r="DH325" s="417" t="n">
        <v>0</v>
      </c>
      <c r="DI325" s="417" t="n">
        <v>0</v>
      </c>
      <c r="DJ325" s="417"/>
      <c r="DL325" s="417"/>
      <c r="DN325" s="417"/>
      <c r="DO325" s="417"/>
    </row>
    <row r="326" customFormat="false" ht="12.75" hidden="false" customHeight="false" outlineLevel="0" collapsed="false">
      <c r="DH326" s="417" t="n">
        <v>0</v>
      </c>
      <c r="DI326" s="417" t="n">
        <v>0</v>
      </c>
      <c r="DJ326" s="417"/>
      <c r="DL326" s="417"/>
      <c r="DN326" s="417"/>
      <c r="DO326" s="417"/>
    </row>
    <row r="327" customFormat="false" ht="12.75" hidden="false" customHeight="false" outlineLevel="0" collapsed="false">
      <c r="DH327" s="417" t="n">
        <v>0</v>
      </c>
      <c r="DI327" s="417" t="n">
        <v>0</v>
      </c>
      <c r="DJ327" s="417"/>
      <c r="DL327" s="417"/>
      <c r="DN327" s="417"/>
      <c r="DO327" s="417"/>
    </row>
    <row r="328" customFormat="false" ht="12.75" hidden="false" customHeight="false" outlineLevel="0" collapsed="false">
      <c r="DH328" s="417" t="n">
        <v>0</v>
      </c>
      <c r="DI328" s="417" t="n">
        <v>0</v>
      </c>
      <c r="DJ328" s="417"/>
      <c r="DL328" s="417"/>
      <c r="DN328" s="417"/>
      <c r="DO328" s="417"/>
    </row>
    <row r="329" customFormat="false" ht="12.75" hidden="false" customHeight="false" outlineLevel="0" collapsed="false">
      <c r="DH329" s="417" t="n">
        <v>0</v>
      </c>
      <c r="DI329" s="417" t="n">
        <v>0</v>
      </c>
      <c r="DJ329" s="417"/>
      <c r="DL329" s="417"/>
      <c r="DN329" s="417"/>
      <c r="DO329" s="417"/>
    </row>
    <row r="330" customFormat="false" ht="12.75" hidden="false" customHeight="false" outlineLevel="0" collapsed="false">
      <c r="DH330" s="417" t="n">
        <v>0</v>
      </c>
      <c r="DI330" s="417" t="n">
        <v>0</v>
      </c>
      <c r="DJ330" s="417"/>
      <c r="DL330" s="417"/>
      <c r="DN330" s="417"/>
      <c r="DO330" s="417"/>
    </row>
    <row r="331" customFormat="false" ht="12.75" hidden="false" customHeight="false" outlineLevel="0" collapsed="false">
      <c r="DH331" s="417" t="n">
        <v>0</v>
      </c>
      <c r="DI331" s="417" t="n">
        <v>0</v>
      </c>
      <c r="DJ331" s="417"/>
      <c r="DL331" s="417"/>
      <c r="DN331" s="417"/>
      <c r="DO331" s="417"/>
    </row>
    <row r="332" customFormat="false" ht="12.75" hidden="false" customHeight="false" outlineLevel="0" collapsed="false">
      <c r="DH332" s="417" t="n">
        <v>0</v>
      </c>
      <c r="DI332" s="417" t="n">
        <v>0</v>
      </c>
      <c r="DJ332" s="417"/>
      <c r="DL332" s="417"/>
      <c r="DN332" s="417"/>
      <c r="DO332" s="417"/>
    </row>
    <row r="333" customFormat="false" ht="12.75" hidden="false" customHeight="false" outlineLevel="0" collapsed="false">
      <c r="DH333" s="417" t="n">
        <v>0</v>
      </c>
      <c r="DI333" s="417" t="n">
        <v>0</v>
      </c>
      <c r="DJ333" s="417"/>
      <c r="DL333" s="417"/>
      <c r="DN333" s="417"/>
      <c r="DO333" s="417"/>
    </row>
    <row r="334" customFormat="false" ht="12.75" hidden="false" customHeight="false" outlineLevel="0" collapsed="false">
      <c r="DH334" s="417" t="n">
        <v>0</v>
      </c>
      <c r="DI334" s="417" t="n">
        <v>0</v>
      </c>
      <c r="DJ334" s="417"/>
      <c r="DL334" s="417"/>
      <c r="DN334" s="417"/>
      <c r="DO334" s="417"/>
    </row>
    <row r="335" customFormat="false" ht="12.75" hidden="false" customHeight="false" outlineLevel="0" collapsed="false">
      <c r="DH335" s="417" t="n">
        <v>0</v>
      </c>
      <c r="DI335" s="417" t="n">
        <v>0</v>
      </c>
      <c r="DJ335" s="417"/>
      <c r="DL335" s="417"/>
      <c r="DN335" s="417"/>
      <c r="DO335" s="417"/>
    </row>
    <row r="336" customFormat="false" ht="12.75" hidden="false" customHeight="false" outlineLevel="0" collapsed="false">
      <c r="DH336" s="417" t="n">
        <v>0</v>
      </c>
      <c r="DI336" s="417" t="n">
        <v>0</v>
      </c>
      <c r="DJ336" s="417"/>
      <c r="DL336" s="417"/>
      <c r="DN336" s="417"/>
      <c r="DO336" s="417"/>
    </row>
    <row r="337" customFormat="false" ht="12.75" hidden="false" customHeight="false" outlineLevel="0" collapsed="false">
      <c r="DH337" s="417" t="n">
        <v>0</v>
      </c>
      <c r="DI337" s="417" t="n">
        <v>0</v>
      </c>
      <c r="DJ337" s="417"/>
      <c r="DL337" s="417"/>
      <c r="DN337" s="417"/>
      <c r="DO337" s="417"/>
    </row>
    <row r="338" customFormat="false" ht="12.75" hidden="false" customHeight="false" outlineLevel="0" collapsed="false">
      <c r="DH338" s="417" t="n">
        <v>0</v>
      </c>
      <c r="DI338" s="417" t="n">
        <v>0</v>
      </c>
      <c r="DJ338" s="417"/>
      <c r="DL338" s="417"/>
      <c r="DN338" s="417"/>
      <c r="DO338" s="417"/>
    </row>
    <row r="339" customFormat="false" ht="12.75" hidden="false" customHeight="false" outlineLevel="0" collapsed="false">
      <c r="DH339" s="417" t="n">
        <v>0</v>
      </c>
      <c r="DI339" s="417" t="n">
        <v>0</v>
      </c>
      <c r="DJ339" s="417"/>
      <c r="DN339" s="417"/>
      <c r="DO339" s="417"/>
    </row>
    <row r="340" customFormat="false" ht="12.75" hidden="false" customHeight="false" outlineLevel="0" collapsed="false">
      <c r="DH340" s="417" t="n">
        <v>0</v>
      </c>
      <c r="DI340" s="417" t="n">
        <v>0</v>
      </c>
      <c r="DJ340" s="417"/>
      <c r="DN340" s="417"/>
      <c r="DO340" s="417"/>
    </row>
    <row r="341" customFormat="false" ht="12.75" hidden="false" customHeight="false" outlineLevel="0" collapsed="false">
      <c r="DH341" s="417" t="n">
        <v>0</v>
      </c>
      <c r="DI341" s="417" t="n">
        <v>0</v>
      </c>
      <c r="DJ341" s="417"/>
      <c r="DN341" s="417"/>
      <c r="DO341" s="417"/>
    </row>
    <row r="342" customFormat="false" ht="12.75" hidden="false" customHeight="false" outlineLevel="0" collapsed="false">
      <c r="DH342" s="417" t="n">
        <v>0</v>
      </c>
      <c r="DI342" s="417" t="n">
        <v>0</v>
      </c>
      <c r="DJ342" s="417"/>
      <c r="DN342" s="417"/>
      <c r="DO342" s="417"/>
    </row>
    <row r="343" customFormat="false" ht="12.75" hidden="false" customHeight="false" outlineLevel="0" collapsed="false">
      <c r="DH343" s="417" t="n">
        <v>0</v>
      </c>
      <c r="DI343" s="417" t="n">
        <v>0</v>
      </c>
      <c r="DJ343" s="417"/>
      <c r="DN343" s="417"/>
      <c r="DO343" s="417"/>
    </row>
    <row r="344" customFormat="false" ht="12.75" hidden="false" customHeight="false" outlineLevel="0" collapsed="false">
      <c r="DH344" s="417" t="n">
        <v>0</v>
      </c>
      <c r="DI344" s="417" t="n">
        <v>0</v>
      </c>
      <c r="DJ344" s="417"/>
      <c r="DN344" s="417"/>
      <c r="DO344" s="417"/>
    </row>
    <row r="345" customFormat="false" ht="12.75" hidden="false" customHeight="false" outlineLevel="0" collapsed="false">
      <c r="DH345" s="417" t="n">
        <v>0</v>
      </c>
      <c r="DI345" s="417" t="n">
        <v>0</v>
      </c>
      <c r="DJ345" s="417"/>
      <c r="DN345" s="417"/>
      <c r="DO345" s="417"/>
    </row>
    <row r="346" customFormat="false" ht="12.75" hidden="false" customHeight="false" outlineLevel="0" collapsed="false">
      <c r="DH346" s="417" t="n">
        <v>0</v>
      </c>
      <c r="DI346" s="417" t="n">
        <v>0</v>
      </c>
      <c r="DJ346" s="417"/>
      <c r="DN346" s="417"/>
      <c r="DO346" s="417"/>
    </row>
    <row r="347" customFormat="false" ht="12.75" hidden="false" customHeight="false" outlineLevel="0" collapsed="false">
      <c r="DH347" s="417" t="n">
        <v>0</v>
      </c>
      <c r="DI347" s="417" t="n">
        <v>0</v>
      </c>
      <c r="DJ347" s="417"/>
      <c r="DN347" s="417"/>
      <c r="DO347" s="417"/>
    </row>
    <row r="348" customFormat="false" ht="12.75" hidden="false" customHeight="false" outlineLevel="0" collapsed="false">
      <c r="DH348" s="417" t="n">
        <v>0</v>
      </c>
      <c r="DI348" s="417" t="n">
        <v>0</v>
      </c>
      <c r="DJ348" s="417"/>
      <c r="DN348" s="417"/>
      <c r="DO348" s="417"/>
    </row>
    <row r="349" customFormat="false" ht="12.75" hidden="false" customHeight="false" outlineLevel="0" collapsed="false">
      <c r="DH349" s="417" t="n">
        <v>0</v>
      </c>
      <c r="DI349" s="417" t="n">
        <v>0</v>
      </c>
      <c r="DJ349" s="417"/>
      <c r="DN349" s="417"/>
      <c r="DO349" s="417"/>
    </row>
    <row r="350" customFormat="false" ht="12.75" hidden="false" customHeight="false" outlineLevel="0" collapsed="false">
      <c r="DH350" s="417" t="n">
        <v>0</v>
      </c>
      <c r="DI350" s="417" t="n">
        <v>0</v>
      </c>
      <c r="DJ350" s="417"/>
      <c r="DN350" s="417"/>
      <c r="DO350" s="417"/>
    </row>
    <row r="351" customFormat="false" ht="12.75" hidden="false" customHeight="false" outlineLevel="0" collapsed="false">
      <c r="DH351" s="417" t="n">
        <v>0</v>
      </c>
      <c r="DI351" s="417" t="n">
        <v>0</v>
      </c>
      <c r="DJ351" s="417"/>
      <c r="DN351" s="417"/>
      <c r="DO351" s="417"/>
    </row>
    <row r="352" customFormat="false" ht="12.75" hidden="false" customHeight="false" outlineLevel="0" collapsed="false">
      <c r="DH352" s="417" t="n">
        <v>0</v>
      </c>
      <c r="DI352" s="417" t="n">
        <v>0</v>
      </c>
      <c r="DJ352" s="417"/>
      <c r="DN352" s="417"/>
      <c r="DO352" s="417"/>
    </row>
    <row r="353" customFormat="false" ht="12.75" hidden="false" customHeight="false" outlineLevel="0" collapsed="false">
      <c r="DH353" s="417" t="n">
        <v>0</v>
      </c>
      <c r="DI353" s="417" t="n">
        <v>0</v>
      </c>
      <c r="DJ353" s="417"/>
      <c r="DN353" s="417"/>
      <c r="DO353" s="417"/>
    </row>
    <row r="354" customFormat="false" ht="12.75" hidden="false" customHeight="false" outlineLevel="0" collapsed="false">
      <c r="DH354" s="417" t="n">
        <v>0</v>
      </c>
      <c r="DI354" s="417" t="n">
        <v>0</v>
      </c>
      <c r="DJ354" s="417"/>
      <c r="DN354" s="417"/>
      <c r="DO354" s="417"/>
    </row>
    <row r="355" customFormat="false" ht="12.75" hidden="false" customHeight="false" outlineLevel="0" collapsed="false">
      <c r="DH355" s="417" t="n">
        <v>0</v>
      </c>
      <c r="DI355" s="417" t="n">
        <v>0</v>
      </c>
      <c r="DJ355" s="417"/>
      <c r="DN355" s="417"/>
      <c r="DO355" s="417"/>
    </row>
    <row r="356" customFormat="false" ht="12.75" hidden="false" customHeight="false" outlineLevel="0" collapsed="false">
      <c r="DH356" s="417" t="n">
        <v>0</v>
      </c>
      <c r="DI356" s="417" t="n">
        <v>0</v>
      </c>
      <c r="DJ356" s="417"/>
      <c r="DN356" s="417"/>
      <c r="DO356" s="417"/>
    </row>
    <row r="357" customFormat="false" ht="12.75" hidden="false" customHeight="false" outlineLevel="0" collapsed="false">
      <c r="DH357" s="417" t="n">
        <v>0</v>
      </c>
      <c r="DI357" s="417" t="n">
        <v>0</v>
      </c>
      <c r="DJ357" s="417"/>
      <c r="DN357" s="417"/>
      <c r="DO357" s="417"/>
    </row>
    <row r="358" customFormat="false" ht="12.75" hidden="false" customHeight="false" outlineLevel="0" collapsed="false">
      <c r="DH358" s="417" t="n">
        <v>0</v>
      </c>
      <c r="DI358" s="417" t="n">
        <v>0</v>
      </c>
      <c r="DJ358" s="417"/>
      <c r="DN358" s="417"/>
      <c r="DO358" s="417"/>
    </row>
    <row r="359" customFormat="false" ht="12.75" hidden="false" customHeight="false" outlineLevel="0" collapsed="false">
      <c r="DH359" s="417" t="n">
        <v>0</v>
      </c>
      <c r="DI359" s="417" t="n">
        <v>0</v>
      </c>
      <c r="DJ359" s="417"/>
      <c r="DN359" s="417"/>
      <c r="DO359" s="417"/>
    </row>
    <row r="360" customFormat="false" ht="12.75" hidden="false" customHeight="false" outlineLevel="0" collapsed="false">
      <c r="DH360" s="417" t="n">
        <v>0</v>
      </c>
      <c r="DI360" s="417" t="n">
        <v>0</v>
      </c>
      <c r="DJ360" s="417"/>
      <c r="DN360" s="417"/>
      <c r="DO360" s="417"/>
    </row>
    <row r="361" customFormat="false" ht="12.75" hidden="false" customHeight="false" outlineLevel="0" collapsed="false">
      <c r="DH361" s="417" t="n">
        <v>0</v>
      </c>
      <c r="DI361" s="417" t="n">
        <v>0</v>
      </c>
      <c r="DJ361" s="417"/>
      <c r="DN361" s="417"/>
      <c r="DO361" s="417"/>
    </row>
    <row r="362" customFormat="false" ht="12.75" hidden="false" customHeight="false" outlineLevel="0" collapsed="false">
      <c r="DH362" s="417" t="n">
        <v>0</v>
      </c>
      <c r="DI362" s="417" t="n">
        <v>0</v>
      </c>
      <c r="DJ362" s="417"/>
      <c r="DN362" s="417"/>
      <c r="DO362" s="417"/>
    </row>
    <row r="363" customFormat="false" ht="12.75" hidden="false" customHeight="false" outlineLevel="0" collapsed="false">
      <c r="DH363" s="417" t="n">
        <v>0</v>
      </c>
      <c r="DI363" s="417" t="n">
        <v>0</v>
      </c>
      <c r="DJ363" s="417"/>
      <c r="DN363" s="417"/>
      <c r="DO363" s="417"/>
    </row>
    <row r="364" customFormat="false" ht="12.75" hidden="false" customHeight="false" outlineLevel="0" collapsed="false">
      <c r="DH364" s="417" t="n">
        <v>0</v>
      </c>
      <c r="DI364" s="417" t="n">
        <v>0</v>
      </c>
      <c r="DJ364" s="417"/>
      <c r="DN364" s="417"/>
      <c r="DO364" s="417"/>
    </row>
    <row r="365" customFormat="false" ht="12.75" hidden="false" customHeight="false" outlineLevel="0" collapsed="false">
      <c r="DH365" s="417" t="n">
        <v>0</v>
      </c>
      <c r="DI365" s="417" t="n">
        <v>0</v>
      </c>
      <c r="DJ365" s="417"/>
      <c r="DN365" s="417"/>
      <c r="DO365" s="417"/>
    </row>
    <row r="366" customFormat="false" ht="12.75" hidden="false" customHeight="false" outlineLevel="0" collapsed="false">
      <c r="DH366" s="417" t="n">
        <v>0</v>
      </c>
      <c r="DI366" s="417" t="n">
        <v>0</v>
      </c>
      <c r="DJ366" s="417"/>
      <c r="DN366" s="417"/>
      <c r="DO366" s="417"/>
    </row>
    <row r="367" customFormat="false" ht="12.75" hidden="false" customHeight="false" outlineLevel="0" collapsed="false">
      <c r="DH367" s="417" t="n">
        <v>0</v>
      </c>
      <c r="DI367" s="417" t="n">
        <v>0</v>
      </c>
      <c r="DJ367" s="417"/>
      <c r="DN367" s="417"/>
      <c r="DO367" s="417"/>
    </row>
    <row r="368" customFormat="false" ht="12.75" hidden="false" customHeight="false" outlineLevel="0" collapsed="false">
      <c r="DH368" s="417" t="n">
        <v>0</v>
      </c>
      <c r="DI368" s="417" t="n">
        <v>0</v>
      </c>
      <c r="DJ368" s="417"/>
      <c r="DN368" s="417"/>
      <c r="DO368" s="417"/>
    </row>
    <row r="369" customFormat="false" ht="12.75" hidden="false" customHeight="false" outlineLevel="0" collapsed="false">
      <c r="DH369" s="417" t="n">
        <v>0</v>
      </c>
      <c r="DI369" s="417" t="n">
        <v>0</v>
      </c>
      <c r="DJ369" s="417"/>
      <c r="DN369" s="417"/>
      <c r="DO369" s="417"/>
    </row>
    <row r="370" customFormat="false" ht="12.75" hidden="false" customHeight="false" outlineLevel="0" collapsed="false">
      <c r="DH370" s="417" t="n">
        <v>0</v>
      </c>
      <c r="DI370" s="417" t="n">
        <v>0</v>
      </c>
      <c r="DJ370" s="417"/>
      <c r="DN370" s="417"/>
      <c r="DO370" s="417"/>
    </row>
    <row r="371" customFormat="false" ht="12.75" hidden="false" customHeight="false" outlineLevel="0" collapsed="false">
      <c r="DH371" s="417" t="n">
        <v>0</v>
      </c>
      <c r="DI371" s="417" t="n">
        <v>0</v>
      </c>
      <c r="DJ371" s="417"/>
      <c r="DN371" s="417"/>
      <c r="DO371" s="417"/>
    </row>
    <row r="372" customFormat="false" ht="12.75" hidden="false" customHeight="false" outlineLevel="0" collapsed="false">
      <c r="DH372" s="417" t="n">
        <v>0</v>
      </c>
      <c r="DI372" s="417" t="n">
        <v>0</v>
      </c>
      <c r="DJ372" s="417"/>
      <c r="DN372" s="417"/>
      <c r="DO372" s="417"/>
    </row>
    <row r="373" customFormat="false" ht="12.75" hidden="false" customHeight="false" outlineLevel="0" collapsed="false">
      <c r="DH373" s="417" t="n">
        <v>0</v>
      </c>
      <c r="DI373" s="417" t="n">
        <v>0</v>
      </c>
      <c r="DJ373" s="417"/>
      <c r="DN373" s="417"/>
      <c r="DO373" s="417"/>
    </row>
    <row r="374" customFormat="false" ht="12.75" hidden="false" customHeight="false" outlineLevel="0" collapsed="false">
      <c r="DH374" s="417" t="n">
        <v>0</v>
      </c>
      <c r="DI374" s="417" t="n">
        <v>0</v>
      </c>
      <c r="DJ374" s="417"/>
      <c r="DN374" s="417"/>
      <c r="DO374" s="417"/>
    </row>
    <row r="375" customFormat="false" ht="12.75" hidden="false" customHeight="false" outlineLevel="0" collapsed="false">
      <c r="DH375" s="417" t="n">
        <v>0</v>
      </c>
      <c r="DI375" s="417" t="n">
        <v>0</v>
      </c>
      <c r="DJ375" s="417"/>
      <c r="DN375" s="417"/>
      <c r="DO375" s="417"/>
    </row>
    <row r="376" customFormat="false" ht="12.75" hidden="false" customHeight="false" outlineLevel="0" collapsed="false">
      <c r="DH376" s="417" t="n">
        <v>0</v>
      </c>
      <c r="DI376" s="417" t="n">
        <v>0</v>
      </c>
      <c r="DJ376" s="417"/>
      <c r="DN376" s="417"/>
      <c r="DO376" s="417"/>
    </row>
    <row r="377" customFormat="false" ht="12.75" hidden="false" customHeight="false" outlineLevel="0" collapsed="false">
      <c r="DH377" s="417" t="n">
        <v>0</v>
      </c>
      <c r="DI377" s="417" t="n">
        <v>0</v>
      </c>
      <c r="DJ377" s="417"/>
      <c r="DN377" s="417"/>
      <c r="DO377" s="417"/>
    </row>
    <row r="378" customFormat="false" ht="12.75" hidden="false" customHeight="false" outlineLevel="0" collapsed="false">
      <c r="DH378" s="417" t="n">
        <v>0</v>
      </c>
      <c r="DI378" s="417" t="n">
        <v>0</v>
      </c>
      <c r="DJ378" s="417"/>
      <c r="DN378" s="417"/>
      <c r="DO378" s="417"/>
    </row>
    <row r="379" customFormat="false" ht="12.75" hidden="false" customHeight="false" outlineLevel="0" collapsed="false">
      <c r="DH379" s="417" t="n">
        <v>0</v>
      </c>
      <c r="DI379" s="417" t="n">
        <v>0</v>
      </c>
      <c r="DJ379" s="417"/>
      <c r="DN379" s="417"/>
      <c r="DO379" s="417"/>
    </row>
    <row r="380" customFormat="false" ht="12.75" hidden="false" customHeight="false" outlineLevel="0" collapsed="false">
      <c r="DH380" s="417" t="n">
        <v>0</v>
      </c>
      <c r="DI380" s="417" t="n">
        <v>0</v>
      </c>
      <c r="DJ380" s="417"/>
      <c r="DN380" s="417"/>
      <c r="DO380" s="417"/>
    </row>
    <row r="381" customFormat="false" ht="12.75" hidden="false" customHeight="false" outlineLevel="0" collapsed="false">
      <c r="DH381" s="417" t="n">
        <v>0</v>
      </c>
      <c r="DI381" s="417" t="n">
        <v>0</v>
      </c>
      <c r="DJ381" s="417"/>
      <c r="DN381" s="417"/>
      <c r="DO381" s="417"/>
    </row>
    <row r="382" customFormat="false" ht="12.75" hidden="false" customHeight="false" outlineLevel="0" collapsed="false">
      <c r="DH382" s="417" t="n">
        <v>0</v>
      </c>
      <c r="DI382" s="417" t="n">
        <v>0</v>
      </c>
      <c r="DJ382" s="417"/>
      <c r="DN382" s="417"/>
      <c r="DO382" s="417"/>
    </row>
    <row r="383" customFormat="false" ht="12.75" hidden="false" customHeight="false" outlineLevel="0" collapsed="false">
      <c r="DH383" s="417" t="n">
        <v>0</v>
      </c>
      <c r="DI383" s="417" t="n">
        <v>0</v>
      </c>
      <c r="DJ383" s="417"/>
      <c r="DN383" s="417"/>
      <c r="DO383" s="417"/>
    </row>
    <row r="384" customFormat="false" ht="12.75" hidden="false" customHeight="false" outlineLevel="0" collapsed="false">
      <c r="DH384" s="417" t="n">
        <v>0</v>
      </c>
      <c r="DI384" s="417" t="n">
        <v>0</v>
      </c>
      <c r="DJ384" s="417"/>
      <c r="DN384" s="417"/>
      <c r="DO384" s="417"/>
    </row>
    <row r="385" customFormat="false" ht="12.75" hidden="false" customHeight="false" outlineLevel="0" collapsed="false">
      <c r="DH385" s="417" t="n">
        <v>0</v>
      </c>
      <c r="DI385" s="417" t="n">
        <v>0</v>
      </c>
      <c r="DJ385" s="417"/>
      <c r="DN385" s="417"/>
      <c r="DO385" s="417"/>
    </row>
    <row r="386" customFormat="false" ht="12.75" hidden="false" customHeight="false" outlineLevel="0" collapsed="false">
      <c r="DH386" s="417" t="n">
        <v>0</v>
      </c>
      <c r="DI386" s="417" t="n">
        <v>0</v>
      </c>
      <c r="DJ386" s="417"/>
      <c r="DN386" s="417"/>
      <c r="DO386" s="417"/>
    </row>
    <row r="387" customFormat="false" ht="12.75" hidden="false" customHeight="false" outlineLevel="0" collapsed="false">
      <c r="DH387" s="417" t="n">
        <v>0</v>
      </c>
      <c r="DI387" s="417" t="n">
        <v>0</v>
      </c>
      <c r="DJ387" s="417"/>
      <c r="DN387" s="417"/>
      <c r="DO387" s="417"/>
    </row>
    <row r="388" customFormat="false" ht="12.75" hidden="false" customHeight="false" outlineLevel="0" collapsed="false">
      <c r="DH388" s="417" t="n">
        <v>0</v>
      </c>
      <c r="DI388" s="417" t="n">
        <v>0</v>
      </c>
      <c r="DJ388" s="417"/>
      <c r="DN388" s="417"/>
      <c r="DO388" s="417"/>
    </row>
    <row r="389" customFormat="false" ht="12.75" hidden="false" customHeight="false" outlineLevel="0" collapsed="false">
      <c r="DH389" s="417" t="n">
        <v>0</v>
      </c>
      <c r="DI389" s="417" t="n">
        <v>0</v>
      </c>
      <c r="DJ389" s="417"/>
      <c r="DN389" s="417"/>
      <c r="DO389" s="417"/>
    </row>
    <row r="390" customFormat="false" ht="12.75" hidden="false" customHeight="false" outlineLevel="0" collapsed="false">
      <c r="DH390" s="417" t="n">
        <v>0</v>
      </c>
      <c r="DI390" s="417" t="n">
        <v>0</v>
      </c>
      <c r="DJ390" s="417"/>
      <c r="DN390" s="417"/>
      <c r="DO390" s="417"/>
    </row>
    <row r="391" customFormat="false" ht="12.75" hidden="false" customHeight="false" outlineLevel="0" collapsed="false">
      <c r="DH391" s="417" t="n">
        <v>0</v>
      </c>
      <c r="DI391" s="417" t="n">
        <v>0</v>
      </c>
      <c r="DJ391" s="417"/>
      <c r="DN391" s="417"/>
      <c r="DO391" s="417"/>
    </row>
    <row r="392" customFormat="false" ht="12.75" hidden="false" customHeight="false" outlineLevel="0" collapsed="false">
      <c r="DH392" s="417" t="n">
        <v>0</v>
      </c>
      <c r="DI392" s="417" t="n">
        <v>0</v>
      </c>
      <c r="DJ392" s="417"/>
      <c r="DN392" s="417"/>
      <c r="DO392" s="417"/>
    </row>
    <row r="393" customFormat="false" ht="12.75" hidden="false" customHeight="false" outlineLevel="0" collapsed="false">
      <c r="DH393" s="417" t="n">
        <v>0</v>
      </c>
      <c r="DI393" s="417" t="n">
        <v>0</v>
      </c>
      <c r="DJ393" s="417"/>
      <c r="DN393" s="417"/>
      <c r="DO393" s="417"/>
    </row>
    <row r="394" customFormat="false" ht="12.75" hidden="false" customHeight="false" outlineLevel="0" collapsed="false">
      <c r="DH394" s="417" t="n">
        <v>0</v>
      </c>
      <c r="DI394" s="417" t="n">
        <v>0</v>
      </c>
      <c r="DJ394" s="417"/>
      <c r="DN394" s="417"/>
      <c r="DO394" s="417"/>
    </row>
    <row r="395" customFormat="false" ht="12.75" hidden="false" customHeight="false" outlineLevel="0" collapsed="false">
      <c r="DH395" s="417" t="n">
        <v>0</v>
      </c>
      <c r="DI395" s="417" t="n">
        <v>0</v>
      </c>
      <c r="DJ395" s="417"/>
      <c r="DN395" s="417"/>
      <c r="DO395" s="417"/>
    </row>
    <row r="396" customFormat="false" ht="12.75" hidden="false" customHeight="false" outlineLevel="0" collapsed="false">
      <c r="DH396" s="417" t="n">
        <v>0</v>
      </c>
      <c r="DI396" s="417" t="n">
        <v>0</v>
      </c>
      <c r="DJ396" s="417"/>
      <c r="DN396" s="417"/>
      <c r="DO396" s="417"/>
    </row>
    <row r="397" customFormat="false" ht="12.75" hidden="false" customHeight="false" outlineLevel="0" collapsed="false">
      <c r="DH397" s="417" t="n">
        <v>0</v>
      </c>
      <c r="DI397" s="417" t="n">
        <v>0</v>
      </c>
      <c r="DJ397" s="417"/>
      <c r="DN397" s="417"/>
      <c r="DO397" s="417"/>
    </row>
    <row r="398" customFormat="false" ht="12.75" hidden="false" customHeight="false" outlineLevel="0" collapsed="false">
      <c r="DH398" s="417" t="n">
        <v>0</v>
      </c>
      <c r="DI398" s="417" t="n">
        <v>0</v>
      </c>
      <c r="DJ398" s="417"/>
      <c r="DN398" s="417"/>
      <c r="DO398" s="417"/>
    </row>
    <row r="399" customFormat="false" ht="12.75" hidden="false" customHeight="false" outlineLevel="0" collapsed="false">
      <c r="DH399" s="417" t="n">
        <v>0</v>
      </c>
      <c r="DI399" s="417" t="n">
        <v>0</v>
      </c>
      <c r="DJ399" s="417"/>
      <c r="DN399" s="417"/>
      <c r="DO399" s="417"/>
    </row>
    <row r="400" customFormat="false" ht="12.75" hidden="false" customHeight="false" outlineLevel="0" collapsed="false">
      <c r="DH400" s="417" t="n">
        <v>0</v>
      </c>
      <c r="DI400" s="417" t="n">
        <v>0</v>
      </c>
      <c r="DJ400" s="417"/>
      <c r="DN400" s="417"/>
      <c r="DO400" s="417"/>
    </row>
    <row r="401" customFormat="false" ht="12.75" hidden="false" customHeight="false" outlineLevel="0" collapsed="false">
      <c r="DH401" s="417" t="n">
        <v>0</v>
      </c>
      <c r="DI401" s="417" t="n">
        <v>0</v>
      </c>
      <c r="DJ401" s="417"/>
      <c r="DN401" s="417"/>
      <c r="DO401" s="417"/>
    </row>
    <row r="402" customFormat="false" ht="12.75" hidden="false" customHeight="false" outlineLevel="0" collapsed="false">
      <c r="DH402" s="417" t="n">
        <v>0</v>
      </c>
      <c r="DI402" s="417" t="n">
        <v>0</v>
      </c>
      <c r="DJ402" s="417"/>
      <c r="DN402" s="417"/>
      <c r="DO402" s="417"/>
    </row>
    <row r="403" customFormat="false" ht="12.75" hidden="false" customHeight="false" outlineLevel="0" collapsed="false">
      <c r="DH403" s="417" t="n">
        <v>0</v>
      </c>
      <c r="DI403" s="417" t="n">
        <v>0</v>
      </c>
      <c r="DJ403" s="417"/>
      <c r="DN403" s="417"/>
      <c r="DO403" s="417"/>
    </row>
    <row r="404" customFormat="false" ht="12.75" hidden="false" customHeight="false" outlineLevel="0" collapsed="false">
      <c r="DH404" s="417" t="n">
        <v>0</v>
      </c>
      <c r="DI404" s="417" t="n">
        <v>0</v>
      </c>
      <c r="DJ404" s="417"/>
      <c r="DN404" s="417"/>
      <c r="DO404" s="417"/>
    </row>
    <row r="405" customFormat="false" ht="12.75" hidden="false" customHeight="false" outlineLevel="0" collapsed="false">
      <c r="DH405" s="417" t="n">
        <v>0</v>
      </c>
      <c r="DI405" s="417" t="n">
        <v>0</v>
      </c>
      <c r="DJ405" s="417"/>
      <c r="DN405" s="417"/>
      <c r="DO405" s="417"/>
    </row>
    <row r="406" customFormat="false" ht="12.75" hidden="false" customHeight="false" outlineLevel="0" collapsed="false">
      <c r="DH406" s="417" t="n">
        <v>0</v>
      </c>
      <c r="DI406" s="417" t="n">
        <v>0</v>
      </c>
      <c r="DJ406" s="417"/>
      <c r="DN406" s="417"/>
      <c r="DO406" s="417"/>
    </row>
    <row r="407" customFormat="false" ht="12.75" hidden="false" customHeight="false" outlineLevel="0" collapsed="false">
      <c r="DH407" s="417" t="n">
        <v>0</v>
      </c>
      <c r="DI407" s="417" t="n">
        <v>0</v>
      </c>
      <c r="DJ407" s="417"/>
      <c r="DN407" s="417"/>
      <c r="DO407" s="417"/>
    </row>
    <row r="408" customFormat="false" ht="12.75" hidden="false" customHeight="false" outlineLevel="0" collapsed="false">
      <c r="DH408" s="417" t="n">
        <v>0</v>
      </c>
      <c r="DI408" s="417" t="n">
        <v>0</v>
      </c>
      <c r="DJ408" s="417"/>
      <c r="DN408" s="417"/>
      <c r="DO408" s="417"/>
    </row>
    <row r="409" customFormat="false" ht="12.75" hidden="false" customHeight="false" outlineLevel="0" collapsed="false">
      <c r="DH409" s="417" t="n">
        <v>0</v>
      </c>
      <c r="DI409" s="417" t="n">
        <v>0</v>
      </c>
      <c r="DJ409" s="417"/>
      <c r="DN409" s="417"/>
      <c r="DO409" s="417"/>
    </row>
    <row r="410" customFormat="false" ht="12.75" hidden="false" customHeight="false" outlineLevel="0" collapsed="false">
      <c r="DH410" s="417" t="n">
        <v>0</v>
      </c>
      <c r="DI410" s="417" t="n">
        <v>0</v>
      </c>
      <c r="DJ410" s="417"/>
      <c r="DN410" s="417"/>
      <c r="DO410" s="417"/>
    </row>
    <row r="411" customFormat="false" ht="12.75" hidden="false" customHeight="false" outlineLevel="0" collapsed="false">
      <c r="DH411" s="417" t="n">
        <v>0</v>
      </c>
      <c r="DI411" s="417" t="n">
        <v>0</v>
      </c>
      <c r="DJ411" s="417"/>
      <c r="DN411" s="417"/>
      <c r="DO411" s="417"/>
    </row>
    <row r="412" customFormat="false" ht="12.75" hidden="false" customHeight="false" outlineLevel="0" collapsed="false">
      <c r="DH412" s="417" t="n">
        <v>0</v>
      </c>
      <c r="DI412" s="417" t="n">
        <v>0</v>
      </c>
      <c r="DJ412" s="417"/>
      <c r="DN412" s="417"/>
      <c r="DO412" s="417"/>
    </row>
    <row r="413" customFormat="false" ht="12.75" hidden="false" customHeight="false" outlineLevel="0" collapsed="false">
      <c r="DH413" s="417" t="n">
        <v>0</v>
      </c>
      <c r="DI413" s="417" t="n">
        <v>0</v>
      </c>
      <c r="DJ413" s="417"/>
      <c r="DN413" s="417"/>
      <c r="DO413" s="417"/>
    </row>
    <row r="414" customFormat="false" ht="12.75" hidden="false" customHeight="false" outlineLevel="0" collapsed="false">
      <c r="DH414" s="417" t="n">
        <v>0</v>
      </c>
      <c r="DI414" s="417" t="n">
        <v>0</v>
      </c>
      <c r="DJ414" s="417"/>
      <c r="DN414" s="417"/>
      <c r="DO414" s="417"/>
    </row>
    <row r="415" customFormat="false" ht="12.75" hidden="false" customHeight="false" outlineLevel="0" collapsed="false">
      <c r="DH415" s="417" t="n">
        <v>0</v>
      </c>
      <c r="DI415" s="417" t="n">
        <v>0</v>
      </c>
      <c r="DJ415" s="417"/>
      <c r="DN415" s="417"/>
      <c r="DO415" s="417"/>
    </row>
    <row r="416" customFormat="false" ht="12.75" hidden="false" customHeight="false" outlineLevel="0" collapsed="false">
      <c r="DH416" s="417" t="n">
        <v>0</v>
      </c>
      <c r="DI416" s="417" t="n">
        <v>0</v>
      </c>
      <c r="DJ416" s="417"/>
      <c r="DN416" s="417"/>
      <c r="DO416" s="417"/>
    </row>
    <row r="417" customFormat="false" ht="12.75" hidden="false" customHeight="false" outlineLevel="0" collapsed="false">
      <c r="DH417" s="417" t="n">
        <v>0</v>
      </c>
      <c r="DI417" s="417" t="n">
        <v>0</v>
      </c>
      <c r="DJ417" s="417"/>
      <c r="DN417" s="417"/>
      <c r="DO417" s="417"/>
    </row>
    <row r="418" customFormat="false" ht="12.75" hidden="false" customHeight="false" outlineLevel="0" collapsed="false">
      <c r="DH418" s="417" t="n">
        <v>0</v>
      </c>
      <c r="DI418" s="417" t="n">
        <v>0</v>
      </c>
      <c r="DJ418" s="417"/>
      <c r="DN418" s="417"/>
      <c r="DO418" s="417"/>
    </row>
    <row r="419" customFormat="false" ht="12.75" hidden="false" customHeight="false" outlineLevel="0" collapsed="false">
      <c r="DH419" s="417" t="n">
        <v>0</v>
      </c>
      <c r="DI419" s="417" t="n">
        <v>0</v>
      </c>
      <c r="DJ419" s="417"/>
      <c r="DN419" s="417"/>
      <c r="DO419" s="417"/>
    </row>
    <row r="420" customFormat="false" ht="12.75" hidden="false" customHeight="false" outlineLevel="0" collapsed="false">
      <c r="DH420" s="417" t="n">
        <v>0</v>
      </c>
      <c r="DI420" s="417" t="n">
        <v>0</v>
      </c>
      <c r="DJ420" s="417"/>
      <c r="DN420" s="417"/>
      <c r="DO420" s="417"/>
    </row>
    <row r="421" customFormat="false" ht="12.75" hidden="false" customHeight="false" outlineLevel="0" collapsed="false">
      <c r="DH421" s="417" t="n">
        <v>0</v>
      </c>
      <c r="DI421" s="417" t="n">
        <v>0</v>
      </c>
      <c r="DJ421" s="417"/>
      <c r="DN421" s="417"/>
      <c r="DO421" s="417"/>
    </row>
    <row r="422" customFormat="false" ht="12.75" hidden="false" customHeight="false" outlineLevel="0" collapsed="false">
      <c r="DH422" s="417" t="n">
        <v>0</v>
      </c>
      <c r="DI422" s="417" t="n">
        <v>0</v>
      </c>
      <c r="DJ422" s="417"/>
      <c r="DN422" s="417"/>
      <c r="DO422" s="417"/>
    </row>
    <row r="423" customFormat="false" ht="12.75" hidden="false" customHeight="false" outlineLevel="0" collapsed="false">
      <c r="DH423" s="417" t="n">
        <v>0</v>
      </c>
      <c r="DI423" s="417" t="n">
        <v>0</v>
      </c>
      <c r="DJ423" s="417"/>
      <c r="DN423" s="417"/>
      <c r="DO423" s="417"/>
    </row>
    <row r="424" customFormat="false" ht="12.75" hidden="false" customHeight="false" outlineLevel="0" collapsed="false">
      <c r="DH424" s="417" t="n">
        <v>0</v>
      </c>
      <c r="DI424" s="417" t="n">
        <v>0</v>
      </c>
      <c r="DJ424" s="417"/>
      <c r="DN424" s="417"/>
      <c r="DO424" s="417"/>
    </row>
    <row r="425" customFormat="false" ht="12.75" hidden="false" customHeight="false" outlineLevel="0" collapsed="false">
      <c r="DH425" s="417" t="n">
        <v>0</v>
      </c>
      <c r="DI425" s="417" t="n">
        <v>0</v>
      </c>
      <c r="DJ425" s="417"/>
      <c r="DN425" s="417"/>
      <c r="DO425" s="417"/>
    </row>
    <row r="426" customFormat="false" ht="12.75" hidden="false" customHeight="false" outlineLevel="0" collapsed="false">
      <c r="DH426" s="417" t="n">
        <v>0</v>
      </c>
      <c r="DI426" s="417" t="n">
        <v>0</v>
      </c>
      <c r="DJ426" s="417"/>
      <c r="DN426" s="417"/>
      <c r="DO426" s="417"/>
    </row>
    <row r="427" customFormat="false" ht="12.75" hidden="false" customHeight="false" outlineLevel="0" collapsed="false">
      <c r="DH427" s="417" t="n">
        <v>0</v>
      </c>
      <c r="DI427" s="417" t="n">
        <v>0</v>
      </c>
      <c r="DJ427" s="417"/>
      <c r="DN427" s="417"/>
      <c r="DO427" s="417"/>
    </row>
    <row r="428" customFormat="false" ht="12.75" hidden="false" customHeight="false" outlineLevel="0" collapsed="false">
      <c r="DH428" s="417" t="n">
        <v>0</v>
      </c>
      <c r="DI428" s="417" t="n">
        <v>0</v>
      </c>
      <c r="DJ428" s="417"/>
      <c r="DN428" s="417"/>
      <c r="DO428" s="417"/>
    </row>
    <row r="429" customFormat="false" ht="12.75" hidden="false" customHeight="false" outlineLevel="0" collapsed="false">
      <c r="DH429" s="417" t="n">
        <v>0</v>
      </c>
      <c r="DI429" s="417" t="n">
        <v>0</v>
      </c>
      <c r="DJ429" s="417"/>
      <c r="DN429" s="417"/>
      <c r="DO429" s="417"/>
    </row>
    <row r="430" customFormat="false" ht="12.75" hidden="false" customHeight="false" outlineLevel="0" collapsed="false">
      <c r="DH430" s="417" t="n">
        <v>0</v>
      </c>
      <c r="DI430" s="417" t="n">
        <v>0</v>
      </c>
      <c r="DJ430" s="417"/>
      <c r="DN430" s="417"/>
      <c r="DO430" s="417"/>
    </row>
    <row r="431" customFormat="false" ht="12.75" hidden="false" customHeight="false" outlineLevel="0" collapsed="false">
      <c r="DH431" s="417" t="n">
        <v>0</v>
      </c>
      <c r="DI431" s="417" t="n">
        <v>0</v>
      </c>
      <c r="DJ431" s="417"/>
      <c r="DN431" s="417"/>
      <c r="DO431" s="417"/>
    </row>
    <row r="432" customFormat="false" ht="12.75" hidden="false" customHeight="false" outlineLevel="0" collapsed="false">
      <c r="DH432" s="417" t="n">
        <v>0</v>
      </c>
      <c r="DI432" s="417" t="n">
        <v>0</v>
      </c>
      <c r="DJ432" s="417"/>
      <c r="DN432" s="417"/>
      <c r="DO432" s="417"/>
    </row>
    <row r="433" customFormat="false" ht="12.75" hidden="false" customHeight="false" outlineLevel="0" collapsed="false">
      <c r="DH433" s="417" t="n">
        <v>0</v>
      </c>
      <c r="DI433" s="417" t="n">
        <v>0</v>
      </c>
      <c r="DJ433" s="417"/>
      <c r="DN433" s="417"/>
      <c r="DO433" s="417"/>
    </row>
    <row r="434" customFormat="false" ht="12.75" hidden="false" customHeight="false" outlineLevel="0" collapsed="false">
      <c r="DH434" s="417" t="n">
        <v>0</v>
      </c>
      <c r="DI434" s="417" t="n">
        <v>0</v>
      </c>
      <c r="DJ434" s="417"/>
      <c r="DN434" s="417"/>
      <c r="DO434" s="417"/>
    </row>
    <row r="435" customFormat="false" ht="12.75" hidden="false" customHeight="false" outlineLevel="0" collapsed="false">
      <c r="DH435" s="417" t="n">
        <v>0</v>
      </c>
      <c r="DI435" s="417" t="n">
        <v>0</v>
      </c>
      <c r="DJ435" s="417"/>
      <c r="DN435" s="417"/>
      <c r="DO435" s="417"/>
    </row>
    <row r="436" customFormat="false" ht="12.75" hidden="false" customHeight="false" outlineLevel="0" collapsed="false">
      <c r="DH436" s="417" t="n">
        <v>0</v>
      </c>
      <c r="DI436" s="417" t="n">
        <v>0</v>
      </c>
      <c r="DJ436" s="417"/>
      <c r="DN436" s="417"/>
      <c r="DO436" s="417"/>
    </row>
    <row r="437" customFormat="false" ht="12.75" hidden="false" customHeight="false" outlineLevel="0" collapsed="false">
      <c r="DH437" s="417" t="n">
        <v>0</v>
      </c>
      <c r="DI437" s="417" t="n">
        <v>0</v>
      </c>
      <c r="DJ437" s="417"/>
      <c r="DN437" s="417"/>
      <c r="DO437" s="417"/>
    </row>
    <row r="438" customFormat="false" ht="12.75" hidden="false" customHeight="false" outlineLevel="0" collapsed="false">
      <c r="DH438" s="417" t="n">
        <v>0</v>
      </c>
      <c r="DI438" s="417" t="n">
        <v>0</v>
      </c>
      <c r="DJ438" s="417"/>
      <c r="DN438" s="417"/>
      <c r="DO438" s="417"/>
    </row>
    <row r="439" customFormat="false" ht="12.75" hidden="false" customHeight="false" outlineLevel="0" collapsed="false">
      <c r="DH439" s="417" t="n">
        <v>0</v>
      </c>
      <c r="DI439" s="417" t="n">
        <v>0</v>
      </c>
      <c r="DJ439" s="417"/>
      <c r="DN439" s="417"/>
      <c r="DO439" s="417"/>
    </row>
    <row r="440" customFormat="false" ht="12.75" hidden="false" customHeight="false" outlineLevel="0" collapsed="false">
      <c r="DH440" s="417" t="n">
        <v>0</v>
      </c>
      <c r="DI440" s="417" t="n">
        <v>0</v>
      </c>
      <c r="DJ440" s="417"/>
      <c r="DN440" s="417"/>
      <c r="DO440" s="417"/>
    </row>
    <row r="441" customFormat="false" ht="12.75" hidden="false" customHeight="false" outlineLevel="0" collapsed="false">
      <c r="DH441" s="417" t="n">
        <v>0</v>
      </c>
      <c r="DI441" s="417" t="n">
        <v>0</v>
      </c>
      <c r="DJ441" s="417"/>
      <c r="DN441" s="417"/>
      <c r="DO441" s="417"/>
    </row>
    <row r="442" customFormat="false" ht="12.75" hidden="false" customHeight="false" outlineLevel="0" collapsed="false">
      <c r="DH442" s="417" t="n">
        <v>0</v>
      </c>
      <c r="DI442" s="417" t="n">
        <v>0</v>
      </c>
      <c r="DJ442" s="417"/>
      <c r="DN442" s="417"/>
      <c r="DO442" s="417"/>
    </row>
    <row r="443" customFormat="false" ht="12.75" hidden="false" customHeight="false" outlineLevel="0" collapsed="false">
      <c r="DH443" s="417" t="n">
        <v>0</v>
      </c>
      <c r="DI443" s="417" t="n">
        <v>0</v>
      </c>
      <c r="DJ443" s="417"/>
      <c r="DN443" s="417"/>
      <c r="DO443" s="417"/>
    </row>
    <row r="444" customFormat="false" ht="12.75" hidden="false" customHeight="false" outlineLevel="0" collapsed="false">
      <c r="DH444" s="417" t="n">
        <v>0</v>
      </c>
      <c r="DI444" s="417" t="n">
        <v>0</v>
      </c>
      <c r="DJ444" s="417"/>
      <c r="DN444" s="417"/>
      <c r="DO444" s="417"/>
    </row>
    <row r="445" customFormat="false" ht="12.75" hidden="false" customHeight="false" outlineLevel="0" collapsed="false">
      <c r="DH445" s="417" t="n">
        <v>0</v>
      </c>
      <c r="DI445" s="417" t="n">
        <v>0</v>
      </c>
      <c r="DJ445" s="417"/>
      <c r="DN445" s="417"/>
      <c r="DO445" s="417"/>
    </row>
    <row r="446" customFormat="false" ht="12.75" hidden="false" customHeight="false" outlineLevel="0" collapsed="false">
      <c r="DH446" s="417" t="n">
        <v>0</v>
      </c>
      <c r="DI446" s="417" t="n">
        <v>0</v>
      </c>
      <c r="DJ446" s="417"/>
      <c r="DN446" s="417"/>
      <c r="DO446" s="417"/>
    </row>
    <row r="447" customFormat="false" ht="12.75" hidden="false" customHeight="false" outlineLevel="0" collapsed="false">
      <c r="DH447" s="417" t="n">
        <v>0</v>
      </c>
      <c r="DI447" s="417" t="n">
        <v>0</v>
      </c>
      <c r="DJ447" s="417"/>
      <c r="DN447" s="417"/>
      <c r="DO447" s="417"/>
    </row>
    <row r="448" customFormat="false" ht="12.75" hidden="false" customHeight="false" outlineLevel="0" collapsed="false">
      <c r="DH448" s="417" t="n">
        <v>0</v>
      </c>
      <c r="DI448" s="417" t="n">
        <v>0</v>
      </c>
      <c r="DJ448" s="417"/>
      <c r="DN448" s="417"/>
      <c r="DO448" s="417"/>
    </row>
    <row r="449" customFormat="false" ht="12.75" hidden="false" customHeight="false" outlineLevel="0" collapsed="false">
      <c r="DH449" s="417" t="n">
        <v>0</v>
      </c>
      <c r="DI449" s="417" t="n">
        <v>0</v>
      </c>
      <c r="DJ449" s="417"/>
      <c r="DN449" s="417"/>
      <c r="DO449" s="417"/>
    </row>
    <row r="450" customFormat="false" ht="12.75" hidden="false" customHeight="false" outlineLevel="0" collapsed="false">
      <c r="DH450" s="417" t="n">
        <v>0</v>
      </c>
      <c r="DI450" s="417" t="n">
        <v>0</v>
      </c>
      <c r="DJ450" s="417"/>
      <c r="DN450" s="417"/>
      <c r="DO450" s="417"/>
    </row>
    <row r="451" customFormat="false" ht="12.75" hidden="false" customHeight="false" outlineLevel="0" collapsed="false">
      <c r="DH451" s="417" t="n">
        <v>0</v>
      </c>
      <c r="DI451" s="417" t="n">
        <v>0</v>
      </c>
      <c r="DJ451" s="417"/>
      <c r="DN451" s="417"/>
      <c r="DO451" s="417"/>
    </row>
    <row r="452" customFormat="false" ht="12.75" hidden="false" customHeight="false" outlineLevel="0" collapsed="false">
      <c r="DH452" s="417" t="n">
        <v>0</v>
      </c>
      <c r="DI452" s="417" t="n">
        <v>0</v>
      </c>
      <c r="DJ452" s="417"/>
      <c r="DN452" s="417"/>
      <c r="DO452" s="417"/>
    </row>
    <row r="453" customFormat="false" ht="12.75" hidden="false" customHeight="false" outlineLevel="0" collapsed="false">
      <c r="DH453" s="417" t="n">
        <v>0</v>
      </c>
      <c r="DI453" s="417" t="n">
        <v>0</v>
      </c>
      <c r="DJ453" s="417"/>
      <c r="DN453" s="417"/>
      <c r="DO453" s="417"/>
    </row>
    <row r="454" customFormat="false" ht="12.75" hidden="false" customHeight="false" outlineLevel="0" collapsed="false">
      <c r="DH454" s="417" t="n">
        <v>0</v>
      </c>
      <c r="DI454" s="417" t="n">
        <v>0</v>
      </c>
      <c r="DJ454" s="417"/>
      <c r="DN454" s="417"/>
      <c r="DO454" s="417"/>
    </row>
    <row r="455" customFormat="false" ht="12.75" hidden="false" customHeight="false" outlineLevel="0" collapsed="false">
      <c r="DH455" s="417" t="n">
        <v>0</v>
      </c>
      <c r="DI455" s="417" t="n">
        <v>0</v>
      </c>
      <c r="DJ455" s="417"/>
      <c r="DN455" s="417"/>
      <c r="DO455" s="417"/>
    </row>
    <row r="456" customFormat="false" ht="12.75" hidden="false" customHeight="false" outlineLevel="0" collapsed="false">
      <c r="DH456" s="417" t="n">
        <v>0</v>
      </c>
      <c r="DI456" s="417" t="n">
        <v>0</v>
      </c>
      <c r="DJ456" s="417"/>
      <c r="DN456" s="417"/>
      <c r="DO456" s="417"/>
    </row>
    <row r="457" customFormat="false" ht="12.75" hidden="false" customHeight="false" outlineLevel="0" collapsed="false">
      <c r="DH457" s="417" t="n">
        <v>0</v>
      </c>
      <c r="DI457" s="417" t="n">
        <v>0</v>
      </c>
      <c r="DJ457" s="417"/>
      <c r="DN457" s="417"/>
      <c r="DO457" s="417"/>
    </row>
    <row r="458" customFormat="false" ht="12.75" hidden="false" customHeight="false" outlineLevel="0" collapsed="false">
      <c r="DH458" s="417" t="n">
        <v>0</v>
      </c>
      <c r="DI458" s="417" t="n">
        <v>0</v>
      </c>
      <c r="DJ458" s="417"/>
      <c r="DN458" s="417"/>
      <c r="DO458" s="417"/>
    </row>
    <row r="459" customFormat="false" ht="12.75" hidden="false" customHeight="false" outlineLevel="0" collapsed="false">
      <c r="DH459" s="417" t="n">
        <v>0</v>
      </c>
      <c r="DI459" s="417" t="n">
        <v>0</v>
      </c>
      <c r="DJ459" s="417"/>
      <c r="DN459" s="417"/>
      <c r="DO459" s="417"/>
    </row>
    <row r="460" customFormat="false" ht="12.75" hidden="false" customHeight="false" outlineLevel="0" collapsed="false">
      <c r="DH460" s="417" t="n">
        <v>0</v>
      </c>
      <c r="DI460" s="417" t="n">
        <v>0</v>
      </c>
      <c r="DJ460" s="417"/>
      <c r="DN460" s="417"/>
      <c r="DO460" s="417"/>
    </row>
    <row r="461" customFormat="false" ht="12.75" hidden="false" customHeight="false" outlineLevel="0" collapsed="false">
      <c r="DH461" s="417" t="n">
        <v>0</v>
      </c>
      <c r="DI461" s="417" t="n">
        <v>0</v>
      </c>
      <c r="DJ461" s="417"/>
      <c r="DN461" s="417"/>
      <c r="DO461" s="417"/>
    </row>
    <row r="462" customFormat="false" ht="12.75" hidden="false" customHeight="false" outlineLevel="0" collapsed="false">
      <c r="DH462" s="417" t="n">
        <v>0</v>
      </c>
      <c r="DI462" s="417" t="n">
        <v>0</v>
      </c>
      <c r="DJ462" s="417"/>
      <c r="DN462" s="417"/>
      <c r="DO462" s="417"/>
    </row>
    <row r="463" customFormat="false" ht="12.75" hidden="false" customHeight="false" outlineLevel="0" collapsed="false">
      <c r="DH463" s="417" t="n">
        <v>0</v>
      </c>
      <c r="DI463" s="417" t="n">
        <v>0</v>
      </c>
      <c r="DJ463" s="417"/>
      <c r="DN463" s="417"/>
      <c r="DO463" s="417"/>
    </row>
    <row r="464" customFormat="false" ht="12.75" hidden="false" customHeight="false" outlineLevel="0" collapsed="false">
      <c r="DH464" s="417" t="n">
        <v>0</v>
      </c>
      <c r="DI464" s="417" t="n">
        <v>0</v>
      </c>
      <c r="DJ464" s="417"/>
      <c r="DN464" s="417"/>
      <c r="DO464" s="417"/>
    </row>
    <row r="465" customFormat="false" ht="12.75" hidden="false" customHeight="false" outlineLevel="0" collapsed="false">
      <c r="DH465" s="417" t="n">
        <v>0</v>
      </c>
      <c r="DI465" s="417" t="n">
        <v>0</v>
      </c>
      <c r="DJ465" s="417"/>
      <c r="DN465" s="417"/>
      <c r="DO465" s="417"/>
    </row>
    <row r="466" customFormat="false" ht="12.75" hidden="false" customHeight="false" outlineLevel="0" collapsed="false">
      <c r="DH466" s="417" t="n">
        <v>0</v>
      </c>
      <c r="DI466" s="417" t="n">
        <v>0</v>
      </c>
      <c r="DJ466" s="417"/>
      <c r="DN466" s="417"/>
      <c r="DO466" s="417"/>
    </row>
    <row r="467" customFormat="false" ht="12.75" hidden="false" customHeight="false" outlineLevel="0" collapsed="false">
      <c r="DH467" s="417" t="n">
        <v>0</v>
      </c>
      <c r="DI467" s="417" t="n">
        <v>0</v>
      </c>
      <c r="DJ467" s="417"/>
      <c r="DN467" s="417"/>
      <c r="DO467" s="417"/>
    </row>
    <row r="468" customFormat="false" ht="12.75" hidden="false" customHeight="false" outlineLevel="0" collapsed="false">
      <c r="DH468" s="417" t="n">
        <v>0</v>
      </c>
      <c r="DI468" s="417" t="n">
        <v>0</v>
      </c>
      <c r="DJ468" s="417"/>
      <c r="DN468" s="417"/>
      <c r="DO468" s="417"/>
    </row>
    <row r="469" customFormat="false" ht="12.75" hidden="false" customHeight="false" outlineLevel="0" collapsed="false">
      <c r="DH469" s="417" t="n">
        <v>0</v>
      </c>
      <c r="DI469" s="417" t="n">
        <v>0</v>
      </c>
      <c r="DJ469" s="417"/>
      <c r="DN469" s="417"/>
      <c r="DO469" s="417"/>
    </row>
    <row r="470" customFormat="false" ht="12.75" hidden="false" customHeight="false" outlineLevel="0" collapsed="false">
      <c r="DH470" s="417" t="n">
        <v>0</v>
      </c>
      <c r="DI470" s="417" t="n">
        <v>0</v>
      </c>
      <c r="DJ470" s="417"/>
      <c r="DN470" s="417"/>
      <c r="DO470" s="417"/>
    </row>
    <row r="471" customFormat="false" ht="12.75" hidden="false" customHeight="false" outlineLevel="0" collapsed="false">
      <c r="DH471" s="417" t="n">
        <v>0</v>
      </c>
      <c r="DI471" s="417" t="n">
        <v>0</v>
      </c>
      <c r="DJ471" s="417"/>
      <c r="DN471" s="417"/>
      <c r="DO471" s="417"/>
    </row>
    <row r="472" customFormat="false" ht="12.75" hidden="false" customHeight="false" outlineLevel="0" collapsed="false">
      <c r="DH472" s="417" t="n">
        <v>0</v>
      </c>
      <c r="DI472" s="417" t="n">
        <v>0</v>
      </c>
      <c r="DJ472" s="417"/>
      <c r="DN472" s="417"/>
      <c r="DO472" s="417"/>
    </row>
    <row r="473" customFormat="false" ht="12.75" hidden="false" customHeight="false" outlineLevel="0" collapsed="false">
      <c r="DH473" s="417" t="n">
        <v>0</v>
      </c>
      <c r="DI473" s="417" t="n">
        <v>0</v>
      </c>
      <c r="DJ473" s="417"/>
      <c r="DN473" s="417"/>
      <c r="DO473" s="417"/>
    </row>
    <row r="474" customFormat="false" ht="12.75" hidden="false" customHeight="false" outlineLevel="0" collapsed="false">
      <c r="DH474" s="417" t="n">
        <v>0</v>
      </c>
      <c r="DI474" s="417" t="n">
        <v>0</v>
      </c>
      <c r="DJ474" s="417"/>
      <c r="DN474" s="417"/>
      <c r="DO474" s="417"/>
    </row>
    <row r="475" customFormat="false" ht="12.75" hidden="false" customHeight="false" outlineLevel="0" collapsed="false">
      <c r="DH475" s="417" t="n">
        <v>0</v>
      </c>
      <c r="DI475" s="417" t="n">
        <v>0</v>
      </c>
      <c r="DJ475" s="417"/>
      <c r="DN475" s="417"/>
      <c r="DO475" s="417"/>
    </row>
    <row r="476" customFormat="false" ht="12.75" hidden="false" customHeight="false" outlineLevel="0" collapsed="false">
      <c r="DH476" s="417" t="n">
        <v>0</v>
      </c>
      <c r="DI476" s="417" t="n">
        <v>0</v>
      </c>
      <c r="DJ476" s="417"/>
      <c r="DN476" s="417"/>
      <c r="DO476" s="417"/>
    </row>
    <row r="477" customFormat="false" ht="12.75" hidden="false" customHeight="false" outlineLevel="0" collapsed="false">
      <c r="DH477" s="417" t="n">
        <v>0</v>
      </c>
      <c r="DI477" s="417" t="n">
        <v>0</v>
      </c>
      <c r="DJ477" s="417"/>
      <c r="DN477" s="417"/>
      <c r="DO477" s="417"/>
    </row>
    <row r="478" customFormat="false" ht="12.75" hidden="false" customHeight="false" outlineLevel="0" collapsed="false">
      <c r="DH478" s="417" t="n">
        <v>0</v>
      </c>
      <c r="DI478" s="417" t="n">
        <v>0</v>
      </c>
      <c r="DJ478" s="417"/>
      <c r="DN478" s="417"/>
      <c r="DO478" s="417"/>
    </row>
    <row r="479" customFormat="false" ht="12.75" hidden="false" customHeight="false" outlineLevel="0" collapsed="false">
      <c r="DH479" s="417" t="n">
        <v>0</v>
      </c>
      <c r="DI479" s="417" t="n">
        <v>0</v>
      </c>
      <c r="DJ479" s="417"/>
      <c r="DN479" s="417"/>
      <c r="DO479" s="417"/>
    </row>
    <row r="480" customFormat="false" ht="12.75" hidden="false" customHeight="false" outlineLevel="0" collapsed="false">
      <c r="DH480" s="417" t="n">
        <v>0</v>
      </c>
      <c r="DI480" s="417" t="n">
        <v>0</v>
      </c>
      <c r="DJ480" s="417"/>
      <c r="DN480" s="417"/>
      <c r="DO480" s="417"/>
    </row>
    <row r="481" customFormat="false" ht="12.75" hidden="false" customHeight="false" outlineLevel="0" collapsed="false">
      <c r="DH481" s="417" t="n">
        <v>0</v>
      </c>
      <c r="DI481" s="417" t="n">
        <v>0</v>
      </c>
      <c r="DJ481" s="417"/>
      <c r="DN481" s="417"/>
      <c r="DO481" s="417"/>
    </row>
    <row r="482" customFormat="false" ht="12.75" hidden="false" customHeight="false" outlineLevel="0" collapsed="false">
      <c r="DH482" s="417" t="n">
        <v>0</v>
      </c>
      <c r="DI482" s="417" t="n">
        <v>0</v>
      </c>
      <c r="DJ482" s="417"/>
      <c r="DN482" s="417"/>
      <c r="DO482" s="417"/>
    </row>
    <row r="483" customFormat="false" ht="12.75" hidden="false" customHeight="false" outlineLevel="0" collapsed="false">
      <c r="DH483" s="417" t="n">
        <v>0</v>
      </c>
      <c r="DI483" s="417" t="n">
        <v>0</v>
      </c>
      <c r="DJ483" s="417"/>
      <c r="DN483" s="417"/>
      <c r="DO483" s="417"/>
    </row>
    <row r="484" customFormat="false" ht="12.75" hidden="false" customHeight="false" outlineLevel="0" collapsed="false">
      <c r="DH484" s="417" t="n">
        <v>0</v>
      </c>
      <c r="DI484" s="417" t="n">
        <v>0</v>
      </c>
      <c r="DJ484" s="417"/>
      <c r="DN484" s="417"/>
      <c r="DO484" s="417"/>
    </row>
    <row r="485" customFormat="false" ht="12.75" hidden="false" customHeight="false" outlineLevel="0" collapsed="false">
      <c r="DH485" s="417" t="n">
        <v>0</v>
      </c>
      <c r="DI485" s="417" t="n">
        <v>0</v>
      </c>
      <c r="DJ485" s="417"/>
      <c r="DN485" s="417"/>
      <c r="DO485" s="417"/>
    </row>
    <row r="486" customFormat="false" ht="12.75" hidden="false" customHeight="false" outlineLevel="0" collapsed="false">
      <c r="DH486" s="417" t="n">
        <v>0</v>
      </c>
      <c r="DI486" s="417" t="n">
        <v>0</v>
      </c>
      <c r="DJ486" s="417"/>
      <c r="DN486" s="417"/>
      <c r="DO486" s="417"/>
    </row>
    <row r="487" customFormat="false" ht="12.75" hidden="false" customHeight="false" outlineLevel="0" collapsed="false">
      <c r="DH487" s="417" t="n">
        <v>0</v>
      </c>
      <c r="DI487" s="417" t="n">
        <v>0</v>
      </c>
      <c r="DJ487" s="417"/>
      <c r="DN487" s="417"/>
      <c r="DO487" s="417"/>
    </row>
    <row r="488" customFormat="false" ht="12.75" hidden="false" customHeight="false" outlineLevel="0" collapsed="false">
      <c r="DH488" s="417" t="n">
        <v>0</v>
      </c>
      <c r="DI488" s="417" t="n">
        <v>0</v>
      </c>
      <c r="DJ488" s="417"/>
      <c r="DN488" s="417"/>
      <c r="DO488" s="417"/>
    </row>
    <row r="489" customFormat="false" ht="12.75" hidden="false" customHeight="false" outlineLevel="0" collapsed="false">
      <c r="DH489" s="417" t="n">
        <v>0</v>
      </c>
      <c r="DI489" s="417" t="n">
        <v>0</v>
      </c>
      <c r="DJ489" s="417"/>
      <c r="DN489" s="417"/>
      <c r="DO489" s="417"/>
    </row>
    <row r="490" customFormat="false" ht="12.75" hidden="false" customHeight="false" outlineLevel="0" collapsed="false">
      <c r="DH490" s="417" t="n">
        <v>0</v>
      </c>
      <c r="DI490" s="417" t="n">
        <v>0</v>
      </c>
      <c r="DJ490" s="417"/>
      <c r="DN490" s="417"/>
      <c r="DO490" s="417"/>
    </row>
    <row r="491" customFormat="false" ht="12.75" hidden="false" customHeight="false" outlineLevel="0" collapsed="false">
      <c r="DH491" s="417" t="n">
        <v>0</v>
      </c>
      <c r="DI491" s="417" t="n">
        <v>0</v>
      </c>
      <c r="DJ491" s="417"/>
      <c r="DN491" s="417"/>
      <c r="DO491" s="417"/>
    </row>
    <row r="492" customFormat="false" ht="12.75" hidden="false" customHeight="false" outlineLevel="0" collapsed="false">
      <c r="DH492" s="417" t="n">
        <v>0</v>
      </c>
      <c r="DI492" s="417" t="n">
        <v>0</v>
      </c>
      <c r="DJ492" s="417"/>
      <c r="DN492" s="417"/>
      <c r="DO492" s="417"/>
    </row>
    <row r="493" customFormat="false" ht="12.75" hidden="false" customHeight="false" outlineLevel="0" collapsed="false">
      <c r="DH493" s="417" t="n">
        <v>0</v>
      </c>
      <c r="DI493" s="417" t="n">
        <v>0</v>
      </c>
      <c r="DJ493" s="417"/>
      <c r="DN493" s="417"/>
      <c r="DO493" s="417"/>
    </row>
    <row r="494" customFormat="false" ht="12.75" hidden="false" customHeight="false" outlineLevel="0" collapsed="false">
      <c r="DH494" s="417" t="n">
        <v>0</v>
      </c>
      <c r="DI494" s="417" t="n">
        <v>0</v>
      </c>
      <c r="DJ494" s="417"/>
      <c r="DN494" s="417"/>
      <c r="DO494" s="417"/>
    </row>
    <row r="495" customFormat="false" ht="12.75" hidden="false" customHeight="false" outlineLevel="0" collapsed="false">
      <c r="DH495" s="417" t="n">
        <v>0</v>
      </c>
      <c r="DI495" s="417" t="n">
        <v>0</v>
      </c>
      <c r="DJ495" s="417"/>
      <c r="DN495" s="417"/>
      <c r="DO495" s="417"/>
    </row>
    <row r="496" customFormat="false" ht="12.75" hidden="false" customHeight="false" outlineLevel="0" collapsed="false">
      <c r="DH496" s="417" t="n">
        <v>0</v>
      </c>
      <c r="DI496" s="417" t="n">
        <v>0</v>
      </c>
      <c r="DJ496" s="417"/>
      <c r="DN496" s="417"/>
      <c r="DO496" s="417"/>
    </row>
    <row r="497" customFormat="false" ht="12.75" hidden="false" customHeight="false" outlineLevel="0" collapsed="false">
      <c r="DH497" s="417" t="n">
        <v>0</v>
      </c>
      <c r="DI497" s="417" t="n">
        <v>0</v>
      </c>
      <c r="DJ497" s="417"/>
      <c r="DN497" s="417"/>
      <c r="DO497" s="417"/>
    </row>
    <row r="498" customFormat="false" ht="12.75" hidden="false" customHeight="false" outlineLevel="0" collapsed="false">
      <c r="DH498" s="417" t="n">
        <v>0</v>
      </c>
      <c r="DI498" s="417" t="n">
        <v>0</v>
      </c>
      <c r="DJ498" s="417"/>
      <c r="DN498" s="417"/>
      <c r="DO498" s="417"/>
    </row>
    <row r="499" customFormat="false" ht="12.75" hidden="false" customHeight="false" outlineLevel="0" collapsed="false">
      <c r="DH499" s="417" t="n">
        <v>0</v>
      </c>
      <c r="DI499" s="417" t="n">
        <v>0</v>
      </c>
      <c r="DJ499" s="417"/>
      <c r="DN499" s="417"/>
      <c r="DO499" s="417"/>
    </row>
    <row r="500" customFormat="false" ht="12.75" hidden="false" customHeight="false" outlineLevel="0" collapsed="false">
      <c r="DH500" s="417" t="n">
        <v>0</v>
      </c>
      <c r="DI500" s="417" t="n">
        <v>0</v>
      </c>
      <c r="DJ500" s="417"/>
      <c r="DN500" s="417"/>
      <c r="DO500" s="417"/>
    </row>
    <row r="501" customFormat="false" ht="12.75" hidden="false" customHeight="false" outlineLevel="0" collapsed="false">
      <c r="DH501" s="417" t="n">
        <v>0</v>
      </c>
      <c r="DI501" s="417" t="n">
        <v>0</v>
      </c>
      <c r="DJ501" s="417"/>
      <c r="DN501" s="417"/>
      <c r="DO501" s="417"/>
    </row>
    <row r="502" customFormat="false" ht="12.75" hidden="false" customHeight="false" outlineLevel="0" collapsed="false">
      <c r="DH502" s="417" t="n">
        <v>0</v>
      </c>
      <c r="DI502" s="417" t="n">
        <v>0</v>
      </c>
      <c r="DJ502" s="417"/>
      <c r="DN502" s="417"/>
      <c r="DO502" s="417"/>
    </row>
    <row r="503" customFormat="false" ht="12.75" hidden="false" customHeight="false" outlineLevel="0" collapsed="false">
      <c r="DH503" s="417" t="n">
        <v>0</v>
      </c>
      <c r="DI503" s="417" t="n">
        <v>0</v>
      </c>
      <c r="DJ503" s="417"/>
      <c r="DN503" s="417"/>
      <c r="DO503" s="417"/>
    </row>
    <row r="504" customFormat="false" ht="12.75" hidden="false" customHeight="false" outlineLevel="0" collapsed="false">
      <c r="DH504" s="417" t="n">
        <v>0</v>
      </c>
      <c r="DI504" s="417" t="n">
        <v>0</v>
      </c>
      <c r="DJ504" s="417"/>
      <c r="DN504" s="417"/>
      <c r="DO504" s="417"/>
    </row>
    <row r="505" customFormat="false" ht="12.75" hidden="false" customHeight="false" outlineLevel="0" collapsed="false">
      <c r="DH505" s="417" t="n">
        <v>0</v>
      </c>
      <c r="DI505" s="417" t="n">
        <v>0</v>
      </c>
      <c r="DJ505" s="417"/>
      <c r="DN505" s="417"/>
      <c r="DO505" s="417"/>
    </row>
    <row r="506" customFormat="false" ht="12.75" hidden="false" customHeight="false" outlineLevel="0" collapsed="false">
      <c r="DH506" s="417" t="n">
        <v>0</v>
      </c>
      <c r="DI506" s="417" t="n">
        <v>0</v>
      </c>
      <c r="DJ506" s="417"/>
      <c r="DN506" s="417"/>
      <c r="DO506" s="417"/>
    </row>
    <row r="507" customFormat="false" ht="12.75" hidden="false" customHeight="false" outlineLevel="0" collapsed="false">
      <c r="DH507" s="417" t="n">
        <v>0</v>
      </c>
      <c r="DI507" s="417" t="n">
        <v>0</v>
      </c>
      <c r="DJ507" s="417"/>
      <c r="DN507" s="417"/>
      <c r="DO507" s="417"/>
    </row>
    <row r="508" customFormat="false" ht="12.75" hidden="false" customHeight="false" outlineLevel="0" collapsed="false">
      <c r="DH508" s="417" t="n">
        <v>0</v>
      </c>
      <c r="DI508" s="417" t="n">
        <v>0</v>
      </c>
      <c r="DJ508" s="417"/>
      <c r="DN508" s="417"/>
      <c r="DO508" s="417"/>
    </row>
    <row r="509" customFormat="false" ht="12.75" hidden="false" customHeight="false" outlineLevel="0" collapsed="false">
      <c r="DH509" s="417" t="n">
        <v>0</v>
      </c>
      <c r="DI509" s="417" t="n">
        <v>0</v>
      </c>
      <c r="DJ509" s="417"/>
      <c r="DN509" s="417"/>
      <c r="DO509" s="417"/>
    </row>
    <row r="510" customFormat="false" ht="12.75" hidden="false" customHeight="false" outlineLevel="0" collapsed="false">
      <c r="DH510" s="417" t="n">
        <v>0</v>
      </c>
      <c r="DI510" s="417" t="n">
        <v>0</v>
      </c>
      <c r="DJ510" s="417"/>
      <c r="DN510" s="417"/>
      <c r="DO510" s="417"/>
    </row>
    <row r="511" customFormat="false" ht="12.75" hidden="false" customHeight="false" outlineLevel="0" collapsed="false">
      <c r="DH511" s="417" t="n">
        <v>0</v>
      </c>
      <c r="DI511" s="417" t="n">
        <v>0</v>
      </c>
      <c r="DJ511" s="417"/>
      <c r="DN511" s="417"/>
      <c r="DO511" s="417"/>
    </row>
    <row r="512" customFormat="false" ht="12.75" hidden="false" customHeight="false" outlineLevel="0" collapsed="false">
      <c r="DH512" s="417" t="n">
        <v>0</v>
      </c>
      <c r="DI512" s="417" t="n">
        <v>0</v>
      </c>
      <c r="DJ512" s="417"/>
      <c r="DN512" s="417"/>
      <c r="DO512" s="417"/>
    </row>
    <row r="513" customFormat="false" ht="12.75" hidden="false" customHeight="false" outlineLevel="0" collapsed="false">
      <c r="DH513" s="417" t="n">
        <v>0</v>
      </c>
      <c r="DI513" s="417" t="n">
        <v>0</v>
      </c>
      <c r="DJ513" s="417"/>
      <c r="DN513" s="417"/>
      <c r="DO513" s="417"/>
    </row>
    <row r="514" customFormat="false" ht="12.75" hidden="false" customHeight="false" outlineLevel="0" collapsed="false">
      <c r="DH514" s="417" t="n">
        <v>0</v>
      </c>
      <c r="DI514" s="417" t="n">
        <v>0</v>
      </c>
      <c r="DJ514" s="417"/>
      <c r="DN514" s="417"/>
      <c r="DO514" s="417"/>
    </row>
    <row r="515" customFormat="false" ht="12.75" hidden="false" customHeight="false" outlineLevel="0" collapsed="false">
      <c r="DH515" s="417" t="n">
        <v>0</v>
      </c>
      <c r="DI515" s="417" t="n">
        <v>0</v>
      </c>
      <c r="DJ515" s="417"/>
      <c r="DN515" s="417"/>
      <c r="DO515" s="417"/>
    </row>
    <row r="516" customFormat="false" ht="12.75" hidden="false" customHeight="false" outlineLevel="0" collapsed="false">
      <c r="DH516" s="417" t="n">
        <v>0</v>
      </c>
      <c r="DI516" s="417" t="n">
        <v>0</v>
      </c>
      <c r="DJ516" s="417"/>
      <c r="DN516" s="417"/>
      <c r="DO516" s="417"/>
    </row>
    <row r="517" customFormat="false" ht="12.75" hidden="false" customHeight="false" outlineLevel="0" collapsed="false">
      <c r="DH517" s="417" t="n">
        <v>0</v>
      </c>
      <c r="DI517" s="417" t="n">
        <v>0</v>
      </c>
      <c r="DJ517" s="417"/>
      <c r="DN517" s="417"/>
      <c r="DO517" s="417"/>
    </row>
    <row r="518" customFormat="false" ht="12.75" hidden="false" customHeight="false" outlineLevel="0" collapsed="false">
      <c r="DH518" s="417" t="n">
        <v>0</v>
      </c>
      <c r="DI518" s="417" t="n">
        <v>0</v>
      </c>
      <c r="DJ518" s="417"/>
      <c r="DN518" s="417"/>
      <c r="DO518" s="417"/>
    </row>
    <row r="519" customFormat="false" ht="12.75" hidden="false" customHeight="false" outlineLevel="0" collapsed="false">
      <c r="DH519" s="417" t="n">
        <v>0</v>
      </c>
      <c r="DI519" s="417" t="n">
        <v>0</v>
      </c>
      <c r="DJ519" s="417"/>
      <c r="DN519" s="417"/>
      <c r="DO519" s="417"/>
    </row>
    <row r="520" customFormat="false" ht="12.75" hidden="false" customHeight="false" outlineLevel="0" collapsed="false">
      <c r="DH520" s="417" t="n">
        <v>0</v>
      </c>
      <c r="DI520" s="417" t="n">
        <v>0</v>
      </c>
      <c r="DJ520" s="417"/>
      <c r="DN520" s="417"/>
      <c r="DO520" s="417"/>
    </row>
    <row r="521" customFormat="false" ht="12.75" hidden="false" customHeight="false" outlineLevel="0" collapsed="false">
      <c r="DH521" s="417" t="n">
        <v>0</v>
      </c>
      <c r="DI521" s="417" t="n">
        <v>0</v>
      </c>
      <c r="DJ521" s="417"/>
      <c r="DN521" s="417"/>
      <c r="DO521" s="417"/>
    </row>
    <row r="522" customFormat="false" ht="12.75" hidden="false" customHeight="false" outlineLevel="0" collapsed="false">
      <c r="DH522" s="417" t="n">
        <v>0</v>
      </c>
      <c r="DI522" s="417" t="n">
        <v>0</v>
      </c>
      <c r="DJ522" s="417"/>
      <c r="DN522" s="417"/>
      <c r="DO522" s="417"/>
    </row>
    <row r="523" customFormat="false" ht="12.75" hidden="false" customHeight="false" outlineLevel="0" collapsed="false">
      <c r="DH523" s="417" t="n">
        <v>0</v>
      </c>
      <c r="DI523" s="417" t="n">
        <v>0</v>
      </c>
      <c r="DJ523" s="417"/>
      <c r="DN523" s="417"/>
      <c r="DO523" s="417"/>
    </row>
    <row r="524" customFormat="false" ht="12.75" hidden="false" customHeight="false" outlineLevel="0" collapsed="false">
      <c r="DH524" s="417" t="n">
        <v>0</v>
      </c>
      <c r="DI524" s="417" t="n">
        <v>0</v>
      </c>
      <c r="DJ524" s="417"/>
      <c r="DN524" s="417"/>
      <c r="DO524" s="417"/>
    </row>
    <row r="525" customFormat="false" ht="12.75" hidden="false" customHeight="false" outlineLevel="0" collapsed="false">
      <c r="DH525" s="417" t="n">
        <v>0</v>
      </c>
      <c r="DI525" s="417" t="n">
        <v>0</v>
      </c>
      <c r="DJ525" s="417"/>
      <c r="DN525" s="417"/>
      <c r="DO525" s="417"/>
    </row>
    <row r="526" customFormat="false" ht="12.75" hidden="false" customHeight="false" outlineLevel="0" collapsed="false">
      <c r="DH526" s="417" t="n">
        <v>0</v>
      </c>
      <c r="DI526" s="417" t="n">
        <v>0</v>
      </c>
      <c r="DJ526" s="417"/>
      <c r="DN526" s="417"/>
      <c r="DO526" s="417"/>
    </row>
    <row r="527" customFormat="false" ht="12.75" hidden="false" customHeight="false" outlineLevel="0" collapsed="false">
      <c r="DH527" s="417" t="n">
        <v>0</v>
      </c>
      <c r="DI527" s="417" t="n">
        <v>0</v>
      </c>
      <c r="DJ527" s="417"/>
      <c r="DN527" s="417"/>
      <c r="DO527" s="417"/>
    </row>
    <row r="528" customFormat="false" ht="12.75" hidden="false" customHeight="false" outlineLevel="0" collapsed="false">
      <c r="DH528" s="417" t="n">
        <v>0</v>
      </c>
      <c r="DI528" s="417" t="n">
        <v>0</v>
      </c>
      <c r="DJ528" s="417"/>
      <c r="DN528" s="417"/>
      <c r="DO528" s="417"/>
    </row>
    <row r="529" customFormat="false" ht="12.75" hidden="false" customHeight="false" outlineLevel="0" collapsed="false">
      <c r="DH529" s="417" t="n">
        <v>0</v>
      </c>
      <c r="DI529" s="417" t="n">
        <v>0</v>
      </c>
      <c r="DJ529" s="417"/>
      <c r="DN529" s="417"/>
      <c r="DO529" s="417"/>
    </row>
    <row r="530" customFormat="false" ht="12.75" hidden="false" customHeight="false" outlineLevel="0" collapsed="false">
      <c r="DH530" s="417" t="n">
        <v>0</v>
      </c>
      <c r="DI530" s="417" t="n">
        <v>0</v>
      </c>
      <c r="DJ530" s="417"/>
      <c r="DN530" s="417"/>
      <c r="DO530" s="417"/>
    </row>
    <row r="531" customFormat="false" ht="12.75" hidden="false" customHeight="false" outlineLevel="0" collapsed="false">
      <c r="DH531" s="417" t="n">
        <v>0</v>
      </c>
      <c r="DI531" s="417" t="n">
        <v>0</v>
      </c>
      <c r="DJ531" s="417"/>
      <c r="DN531" s="417"/>
      <c r="DO531" s="417"/>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566">
              <controlPr defaultSize="0" print="false" autoFill="0" autoPict="0" macro="Module3.Button566_Click">
                <anchor moveWithCells="true" sizeWithCells="false">
                  <from>
                    <xdr:col>32</xdr:col>
                    <xdr:colOff>332280</xdr:colOff>
                    <xdr:row>4</xdr:row>
                    <xdr:rowOff>124200</xdr:rowOff>
                  </from>
                  <to>
                    <xdr:col>33</xdr:col>
                    <xdr:colOff>402840</xdr:colOff>
                    <xdr:row>6</xdr:row>
                    <xdr:rowOff>76320</xdr:rowOff>
                  </to>
                </anchor>
              </controlPr>
            </control>
          </mc:Choice>
        </mc:AlternateContent>
      </controls>
    </mc:Choice>
  </mc:AlternateConten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Y26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K11" activeCellId="0" sqref="K11:K130"/>
    </sheetView>
  </sheetViews>
  <sheetFormatPr defaultColWidth="9.0546875" defaultRowHeight="12.75" customHeight="true" zeroHeight="false" outlineLevelRow="0" outlineLevelCol="0"/>
  <cols>
    <col collapsed="false" customWidth="true" hidden="false" outlineLevel="0" max="1" min="1" style="767" width="21.84"/>
    <col collapsed="false" customWidth="true" hidden="false" outlineLevel="0" max="2" min="2" style="768" width="13.85"/>
    <col collapsed="false" customWidth="true" hidden="false" outlineLevel="0" max="3" min="3" style="769" width="11.85"/>
    <col collapsed="false" customWidth="true" hidden="false" outlineLevel="0" max="4" min="4" style="770" width="11.7"/>
    <col collapsed="false" customWidth="true" hidden="false" outlineLevel="0" max="5" min="5" style="771" width="10.28"/>
    <col collapsed="false" customWidth="true" hidden="false" outlineLevel="0" max="6" min="6" style="769" width="12.42"/>
    <col collapsed="false" customWidth="true" hidden="false" outlineLevel="0" max="7" min="7" style="771" width="13.28"/>
    <col collapsed="false" customWidth="true" hidden="false" outlineLevel="0" max="8" min="8" style="770" width="10.28"/>
    <col collapsed="false" customWidth="true" hidden="false" outlineLevel="0" max="9" min="9" style="769" width="9.14"/>
    <col collapsed="false" customWidth="true" hidden="false" outlineLevel="0" max="10" min="10" style="772" width="9.14"/>
    <col collapsed="false" customWidth="true" hidden="false" outlineLevel="0" max="11" min="11" style="771" width="9.14"/>
    <col collapsed="false" customWidth="true" hidden="false" outlineLevel="0" max="12" min="12" style="769" width="9.14"/>
    <col collapsed="false" customWidth="true" hidden="false" outlineLevel="0" max="13" min="13" style="770" width="9.14"/>
    <col collapsed="false" customWidth="true" hidden="false" outlineLevel="0" max="14" min="14" style="769" width="9.85"/>
    <col collapsed="false" customWidth="true" hidden="false" outlineLevel="0" max="15" min="15" style="770" width="9.99"/>
    <col collapsed="false" customWidth="true" hidden="false" outlineLevel="0" max="16" min="16" style="769" width="9.7"/>
    <col collapsed="false" customWidth="true" hidden="false" outlineLevel="0" max="17" min="17" style="770" width="10.56"/>
    <col collapsed="false" customWidth="true" hidden="false" outlineLevel="0" max="18" min="18" style="769" width="10.71"/>
    <col collapsed="false" customWidth="true" hidden="false" outlineLevel="0" max="19" min="19" style="770" width="11.13"/>
    <col collapsed="false" customWidth="true" hidden="false" outlineLevel="0" max="20" min="20" style="774" width="13.28"/>
    <col collapsed="false" customWidth="true" hidden="false" outlineLevel="0" max="21" min="21" style="774" width="11.85"/>
    <col collapsed="false" customWidth="true" hidden="false" outlineLevel="0" max="22" min="22" style="774" width="13.28"/>
    <col collapsed="false" customWidth="true" hidden="false" outlineLevel="0" max="23" min="23" style="775" width="12.7"/>
    <col collapsed="false" customWidth="true" hidden="false" outlineLevel="0" max="24" min="24" style="772" width="10.41"/>
    <col collapsed="false" customWidth="true" hidden="false" outlineLevel="0" max="25" min="25" style="776" width="13.56"/>
    <col collapsed="false" customWidth="true" hidden="false" outlineLevel="0" max="26" min="26" style="772" width="9.7"/>
    <col collapsed="false" customWidth="true" hidden="false" outlineLevel="0" max="27" min="27" style="772" width="11.13"/>
    <col collapsed="false" customWidth="true" hidden="false" outlineLevel="0" max="29" min="28" style="772" width="9.14"/>
    <col collapsed="false" customWidth="true" hidden="false" outlineLevel="0" max="30" min="30" style="772" width="14.56"/>
    <col collapsed="false" customWidth="true" hidden="false" outlineLevel="0" max="31" min="31" style="772" width="9.14"/>
    <col collapsed="false" customWidth="true" hidden="false" outlineLevel="0" max="32" min="32" style="772" width="14.41"/>
    <col collapsed="false" customWidth="true" hidden="false" outlineLevel="0" max="77" min="33" style="772" width="9.14"/>
  </cols>
  <sheetData>
    <row r="1" customFormat="false" ht="12.75" hidden="false" customHeight="false" outlineLevel="0" collapsed="false">
      <c r="A1" s="778" t="s">
        <v>1325</v>
      </c>
      <c r="B1" s="779"/>
    </row>
    <row r="2" customFormat="false" ht="12.75" hidden="false" customHeight="false" outlineLevel="0" collapsed="false">
      <c r="A2" s="778" t="s">
        <v>1326</v>
      </c>
      <c r="B2" s="779"/>
    </row>
    <row r="3" customFormat="false" ht="12.75" hidden="false" customHeight="false" outlineLevel="0" collapsed="false">
      <c r="A3" s="778" t="s">
        <v>2</v>
      </c>
      <c r="B3" s="779"/>
    </row>
    <row r="4" customFormat="false" ht="12.75" hidden="false" customHeight="false" outlineLevel="0" collapsed="false">
      <c r="A4" s="778"/>
      <c r="B4" s="779"/>
      <c r="D4" s="891"/>
      <c r="T4" s="791" t="s">
        <v>1416</v>
      </c>
    </row>
    <row r="5" customFormat="false" ht="12.75" hidden="false" customHeight="false" outlineLevel="0" collapsed="false">
      <c r="A5" s="778" t="s">
        <v>1337</v>
      </c>
      <c r="B5" s="779"/>
      <c r="D5" s="891"/>
      <c r="T5" s="791" t="n">
        <f aca="false">SUM(T11:T130)</f>
        <v>792789348.900143</v>
      </c>
    </row>
    <row r="6" customFormat="false" ht="12.75" hidden="false" customHeight="false" outlineLevel="0" collapsed="false">
      <c r="A6" s="778" t="s">
        <v>1342</v>
      </c>
      <c r="B6" s="779"/>
      <c r="D6" s="891"/>
      <c r="AA6" s="892" t="s">
        <v>1417</v>
      </c>
      <c r="AB6" s="892"/>
    </row>
    <row r="7" customFormat="false" ht="12.75" hidden="false" customHeight="false" outlineLevel="0" collapsed="false">
      <c r="A7" s="778"/>
      <c r="B7" s="779"/>
      <c r="V7" s="827"/>
      <c r="AA7" s="830" t="s">
        <v>1358</v>
      </c>
      <c r="AB7" s="830"/>
    </row>
    <row r="8" customFormat="false" ht="12.75" hidden="false" customHeight="false" outlineLevel="0" collapsed="false">
      <c r="A8" s="834"/>
      <c r="B8" s="835"/>
      <c r="C8" s="837" t="s">
        <v>1358</v>
      </c>
      <c r="D8" s="838" t="s">
        <v>1358</v>
      </c>
      <c r="E8" s="839" t="s">
        <v>1358</v>
      </c>
      <c r="F8" s="837" t="s">
        <v>1359</v>
      </c>
      <c r="G8" s="838" t="s">
        <v>1418</v>
      </c>
      <c r="H8" s="839" t="s">
        <v>1359</v>
      </c>
      <c r="I8" s="837" t="s">
        <v>1360</v>
      </c>
      <c r="J8" s="838" t="s">
        <v>1360</v>
      </c>
      <c r="K8" s="839" t="s">
        <v>1360</v>
      </c>
      <c r="L8" s="837" t="s">
        <v>1419</v>
      </c>
      <c r="M8" s="838" t="s">
        <v>1419</v>
      </c>
      <c r="N8" s="837" t="s">
        <v>1420</v>
      </c>
      <c r="O8" s="838" t="s">
        <v>1420</v>
      </c>
      <c r="P8" s="837" t="s">
        <v>1421</v>
      </c>
      <c r="Q8" s="838" t="s">
        <v>1421</v>
      </c>
      <c r="R8" s="837" t="s">
        <v>1422</v>
      </c>
      <c r="S8" s="838" t="s">
        <v>1422</v>
      </c>
      <c r="T8" s="841" t="s">
        <v>1389</v>
      </c>
      <c r="U8" s="839" t="s">
        <v>887</v>
      </c>
      <c r="V8" s="841" t="s">
        <v>1423</v>
      </c>
      <c r="W8" s="842" t="s">
        <v>1390</v>
      </c>
      <c r="X8" s="843"/>
      <c r="Y8" s="844" t="s">
        <v>1391</v>
      </c>
      <c r="Z8" s="830"/>
      <c r="AA8" s="830" t="s">
        <v>1392</v>
      </c>
      <c r="AB8" s="830" t="s">
        <v>1392</v>
      </c>
      <c r="AC8" s="830"/>
      <c r="AD8" s="833" t="s">
        <v>1000</v>
      </c>
      <c r="AE8" s="830"/>
      <c r="AF8" s="830"/>
      <c r="AG8" s="830"/>
      <c r="AH8" s="830"/>
      <c r="AI8" s="830"/>
      <c r="AJ8" s="830"/>
      <c r="AK8" s="830"/>
      <c r="AL8" s="830"/>
      <c r="AM8" s="830"/>
      <c r="AN8" s="830"/>
      <c r="AO8" s="830"/>
      <c r="AP8" s="830"/>
      <c r="AQ8" s="830"/>
      <c r="AR8" s="830"/>
      <c r="AS8" s="830"/>
      <c r="AT8" s="830"/>
      <c r="AU8" s="830"/>
      <c r="AV8" s="830"/>
      <c r="AW8" s="830"/>
      <c r="AX8" s="830"/>
      <c r="AY8" s="830"/>
      <c r="AZ8" s="830"/>
      <c r="BA8" s="830"/>
      <c r="BB8" s="830"/>
      <c r="BC8" s="830"/>
      <c r="BD8" s="830"/>
      <c r="BE8" s="830"/>
      <c r="BF8" s="830"/>
      <c r="BG8" s="830"/>
      <c r="BH8" s="830"/>
      <c r="BI8" s="830"/>
      <c r="BJ8" s="830"/>
      <c r="BK8" s="830"/>
      <c r="BL8" s="830"/>
      <c r="BM8" s="830"/>
      <c r="BN8" s="830"/>
      <c r="BO8" s="830"/>
      <c r="BP8" s="830"/>
      <c r="BQ8" s="830"/>
      <c r="BR8" s="830"/>
      <c r="BS8" s="830"/>
      <c r="BT8" s="830"/>
      <c r="BU8" s="830"/>
      <c r="BV8" s="830"/>
      <c r="BW8" s="830"/>
      <c r="BX8" s="830"/>
      <c r="BY8" s="830"/>
    </row>
    <row r="9" customFormat="false" ht="12.75" hidden="false" customHeight="false" outlineLevel="0" collapsed="false">
      <c r="A9" s="834" t="s">
        <v>1396</v>
      </c>
      <c r="B9" s="835" t="s">
        <v>1397</v>
      </c>
      <c r="C9" s="837" t="s">
        <v>1389</v>
      </c>
      <c r="D9" s="838" t="s">
        <v>1406</v>
      </c>
      <c r="E9" s="839" t="s">
        <v>1407</v>
      </c>
      <c r="F9" s="837" t="s">
        <v>1389</v>
      </c>
      <c r="G9" s="838" t="s">
        <v>1406</v>
      </c>
      <c r="H9" s="839" t="s">
        <v>1407</v>
      </c>
      <c r="I9" s="837" t="s">
        <v>1389</v>
      </c>
      <c r="J9" s="838" t="s">
        <v>1406</v>
      </c>
      <c r="K9" s="839" t="s">
        <v>1407</v>
      </c>
      <c r="L9" s="837" t="s">
        <v>1424</v>
      </c>
      <c r="M9" s="838" t="s">
        <v>1424</v>
      </c>
      <c r="N9" s="837" t="s">
        <v>1389</v>
      </c>
      <c r="O9" s="838" t="s">
        <v>887</v>
      </c>
      <c r="P9" s="837" t="s">
        <v>1425</v>
      </c>
      <c r="Q9" s="838" t="s">
        <v>1425</v>
      </c>
      <c r="R9" s="837" t="s">
        <v>1425</v>
      </c>
      <c r="S9" s="838" t="s">
        <v>1425</v>
      </c>
      <c r="T9" s="893" t="n">
        <f aca="false">XNPV(Breakout!$C$5,T10:T130,$B$10:$B$130)</f>
        <v>427526374.601482</v>
      </c>
      <c r="U9" s="839" t="s">
        <v>1426</v>
      </c>
      <c r="V9" s="841" t="s">
        <v>1427</v>
      </c>
      <c r="W9" s="893" t="n">
        <f aca="false">XNPV(Breakout!$C$5,W10:W130,$B$10:$B$130)</f>
        <v>10689639.8912192</v>
      </c>
      <c r="X9" s="893"/>
      <c r="Y9" s="893" t="n">
        <f aca="false">XNPV(Breakout!$C$5,Y10:Y130,$B$10:$B$130)</f>
        <v>10562523.3973491</v>
      </c>
      <c r="Z9" s="830"/>
      <c r="AA9" s="830" t="s">
        <v>1358</v>
      </c>
      <c r="AB9" s="830" t="s">
        <v>1359</v>
      </c>
      <c r="AC9" s="830"/>
      <c r="AD9" s="893" t="n">
        <f aca="false">XNPV(Breakout!$C$5,AD10:AD130,$B$10:$B$130)</f>
        <v>1275000</v>
      </c>
      <c r="AE9" s="830"/>
      <c r="AF9" s="830"/>
      <c r="AG9" s="830"/>
      <c r="AH9" s="830"/>
      <c r="AI9" s="830"/>
      <c r="AJ9" s="830"/>
      <c r="AK9" s="830"/>
      <c r="AL9" s="830"/>
      <c r="AM9" s="830"/>
      <c r="AN9" s="830"/>
      <c r="AO9" s="830"/>
      <c r="AP9" s="830"/>
      <c r="AQ9" s="830"/>
      <c r="AR9" s="830"/>
      <c r="AS9" s="830"/>
      <c r="AT9" s="830"/>
      <c r="AU9" s="830"/>
      <c r="AV9" s="830"/>
      <c r="AW9" s="830"/>
      <c r="AX9" s="830"/>
      <c r="AY9" s="830"/>
      <c r="AZ9" s="830"/>
      <c r="BA9" s="830"/>
      <c r="BB9" s="830"/>
      <c r="BC9" s="830"/>
      <c r="BD9" s="830"/>
      <c r="BE9" s="830"/>
      <c r="BF9" s="830"/>
      <c r="BG9" s="830"/>
      <c r="BH9" s="830"/>
      <c r="BI9" s="830"/>
      <c r="BJ9" s="830"/>
      <c r="BK9" s="830"/>
      <c r="BL9" s="830"/>
      <c r="BM9" s="830"/>
      <c r="BN9" s="830"/>
      <c r="BO9" s="830"/>
      <c r="BP9" s="830"/>
      <c r="BQ9" s="830"/>
      <c r="BR9" s="830"/>
      <c r="BS9" s="830"/>
      <c r="BT9" s="830"/>
      <c r="BU9" s="830"/>
      <c r="BV9" s="830"/>
      <c r="BW9" s="830"/>
      <c r="BX9" s="830"/>
      <c r="BY9" s="830"/>
    </row>
    <row r="10" customFormat="false" ht="12.75" hidden="false" customHeight="false" outlineLevel="0" collapsed="false">
      <c r="A10" s="834"/>
      <c r="B10" s="835" t="n">
        <v>36434</v>
      </c>
      <c r="C10" s="837"/>
      <c r="D10" s="838"/>
      <c r="E10" s="839"/>
      <c r="F10" s="837"/>
      <c r="G10" s="839"/>
      <c r="H10" s="838"/>
      <c r="I10" s="837"/>
      <c r="J10" s="838"/>
      <c r="K10" s="839"/>
      <c r="L10" s="837"/>
      <c r="M10" s="838"/>
      <c r="N10" s="837"/>
      <c r="O10" s="838"/>
      <c r="P10" s="837"/>
      <c r="Q10" s="838"/>
      <c r="R10" s="837"/>
      <c r="S10" s="838"/>
      <c r="T10" s="841" t="n">
        <v>0</v>
      </c>
      <c r="U10" s="841"/>
      <c r="V10" s="841"/>
      <c r="W10" s="775" t="n">
        <f aca="false">T10-V10-AD10</f>
        <v>-1275000</v>
      </c>
      <c r="X10" s="830"/>
      <c r="Y10" s="776" t="n">
        <f aca="false">T10-U10-AD10</f>
        <v>-1275000</v>
      </c>
      <c r="Z10" s="830"/>
      <c r="AA10" s="830" t="s">
        <v>1414</v>
      </c>
      <c r="AB10" s="830" t="s">
        <v>1415</v>
      </c>
      <c r="AC10" s="830"/>
      <c r="AD10" s="830" t="n">
        <v>1275000</v>
      </c>
      <c r="AE10" s="830"/>
      <c r="AF10" s="830"/>
      <c r="AG10" s="830"/>
      <c r="AH10" s="830"/>
      <c r="AI10" s="830"/>
      <c r="AJ10" s="830"/>
      <c r="AK10" s="830"/>
      <c r="AL10" s="830"/>
      <c r="AM10" s="830"/>
      <c r="AN10" s="830"/>
      <c r="AO10" s="830"/>
      <c r="AP10" s="830"/>
      <c r="AQ10" s="830"/>
      <c r="AR10" s="830"/>
      <c r="AS10" s="830"/>
      <c r="AT10" s="830"/>
      <c r="AU10" s="830"/>
      <c r="AV10" s="830"/>
      <c r="AW10" s="830"/>
      <c r="AX10" s="830"/>
      <c r="AY10" s="830"/>
      <c r="AZ10" s="830"/>
      <c r="BA10" s="830"/>
      <c r="BB10" s="830"/>
      <c r="BC10" s="830"/>
      <c r="BD10" s="830"/>
      <c r="BE10" s="830"/>
      <c r="BF10" s="830"/>
      <c r="BG10" s="830"/>
      <c r="BH10" s="830"/>
      <c r="BI10" s="830"/>
      <c r="BJ10" s="830"/>
      <c r="BK10" s="830"/>
      <c r="BL10" s="830"/>
      <c r="BM10" s="830"/>
      <c r="BN10" s="830"/>
      <c r="BO10" s="830"/>
      <c r="BP10" s="830"/>
      <c r="BQ10" s="830"/>
      <c r="BR10" s="830"/>
      <c r="BS10" s="830"/>
      <c r="BT10" s="830"/>
      <c r="BU10" s="830"/>
      <c r="BV10" s="830"/>
      <c r="BW10" s="830"/>
      <c r="BX10" s="830"/>
      <c r="BY10" s="830"/>
    </row>
    <row r="11" customFormat="false" ht="12.75" hidden="false" customHeight="false" outlineLevel="0" collapsed="false">
      <c r="A11" s="767" t="n">
        <v>1</v>
      </c>
      <c r="B11" s="768" t="n">
        <v>36526</v>
      </c>
      <c r="C11" s="769" t="n">
        <f aca="false">Breakout!$C$136/12</f>
        <v>5235693.39360297</v>
      </c>
      <c r="D11" s="770" t="n">
        <f aca="false">Breakout!$C$137/12</f>
        <v>4209108.16666667</v>
      </c>
      <c r="E11" s="770" t="n">
        <v>4209108.16666667</v>
      </c>
      <c r="F11" s="769" t="n">
        <f aca="false">Breakout!$C$143/12</f>
        <v>108854.08588578</v>
      </c>
      <c r="G11" s="770" t="n">
        <f aca="false">Breakout!$C$144/12</f>
        <v>88897.5034733871</v>
      </c>
      <c r="H11" s="770" t="n">
        <v>90711.7382381501</v>
      </c>
      <c r="I11" s="769" t="n">
        <v>0</v>
      </c>
      <c r="J11" s="772" t="n">
        <v>0</v>
      </c>
      <c r="K11" s="772" t="n">
        <v>0</v>
      </c>
      <c r="L11" s="769" t="n">
        <v>0</v>
      </c>
      <c r="M11" s="770" t="n">
        <f aca="false">Breakout!$C$151/12</f>
        <v>46600.0885819282</v>
      </c>
      <c r="N11" s="769" t="n">
        <f aca="false">Breakout!$C$157/12</f>
        <v>0</v>
      </c>
      <c r="O11" s="770" t="n">
        <f aca="false">Breakout!$C$158/12</f>
        <v>42674.0737929746</v>
      </c>
      <c r="P11" s="769" t="n">
        <f aca="false">Breakout!$C$164/12</f>
        <v>0</v>
      </c>
      <c r="Q11" s="770" t="n">
        <f aca="false">Breakout!$C$165/12</f>
        <v>0</v>
      </c>
      <c r="R11" s="769" t="n">
        <f aca="false">Breakout!$C$171/12</f>
        <v>0</v>
      </c>
      <c r="S11" s="770" t="n">
        <f aca="false">Breakout!$C$172/12</f>
        <v>1020960.21175258</v>
      </c>
      <c r="T11" s="774" t="n">
        <f aca="false">C11+F11+I11+L11+N11+P11+R11</f>
        <v>5344547.47948875</v>
      </c>
      <c r="U11" s="771" t="n">
        <f aca="false">E11+H11+K11+M11+O11+Q11+S11</f>
        <v>5410054.2790323</v>
      </c>
      <c r="V11" s="774" t="n">
        <f aca="false">D11+G11+J11+M11+O11+Q11+S11</f>
        <v>5408240.04426753</v>
      </c>
      <c r="W11" s="775" t="n">
        <f aca="false">T11-V11-AD11</f>
        <v>-63692.5647787862</v>
      </c>
      <c r="Y11" s="776" t="n">
        <f aca="false">T11-U11-AD11</f>
        <v>-65506.7995435493</v>
      </c>
      <c r="AA11" s="770" t="n">
        <f aca="false">'power redistribution'!$C$32/12</f>
        <v>58459835.6481481</v>
      </c>
      <c r="AB11" s="770" t="n">
        <f aca="false">'power redistribution'!$D$32/12</f>
        <v>15466.6666666667</v>
      </c>
      <c r="AD11" s="772" t="n">
        <v>0</v>
      </c>
    </row>
    <row r="12" customFormat="false" ht="12.75" hidden="false" customHeight="false" outlineLevel="0" collapsed="false">
      <c r="A12" s="767" t="n">
        <v>2</v>
      </c>
      <c r="B12" s="768" t="n">
        <v>36557</v>
      </c>
      <c r="C12" s="769" t="n">
        <f aca="false">Breakout!$C$136/12</f>
        <v>5235693.39360297</v>
      </c>
      <c r="D12" s="770" t="n">
        <f aca="false">Breakout!$C$137/12</f>
        <v>4209108.16666667</v>
      </c>
      <c r="E12" s="770" t="n">
        <v>4209108.16666667</v>
      </c>
      <c r="F12" s="769" t="n">
        <f aca="false">Breakout!$C$143/12</f>
        <v>108854.08588578</v>
      </c>
      <c r="G12" s="770" t="n">
        <f aca="false">Breakout!$C$144/12</f>
        <v>88897.5034733871</v>
      </c>
      <c r="H12" s="770" t="n">
        <v>90711.7382381501</v>
      </c>
      <c r="I12" s="769" t="n">
        <v>0</v>
      </c>
      <c r="J12" s="772" t="n">
        <v>0</v>
      </c>
      <c r="K12" s="772" t="n">
        <v>0</v>
      </c>
      <c r="L12" s="769" t="n">
        <v>0</v>
      </c>
      <c r="M12" s="770" t="n">
        <f aca="false">Breakout!$C$151/12</f>
        <v>46600.0885819282</v>
      </c>
      <c r="N12" s="769" t="n">
        <f aca="false">Breakout!$C$157/12</f>
        <v>0</v>
      </c>
      <c r="O12" s="770" t="n">
        <f aca="false">Breakout!$C$158/12</f>
        <v>42674.0737929746</v>
      </c>
      <c r="P12" s="769" t="n">
        <f aca="false">Breakout!$C$164/12</f>
        <v>0</v>
      </c>
      <c r="Q12" s="770" t="n">
        <f aca="false">Breakout!$C$165/12</f>
        <v>0</v>
      </c>
      <c r="R12" s="769" t="n">
        <f aca="false">Breakout!$C$171/12</f>
        <v>0</v>
      </c>
      <c r="S12" s="770" t="n">
        <f aca="false">Breakout!$C$172/12</f>
        <v>1020960.21175258</v>
      </c>
      <c r="T12" s="774" t="n">
        <f aca="false">C12+F12+I12+L12+N12+P12+R12</f>
        <v>5344547.47948875</v>
      </c>
      <c r="U12" s="771" t="n">
        <f aca="false">E12+H12+K12+M12+O12+Q12+S12</f>
        <v>5410054.2790323</v>
      </c>
      <c r="V12" s="774" t="n">
        <f aca="false">D12+G12+J12+M12+O12+Q12+S12</f>
        <v>5408240.04426753</v>
      </c>
      <c r="W12" s="775" t="n">
        <f aca="false">T12-V12-AD12</f>
        <v>-63692.5647787862</v>
      </c>
      <c r="Y12" s="776" t="n">
        <f aca="false">T12-U12-AD12</f>
        <v>-65506.7995435493</v>
      </c>
      <c r="AA12" s="770" t="n">
        <f aca="false">'power redistribution'!$C$32/12</f>
        <v>58459835.6481481</v>
      </c>
      <c r="AB12" s="770" t="n">
        <f aca="false">'power redistribution'!$D$32/12</f>
        <v>15466.6666666667</v>
      </c>
      <c r="AD12" s="772" t="n">
        <v>0</v>
      </c>
    </row>
    <row r="13" customFormat="false" ht="12.75" hidden="false" customHeight="false" outlineLevel="0" collapsed="false">
      <c r="A13" s="767" t="n">
        <v>3</v>
      </c>
      <c r="B13" s="768" t="n">
        <v>36586</v>
      </c>
      <c r="C13" s="769" t="n">
        <f aca="false">Breakout!$C$136/12</f>
        <v>5235693.39360297</v>
      </c>
      <c r="D13" s="770" t="n">
        <f aca="false">Breakout!$C$137/12</f>
        <v>4209108.16666667</v>
      </c>
      <c r="E13" s="770" t="n">
        <v>4209108.16666667</v>
      </c>
      <c r="F13" s="769" t="n">
        <f aca="false">Breakout!$C$143/12</f>
        <v>108854.08588578</v>
      </c>
      <c r="G13" s="770" t="n">
        <f aca="false">Breakout!$C$144/12</f>
        <v>88897.5034733871</v>
      </c>
      <c r="H13" s="770" t="n">
        <v>90711.7382381501</v>
      </c>
      <c r="I13" s="769" t="n">
        <v>0</v>
      </c>
      <c r="J13" s="772" t="n">
        <v>0</v>
      </c>
      <c r="K13" s="772" t="n">
        <v>0</v>
      </c>
      <c r="L13" s="769" t="n">
        <v>0</v>
      </c>
      <c r="M13" s="770" t="n">
        <f aca="false">Breakout!$C$151/12</f>
        <v>46600.0885819282</v>
      </c>
      <c r="N13" s="769" t="n">
        <f aca="false">Breakout!$C$157/12</f>
        <v>0</v>
      </c>
      <c r="O13" s="770" t="n">
        <f aca="false">Breakout!$C$158/12</f>
        <v>42674.0737929746</v>
      </c>
      <c r="P13" s="769" t="n">
        <f aca="false">Breakout!$C$164/12</f>
        <v>0</v>
      </c>
      <c r="Q13" s="770" t="n">
        <f aca="false">Breakout!$C$165/12</f>
        <v>0</v>
      </c>
      <c r="R13" s="769" t="n">
        <f aca="false">Breakout!$C$171/12</f>
        <v>0</v>
      </c>
      <c r="S13" s="770" t="n">
        <f aca="false">Breakout!$C$172/12</f>
        <v>1020960.21175258</v>
      </c>
      <c r="T13" s="774" t="n">
        <f aca="false">C13+F13+I13+L13+N13+P13+R13</f>
        <v>5344547.47948875</v>
      </c>
      <c r="U13" s="771" t="n">
        <f aca="false">E13+H13+K13+M13+O13+Q13+S13</f>
        <v>5410054.2790323</v>
      </c>
      <c r="V13" s="774" t="n">
        <f aca="false">D13+G13+J13+M13+O13+Q13+S13</f>
        <v>5408240.04426753</v>
      </c>
      <c r="W13" s="775" t="n">
        <f aca="false">T13-V13-AD13</f>
        <v>-63692.5647787862</v>
      </c>
      <c r="Y13" s="776" t="n">
        <f aca="false">T13-U13-AD13</f>
        <v>-65506.7995435493</v>
      </c>
      <c r="AA13" s="770" t="n">
        <f aca="false">'power redistribution'!$C$32/12</f>
        <v>58459835.6481481</v>
      </c>
      <c r="AB13" s="770" t="n">
        <f aca="false">'power redistribution'!$D$32/12</f>
        <v>15466.6666666667</v>
      </c>
      <c r="AD13" s="772" t="n">
        <v>0</v>
      </c>
    </row>
    <row r="14" customFormat="false" ht="12.75" hidden="false" customHeight="false" outlineLevel="0" collapsed="false">
      <c r="A14" s="767" t="n">
        <v>4</v>
      </c>
      <c r="B14" s="768" t="n">
        <v>36617</v>
      </c>
      <c r="C14" s="769" t="n">
        <f aca="false">Breakout!$C$136/12</f>
        <v>5235693.39360297</v>
      </c>
      <c r="D14" s="770" t="n">
        <f aca="false">Breakout!$C$137/12</f>
        <v>4209108.16666667</v>
      </c>
      <c r="E14" s="770" t="n">
        <v>4209108.16666667</v>
      </c>
      <c r="F14" s="769" t="n">
        <f aca="false">Breakout!$C$143/12</f>
        <v>108854.08588578</v>
      </c>
      <c r="G14" s="770" t="n">
        <f aca="false">Breakout!$C$144/12</f>
        <v>88897.5034733871</v>
      </c>
      <c r="H14" s="770" t="n">
        <v>90711.7382381501</v>
      </c>
      <c r="I14" s="769" t="n">
        <v>0</v>
      </c>
      <c r="J14" s="772" t="n">
        <v>0</v>
      </c>
      <c r="K14" s="772" t="n">
        <v>0</v>
      </c>
      <c r="L14" s="769" t="n">
        <v>0</v>
      </c>
      <c r="M14" s="770" t="n">
        <f aca="false">Breakout!$C$151/12</f>
        <v>46600.0885819282</v>
      </c>
      <c r="N14" s="769" t="n">
        <f aca="false">Breakout!$C$157/12</f>
        <v>0</v>
      </c>
      <c r="O14" s="770" t="n">
        <f aca="false">Breakout!$C$158/12</f>
        <v>42674.0737929746</v>
      </c>
      <c r="P14" s="769" t="n">
        <f aca="false">Breakout!$C$164/12</f>
        <v>0</v>
      </c>
      <c r="Q14" s="770" t="n">
        <f aca="false">Breakout!$C$165/12</f>
        <v>0</v>
      </c>
      <c r="R14" s="769" t="n">
        <f aca="false">Breakout!$C$171/12</f>
        <v>0</v>
      </c>
      <c r="S14" s="770" t="n">
        <f aca="false">Breakout!$C$172/12</f>
        <v>1020960.21175258</v>
      </c>
      <c r="T14" s="774" t="n">
        <f aca="false">C14+F14+I14+L14+N14+P14+R14</f>
        <v>5344547.47948875</v>
      </c>
      <c r="U14" s="771" t="n">
        <f aca="false">E14+H14+K14+M14+O14+Q14+S14</f>
        <v>5410054.2790323</v>
      </c>
      <c r="V14" s="774" t="n">
        <f aca="false">D14+G14+J14+M14+O14+Q14+S14</f>
        <v>5408240.04426753</v>
      </c>
      <c r="W14" s="775" t="n">
        <f aca="false">T14-V14-AD14</f>
        <v>-63692.5647787862</v>
      </c>
      <c r="Y14" s="776" t="n">
        <f aca="false">T14-U14-AD14</f>
        <v>-65506.7995435493</v>
      </c>
      <c r="AA14" s="770" t="n">
        <f aca="false">'power redistribution'!$C$32/12</f>
        <v>58459835.6481481</v>
      </c>
      <c r="AB14" s="770" t="n">
        <f aca="false">'power redistribution'!$D$32/12</f>
        <v>15466.6666666667</v>
      </c>
      <c r="AD14" s="772" t="n">
        <v>0</v>
      </c>
    </row>
    <row r="15" customFormat="false" ht="12.75" hidden="false" customHeight="false" outlineLevel="0" collapsed="false">
      <c r="A15" s="767" t="n">
        <v>5</v>
      </c>
      <c r="B15" s="768" t="n">
        <v>36647</v>
      </c>
      <c r="C15" s="769" t="n">
        <f aca="false">Breakout!$C$136/12</f>
        <v>5235693.39360297</v>
      </c>
      <c r="D15" s="770" t="n">
        <f aca="false">Breakout!$C$137/12</f>
        <v>4209108.16666667</v>
      </c>
      <c r="E15" s="770" t="n">
        <v>4209108.16666667</v>
      </c>
      <c r="F15" s="769" t="n">
        <f aca="false">Breakout!$C$143/12</f>
        <v>108854.08588578</v>
      </c>
      <c r="G15" s="770" t="n">
        <f aca="false">Breakout!$C$144/12</f>
        <v>88897.5034733871</v>
      </c>
      <c r="H15" s="770" t="n">
        <v>90711.7382381501</v>
      </c>
      <c r="I15" s="769" t="n">
        <v>0</v>
      </c>
      <c r="J15" s="772" t="n">
        <v>0</v>
      </c>
      <c r="K15" s="772" t="n">
        <v>0</v>
      </c>
      <c r="L15" s="769" t="n">
        <v>0</v>
      </c>
      <c r="M15" s="770" t="n">
        <f aca="false">Breakout!$C$151/12</f>
        <v>46600.0885819282</v>
      </c>
      <c r="N15" s="769" t="n">
        <f aca="false">Breakout!$C$157/12</f>
        <v>0</v>
      </c>
      <c r="O15" s="770" t="n">
        <f aca="false">Breakout!$C$158/12</f>
        <v>42674.0737929746</v>
      </c>
      <c r="P15" s="769" t="n">
        <f aca="false">Breakout!$C$164/12</f>
        <v>0</v>
      </c>
      <c r="Q15" s="770" t="n">
        <f aca="false">Breakout!$C$165/12</f>
        <v>0</v>
      </c>
      <c r="R15" s="769" t="n">
        <f aca="false">Breakout!$C$171/12</f>
        <v>0</v>
      </c>
      <c r="S15" s="770" t="n">
        <f aca="false">Breakout!$C$172/12</f>
        <v>1020960.21175258</v>
      </c>
      <c r="T15" s="774" t="n">
        <f aca="false">C15+F15+I15+L15+N15+P15+R15</f>
        <v>5344547.47948875</v>
      </c>
      <c r="U15" s="771" t="n">
        <f aca="false">E15+H15+K15+M15+O15+Q15+S15</f>
        <v>5410054.2790323</v>
      </c>
      <c r="V15" s="774" t="n">
        <f aca="false">D15+G15+J15+M15+O15+Q15+S15</f>
        <v>5408240.04426753</v>
      </c>
      <c r="W15" s="775" t="n">
        <f aca="false">T15-V15-AD15</f>
        <v>-63692.5647787862</v>
      </c>
      <c r="Y15" s="776" t="n">
        <f aca="false">T15-U15-AD15</f>
        <v>-65506.7995435493</v>
      </c>
      <c r="AA15" s="770" t="n">
        <f aca="false">'power redistribution'!$C$32/12</f>
        <v>58459835.6481481</v>
      </c>
      <c r="AB15" s="770" t="n">
        <f aca="false">'power redistribution'!$D$32/12</f>
        <v>15466.6666666667</v>
      </c>
      <c r="AD15" s="772" t="n">
        <v>0</v>
      </c>
    </row>
    <row r="16" customFormat="false" ht="12.75" hidden="false" customHeight="false" outlineLevel="0" collapsed="false">
      <c r="A16" s="767" t="n">
        <v>6</v>
      </c>
      <c r="B16" s="768" t="n">
        <v>36678</v>
      </c>
      <c r="C16" s="769" t="n">
        <f aca="false">Breakout!$C$136/12</f>
        <v>5235693.39360297</v>
      </c>
      <c r="D16" s="770" t="n">
        <f aca="false">Breakout!$C$137/12</f>
        <v>4209108.16666667</v>
      </c>
      <c r="E16" s="770" t="n">
        <v>4209108.16666667</v>
      </c>
      <c r="F16" s="769" t="n">
        <f aca="false">Breakout!$C$143/12</f>
        <v>108854.08588578</v>
      </c>
      <c r="G16" s="770" t="n">
        <f aca="false">Breakout!$C$144/12</f>
        <v>88897.5034733871</v>
      </c>
      <c r="H16" s="770" t="n">
        <v>90711.7382381501</v>
      </c>
      <c r="I16" s="769" t="n">
        <v>0</v>
      </c>
      <c r="J16" s="772" t="n">
        <v>0</v>
      </c>
      <c r="K16" s="772" t="n">
        <v>0</v>
      </c>
      <c r="L16" s="769" t="n">
        <v>0</v>
      </c>
      <c r="M16" s="770" t="n">
        <f aca="false">Breakout!$C$151/12</f>
        <v>46600.0885819282</v>
      </c>
      <c r="N16" s="769" t="n">
        <f aca="false">Breakout!$C$157/12</f>
        <v>0</v>
      </c>
      <c r="O16" s="770" t="n">
        <f aca="false">Breakout!$C$158/12</f>
        <v>42674.0737929746</v>
      </c>
      <c r="P16" s="769" t="n">
        <f aca="false">Breakout!$C$164/12</f>
        <v>0</v>
      </c>
      <c r="Q16" s="770" t="n">
        <f aca="false">Breakout!$C$165/12</f>
        <v>0</v>
      </c>
      <c r="R16" s="769" t="n">
        <f aca="false">Breakout!$C$171/12</f>
        <v>0</v>
      </c>
      <c r="S16" s="770" t="n">
        <f aca="false">Breakout!$C$172/12</f>
        <v>1020960.21175258</v>
      </c>
      <c r="T16" s="774" t="n">
        <f aca="false">C16+F16+I16+L16+N16+P16+R16</f>
        <v>5344547.47948875</v>
      </c>
      <c r="U16" s="771" t="n">
        <f aca="false">E16+H16+K16+M16+O16+Q16+S16</f>
        <v>5410054.2790323</v>
      </c>
      <c r="V16" s="774" t="n">
        <f aca="false">D16+G16+J16+M16+O16+Q16+S16</f>
        <v>5408240.04426753</v>
      </c>
      <c r="W16" s="775" t="n">
        <f aca="false">T16-V16-AD16</f>
        <v>-63692.5647787862</v>
      </c>
      <c r="Y16" s="776" t="n">
        <f aca="false">T16-U16-AD16</f>
        <v>-65506.7995435493</v>
      </c>
      <c r="AA16" s="770" t="n">
        <f aca="false">'power redistribution'!$C$32/12</f>
        <v>58459835.6481481</v>
      </c>
      <c r="AB16" s="770" t="n">
        <f aca="false">'power redistribution'!$D$32/12</f>
        <v>15466.6666666667</v>
      </c>
      <c r="AD16" s="772" t="n">
        <v>0</v>
      </c>
    </row>
    <row r="17" customFormat="false" ht="12.75" hidden="false" customHeight="false" outlineLevel="0" collapsed="false">
      <c r="A17" s="767" t="n">
        <v>7</v>
      </c>
      <c r="B17" s="768" t="n">
        <v>36708</v>
      </c>
      <c r="C17" s="769" t="n">
        <f aca="false">Breakout!$C$136/12</f>
        <v>5235693.39360297</v>
      </c>
      <c r="D17" s="770" t="n">
        <f aca="false">Breakout!$C$137/12</f>
        <v>4209108.16666667</v>
      </c>
      <c r="E17" s="770" t="n">
        <v>4209108.16666667</v>
      </c>
      <c r="F17" s="769" t="n">
        <f aca="false">Breakout!$C$143/12</f>
        <v>108854.08588578</v>
      </c>
      <c r="G17" s="770" t="n">
        <f aca="false">Breakout!$C$144/12</f>
        <v>88897.5034733871</v>
      </c>
      <c r="H17" s="770" t="n">
        <v>90711.7382381501</v>
      </c>
      <c r="I17" s="769" t="n">
        <v>0</v>
      </c>
      <c r="J17" s="772" t="n">
        <v>0</v>
      </c>
      <c r="K17" s="772" t="n">
        <v>0</v>
      </c>
      <c r="L17" s="769" t="n">
        <v>0</v>
      </c>
      <c r="M17" s="770" t="n">
        <f aca="false">Breakout!$C$151/12</f>
        <v>46600.0885819282</v>
      </c>
      <c r="N17" s="769" t="n">
        <f aca="false">Breakout!$C$157/12</f>
        <v>0</v>
      </c>
      <c r="O17" s="770" t="n">
        <f aca="false">Breakout!$C$158/12</f>
        <v>42674.0737929746</v>
      </c>
      <c r="P17" s="769" t="n">
        <f aca="false">Breakout!$C$164/12</f>
        <v>0</v>
      </c>
      <c r="Q17" s="770" t="n">
        <f aca="false">Breakout!$C$165/12</f>
        <v>0</v>
      </c>
      <c r="R17" s="769" t="n">
        <f aca="false">Breakout!$C$171/12</f>
        <v>0</v>
      </c>
      <c r="S17" s="770" t="n">
        <f aca="false">Breakout!$C$172/12</f>
        <v>1020960.21175258</v>
      </c>
      <c r="T17" s="774" t="n">
        <f aca="false">C17+F17+I17+L17+N17+P17+R17</f>
        <v>5344547.47948875</v>
      </c>
      <c r="U17" s="771" t="n">
        <f aca="false">E17+H17+K17+M17+O17+Q17+S17</f>
        <v>5410054.2790323</v>
      </c>
      <c r="V17" s="774" t="n">
        <f aca="false">D17+G17+J17+M17+O17+Q17+S17</f>
        <v>5408240.04426753</v>
      </c>
      <c r="W17" s="775" t="n">
        <f aca="false">T17-V17-AD17</f>
        <v>-63692.5647787862</v>
      </c>
      <c r="Y17" s="776" t="n">
        <f aca="false">T17-U17-AD17</f>
        <v>-65506.7995435493</v>
      </c>
      <c r="AA17" s="770" t="n">
        <f aca="false">'power redistribution'!$C$32/12</f>
        <v>58459835.6481481</v>
      </c>
      <c r="AB17" s="770" t="n">
        <f aca="false">'power redistribution'!$D$32/12</f>
        <v>15466.6666666667</v>
      </c>
      <c r="AD17" s="772" t="n">
        <v>0</v>
      </c>
    </row>
    <row r="18" customFormat="false" ht="12.75" hidden="false" customHeight="false" outlineLevel="0" collapsed="false">
      <c r="A18" s="767" t="n">
        <v>8</v>
      </c>
      <c r="B18" s="768" t="n">
        <v>36739</v>
      </c>
      <c r="C18" s="769" t="n">
        <f aca="false">Breakout!$C$136/12</f>
        <v>5235693.39360297</v>
      </c>
      <c r="D18" s="770" t="n">
        <f aca="false">Breakout!$C$137/12</f>
        <v>4209108.16666667</v>
      </c>
      <c r="E18" s="770" t="n">
        <v>4209108.16666667</v>
      </c>
      <c r="F18" s="769" t="n">
        <f aca="false">Breakout!$C$143/12</f>
        <v>108854.08588578</v>
      </c>
      <c r="G18" s="770" t="n">
        <f aca="false">Breakout!$C$144/12</f>
        <v>88897.5034733871</v>
      </c>
      <c r="H18" s="770" t="n">
        <v>90711.7382381501</v>
      </c>
      <c r="I18" s="769" t="n">
        <v>0</v>
      </c>
      <c r="J18" s="772" t="n">
        <v>0</v>
      </c>
      <c r="K18" s="772" t="n">
        <v>0</v>
      </c>
      <c r="L18" s="769" t="n">
        <v>0</v>
      </c>
      <c r="M18" s="770" t="n">
        <f aca="false">Breakout!$C$151/12</f>
        <v>46600.0885819282</v>
      </c>
      <c r="N18" s="769" t="n">
        <f aca="false">Breakout!$C$157/12</f>
        <v>0</v>
      </c>
      <c r="O18" s="770" t="n">
        <f aca="false">Breakout!$C$158/12</f>
        <v>42674.0737929746</v>
      </c>
      <c r="P18" s="769" t="n">
        <f aca="false">Breakout!$C$164/12</f>
        <v>0</v>
      </c>
      <c r="Q18" s="770" t="n">
        <f aca="false">Breakout!$C$165/12</f>
        <v>0</v>
      </c>
      <c r="R18" s="769" t="n">
        <f aca="false">Breakout!$C$171/12</f>
        <v>0</v>
      </c>
      <c r="S18" s="770" t="n">
        <f aca="false">Breakout!$C$172/12</f>
        <v>1020960.21175258</v>
      </c>
      <c r="T18" s="774" t="n">
        <f aca="false">C18+F18+I18+L18+N18+P18+R18</f>
        <v>5344547.47948875</v>
      </c>
      <c r="U18" s="771" t="n">
        <f aca="false">E18+H18+K18+M18+O18+Q18+S18</f>
        <v>5410054.2790323</v>
      </c>
      <c r="V18" s="774" t="n">
        <f aca="false">D18+G18+J18+M18+O18+Q18+S18</f>
        <v>5408240.04426753</v>
      </c>
      <c r="W18" s="775" t="n">
        <f aca="false">T18-V18-AD18</f>
        <v>-63692.5647787862</v>
      </c>
      <c r="Y18" s="776" t="n">
        <f aca="false">T18-U18-AD18</f>
        <v>-65506.7995435493</v>
      </c>
      <c r="AA18" s="770" t="n">
        <f aca="false">'power redistribution'!$C$32/12</f>
        <v>58459835.6481481</v>
      </c>
      <c r="AB18" s="770" t="n">
        <f aca="false">'power redistribution'!$D$32/12</f>
        <v>15466.6666666667</v>
      </c>
      <c r="AD18" s="772" t="n">
        <v>0</v>
      </c>
    </row>
    <row r="19" customFormat="false" ht="12.75" hidden="false" customHeight="false" outlineLevel="0" collapsed="false">
      <c r="A19" s="767" t="n">
        <v>9</v>
      </c>
      <c r="B19" s="768" t="n">
        <v>36770</v>
      </c>
      <c r="C19" s="769" t="n">
        <f aca="false">Breakout!$C$136/12</f>
        <v>5235693.39360297</v>
      </c>
      <c r="D19" s="770" t="n">
        <f aca="false">Breakout!$C$137/12</f>
        <v>4209108.16666667</v>
      </c>
      <c r="E19" s="770" t="n">
        <v>4209108.16666667</v>
      </c>
      <c r="F19" s="769" t="n">
        <f aca="false">Breakout!$C$143/12</f>
        <v>108854.08588578</v>
      </c>
      <c r="G19" s="770" t="n">
        <f aca="false">Breakout!$C$144/12</f>
        <v>88897.5034733871</v>
      </c>
      <c r="H19" s="770" t="n">
        <v>90711.7382381501</v>
      </c>
      <c r="I19" s="769" t="n">
        <v>0</v>
      </c>
      <c r="J19" s="772" t="n">
        <v>0</v>
      </c>
      <c r="K19" s="772" t="n">
        <v>0</v>
      </c>
      <c r="L19" s="769" t="n">
        <v>0</v>
      </c>
      <c r="M19" s="770" t="n">
        <f aca="false">Breakout!$C$151/12</f>
        <v>46600.0885819282</v>
      </c>
      <c r="N19" s="769" t="n">
        <f aca="false">Breakout!$C$157/12</f>
        <v>0</v>
      </c>
      <c r="O19" s="770" t="n">
        <f aca="false">Breakout!$C$158/12</f>
        <v>42674.0737929746</v>
      </c>
      <c r="P19" s="769" t="n">
        <f aca="false">Breakout!$C$164/12</f>
        <v>0</v>
      </c>
      <c r="Q19" s="770" t="n">
        <f aca="false">Breakout!$C$165/12</f>
        <v>0</v>
      </c>
      <c r="R19" s="769" t="n">
        <f aca="false">Breakout!$C$171/12</f>
        <v>0</v>
      </c>
      <c r="S19" s="770" t="n">
        <f aca="false">Breakout!$C$172/12</f>
        <v>1020960.21175258</v>
      </c>
      <c r="T19" s="774" t="n">
        <f aca="false">C19+F19+I19+L19+N19+P19+R19</f>
        <v>5344547.47948875</v>
      </c>
      <c r="U19" s="771" t="n">
        <f aca="false">E19+H19+K19+M19+O19+Q19+S19</f>
        <v>5410054.2790323</v>
      </c>
      <c r="V19" s="774" t="n">
        <f aca="false">D19+G19+J19+M19+O19+Q19+S19</f>
        <v>5408240.04426753</v>
      </c>
      <c r="W19" s="775" t="n">
        <f aca="false">T19-V19-AD19</f>
        <v>-63692.5647787862</v>
      </c>
      <c r="Y19" s="776" t="n">
        <f aca="false">T19-U19-AD19</f>
        <v>-65506.7995435493</v>
      </c>
      <c r="AA19" s="770" t="n">
        <f aca="false">'power redistribution'!$C$32/12</f>
        <v>58459835.6481481</v>
      </c>
      <c r="AB19" s="770" t="n">
        <f aca="false">'power redistribution'!$D$32/12</f>
        <v>15466.6666666667</v>
      </c>
      <c r="AD19" s="772" t="n">
        <v>0</v>
      </c>
    </row>
    <row r="20" customFormat="false" ht="12.75" hidden="false" customHeight="false" outlineLevel="0" collapsed="false">
      <c r="A20" s="767" t="n">
        <v>10</v>
      </c>
      <c r="B20" s="768" t="n">
        <v>36800</v>
      </c>
      <c r="C20" s="769" t="n">
        <f aca="false">Breakout!$C$136/12</f>
        <v>5235693.39360297</v>
      </c>
      <c r="D20" s="770" t="n">
        <f aca="false">Breakout!$C$137/12</f>
        <v>4209108.16666667</v>
      </c>
      <c r="E20" s="770" t="n">
        <v>4209108.16666667</v>
      </c>
      <c r="F20" s="769" t="n">
        <f aca="false">Breakout!$C$143/12</f>
        <v>108854.08588578</v>
      </c>
      <c r="G20" s="770" t="n">
        <f aca="false">Breakout!$C$144/12</f>
        <v>88897.5034733871</v>
      </c>
      <c r="H20" s="770" t="n">
        <v>90711.7382381501</v>
      </c>
      <c r="I20" s="769" t="n">
        <v>0</v>
      </c>
      <c r="J20" s="772" t="n">
        <v>0</v>
      </c>
      <c r="K20" s="772" t="n">
        <v>0</v>
      </c>
      <c r="L20" s="769" t="n">
        <v>0</v>
      </c>
      <c r="M20" s="770" t="n">
        <f aca="false">Breakout!$C$151/12</f>
        <v>46600.0885819282</v>
      </c>
      <c r="N20" s="769" t="n">
        <f aca="false">Breakout!$C$157/12</f>
        <v>0</v>
      </c>
      <c r="O20" s="770" t="n">
        <f aca="false">Breakout!$C$158/12</f>
        <v>42674.0737929746</v>
      </c>
      <c r="P20" s="769" t="n">
        <f aca="false">Breakout!$C$164/12</f>
        <v>0</v>
      </c>
      <c r="Q20" s="770" t="n">
        <f aca="false">Breakout!$C$165/12</f>
        <v>0</v>
      </c>
      <c r="R20" s="769" t="n">
        <f aca="false">Breakout!$C$171/12</f>
        <v>0</v>
      </c>
      <c r="S20" s="770" t="n">
        <f aca="false">Breakout!$C$172/12</f>
        <v>1020960.21175258</v>
      </c>
      <c r="T20" s="774" t="n">
        <f aca="false">C20+F20+I20+L20+N20+P20+R20</f>
        <v>5344547.47948875</v>
      </c>
      <c r="U20" s="771" t="n">
        <f aca="false">E20+H20+K20+M20+O20+Q20+S20</f>
        <v>5410054.2790323</v>
      </c>
      <c r="V20" s="774" t="n">
        <f aca="false">D20+G20+J20+M20+O20+Q20+S20</f>
        <v>5408240.04426753</v>
      </c>
      <c r="W20" s="775" t="n">
        <f aca="false">T20-V20-AD20</f>
        <v>-63692.5647787862</v>
      </c>
      <c r="Y20" s="776" t="n">
        <f aca="false">T20-U20-AD20</f>
        <v>-65506.7995435493</v>
      </c>
      <c r="AA20" s="770" t="n">
        <f aca="false">'power redistribution'!$C$32/12</f>
        <v>58459835.6481481</v>
      </c>
      <c r="AB20" s="770" t="n">
        <f aca="false">'power redistribution'!$D$32/12</f>
        <v>15466.6666666667</v>
      </c>
      <c r="AD20" s="772" t="n">
        <v>0</v>
      </c>
    </row>
    <row r="21" customFormat="false" ht="12.75" hidden="false" customHeight="false" outlineLevel="0" collapsed="false">
      <c r="A21" s="767" t="n">
        <v>11</v>
      </c>
      <c r="B21" s="768" t="n">
        <v>36831</v>
      </c>
      <c r="C21" s="769" t="n">
        <f aca="false">Breakout!$C$136/12</f>
        <v>5235693.39360297</v>
      </c>
      <c r="D21" s="770" t="n">
        <f aca="false">Breakout!$C$137/12</f>
        <v>4209108.16666667</v>
      </c>
      <c r="E21" s="770" t="n">
        <v>4209108.16666667</v>
      </c>
      <c r="F21" s="769" t="n">
        <f aca="false">Breakout!$C$143/12</f>
        <v>108854.08588578</v>
      </c>
      <c r="G21" s="770" t="n">
        <f aca="false">Breakout!$C$144/12</f>
        <v>88897.5034733871</v>
      </c>
      <c r="H21" s="770" t="n">
        <v>90711.7382381501</v>
      </c>
      <c r="I21" s="769" t="n">
        <v>0</v>
      </c>
      <c r="J21" s="772" t="n">
        <v>0</v>
      </c>
      <c r="K21" s="772" t="n">
        <v>0</v>
      </c>
      <c r="L21" s="769" t="n">
        <v>0</v>
      </c>
      <c r="M21" s="770" t="n">
        <f aca="false">Breakout!$C$151/12</f>
        <v>46600.0885819282</v>
      </c>
      <c r="N21" s="769" t="n">
        <f aca="false">Breakout!$C$157/12</f>
        <v>0</v>
      </c>
      <c r="O21" s="770" t="n">
        <f aca="false">Breakout!$C$158/12</f>
        <v>42674.0737929746</v>
      </c>
      <c r="P21" s="769" t="n">
        <f aca="false">Breakout!$C$164/12</f>
        <v>0</v>
      </c>
      <c r="Q21" s="770" t="n">
        <f aca="false">Breakout!$C$165/12</f>
        <v>0</v>
      </c>
      <c r="R21" s="769" t="n">
        <f aca="false">Breakout!$C$171/12</f>
        <v>0</v>
      </c>
      <c r="S21" s="770" t="n">
        <f aca="false">Breakout!$C$172/12</f>
        <v>1020960.21175258</v>
      </c>
      <c r="T21" s="774" t="n">
        <f aca="false">C21+F21+I21+L21+N21+P21+R21</f>
        <v>5344547.47948875</v>
      </c>
      <c r="U21" s="771" t="n">
        <f aca="false">E21+H21+K21+M21+O21+Q21+S21</f>
        <v>5410054.2790323</v>
      </c>
      <c r="V21" s="774" t="n">
        <f aca="false">D21+G21+J21+M21+O21+Q21+S21</f>
        <v>5408240.04426753</v>
      </c>
      <c r="W21" s="775" t="n">
        <f aca="false">T21-V21-AD21</f>
        <v>-63692.5647787862</v>
      </c>
      <c r="Y21" s="776" t="n">
        <f aca="false">T21-U21-AD21</f>
        <v>-65506.7995435493</v>
      </c>
      <c r="AA21" s="770" t="n">
        <f aca="false">'power redistribution'!$C$32/12</f>
        <v>58459835.6481481</v>
      </c>
      <c r="AB21" s="770" t="n">
        <f aca="false">'power redistribution'!$D$32/12</f>
        <v>15466.6666666667</v>
      </c>
      <c r="AD21" s="772" t="n">
        <v>0</v>
      </c>
    </row>
    <row r="22" customFormat="false" ht="12.75" hidden="false" customHeight="false" outlineLevel="0" collapsed="false">
      <c r="A22" s="881" t="n">
        <v>12</v>
      </c>
      <c r="B22" s="894" t="n">
        <v>36861</v>
      </c>
      <c r="C22" s="886" t="n">
        <f aca="false">Breakout!$C$136/12</f>
        <v>5235693.39360297</v>
      </c>
      <c r="D22" s="883" t="n">
        <f aca="false">Breakout!$C$137/12</f>
        <v>4209108.16666667</v>
      </c>
      <c r="E22" s="883" t="n">
        <v>4209108.16666667</v>
      </c>
      <c r="F22" s="886" t="n">
        <f aca="false">Breakout!$C$143/12</f>
        <v>108854.08588578</v>
      </c>
      <c r="G22" s="883" t="n">
        <f aca="false">Breakout!$C$144/12</f>
        <v>88897.5034733871</v>
      </c>
      <c r="H22" s="883" t="n">
        <v>90711.7382381501</v>
      </c>
      <c r="I22" s="769" t="n">
        <v>0</v>
      </c>
      <c r="J22" s="772" t="n">
        <v>0</v>
      </c>
      <c r="K22" s="772" t="n">
        <v>0</v>
      </c>
      <c r="L22" s="769" t="n">
        <v>0</v>
      </c>
      <c r="M22" s="883" t="n">
        <f aca="false">Breakout!$C$151/12</f>
        <v>46600.0885819282</v>
      </c>
      <c r="N22" s="886" t="n">
        <f aca="false">Breakout!$C$157/12</f>
        <v>0</v>
      </c>
      <c r="O22" s="883" t="n">
        <f aca="false">Breakout!$C$158/12</f>
        <v>42674.0737929746</v>
      </c>
      <c r="P22" s="886" t="n">
        <f aca="false">Breakout!$C$164/12</f>
        <v>0</v>
      </c>
      <c r="Q22" s="883" t="n">
        <f aca="false">Breakout!$C$165/12</f>
        <v>0</v>
      </c>
      <c r="R22" s="886" t="n">
        <f aca="false">Breakout!$C$171/12</f>
        <v>0</v>
      </c>
      <c r="S22" s="883" t="n">
        <f aca="false">Breakout!$C$172/12</f>
        <v>1020960.21175258</v>
      </c>
      <c r="T22" s="774" t="n">
        <f aca="false">C22+F22+I22+L22+N22+P22+R22</f>
        <v>5344547.47948875</v>
      </c>
      <c r="U22" s="771" t="n">
        <f aca="false">E22+H22+K22+M22+O22+Q22+S22</f>
        <v>5410054.2790323</v>
      </c>
      <c r="V22" s="774" t="n">
        <f aca="false">D22+G22+J22+M22+O22+Q22+S22</f>
        <v>5408240.04426753</v>
      </c>
      <c r="W22" s="775" t="n">
        <f aca="false">T22-V22-AD22</f>
        <v>-63692.5647787862</v>
      </c>
      <c r="X22" s="885" t="n">
        <f aca="false">SUM(W11:W22)</f>
        <v>-764310.777345434</v>
      </c>
      <c r="Y22" s="776" t="n">
        <f aca="false">T22-U22-AD22</f>
        <v>-65506.7995435493</v>
      </c>
      <c r="Z22" s="885" t="n">
        <f aca="false">SUM(Y11:Y22)</f>
        <v>-786081.594522592</v>
      </c>
      <c r="AA22" s="770" t="n">
        <f aca="false">'power redistribution'!$C$32/12</f>
        <v>58459835.6481481</v>
      </c>
      <c r="AB22" s="770" t="n">
        <f aca="false">'power redistribution'!$D$32/12</f>
        <v>15466.6666666667</v>
      </c>
      <c r="AC22" s="885"/>
      <c r="AD22" s="772" t="n">
        <v>0</v>
      </c>
      <c r="AE22" s="885"/>
      <c r="AF22" s="885"/>
      <c r="AG22" s="885"/>
      <c r="AH22" s="885"/>
      <c r="AI22" s="885"/>
      <c r="AJ22" s="885"/>
      <c r="AK22" s="885"/>
      <c r="AL22" s="885"/>
      <c r="AM22" s="885"/>
      <c r="AN22" s="885"/>
      <c r="AO22" s="885"/>
      <c r="AP22" s="885"/>
      <c r="AQ22" s="885"/>
      <c r="AR22" s="885"/>
      <c r="AS22" s="885"/>
      <c r="AT22" s="885"/>
      <c r="AU22" s="885"/>
      <c r="AV22" s="885"/>
      <c r="AW22" s="885"/>
      <c r="AX22" s="885"/>
      <c r="AY22" s="885"/>
      <c r="AZ22" s="885"/>
      <c r="BA22" s="885"/>
      <c r="BB22" s="885"/>
      <c r="BC22" s="885"/>
      <c r="BD22" s="885"/>
      <c r="BE22" s="885"/>
      <c r="BF22" s="885"/>
      <c r="BG22" s="885"/>
      <c r="BH22" s="885"/>
      <c r="BI22" s="885"/>
      <c r="BJ22" s="885"/>
      <c r="BK22" s="885"/>
      <c r="BL22" s="885"/>
      <c r="BM22" s="885"/>
      <c r="BN22" s="885"/>
      <c r="BO22" s="885"/>
      <c r="BP22" s="885"/>
      <c r="BQ22" s="885"/>
      <c r="BR22" s="885"/>
      <c r="BS22" s="885"/>
      <c r="BT22" s="885"/>
      <c r="BU22" s="885"/>
      <c r="BV22" s="885"/>
      <c r="BW22" s="885"/>
      <c r="BX22" s="885"/>
      <c r="BY22" s="885"/>
    </row>
    <row r="23" customFormat="false" ht="12.75" hidden="false" customHeight="false" outlineLevel="0" collapsed="false">
      <c r="A23" s="767" t="n">
        <v>13</v>
      </c>
      <c r="B23" s="768" t="n">
        <v>36892</v>
      </c>
      <c r="C23" s="769" t="n">
        <f aca="false">Breakout!$D$136/12</f>
        <v>5819355.55816153</v>
      </c>
      <c r="D23" s="770" t="n">
        <f aca="false">Breakout!$D$137/12</f>
        <v>4691679.13888889</v>
      </c>
      <c r="E23" s="770" t="n">
        <v>4691679.13888889</v>
      </c>
      <c r="F23" s="769" t="n">
        <f aca="false">Breakout!$D$143/12</f>
        <v>109206.0649425</v>
      </c>
      <c r="G23" s="770" t="n">
        <f aca="false">Breakout!$D$144/12</f>
        <v>89184.9530363748</v>
      </c>
      <c r="H23" s="770" t="n">
        <v>91005.0541187498</v>
      </c>
      <c r="I23" s="769" t="n">
        <v>0</v>
      </c>
      <c r="J23" s="772" t="n">
        <v>0</v>
      </c>
      <c r="K23" s="772" t="n">
        <v>0</v>
      </c>
      <c r="L23" s="769" t="n">
        <v>0</v>
      </c>
      <c r="M23" s="770" t="n">
        <f aca="false">Breakout!$D$151/12</f>
        <v>51794.9513299227</v>
      </c>
      <c r="N23" s="769" t="n">
        <f aca="false">Breakout!$D$157/12</f>
        <v>0</v>
      </c>
      <c r="O23" s="770" t="n">
        <f aca="false">Breakout!$D$158/12</f>
        <v>26912.9215776108</v>
      </c>
      <c r="P23" s="769" t="n">
        <f aca="false">Breakout!$D$164/12</f>
        <v>0</v>
      </c>
      <c r="Q23" s="770" t="n">
        <f aca="false">Breakout!$D$165/12</f>
        <v>0</v>
      </c>
      <c r="R23" s="769" t="n">
        <f aca="false">Breakout!$D$171/12</f>
        <v>0</v>
      </c>
      <c r="S23" s="770" t="n">
        <f aca="false">Breakout!$D$172/12</f>
        <v>1134774.3338415</v>
      </c>
      <c r="T23" s="774" t="n">
        <f aca="false">C23+F23+I23+L23+N23+P23+R23</f>
        <v>5928561.62310403</v>
      </c>
      <c r="U23" s="771" t="n">
        <f aca="false">E23+H23+K23+M23+O23+Q23+S23</f>
        <v>5996166.39975667</v>
      </c>
      <c r="V23" s="774" t="n">
        <f aca="false">D23+G23+J23+M23+O23+Q23+S23</f>
        <v>5994346.2986743</v>
      </c>
      <c r="W23" s="775" t="n">
        <f aca="false">T23-V23-AD23</f>
        <v>-65784.6755702654</v>
      </c>
      <c r="Y23" s="776" t="n">
        <f aca="false">T23-U23-AD23</f>
        <v>-67604.7766526407</v>
      </c>
      <c r="AA23" s="770" t="n">
        <f aca="false">'power redistribution'!$C$32/12</f>
        <v>58459835.6481481</v>
      </c>
      <c r="AB23" s="770" t="n">
        <f aca="false">'power redistribution'!$D$32/12</f>
        <v>15466.6666666667</v>
      </c>
      <c r="AD23" s="772" t="n">
        <v>0</v>
      </c>
    </row>
    <row r="24" customFormat="false" ht="12.75" hidden="false" customHeight="false" outlineLevel="0" collapsed="false">
      <c r="A24" s="767" t="n">
        <v>14</v>
      </c>
      <c r="B24" s="768" t="n">
        <v>36923</v>
      </c>
      <c r="C24" s="769" t="n">
        <f aca="false">Breakout!$D$136/12</f>
        <v>5819355.55816153</v>
      </c>
      <c r="D24" s="770" t="n">
        <f aca="false">Breakout!$D$137/12</f>
        <v>4691679.13888889</v>
      </c>
      <c r="E24" s="770" t="n">
        <v>4691679.13888889</v>
      </c>
      <c r="F24" s="769" t="n">
        <f aca="false">Breakout!$D$143/12</f>
        <v>109206.0649425</v>
      </c>
      <c r="G24" s="770" t="n">
        <f aca="false">Breakout!$D$144/12</f>
        <v>89184.9530363748</v>
      </c>
      <c r="H24" s="770" t="n">
        <v>91005.0541187498</v>
      </c>
      <c r="I24" s="769" t="n">
        <v>0</v>
      </c>
      <c r="J24" s="772" t="n">
        <v>0</v>
      </c>
      <c r="K24" s="772" t="n">
        <v>0</v>
      </c>
      <c r="L24" s="769" t="n">
        <v>0</v>
      </c>
      <c r="M24" s="770" t="n">
        <f aca="false">Breakout!$D$151/12</f>
        <v>51794.9513299227</v>
      </c>
      <c r="N24" s="769" t="n">
        <f aca="false">Breakout!$D$157/12</f>
        <v>0</v>
      </c>
      <c r="O24" s="770" t="n">
        <f aca="false">Breakout!$D$158/12</f>
        <v>26912.9215776108</v>
      </c>
      <c r="P24" s="769" t="n">
        <f aca="false">Breakout!$D$164/12</f>
        <v>0</v>
      </c>
      <c r="Q24" s="770" t="n">
        <f aca="false">Breakout!$D$165/12</f>
        <v>0</v>
      </c>
      <c r="R24" s="769" t="n">
        <f aca="false">Breakout!$D$171/12</f>
        <v>0</v>
      </c>
      <c r="S24" s="770" t="n">
        <f aca="false">Breakout!$D$172/12</f>
        <v>1134774.3338415</v>
      </c>
      <c r="T24" s="774" t="n">
        <f aca="false">C24+F24+I24+L24+N24+P24+R24</f>
        <v>5928561.62310403</v>
      </c>
      <c r="U24" s="771" t="n">
        <f aca="false">E24+H24+K24+M24+O24+Q24+S24</f>
        <v>5996166.39975667</v>
      </c>
      <c r="V24" s="774" t="n">
        <f aca="false">D24+G24+J24+M24+O24+Q24+S24</f>
        <v>5994346.2986743</v>
      </c>
      <c r="W24" s="775" t="n">
        <f aca="false">T24-V24-AD24</f>
        <v>-65784.6755702654</v>
      </c>
      <c r="Y24" s="776" t="n">
        <f aca="false">T24-U24-AD24</f>
        <v>-67604.7766526407</v>
      </c>
      <c r="AA24" s="770" t="n">
        <f aca="false">'power redistribution'!$C$32/12</f>
        <v>58459835.6481481</v>
      </c>
      <c r="AB24" s="770" t="n">
        <f aca="false">'power redistribution'!$D$32/12</f>
        <v>15466.6666666667</v>
      </c>
      <c r="AD24" s="772" t="n">
        <v>0</v>
      </c>
    </row>
    <row r="25" customFormat="false" ht="12.75" hidden="false" customHeight="false" outlineLevel="0" collapsed="false">
      <c r="A25" s="767" t="n">
        <v>15</v>
      </c>
      <c r="B25" s="768" t="n">
        <v>36951</v>
      </c>
      <c r="C25" s="769" t="n">
        <f aca="false">Breakout!$D$136/12</f>
        <v>5819355.55816153</v>
      </c>
      <c r="D25" s="770" t="n">
        <f aca="false">Breakout!$D$137/12</f>
        <v>4691679.13888889</v>
      </c>
      <c r="E25" s="770" t="n">
        <v>4691679.13888889</v>
      </c>
      <c r="F25" s="769" t="n">
        <f aca="false">Breakout!$D$143/12</f>
        <v>109206.0649425</v>
      </c>
      <c r="G25" s="770" t="n">
        <f aca="false">Breakout!$D$144/12</f>
        <v>89184.9530363748</v>
      </c>
      <c r="H25" s="770" t="n">
        <v>91005.0541187498</v>
      </c>
      <c r="I25" s="769" t="n">
        <v>0</v>
      </c>
      <c r="J25" s="772" t="n">
        <v>0</v>
      </c>
      <c r="K25" s="772" t="n">
        <v>0</v>
      </c>
      <c r="L25" s="769" t="n">
        <v>0</v>
      </c>
      <c r="M25" s="770" t="n">
        <f aca="false">Breakout!$D$151/12</f>
        <v>51794.9513299227</v>
      </c>
      <c r="N25" s="769" t="n">
        <f aca="false">Breakout!$D$157/12</f>
        <v>0</v>
      </c>
      <c r="O25" s="770" t="n">
        <f aca="false">Breakout!$D$158/12</f>
        <v>26912.9215776108</v>
      </c>
      <c r="P25" s="769" t="n">
        <f aca="false">Breakout!$D$164/12</f>
        <v>0</v>
      </c>
      <c r="Q25" s="770" t="n">
        <f aca="false">Breakout!$D$165/12</f>
        <v>0</v>
      </c>
      <c r="R25" s="769" t="n">
        <f aca="false">Breakout!$D$171/12</f>
        <v>0</v>
      </c>
      <c r="S25" s="770" t="n">
        <f aca="false">Breakout!$D$172/12</f>
        <v>1134774.3338415</v>
      </c>
      <c r="T25" s="774" t="n">
        <f aca="false">C25+F25+I25+L25+N25+P25+R25</f>
        <v>5928561.62310403</v>
      </c>
      <c r="U25" s="771" t="n">
        <f aca="false">E25+H25+K25+M25+O25+Q25+S25</f>
        <v>5996166.39975667</v>
      </c>
      <c r="V25" s="774" t="n">
        <f aca="false">D25+G25+J25+M25+O25+Q25+S25</f>
        <v>5994346.2986743</v>
      </c>
      <c r="W25" s="775" t="n">
        <f aca="false">T25-V25-AD25</f>
        <v>-65784.6755702654</v>
      </c>
      <c r="Y25" s="776" t="n">
        <f aca="false">T25-U25-AD25</f>
        <v>-67604.7766526407</v>
      </c>
      <c r="AA25" s="770" t="n">
        <f aca="false">'power redistribution'!$C$32/12</f>
        <v>58459835.6481481</v>
      </c>
      <c r="AB25" s="770" t="n">
        <f aca="false">'power redistribution'!$D$32/12</f>
        <v>15466.6666666667</v>
      </c>
      <c r="AD25" s="772" t="n">
        <v>0</v>
      </c>
    </row>
    <row r="26" customFormat="false" ht="12.75" hidden="false" customHeight="false" outlineLevel="0" collapsed="false">
      <c r="A26" s="767" t="n">
        <v>16</v>
      </c>
      <c r="B26" s="768" t="n">
        <v>36982</v>
      </c>
      <c r="C26" s="769" t="n">
        <f aca="false">Breakout!$D$136/12</f>
        <v>5819355.55816153</v>
      </c>
      <c r="D26" s="770" t="n">
        <f aca="false">Breakout!$D$137/12</f>
        <v>4691679.13888889</v>
      </c>
      <c r="E26" s="770" t="n">
        <v>4691679.13888889</v>
      </c>
      <c r="F26" s="769" t="n">
        <f aca="false">Breakout!$D$143/12</f>
        <v>109206.0649425</v>
      </c>
      <c r="G26" s="770" t="n">
        <f aca="false">Breakout!$D$144/12</f>
        <v>89184.9530363748</v>
      </c>
      <c r="H26" s="770" t="n">
        <v>91005.0541187498</v>
      </c>
      <c r="I26" s="769" t="n">
        <v>0</v>
      </c>
      <c r="J26" s="772" t="n">
        <v>0</v>
      </c>
      <c r="K26" s="772" t="n">
        <v>0</v>
      </c>
      <c r="L26" s="769" t="n">
        <v>0</v>
      </c>
      <c r="M26" s="770" t="n">
        <f aca="false">Breakout!$D$151/12</f>
        <v>51794.9513299227</v>
      </c>
      <c r="N26" s="769" t="n">
        <f aca="false">Breakout!$D$157/12</f>
        <v>0</v>
      </c>
      <c r="O26" s="770" t="n">
        <f aca="false">Breakout!$D$158/12</f>
        <v>26912.9215776108</v>
      </c>
      <c r="P26" s="769" t="n">
        <f aca="false">Breakout!$D$164/12</f>
        <v>0</v>
      </c>
      <c r="Q26" s="770" t="n">
        <f aca="false">Breakout!$D$165/12</f>
        <v>0</v>
      </c>
      <c r="R26" s="769" t="n">
        <f aca="false">Breakout!$D$171/12</f>
        <v>0</v>
      </c>
      <c r="S26" s="770" t="n">
        <f aca="false">Breakout!$D$172/12</f>
        <v>1134774.3338415</v>
      </c>
      <c r="T26" s="774" t="n">
        <f aca="false">C26+F26+I26+L26+N26+P26+R26</f>
        <v>5928561.62310403</v>
      </c>
      <c r="U26" s="771" t="n">
        <f aca="false">E26+H26+K26+M26+O26+Q26+S26</f>
        <v>5996166.39975667</v>
      </c>
      <c r="V26" s="774" t="n">
        <f aca="false">D26+G26+J26+M26+O26+Q26+S26</f>
        <v>5994346.2986743</v>
      </c>
      <c r="W26" s="775" t="n">
        <f aca="false">T26-V26-AD26</f>
        <v>-65784.6755702654</v>
      </c>
      <c r="Y26" s="776" t="n">
        <f aca="false">T26-U26-AD26</f>
        <v>-67604.7766526407</v>
      </c>
      <c r="AA26" s="770" t="n">
        <f aca="false">'power redistribution'!$C$32/12</f>
        <v>58459835.6481481</v>
      </c>
      <c r="AB26" s="770" t="n">
        <f aca="false">'power redistribution'!$D$32/12</f>
        <v>15466.6666666667</v>
      </c>
      <c r="AD26" s="772" t="n">
        <v>0</v>
      </c>
    </row>
    <row r="27" customFormat="false" ht="12.75" hidden="false" customHeight="false" outlineLevel="0" collapsed="false">
      <c r="A27" s="767" t="n">
        <v>17</v>
      </c>
      <c r="B27" s="768" t="n">
        <v>37012</v>
      </c>
      <c r="C27" s="769" t="n">
        <f aca="false">Breakout!$D$136/12</f>
        <v>5819355.55816153</v>
      </c>
      <c r="D27" s="770" t="n">
        <f aca="false">Breakout!$D$137/12</f>
        <v>4691679.13888889</v>
      </c>
      <c r="E27" s="770" t="n">
        <v>4691679.13888889</v>
      </c>
      <c r="F27" s="769" t="n">
        <f aca="false">Breakout!$D$143/12</f>
        <v>109206.0649425</v>
      </c>
      <c r="G27" s="770" t="n">
        <f aca="false">Breakout!$D$144/12</f>
        <v>89184.9530363748</v>
      </c>
      <c r="H27" s="770" t="n">
        <v>91005.0541187498</v>
      </c>
      <c r="I27" s="769" t="n">
        <v>0</v>
      </c>
      <c r="J27" s="772" t="n">
        <v>0</v>
      </c>
      <c r="K27" s="772" t="n">
        <v>0</v>
      </c>
      <c r="L27" s="769" t="n">
        <v>0</v>
      </c>
      <c r="M27" s="770" t="n">
        <f aca="false">Breakout!$D$151/12</f>
        <v>51794.9513299227</v>
      </c>
      <c r="N27" s="769" t="n">
        <f aca="false">Breakout!$D$157/12</f>
        <v>0</v>
      </c>
      <c r="O27" s="770" t="n">
        <f aca="false">Breakout!$D$158/12</f>
        <v>26912.9215776108</v>
      </c>
      <c r="P27" s="769" t="n">
        <f aca="false">Breakout!$D$164/12</f>
        <v>0</v>
      </c>
      <c r="Q27" s="770" t="n">
        <f aca="false">Breakout!$D$165/12</f>
        <v>0</v>
      </c>
      <c r="R27" s="769" t="n">
        <f aca="false">Breakout!$D$171/12</f>
        <v>0</v>
      </c>
      <c r="S27" s="770" t="n">
        <f aca="false">Breakout!$D$172/12</f>
        <v>1134774.3338415</v>
      </c>
      <c r="T27" s="774" t="n">
        <f aca="false">C27+F27+I27+L27+N27+P27+R27</f>
        <v>5928561.62310403</v>
      </c>
      <c r="U27" s="771" t="n">
        <f aca="false">E27+H27+K27+M27+O27+Q27+S27</f>
        <v>5996166.39975667</v>
      </c>
      <c r="V27" s="774" t="n">
        <f aca="false">D27+G27+J27+M27+O27+Q27+S27</f>
        <v>5994346.2986743</v>
      </c>
      <c r="W27" s="775" t="n">
        <f aca="false">T27-V27-AD27</f>
        <v>-65784.6755702654</v>
      </c>
      <c r="Y27" s="776" t="n">
        <f aca="false">T27-U27-AD27</f>
        <v>-67604.7766526407</v>
      </c>
      <c r="AA27" s="770" t="n">
        <f aca="false">'power redistribution'!$C$32/12</f>
        <v>58459835.6481481</v>
      </c>
      <c r="AB27" s="770" t="n">
        <f aca="false">'power redistribution'!$D$32/12</f>
        <v>15466.6666666667</v>
      </c>
      <c r="AD27" s="772" t="n">
        <v>0</v>
      </c>
    </row>
    <row r="28" customFormat="false" ht="12.75" hidden="false" customHeight="false" outlineLevel="0" collapsed="false">
      <c r="A28" s="767" t="n">
        <v>18</v>
      </c>
      <c r="B28" s="768" t="n">
        <v>37043</v>
      </c>
      <c r="C28" s="769" t="n">
        <f aca="false">Breakout!$D$136/12</f>
        <v>5819355.55816153</v>
      </c>
      <c r="D28" s="770" t="n">
        <f aca="false">Breakout!$D$137/12</f>
        <v>4691679.13888889</v>
      </c>
      <c r="E28" s="770" t="n">
        <v>4691679.13888889</v>
      </c>
      <c r="F28" s="769" t="n">
        <f aca="false">Breakout!$D$143/12</f>
        <v>109206.0649425</v>
      </c>
      <c r="G28" s="770" t="n">
        <f aca="false">Breakout!$D$144/12</f>
        <v>89184.9530363748</v>
      </c>
      <c r="H28" s="770" t="n">
        <v>91005.0541187498</v>
      </c>
      <c r="I28" s="769" t="n">
        <v>0</v>
      </c>
      <c r="J28" s="772" t="n">
        <v>0</v>
      </c>
      <c r="K28" s="772" t="n">
        <v>0</v>
      </c>
      <c r="L28" s="769" t="n">
        <v>0</v>
      </c>
      <c r="M28" s="770" t="n">
        <f aca="false">Breakout!$D$151/12</f>
        <v>51794.9513299227</v>
      </c>
      <c r="N28" s="769" t="n">
        <f aca="false">Breakout!$D$157/12</f>
        <v>0</v>
      </c>
      <c r="O28" s="770" t="n">
        <f aca="false">Breakout!$D$158/12</f>
        <v>26912.9215776108</v>
      </c>
      <c r="P28" s="769" t="n">
        <f aca="false">Breakout!$D$164/12</f>
        <v>0</v>
      </c>
      <c r="Q28" s="770" t="n">
        <f aca="false">Breakout!$D$165/12</f>
        <v>0</v>
      </c>
      <c r="R28" s="769" t="n">
        <f aca="false">Breakout!$D$171/12</f>
        <v>0</v>
      </c>
      <c r="S28" s="770" t="n">
        <f aca="false">Breakout!$D$172/12</f>
        <v>1134774.3338415</v>
      </c>
      <c r="T28" s="774" t="n">
        <f aca="false">C28+F28+I28+L28+N28+P28+R28</f>
        <v>5928561.62310403</v>
      </c>
      <c r="U28" s="771" t="n">
        <f aca="false">E28+H28+K28+M28+O28+Q28+S28</f>
        <v>5996166.39975667</v>
      </c>
      <c r="V28" s="774" t="n">
        <f aca="false">D28+G28+J28+M28+O28+Q28+S28</f>
        <v>5994346.2986743</v>
      </c>
      <c r="W28" s="775" t="n">
        <f aca="false">T28-V28-AD28</f>
        <v>-65784.6755702654</v>
      </c>
      <c r="Y28" s="776" t="n">
        <f aca="false">T28-U28-AD28</f>
        <v>-67604.7766526407</v>
      </c>
      <c r="AA28" s="770" t="n">
        <f aca="false">'power redistribution'!$C$32/12</f>
        <v>58459835.6481481</v>
      </c>
      <c r="AB28" s="770" t="n">
        <f aca="false">'power redistribution'!$D$32/12</f>
        <v>15466.6666666667</v>
      </c>
      <c r="AD28" s="772" t="n">
        <v>0</v>
      </c>
    </row>
    <row r="29" customFormat="false" ht="12.75" hidden="false" customHeight="false" outlineLevel="0" collapsed="false">
      <c r="A29" s="767" t="n">
        <v>19</v>
      </c>
      <c r="B29" s="768" t="n">
        <v>37073</v>
      </c>
      <c r="C29" s="769" t="n">
        <f aca="false">Breakout!$D$136/12</f>
        <v>5819355.55816153</v>
      </c>
      <c r="D29" s="770" t="n">
        <f aca="false">Breakout!$D$137/12</f>
        <v>4691679.13888889</v>
      </c>
      <c r="E29" s="770" t="n">
        <v>4691679.13888889</v>
      </c>
      <c r="F29" s="769" t="n">
        <f aca="false">Breakout!$D$143/12</f>
        <v>109206.0649425</v>
      </c>
      <c r="G29" s="770" t="n">
        <f aca="false">Breakout!$D$144/12</f>
        <v>89184.9530363748</v>
      </c>
      <c r="H29" s="770" t="n">
        <v>91005.0541187498</v>
      </c>
      <c r="I29" s="769" t="n">
        <v>0</v>
      </c>
      <c r="J29" s="772" t="n">
        <v>0</v>
      </c>
      <c r="K29" s="772" t="n">
        <v>0</v>
      </c>
      <c r="L29" s="769" t="n">
        <v>0</v>
      </c>
      <c r="M29" s="770" t="n">
        <f aca="false">Breakout!$D$151/12</f>
        <v>51794.9513299227</v>
      </c>
      <c r="N29" s="769" t="n">
        <f aca="false">Breakout!$D$157/12</f>
        <v>0</v>
      </c>
      <c r="O29" s="770" t="n">
        <f aca="false">Breakout!$D$158/12</f>
        <v>26912.9215776108</v>
      </c>
      <c r="P29" s="769" t="n">
        <f aca="false">Breakout!$D$164/12</f>
        <v>0</v>
      </c>
      <c r="Q29" s="770" t="n">
        <f aca="false">Breakout!$D$165/12</f>
        <v>0</v>
      </c>
      <c r="R29" s="769" t="n">
        <f aca="false">Breakout!$D$171/12</f>
        <v>0</v>
      </c>
      <c r="S29" s="770" t="n">
        <f aca="false">Breakout!$D$172/12</f>
        <v>1134774.3338415</v>
      </c>
      <c r="T29" s="774" t="n">
        <f aca="false">C29+F29+I29+L29+N29+P29+R29</f>
        <v>5928561.62310403</v>
      </c>
      <c r="U29" s="771" t="n">
        <f aca="false">E29+H29+K29+M29+O29+Q29+S29</f>
        <v>5996166.39975667</v>
      </c>
      <c r="V29" s="774" t="n">
        <f aca="false">D29+G29+J29+M29+O29+Q29+S29</f>
        <v>5994346.2986743</v>
      </c>
      <c r="W29" s="775" t="n">
        <f aca="false">T29-V29-AD29</f>
        <v>-65784.6755702654</v>
      </c>
      <c r="Y29" s="776" t="n">
        <f aca="false">T29-U29-AD29</f>
        <v>-67604.7766526407</v>
      </c>
      <c r="AA29" s="770" t="n">
        <f aca="false">'power redistribution'!$C$32/12</f>
        <v>58459835.6481481</v>
      </c>
      <c r="AB29" s="770" t="n">
        <f aca="false">'power redistribution'!$D$32/12</f>
        <v>15466.6666666667</v>
      </c>
      <c r="AD29" s="772" t="n">
        <v>0</v>
      </c>
    </row>
    <row r="30" customFormat="false" ht="12.75" hidden="false" customHeight="false" outlineLevel="0" collapsed="false">
      <c r="A30" s="767" t="n">
        <v>20</v>
      </c>
      <c r="B30" s="768" t="n">
        <v>37104</v>
      </c>
      <c r="C30" s="769" t="n">
        <f aca="false">Breakout!$D$136/12</f>
        <v>5819355.55816153</v>
      </c>
      <c r="D30" s="770" t="n">
        <f aca="false">Breakout!$D$137/12</f>
        <v>4691679.13888889</v>
      </c>
      <c r="E30" s="770" t="n">
        <v>4691679.13888889</v>
      </c>
      <c r="F30" s="769" t="n">
        <f aca="false">Breakout!$D$143/12</f>
        <v>109206.0649425</v>
      </c>
      <c r="G30" s="770" t="n">
        <f aca="false">Breakout!$D$144/12</f>
        <v>89184.9530363748</v>
      </c>
      <c r="H30" s="770" t="n">
        <v>91005.0541187498</v>
      </c>
      <c r="I30" s="769" t="n">
        <v>0</v>
      </c>
      <c r="J30" s="772" t="n">
        <v>0</v>
      </c>
      <c r="K30" s="772" t="n">
        <v>0</v>
      </c>
      <c r="L30" s="769" t="n">
        <v>0</v>
      </c>
      <c r="M30" s="770" t="n">
        <f aca="false">Breakout!$D$151/12</f>
        <v>51794.9513299227</v>
      </c>
      <c r="N30" s="769" t="n">
        <f aca="false">Breakout!$D$157/12</f>
        <v>0</v>
      </c>
      <c r="O30" s="770" t="n">
        <f aca="false">Breakout!$D$158/12</f>
        <v>26912.9215776108</v>
      </c>
      <c r="P30" s="769" t="n">
        <f aca="false">Breakout!$D$164/12</f>
        <v>0</v>
      </c>
      <c r="Q30" s="770" t="n">
        <f aca="false">Breakout!$D$165/12</f>
        <v>0</v>
      </c>
      <c r="R30" s="769" t="n">
        <f aca="false">Breakout!$D$171/12</f>
        <v>0</v>
      </c>
      <c r="S30" s="770" t="n">
        <f aca="false">Breakout!$D$172/12</f>
        <v>1134774.3338415</v>
      </c>
      <c r="T30" s="774" t="n">
        <f aca="false">C30+F30+I30+L30+N30+P30+R30</f>
        <v>5928561.62310403</v>
      </c>
      <c r="U30" s="771" t="n">
        <f aca="false">E30+H30+K30+M30+O30+Q30+S30</f>
        <v>5996166.39975667</v>
      </c>
      <c r="V30" s="774" t="n">
        <f aca="false">D30+G30+J30+M30+O30+Q30+S30</f>
        <v>5994346.2986743</v>
      </c>
      <c r="W30" s="775" t="n">
        <f aca="false">T30-V30-AD30</f>
        <v>-65784.6755702654</v>
      </c>
      <c r="Y30" s="776" t="n">
        <f aca="false">T30-U30-AD30</f>
        <v>-67604.7766526407</v>
      </c>
      <c r="AA30" s="770" t="n">
        <f aca="false">'power redistribution'!$C$32/12</f>
        <v>58459835.6481481</v>
      </c>
      <c r="AB30" s="770" t="n">
        <f aca="false">'power redistribution'!$D$32/12</f>
        <v>15466.6666666667</v>
      </c>
      <c r="AD30" s="772" t="n">
        <v>0</v>
      </c>
    </row>
    <row r="31" customFormat="false" ht="12.75" hidden="false" customHeight="false" outlineLevel="0" collapsed="false">
      <c r="A31" s="767" t="n">
        <v>21</v>
      </c>
      <c r="B31" s="768" t="n">
        <v>37135</v>
      </c>
      <c r="C31" s="769" t="n">
        <f aca="false">Breakout!$D$136/12</f>
        <v>5819355.55816153</v>
      </c>
      <c r="D31" s="770" t="n">
        <f aca="false">Breakout!$D$137/12</f>
        <v>4691679.13888889</v>
      </c>
      <c r="E31" s="770" t="n">
        <v>4691679.13888889</v>
      </c>
      <c r="F31" s="769" t="n">
        <f aca="false">Breakout!$D$143/12</f>
        <v>109206.0649425</v>
      </c>
      <c r="G31" s="770" t="n">
        <f aca="false">Breakout!$D$144/12</f>
        <v>89184.9530363748</v>
      </c>
      <c r="H31" s="770" t="n">
        <v>91005.0541187498</v>
      </c>
      <c r="I31" s="769" t="n">
        <v>0</v>
      </c>
      <c r="J31" s="772" t="n">
        <v>0</v>
      </c>
      <c r="K31" s="772" t="n">
        <v>0</v>
      </c>
      <c r="L31" s="769" t="n">
        <v>0</v>
      </c>
      <c r="M31" s="770" t="n">
        <f aca="false">Breakout!$D$151/12</f>
        <v>51794.9513299227</v>
      </c>
      <c r="N31" s="769" t="n">
        <f aca="false">Breakout!$D$157/12</f>
        <v>0</v>
      </c>
      <c r="O31" s="770" t="n">
        <f aca="false">Breakout!$D$158/12</f>
        <v>26912.9215776108</v>
      </c>
      <c r="P31" s="769" t="n">
        <f aca="false">Breakout!$D$164/12</f>
        <v>0</v>
      </c>
      <c r="Q31" s="770" t="n">
        <f aca="false">Breakout!$D$165/12</f>
        <v>0</v>
      </c>
      <c r="R31" s="769" t="n">
        <f aca="false">Breakout!$D$171/12</f>
        <v>0</v>
      </c>
      <c r="S31" s="770" t="n">
        <f aca="false">Breakout!$D$172/12</f>
        <v>1134774.3338415</v>
      </c>
      <c r="T31" s="774" t="n">
        <f aca="false">C31+F31+I31+L31+N31+P31+R31</f>
        <v>5928561.62310403</v>
      </c>
      <c r="U31" s="771" t="n">
        <f aca="false">E31+H31+K31+M31+O31+Q31+S31</f>
        <v>5996166.39975667</v>
      </c>
      <c r="V31" s="774" t="n">
        <f aca="false">D31+G31+J31+M31+O31+Q31+S31</f>
        <v>5994346.2986743</v>
      </c>
      <c r="W31" s="775" t="n">
        <f aca="false">T31-V31-AD31</f>
        <v>-65784.6755702654</v>
      </c>
      <c r="Y31" s="776" t="n">
        <f aca="false">T31-U31-AD31</f>
        <v>-67604.7766526407</v>
      </c>
      <c r="AA31" s="770" t="n">
        <f aca="false">'power redistribution'!$C$32/12</f>
        <v>58459835.6481481</v>
      </c>
      <c r="AB31" s="770" t="n">
        <f aca="false">'power redistribution'!$D$32/12</f>
        <v>15466.6666666667</v>
      </c>
      <c r="AD31" s="772" t="n">
        <v>0</v>
      </c>
    </row>
    <row r="32" customFormat="false" ht="12.75" hidden="false" customHeight="false" outlineLevel="0" collapsed="false">
      <c r="A32" s="767" t="n">
        <v>22</v>
      </c>
      <c r="B32" s="768" t="n">
        <v>37165</v>
      </c>
      <c r="C32" s="769" t="n">
        <f aca="false">Breakout!$D$136/12</f>
        <v>5819355.55816153</v>
      </c>
      <c r="D32" s="770" t="n">
        <f aca="false">Breakout!$D$137/12</f>
        <v>4691679.13888889</v>
      </c>
      <c r="E32" s="770" t="n">
        <v>4691679.13888889</v>
      </c>
      <c r="F32" s="769" t="n">
        <f aca="false">Breakout!$D$143/12</f>
        <v>109206.0649425</v>
      </c>
      <c r="G32" s="770" t="n">
        <f aca="false">Breakout!$D$144/12</f>
        <v>89184.9530363748</v>
      </c>
      <c r="H32" s="770" t="n">
        <v>91005.0541187498</v>
      </c>
      <c r="I32" s="769" t="n">
        <v>0</v>
      </c>
      <c r="J32" s="772" t="n">
        <v>0</v>
      </c>
      <c r="K32" s="772" t="n">
        <v>0</v>
      </c>
      <c r="L32" s="769" t="n">
        <v>0</v>
      </c>
      <c r="M32" s="770" t="n">
        <f aca="false">Breakout!$D$151/12</f>
        <v>51794.9513299227</v>
      </c>
      <c r="N32" s="769" t="n">
        <f aca="false">Breakout!$D$157/12</f>
        <v>0</v>
      </c>
      <c r="O32" s="770" t="n">
        <f aca="false">Breakout!$D$158/12</f>
        <v>26912.9215776108</v>
      </c>
      <c r="P32" s="769" t="n">
        <f aca="false">Breakout!$D$164/12</f>
        <v>0</v>
      </c>
      <c r="Q32" s="770" t="n">
        <f aca="false">Breakout!$D$165/12</f>
        <v>0</v>
      </c>
      <c r="R32" s="769" t="n">
        <f aca="false">Breakout!$D$171/12</f>
        <v>0</v>
      </c>
      <c r="S32" s="770" t="n">
        <f aca="false">Breakout!$D$172/12</f>
        <v>1134774.3338415</v>
      </c>
      <c r="T32" s="774" t="n">
        <f aca="false">C32+F32+I32+L32+N32+P32+R32</f>
        <v>5928561.62310403</v>
      </c>
      <c r="U32" s="771" t="n">
        <f aca="false">E32+H32+K32+M32+O32+Q32+S32</f>
        <v>5996166.39975667</v>
      </c>
      <c r="V32" s="774" t="n">
        <f aca="false">D32+G32+J32+M32+O32+Q32+S32</f>
        <v>5994346.2986743</v>
      </c>
      <c r="W32" s="775" t="n">
        <f aca="false">T32-V32-AD32</f>
        <v>-65784.6755702654</v>
      </c>
      <c r="Y32" s="776" t="n">
        <f aca="false">T32-U32-AD32</f>
        <v>-67604.7766526407</v>
      </c>
      <c r="AA32" s="770" t="n">
        <f aca="false">'power redistribution'!$C$32/12</f>
        <v>58459835.6481481</v>
      </c>
      <c r="AB32" s="770" t="n">
        <f aca="false">'power redistribution'!$D$32/12</f>
        <v>15466.6666666667</v>
      </c>
      <c r="AD32" s="772" t="n">
        <v>0</v>
      </c>
    </row>
    <row r="33" customFormat="false" ht="12.75" hidden="false" customHeight="false" outlineLevel="0" collapsed="false">
      <c r="A33" s="767" t="n">
        <v>23</v>
      </c>
      <c r="B33" s="768" t="n">
        <v>37196</v>
      </c>
      <c r="C33" s="769" t="n">
        <f aca="false">Breakout!$D$136/12</f>
        <v>5819355.55816153</v>
      </c>
      <c r="D33" s="770" t="n">
        <f aca="false">Breakout!$D$137/12</f>
        <v>4691679.13888889</v>
      </c>
      <c r="E33" s="770" t="n">
        <v>4691679.13888889</v>
      </c>
      <c r="F33" s="769" t="n">
        <f aca="false">Breakout!$D$143/12</f>
        <v>109206.0649425</v>
      </c>
      <c r="G33" s="770" t="n">
        <f aca="false">Breakout!$D$144/12</f>
        <v>89184.9530363748</v>
      </c>
      <c r="H33" s="770" t="n">
        <v>91005.0541187498</v>
      </c>
      <c r="I33" s="769" t="n">
        <v>0</v>
      </c>
      <c r="J33" s="772" t="n">
        <v>0</v>
      </c>
      <c r="K33" s="772" t="n">
        <v>0</v>
      </c>
      <c r="L33" s="769" t="n">
        <v>0</v>
      </c>
      <c r="M33" s="770" t="n">
        <f aca="false">Breakout!$D$151/12</f>
        <v>51794.9513299227</v>
      </c>
      <c r="N33" s="769" t="n">
        <f aca="false">Breakout!$D$157/12</f>
        <v>0</v>
      </c>
      <c r="O33" s="770" t="n">
        <f aca="false">Breakout!$D$158/12</f>
        <v>26912.9215776108</v>
      </c>
      <c r="P33" s="769" t="n">
        <f aca="false">Breakout!$D$164/12</f>
        <v>0</v>
      </c>
      <c r="Q33" s="770" t="n">
        <f aca="false">Breakout!$D$165/12</f>
        <v>0</v>
      </c>
      <c r="R33" s="769" t="n">
        <f aca="false">Breakout!$D$171/12</f>
        <v>0</v>
      </c>
      <c r="S33" s="770" t="n">
        <f aca="false">Breakout!$D$172/12</f>
        <v>1134774.3338415</v>
      </c>
      <c r="T33" s="774" t="n">
        <f aca="false">C33+F33+I33+L33+N33+P33+R33</f>
        <v>5928561.62310403</v>
      </c>
      <c r="U33" s="771" t="n">
        <f aca="false">E33+H33+K33+M33+O33+Q33+S33</f>
        <v>5996166.39975667</v>
      </c>
      <c r="V33" s="774" t="n">
        <f aca="false">D33+G33+J33+M33+O33+Q33+S33</f>
        <v>5994346.2986743</v>
      </c>
      <c r="W33" s="775" t="n">
        <f aca="false">T33-V33-AD33</f>
        <v>-65784.6755702654</v>
      </c>
      <c r="Y33" s="776" t="n">
        <f aca="false">T33-U33-AD33</f>
        <v>-67604.7766526407</v>
      </c>
      <c r="AA33" s="770" t="n">
        <f aca="false">'power redistribution'!$C$32/12</f>
        <v>58459835.6481481</v>
      </c>
      <c r="AB33" s="770" t="n">
        <f aca="false">'power redistribution'!$D$32/12</f>
        <v>15466.6666666667</v>
      </c>
      <c r="AD33" s="772" t="n">
        <v>0</v>
      </c>
    </row>
    <row r="34" customFormat="false" ht="12.75" hidden="false" customHeight="false" outlineLevel="0" collapsed="false">
      <c r="A34" s="895" t="n">
        <v>24</v>
      </c>
      <c r="B34" s="896" t="n">
        <v>37226</v>
      </c>
      <c r="C34" s="769" t="n">
        <f aca="false">Breakout!$D$136/12</f>
        <v>5819355.55816153</v>
      </c>
      <c r="D34" s="770" t="n">
        <f aca="false">Breakout!$D$137/12</f>
        <v>4691679.13888889</v>
      </c>
      <c r="E34" s="770" t="n">
        <v>4691679.13888889</v>
      </c>
      <c r="F34" s="769" t="n">
        <f aca="false">Breakout!$D$143/12</f>
        <v>109206.0649425</v>
      </c>
      <c r="G34" s="770" t="n">
        <f aca="false">Breakout!$D$144/12</f>
        <v>89184.9530363748</v>
      </c>
      <c r="H34" s="770" t="n">
        <v>91005.0541187498</v>
      </c>
      <c r="I34" s="769" t="n">
        <v>0</v>
      </c>
      <c r="J34" s="772" t="n">
        <v>0</v>
      </c>
      <c r="K34" s="772" t="n">
        <v>0</v>
      </c>
      <c r="L34" s="769" t="n">
        <v>0</v>
      </c>
      <c r="M34" s="770" t="n">
        <f aca="false">Breakout!$D$151/12</f>
        <v>51794.9513299227</v>
      </c>
      <c r="N34" s="769" t="n">
        <f aca="false">Breakout!$D$157/12</f>
        <v>0</v>
      </c>
      <c r="O34" s="770" t="n">
        <f aca="false">Breakout!$D$158/12</f>
        <v>26912.9215776108</v>
      </c>
      <c r="P34" s="769" t="n">
        <f aca="false">Breakout!$D$164/12</f>
        <v>0</v>
      </c>
      <c r="Q34" s="770" t="n">
        <f aca="false">Breakout!$D$165/12</f>
        <v>0</v>
      </c>
      <c r="R34" s="769" t="n">
        <f aca="false">Breakout!$D$171/12</f>
        <v>0</v>
      </c>
      <c r="S34" s="770" t="n">
        <f aca="false">Breakout!$D$172/12</f>
        <v>1134774.3338415</v>
      </c>
      <c r="T34" s="774" t="n">
        <f aca="false">C34+F34+I34+L34+N34+P34+R34</f>
        <v>5928561.62310403</v>
      </c>
      <c r="U34" s="771" t="n">
        <f aca="false">E34+H34+K34+M34+O34+Q34+S34</f>
        <v>5996166.39975667</v>
      </c>
      <c r="V34" s="774" t="n">
        <f aca="false">D34+G34+J34+M34+O34+Q34+S34</f>
        <v>5994346.2986743</v>
      </c>
      <c r="W34" s="775" t="n">
        <f aca="false">T34-V34-AD34</f>
        <v>-65784.6755702654</v>
      </c>
      <c r="X34" s="885" t="n">
        <f aca="false">SUM(W23:W34)</f>
        <v>-789416.106843185</v>
      </c>
      <c r="Y34" s="776" t="n">
        <f aca="false">T34-U34-AD34</f>
        <v>-67604.7766526407</v>
      </c>
      <c r="Z34" s="885" t="n">
        <f aca="false">SUM(Y23:Y34)</f>
        <v>-811257.319831688</v>
      </c>
      <c r="AA34" s="770" t="n">
        <f aca="false">'power redistribution'!$C$32/12</f>
        <v>58459835.6481481</v>
      </c>
      <c r="AB34" s="770" t="n">
        <f aca="false">'power redistribution'!$D$32/12</f>
        <v>15466.6666666667</v>
      </c>
      <c r="AD34" s="772" t="n">
        <v>0</v>
      </c>
      <c r="AF34" s="431"/>
      <c r="AG34" s="431"/>
      <c r="AH34" s="431"/>
      <c r="AI34" s="431"/>
      <c r="AJ34" s="431"/>
      <c r="AK34" s="431"/>
      <c r="AL34" s="431"/>
      <c r="AM34" s="431"/>
      <c r="AN34" s="431"/>
      <c r="AO34" s="431"/>
      <c r="AP34" s="431"/>
      <c r="AQ34" s="431"/>
      <c r="AR34" s="431"/>
      <c r="AS34" s="431"/>
      <c r="AT34" s="431"/>
      <c r="AU34" s="431"/>
      <c r="AV34" s="431"/>
      <c r="AW34" s="431"/>
      <c r="AX34" s="431"/>
      <c r="AY34" s="431"/>
      <c r="AZ34" s="431"/>
      <c r="BA34" s="431"/>
      <c r="BB34" s="431"/>
      <c r="BC34" s="431"/>
      <c r="BD34" s="431"/>
      <c r="BE34" s="431"/>
      <c r="BF34" s="431"/>
      <c r="BG34" s="431"/>
      <c r="BH34" s="431"/>
      <c r="BI34" s="431"/>
      <c r="BJ34" s="431"/>
      <c r="BK34" s="431"/>
      <c r="BL34" s="431"/>
      <c r="BM34" s="431"/>
      <c r="BN34" s="431"/>
      <c r="BO34" s="431"/>
      <c r="BP34" s="431"/>
      <c r="BQ34" s="431"/>
      <c r="BR34" s="431"/>
      <c r="BS34" s="431"/>
      <c r="BT34" s="431"/>
      <c r="BU34" s="431"/>
      <c r="BV34" s="431"/>
      <c r="BW34" s="431"/>
      <c r="BX34" s="431"/>
      <c r="BY34" s="431"/>
    </row>
    <row r="35" customFormat="false" ht="12.75" hidden="false" customHeight="false" outlineLevel="0" collapsed="false">
      <c r="A35" s="866" t="n">
        <v>25</v>
      </c>
      <c r="B35" s="897" t="n">
        <v>37257</v>
      </c>
      <c r="C35" s="868" t="n">
        <f aca="false">Breakout!$E$136/12</f>
        <v>6512883.54193111</v>
      </c>
      <c r="D35" s="870" t="n">
        <f aca="false">Breakout!$E$137/12</f>
        <v>5001832.65</v>
      </c>
      <c r="E35" s="870" t="n">
        <v>5001832.65</v>
      </c>
      <c r="F35" s="868" t="n">
        <f aca="false">Breakout!$E$143/12</f>
        <v>110419.404967998</v>
      </c>
      <c r="G35" s="870" t="n">
        <f aca="false">Breakout!$E$144/12</f>
        <v>90175.8473905314</v>
      </c>
      <c r="H35" s="870" t="n">
        <v>92016.1708066647</v>
      </c>
      <c r="I35" s="769" t="n">
        <v>0</v>
      </c>
      <c r="J35" s="772" t="n">
        <v>0</v>
      </c>
      <c r="K35" s="772" t="n">
        <v>0</v>
      </c>
      <c r="L35" s="769" t="n">
        <v>0</v>
      </c>
      <c r="M35" s="870" t="n">
        <f aca="false">Breakout!$E$151/12</f>
        <v>57967.6705951868</v>
      </c>
      <c r="N35" s="868" t="n">
        <f aca="false">Breakout!$E$157/12</f>
        <v>0</v>
      </c>
      <c r="O35" s="870" t="n">
        <f aca="false">Breakout!$E$158/12</f>
        <v>28196.0133396823</v>
      </c>
      <c r="P35" s="868" t="n">
        <f aca="false">Breakout!$E$164/12</f>
        <v>0</v>
      </c>
      <c r="Q35" s="870" t="n">
        <f aca="false">Breakout!$E$165/12</f>
        <v>0</v>
      </c>
      <c r="R35" s="868" t="n">
        <f aca="false">Breakout!$E$171/12</f>
        <v>0</v>
      </c>
      <c r="S35" s="870" t="n">
        <f aca="false">Breakout!$E$172/12</f>
        <v>1270012.29067657</v>
      </c>
      <c r="T35" s="774" t="n">
        <f aca="false">C35+F35+I35+L35+N35+P35+R35</f>
        <v>6623302.94689911</v>
      </c>
      <c r="U35" s="771" t="n">
        <f aca="false">E35+H35+K35+M35+O35+Q35+S35</f>
        <v>6450024.7954181</v>
      </c>
      <c r="V35" s="774" t="n">
        <f aca="false">D35+G35+J35+M35+O35+Q35+S35</f>
        <v>6448184.47200197</v>
      </c>
      <c r="W35" s="775" t="n">
        <f aca="false">T35-V35-AD35</f>
        <v>175118.474897144</v>
      </c>
      <c r="X35" s="869"/>
      <c r="Y35" s="776" t="n">
        <f aca="false">T35-U35-AD35</f>
        <v>173278.15148101</v>
      </c>
      <c r="Z35" s="869"/>
      <c r="AA35" s="770" t="n">
        <f aca="false">'power redistribution'!$C$32/12</f>
        <v>58459835.6481481</v>
      </c>
      <c r="AB35" s="770" t="n">
        <f aca="false">'power redistribution'!$D$32/12</f>
        <v>15466.6666666667</v>
      </c>
      <c r="AC35" s="869"/>
      <c r="AD35" s="772" t="n">
        <v>0</v>
      </c>
      <c r="AE35" s="869"/>
      <c r="AF35" s="869"/>
      <c r="AG35" s="869"/>
      <c r="AH35" s="869"/>
      <c r="AI35" s="869"/>
      <c r="AJ35" s="869"/>
      <c r="AK35" s="869"/>
      <c r="AL35" s="869"/>
      <c r="AM35" s="869"/>
      <c r="AN35" s="869"/>
      <c r="AO35" s="869"/>
      <c r="AP35" s="869"/>
      <c r="AQ35" s="869"/>
      <c r="AR35" s="869"/>
      <c r="AS35" s="869"/>
      <c r="AT35" s="869"/>
      <c r="AU35" s="869"/>
      <c r="AV35" s="869"/>
      <c r="AW35" s="869"/>
      <c r="AX35" s="869"/>
      <c r="AY35" s="869"/>
      <c r="AZ35" s="869"/>
      <c r="BA35" s="869"/>
      <c r="BB35" s="869"/>
      <c r="BC35" s="869"/>
      <c r="BD35" s="869"/>
      <c r="BE35" s="869"/>
      <c r="BF35" s="869"/>
      <c r="BG35" s="869"/>
      <c r="BH35" s="869"/>
      <c r="BI35" s="869"/>
      <c r="BJ35" s="869"/>
      <c r="BK35" s="869"/>
      <c r="BL35" s="869"/>
      <c r="BM35" s="869"/>
      <c r="BN35" s="869"/>
      <c r="BO35" s="869"/>
      <c r="BP35" s="869"/>
      <c r="BQ35" s="869"/>
      <c r="BR35" s="869"/>
      <c r="BS35" s="869"/>
      <c r="BT35" s="869"/>
      <c r="BU35" s="869"/>
      <c r="BV35" s="869"/>
      <c r="BW35" s="869"/>
      <c r="BX35" s="869"/>
      <c r="BY35" s="869"/>
    </row>
    <row r="36" customFormat="false" ht="12.75" hidden="false" customHeight="false" outlineLevel="0" collapsed="false">
      <c r="A36" s="767" t="n">
        <v>26</v>
      </c>
      <c r="B36" s="768" t="n">
        <v>37288</v>
      </c>
      <c r="C36" s="872" t="n">
        <f aca="false">Breakout!$E$136/12</f>
        <v>6512883.54193111</v>
      </c>
      <c r="D36" s="873" t="n">
        <f aca="false">Breakout!$E$137/12</f>
        <v>5001832.65</v>
      </c>
      <c r="E36" s="873" t="n">
        <v>5001832.65</v>
      </c>
      <c r="F36" s="872" t="n">
        <f aca="false">Breakout!$E$143/12</f>
        <v>110419.404967998</v>
      </c>
      <c r="G36" s="873" t="n">
        <f aca="false">Breakout!$E$144/12</f>
        <v>90175.8473905314</v>
      </c>
      <c r="H36" s="873" t="n">
        <v>92016.1708066647</v>
      </c>
      <c r="I36" s="769" t="n">
        <v>0</v>
      </c>
      <c r="J36" s="772" t="n">
        <v>0</v>
      </c>
      <c r="K36" s="772" t="n">
        <v>0</v>
      </c>
      <c r="L36" s="769" t="n">
        <v>0</v>
      </c>
      <c r="M36" s="873" t="n">
        <f aca="false">Breakout!$E$151/12</f>
        <v>57967.6705951868</v>
      </c>
      <c r="N36" s="872" t="n">
        <f aca="false">Breakout!$E$157/12</f>
        <v>0</v>
      </c>
      <c r="O36" s="873" t="n">
        <f aca="false">Breakout!$E$158/12</f>
        <v>28196.0133396823</v>
      </c>
      <c r="P36" s="872" t="n">
        <f aca="false">Breakout!$E$164/12</f>
        <v>0</v>
      </c>
      <c r="Q36" s="873" t="n">
        <f aca="false">Breakout!$E$165/12</f>
        <v>0</v>
      </c>
      <c r="R36" s="872" t="n">
        <f aca="false">Breakout!$E$171/12</f>
        <v>0</v>
      </c>
      <c r="S36" s="873" t="n">
        <f aca="false">Breakout!$E$172/12</f>
        <v>1270012.29067657</v>
      </c>
      <c r="T36" s="774" t="n">
        <f aca="false">C36+F36+I36+L36+N36+P36+R36</f>
        <v>6623302.94689911</v>
      </c>
      <c r="U36" s="771" t="n">
        <f aca="false">E36+H36+K36+M36+O36+Q36+S36</f>
        <v>6450024.7954181</v>
      </c>
      <c r="V36" s="774" t="n">
        <f aca="false">D36+G36+J36+M36+O36+Q36+S36</f>
        <v>6448184.47200197</v>
      </c>
      <c r="W36" s="775" t="n">
        <f aca="false">T36-V36-AD36</f>
        <v>175118.474897144</v>
      </c>
      <c r="X36" s="431"/>
      <c r="Y36" s="776" t="n">
        <f aca="false">T36-U36-AD36</f>
        <v>173278.15148101</v>
      </c>
      <c r="Z36" s="431"/>
      <c r="AA36" s="770" t="n">
        <f aca="false">'power redistribution'!$C$32/12</f>
        <v>58459835.6481481</v>
      </c>
      <c r="AB36" s="770" t="n">
        <f aca="false">'power redistribution'!$D$32/12</f>
        <v>15466.6666666667</v>
      </c>
      <c r="AC36" s="431"/>
      <c r="AD36" s="772" t="n">
        <v>0</v>
      </c>
      <c r="AE36" s="431"/>
    </row>
    <row r="37" customFormat="false" ht="12.75" hidden="false" customHeight="false" outlineLevel="0" collapsed="false">
      <c r="A37" s="767" t="n">
        <v>27</v>
      </c>
      <c r="B37" s="768" t="n">
        <v>37316</v>
      </c>
      <c r="C37" s="872" t="n">
        <f aca="false">Breakout!$E$136/12</f>
        <v>6512883.54193111</v>
      </c>
      <c r="D37" s="873" t="n">
        <f aca="false">Breakout!$E$137/12</f>
        <v>5001832.65</v>
      </c>
      <c r="E37" s="873" t="n">
        <v>5001832.65</v>
      </c>
      <c r="F37" s="872" t="n">
        <f aca="false">Breakout!$E$143/12</f>
        <v>110419.404967998</v>
      </c>
      <c r="G37" s="873" t="n">
        <f aca="false">Breakout!$E$144/12</f>
        <v>90175.8473905314</v>
      </c>
      <c r="H37" s="873" t="n">
        <v>92016.1708066647</v>
      </c>
      <c r="I37" s="769" t="n">
        <v>0</v>
      </c>
      <c r="J37" s="772" t="n">
        <v>0</v>
      </c>
      <c r="K37" s="772" t="n">
        <v>0</v>
      </c>
      <c r="L37" s="769" t="n">
        <v>0</v>
      </c>
      <c r="M37" s="873" t="n">
        <f aca="false">Breakout!$E$151/12</f>
        <v>57967.6705951868</v>
      </c>
      <c r="N37" s="872" t="n">
        <f aca="false">Breakout!$E$157/12</f>
        <v>0</v>
      </c>
      <c r="O37" s="873" t="n">
        <f aca="false">Breakout!$E$158/12</f>
        <v>28196.0133396823</v>
      </c>
      <c r="P37" s="872" t="n">
        <f aca="false">Breakout!$E$164/12</f>
        <v>0</v>
      </c>
      <c r="Q37" s="873" t="n">
        <f aca="false">Breakout!$E$165/12</f>
        <v>0</v>
      </c>
      <c r="R37" s="872" t="n">
        <f aca="false">Breakout!$E$171/12</f>
        <v>0</v>
      </c>
      <c r="S37" s="873" t="n">
        <f aca="false">Breakout!$E$172/12</f>
        <v>1270012.29067657</v>
      </c>
      <c r="T37" s="774" t="n">
        <f aca="false">C37+F37+I37+L37+N37+P37+R37</f>
        <v>6623302.94689911</v>
      </c>
      <c r="U37" s="771" t="n">
        <f aca="false">E37+H37+K37+M37+O37+Q37+S37</f>
        <v>6450024.7954181</v>
      </c>
      <c r="V37" s="774" t="n">
        <f aca="false">D37+G37+J37+M37+O37+Q37+S37</f>
        <v>6448184.47200197</v>
      </c>
      <c r="W37" s="775" t="n">
        <f aca="false">T37-V37-AD37</f>
        <v>175118.474897144</v>
      </c>
      <c r="X37" s="431"/>
      <c r="Y37" s="776" t="n">
        <f aca="false">T37-U37-AD37</f>
        <v>173278.15148101</v>
      </c>
      <c r="Z37" s="431"/>
      <c r="AA37" s="770" t="n">
        <f aca="false">'power redistribution'!$C$32/12</f>
        <v>58459835.6481481</v>
      </c>
      <c r="AB37" s="770" t="n">
        <f aca="false">'power redistribution'!$D$32/12</f>
        <v>15466.6666666667</v>
      </c>
      <c r="AC37" s="431"/>
      <c r="AD37" s="772" t="n">
        <v>0</v>
      </c>
      <c r="AE37" s="431"/>
    </row>
    <row r="38" customFormat="false" ht="12.75" hidden="false" customHeight="false" outlineLevel="0" collapsed="false">
      <c r="A38" s="767" t="n">
        <v>28</v>
      </c>
      <c r="B38" s="768" t="n">
        <v>37347</v>
      </c>
      <c r="C38" s="872" t="n">
        <f aca="false">Breakout!$E$136/12</f>
        <v>6512883.54193111</v>
      </c>
      <c r="D38" s="873" t="n">
        <f aca="false">Breakout!$E$137/12</f>
        <v>5001832.65</v>
      </c>
      <c r="E38" s="873" t="n">
        <v>5001832.65</v>
      </c>
      <c r="F38" s="872" t="n">
        <f aca="false">Breakout!$E$143/12</f>
        <v>110419.404967998</v>
      </c>
      <c r="G38" s="873" t="n">
        <f aca="false">Breakout!$E$144/12</f>
        <v>90175.8473905314</v>
      </c>
      <c r="H38" s="873" t="n">
        <v>92016.1708066647</v>
      </c>
      <c r="I38" s="769" t="n">
        <v>0</v>
      </c>
      <c r="J38" s="772" t="n">
        <v>0</v>
      </c>
      <c r="K38" s="772" t="n">
        <v>0</v>
      </c>
      <c r="L38" s="769" t="n">
        <v>0</v>
      </c>
      <c r="M38" s="873" t="n">
        <f aca="false">Breakout!$E$151/12</f>
        <v>57967.6705951868</v>
      </c>
      <c r="N38" s="872" t="n">
        <f aca="false">Breakout!$E$157/12</f>
        <v>0</v>
      </c>
      <c r="O38" s="873" t="n">
        <f aca="false">Breakout!$E$158/12</f>
        <v>28196.0133396823</v>
      </c>
      <c r="P38" s="872" t="n">
        <f aca="false">Breakout!$E$164/12</f>
        <v>0</v>
      </c>
      <c r="Q38" s="873" t="n">
        <f aca="false">Breakout!$E$165/12</f>
        <v>0</v>
      </c>
      <c r="R38" s="872" t="n">
        <f aca="false">Breakout!$E$171/12</f>
        <v>0</v>
      </c>
      <c r="S38" s="873" t="n">
        <f aca="false">Breakout!$E$172/12</f>
        <v>1270012.29067657</v>
      </c>
      <c r="T38" s="774" t="n">
        <f aca="false">C38+F38+I38+L38+N38+P38+R38</f>
        <v>6623302.94689911</v>
      </c>
      <c r="U38" s="771" t="n">
        <f aca="false">E38+H38+K38+M38+O38+Q38+S38</f>
        <v>6450024.7954181</v>
      </c>
      <c r="V38" s="774" t="n">
        <f aca="false">D38+G38+J38+M38+O38+Q38+S38</f>
        <v>6448184.47200197</v>
      </c>
      <c r="W38" s="775" t="n">
        <f aca="false">T38-V38-AD38</f>
        <v>175118.474897144</v>
      </c>
      <c r="X38" s="431"/>
      <c r="Y38" s="776" t="n">
        <f aca="false">T38-U38-AD38</f>
        <v>173278.15148101</v>
      </c>
      <c r="Z38" s="431"/>
      <c r="AA38" s="770" t="n">
        <f aca="false">'power redistribution'!$C$32/12</f>
        <v>58459835.6481481</v>
      </c>
      <c r="AB38" s="770" t="n">
        <f aca="false">'power redistribution'!$D$32/12</f>
        <v>15466.6666666667</v>
      </c>
      <c r="AC38" s="431"/>
      <c r="AD38" s="772" t="n">
        <v>0</v>
      </c>
      <c r="AE38" s="431"/>
    </row>
    <row r="39" customFormat="false" ht="12.75" hidden="false" customHeight="false" outlineLevel="0" collapsed="false">
      <c r="A39" s="767" t="n">
        <v>29</v>
      </c>
      <c r="B39" s="768" t="n">
        <v>37377</v>
      </c>
      <c r="C39" s="872" t="n">
        <f aca="false">Breakout!$E$136/12</f>
        <v>6512883.54193111</v>
      </c>
      <c r="D39" s="873" t="n">
        <f aca="false">Breakout!$E$137/12</f>
        <v>5001832.65</v>
      </c>
      <c r="E39" s="873" t="n">
        <v>5001832.65</v>
      </c>
      <c r="F39" s="872" t="n">
        <f aca="false">Breakout!$E$143/12</f>
        <v>110419.404967998</v>
      </c>
      <c r="G39" s="873" t="n">
        <f aca="false">Breakout!$E$144/12</f>
        <v>90175.8473905314</v>
      </c>
      <c r="H39" s="873" t="n">
        <v>92016.1708066647</v>
      </c>
      <c r="I39" s="769" t="n">
        <v>0</v>
      </c>
      <c r="J39" s="772" t="n">
        <v>0</v>
      </c>
      <c r="K39" s="772" t="n">
        <v>0</v>
      </c>
      <c r="L39" s="769" t="n">
        <v>0</v>
      </c>
      <c r="M39" s="873" t="n">
        <f aca="false">Breakout!$E$151/12</f>
        <v>57967.6705951868</v>
      </c>
      <c r="N39" s="872" t="n">
        <f aca="false">Breakout!$E$157/12</f>
        <v>0</v>
      </c>
      <c r="O39" s="873" t="n">
        <f aca="false">Breakout!$E$158/12</f>
        <v>28196.0133396823</v>
      </c>
      <c r="P39" s="872" t="n">
        <f aca="false">Breakout!$E$164/12</f>
        <v>0</v>
      </c>
      <c r="Q39" s="873" t="n">
        <f aca="false">Breakout!$E$165/12</f>
        <v>0</v>
      </c>
      <c r="R39" s="872" t="n">
        <f aca="false">Breakout!$E$171/12</f>
        <v>0</v>
      </c>
      <c r="S39" s="873" t="n">
        <f aca="false">Breakout!$E$172/12</f>
        <v>1270012.29067657</v>
      </c>
      <c r="T39" s="774" t="n">
        <f aca="false">C39+F39+I39+L39+N39+P39+R39</f>
        <v>6623302.94689911</v>
      </c>
      <c r="U39" s="771" t="n">
        <f aca="false">E39+H39+K39+M39+O39+Q39+S39</f>
        <v>6450024.7954181</v>
      </c>
      <c r="V39" s="774" t="n">
        <f aca="false">D39+G39+J39+M39+O39+Q39+S39</f>
        <v>6448184.47200197</v>
      </c>
      <c r="W39" s="775" t="n">
        <f aca="false">T39-V39-AD39</f>
        <v>175118.474897144</v>
      </c>
      <c r="X39" s="431"/>
      <c r="Y39" s="776" t="n">
        <f aca="false">T39-U39-AD39</f>
        <v>173278.15148101</v>
      </c>
      <c r="Z39" s="431"/>
      <c r="AA39" s="770" t="n">
        <f aca="false">'power redistribution'!$C$32/12</f>
        <v>58459835.6481481</v>
      </c>
      <c r="AB39" s="770" t="n">
        <f aca="false">'power redistribution'!$D$32/12</f>
        <v>15466.6666666667</v>
      </c>
      <c r="AC39" s="431"/>
      <c r="AD39" s="772" t="n">
        <v>0</v>
      </c>
      <c r="AE39" s="431"/>
    </row>
    <row r="40" customFormat="false" ht="12.75" hidden="false" customHeight="false" outlineLevel="0" collapsed="false">
      <c r="A40" s="767" t="n">
        <v>30</v>
      </c>
      <c r="B40" s="768" t="n">
        <v>37408</v>
      </c>
      <c r="C40" s="872" t="n">
        <f aca="false">Breakout!$E$136/12</f>
        <v>6512883.54193111</v>
      </c>
      <c r="D40" s="873" t="n">
        <f aca="false">Breakout!$E$137/12</f>
        <v>5001832.65</v>
      </c>
      <c r="E40" s="873" t="n">
        <v>5001832.65</v>
      </c>
      <c r="F40" s="872" t="n">
        <f aca="false">Breakout!$E$143/12</f>
        <v>110419.404967998</v>
      </c>
      <c r="G40" s="873" t="n">
        <f aca="false">Breakout!$E$144/12</f>
        <v>90175.8473905314</v>
      </c>
      <c r="H40" s="873" t="n">
        <v>92016.1708066647</v>
      </c>
      <c r="I40" s="769" t="n">
        <v>0</v>
      </c>
      <c r="J40" s="772" t="n">
        <v>0</v>
      </c>
      <c r="K40" s="772" t="n">
        <v>0</v>
      </c>
      <c r="L40" s="769" t="n">
        <v>0</v>
      </c>
      <c r="M40" s="873" t="n">
        <f aca="false">Breakout!$E$151/12</f>
        <v>57967.6705951868</v>
      </c>
      <c r="N40" s="872" t="n">
        <f aca="false">Breakout!$E$157/12</f>
        <v>0</v>
      </c>
      <c r="O40" s="873" t="n">
        <f aca="false">Breakout!$E$158/12</f>
        <v>28196.0133396823</v>
      </c>
      <c r="P40" s="872" t="n">
        <f aca="false">Breakout!$E$164/12</f>
        <v>0</v>
      </c>
      <c r="Q40" s="873" t="n">
        <f aca="false">Breakout!$E$165/12</f>
        <v>0</v>
      </c>
      <c r="R40" s="872" t="n">
        <f aca="false">Breakout!$E$171/12</f>
        <v>0</v>
      </c>
      <c r="S40" s="873" t="n">
        <f aca="false">Breakout!$E$172/12</f>
        <v>1270012.29067657</v>
      </c>
      <c r="T40" s="774" t="n">
        <f aca="false">C40+F40+I40+L40+N40+P40+R40</f>
        <v>6623302.94689911</v>
      </c>
      <c r="U40" s="771" t="n">
        <f aca="false">E40+H40+K40+M40+O40+Q40+S40</f>
        <v>6450024.7954181</v>
      </c>
      <c r="V40" s="774" t="n">
        <f aca="false">D40+G40+J40+M40+O40+Q40+S40</f>
        <v>6448184.47200197</v>
      </c>
      <c r="W40" s="775" t="n">
        <f aca="false">T40-V40-AD40</f>
        <v>175118.474897144</v>
      </c>
      <c r="X40" s="431"/>
      <c r="Y40" s="776" t="n">
        <f aca="false">T40-U40-AD40</f>
        <v>173278.15148101</v>
      </c>
      <c r="Z40" s="431"/>
      <c r="AA40" s="770" t="n">
        <f aca="false">'power redistribution'!$C$32/12</f>
        <v>58459835.6481481</v>
      </c>
      <c r="AB40" s="770" t="n">
        <f aca="false">'power redistribution'!$D$32/12</f>
        <v>15466.6666666667</v>
      </c>
      <c r="AC40" s="431"/>
      <c r="AD40" s="772" t="n">
        <v>0</v>
      </c>
      <c r="AE40" s="431"/>
    </row>
    <row r="41" customFormat="false" ht="12.75" hidden="false" customHeight="false" outlineLevel="0" collapsed="false">
      <c r="A41" s="767" t="n">
        <v>31</v>
      </c>
      <c r="B41" s="768" t="n">
        <v>37438</v>
      </c>
      <c r="C41" s="872" t="n">
        <f aca="false">Breakout!$E$136/12</f>
        <v>6512883.54193111</v>
      </c>
      <c r="D41" s="873" t="n">
        <f aca="false">Breakout!$E$137/12</f>
        <v>5001832.65</v>
      </c>
      <c r="E41" s="873" t="n">
        <v>5001832.65</v>
      </c>
      <c r="F41" s="872" t="n">
        <f aca="false">Breakout!$E$143/12</f>
        <v>110419.404967998</v>
      </c>
      <c r="G41" s="873" t="n">
        <f aca="false">Breakout!$E$144/12</f>
        <v>90175.8473905314</v>
      </c>
      <c r="H41" s="873" t="n">
        <v>92016.1708066647</v>
      </c>
      <c r="I41" s="769" t="n">
        <v>0</v>
      </c>
      <c r="J41" s="772" t="n">
        <v>0</v>
      </c>
      <c r="K41" s="772" t="n">
        <v>0</v>
      </c>
      <c r="L41" s="769" t="n">
        <v>0</v>
      </c>
      <c r="M41" s="873" t="n">
        <f aca="false">Breakout!$E$151/12</f>
        <v>57967.6705951868</v>
      </c>
      <c r="N41" s="872" t="n">
        <f aca="false">Breakout!$E$157/12</f>
        <v>0</v>
      </c>
      <c r="O41" s="873" t="n">
        <f aca="false">Breakout!$E$158/12</f>
        <v>28196.0133396823</v>
      </c>
      <c r="P41" s="872" t="n">
        <f aca="false">Breakout!$E$164/12</f>
        <v>0</v>
      </c>
      <c r="Q41" s="873" t="n">
        <f aca="false">Breakout!$E$165/12</f>
        <v>0</v>
      </c>
      <c r="R41" s="872" t="n">
        <f aca="false">Breakout!$E$171/12</f>
        <v>0</v>
      </c>
      <c r="S41" s="873" t="n">
        <f aca="false">Breakout!$E$172/12</f>
        <v>1270012.29067657</v>
      </c>
      <c r="T41" s="774" t="n">
        <f aca="false">C41+F41+I41+L41+N41+P41+R41</f>
        <v>6623302.94689911</v>
      </c>
      <c r="U41" s="771" t="n">
        <f aca="false">E41+H41+K41+M41+O41+Q41+S41</f>
        <v>6450024.7954181</v>
      </c>
      <c r="V41" s="774" t="n">
        <f aca="false">D41+G41+J41+M41+O41+Q41+S41</f>
        <v>6448184.47200197</v>
      </c>
      <c r="W41" s="775" t="n">
        <f aca="false">T41-V41-AD41</f>
        <v>175118.474897144</v>
      </c>
      <c r="X41" s="431"/>
      <c r="Y41" s="776" t="n">
        <f aca="false">T41-U41-AD41</f>
        <v>173278.15148101</v>
      </c>
      <c r="Z41" s="431"/>
      <c r="AA41" s="770" t="n">
        <f aca="false">'power redistribution'!$C$32/12</f>
        <v>58459835.6481481</v>
      </c>
      <c r="AB41" s="770" t="n">
        <f aca="false">'power redistribution'!$D$32/12</f>
        <v>15466.6666666667</v>
      </c>
      <c r="AC41" s="431"/>
      <c r="AD41" s="772" t="n">
        <v>0</v>
      </c>
      <c r="AE41" s="431"/>
    </row>
    <row r="42" customFormat="false" ht="12.75" hidden="false" customHeight="false" outlineLevel="0" collapsed="false">
      <c r="A42" s="767" t="n">
        <v>32</v>
      </c>
      <c r="B42" s="768" t="n">
        <v>37469</v>
      </c>
      <c r="C42" s="872" t="n">
        <f aca="false">Breakout!$E$136/12</f>
        <v>6512883.54193111</v>
      </c>
      <c r="D42" s="873" t="n">
        <f aca="false">Breakout!$E$137/12</f>
        <v>5001832.65</v>
      </c>
      <c r="E42" s="873" t="n">
        <v>5001832.65</v>
      </c>
      <c r="F42" s="872" t="n">
        <f aca="false">Breakout!$E$143/12</f>
        <v>110419.404967998</v>
      </c>
      <c r="G42" s="873" t="n">
        <f aca="false">Breakout!$E$144/12</f>
        <v>90175.8473905314</v>
      </c>
      <c r="H42" s="873" t="n">
        <v>92016.1708066647</v>
      </c>
      <c r="I42" s="769" t="n">
        <v>0</v>
      </c>
      <c r="J42" s="772" t="n">
        <v>0</v>
      </c>
      <c r="K42" s="772" t="n">
        <v>0</v>
      </c>
      <c r="L42" s="769" t="n">
        <v>0</v>
      </c>
      <c r="M42" s="873" t="n">
        <f aca="false">Breakout!$E$151/12</f>
        <v>57967.6705951868</v>
      </c>
      <c r="N42" s="872" t="n">
        <f aca="false">Breakout!$E$157/12</f>
        <v>0</v>
      </c>
      <c r="O42" s="873" t="n">
        <f aca="false">Breakout!$E$158/12</f>
        <v>28196.0133396823</v>
      </c>
      <c r="P42" s="872" t="n">
        <f aca="false">Breakout!$E$164/12</f>
        <v>0</v>
      </c>
      <c r="Q42" s="873" t="n">
        <f aca="false">Breakout!$E$165/12</f>
        <v>0</v>
      </c>
      <c r="R42" s="872" t="n">
        <f aca="false">Breakout!$E$171/12</f>
        <v>0</v>
      </c>
      <c r="S42" s="873" t="n">
        <f aca="false">Breakout!$E$172/12</f>
        <v>1270012.29067657</v>
      </c>
      <c r="T42" s="774" t="n">
        <f aca="false">C42+F42+I42+L42+N42+P42+R42</f>
        <v>6623302.94689911</v>
      </c>
      <c r="U42" s="771" t="n">
        <f aca="false">E42+H42+K42+M42+O42+Q42+S42</f>
        <v>6450024.7954181</v>
      </c>
      <c r="V42" s="774" t="n">
        <f aca="false">D42+G42+J42+M42+O42+Q42+S42</f>
        <v>6448184.47200197</v>
      </c>
      <c r="W42" s="775" t="n">
        <f aca="false">T42-V42-AD42</f>
        <v>175118.474897144</v>
      </c>
      <c r="X42" s="431"/>
      <c r="Y42" s="776" t="n">
        <f aca="false">T42-U42-AD42</f>
        <v>173278.15148101</v>
      </c>
      <c r="Z42" s="431"/>
      <c r="AA42" s="770" t="n">
        <f aca="false">'power redistribution'!$C$32/12</f>
        <v>58459835.6481481</v>
      </c>
      <c r="AB42" s="770" t="n">
        <f aca="false">'power redistribution'!$D$32/12</f>
        <v>15466.6666666667</v>
      </c>
      <c r="AC42" s="431"/>
      <c r="AD42" s="772" t="n">
        <v>0</v>
      </c>
      <c r="AE42" s="431"/>
    </row>
    <row r="43" customFormat="false" ht="12.75" hidden="false" customHeight="false" outlineLevel="0" collapsed="false">
      <c r="A43" s="767" t="n">
        <v>33</v>
      </c>
      <c r="B43" s="768" t="n">
        <v>37500</v>
      </c>
      <c r="C43" s="872" t="n">
        <f aca="false">Breakout!$E$136/12</f>
        <v>6512883.54193111</v>
      </c>
      <c r="D43" s="873" t="n">
        <f aca="false">Breakout!$E$137/12</f>
        <v>5001832.65</v>
      </c>
      <c r="E43" s="873" t="n">
        <v>5001832.65</v>
      </c>
      <c r="F43" s="872" t="n">
        <f aca="false">Breakout!$E$143/12</f>
        <v>110419.404967998</v>
      </c>
      <c r="G43" s="873" t="n">
        <f aca="false">Breakout!$E$144/12</f>
        <v>90175.8473905314</v>
      </c>
      <c r="H43" s="873" t="n">
        <v>92016.1708066647</v>
      </c>
      <c r="I43" s="769" t="n">
        <v>0</v>
      </c>
      <c r="J43" s="772" t="n">
        <v>0</v>
      </c>
      <c r="K43" s="772" t="n">
        <v>0</v>
      </c>
      <c r="L43" s="769" t="n">
        <v>0</v>
      </c>
      <c r="M43" s="873" t="n">
        <f aca="false">Breakout!$E$151/12</f>
        <v>57967.6705951868</v>
      </c>
      <c r="N43" s="872" t="n">
        <f aca="false">Breakout!$E$157/12</f>
        <v>0</v>
      </c>
      <c r="O43" s="873" t="n">
        <f aca="false">Breakout!$E$158/12</f>
        <v>28196.0133396823</v>
      </c>
      <c r="P43" s="872" t="n">
        <f aca="false">Breakout!$E$164/12</f>
        <v>0</v>
      </c>
      <c r="Q43" s="873" t="n">
        <f aca="false">Breakout!$E$165/12</f>
        <v>0</v>
      </c>
      <c r="R43" s="872" t="n">
        <f aca="false">Breakout!$E$171/12</f>
        <v>0</v>
      </c>
      <c r="S43" s="873" t="n">
        <f aca="false">Breakout!$E$172/12</f>
        <v>1270012.29067657</v>
      </c>
      <c r="T43" s="774" t="n">
        <f aca="false">C43+F43+I43+L43+N43+P43+R43</f>
        <v>6623302.94689911</v>
      </c>
      <c r="U43" s="771" t="n">
        <f aca="false">E43+H43+K43+M43+O43+Q43+S43</f>
        <v>6450024.7954181</v>
      </c>
      <c r="V43" s="774" t="n">
        <f aca="false">D43+G43+J43+M43+O43+Q43+S43</f>
        <v>6448184.47200197</v>
      </c>
      <c r="W43" s="775" t="n">
        <f aca="false">T43-V43-AD43</f>
        <v>175118.474897144</v>
      </c>
      <c r="X43" s="431"/>
      <c r="Y43" s="776" t="n">
        <f aca="false">T43-U43-AD43</f>
        <v>173278.15148101</v>
      </c>
      <c r="Z43" s="431"/>
      <c r="AA43" s="770" t="n">
        <f aca="false">'power redistribution'!$C$32/12</f>
        <v>58459835.6481481</v>
      </c>
      <c r="AB43" s="770" t="n">
        <f aca="false">'power redistribution'!$D$32/12</f>
        <v>15466.6666666667</v>
      </c>
      <c r="AC43" s="431"/>
      <c r="AD43" s="772" t="n">
        <v>0</v>
      </c>
      <c r="AE43" s="431"/>
    </row>
    <row r="44" customFormat="false" ht="12.75" hidden="false" customHeight="false" outlineLevel="0" collapsed="false">
      <c r="A44" s="767" t="n">
        <v>34</v>
      </c>
      <c r="B44" s="768" t="n">
        <v>37530</v>
      </c>
      <c r="C44" s="872" t="n">
        <f aca="false">Breakout!$E$136/12</f>
        <v>6512883.54193111</v>
      </c>
      <c r="D44" s="873" t="n">
        <f aca="false">Breakout!$E$137/12</f>
        <v>5001832.65</v>
      </c>
      <c r="E44" s="873" t="n">
        <v>5001832.65</v>
      </c>
      <c r="F44" s="872" t="n">
        <f aca="false">Breakout!$E$143/12</f>
        <v>110419.404967998</v>
      </c>
      <c r="G44" s="873" t="n">
        <f aca="false">Breakout!$E$144/12</f>
        <v>90175.8473905314</v>
      </c>
      <c r="H44" s="873" t="n">
        <v>92016.1708066647</v>
      </c>
      <c r="I44" s="769" t="n">
        <v>0</v>
      </c>
      <c r="J44" s="772" t="n">
        <v>0</v>
      </c>
      <c r="K44" s="772" t="n">
        <v>0</v>
      </c>
      <c r="L44" s="769" t="n">
        <v>0</v>
      </c>
      <c r="M44" s="873" t="n">
        <f aca="false">Breakout!$E$151/12</f>
        <v>57967.6705951868</v>
      </c>
      <c r="N44" s="872" t="n">
        <f aca="false">Breakout!$E$157/12</f>
        <v>0</v>
      </c>
      <c r="O44" s="873" t="n">
        <f aca="false">Breakout!$E$158/12</f>
        <v>28196.0133396823</v>
      </c>
      <c r="P44" s="872" t="n">
        <f aca="false">Breakout!$E$164/12</f>
        <v>0</v>
      </c>
      <c r="Q44" s="873" t="n">
        <f aca="false">Breakout!$E$165/12</f>
        <v>0</v>
      </c>
      <c r="R44" s="872" t="n">
        <f aca="false">Breakout!$E$171/12</f>
        <v>0</v>
      </c>
      <c r="S44" s="873" t="n">
        <f aca="false">Breakout!$E$172/12</f>
        <v>1270012.29067657</v>
      </c>
      <c r="T44" s="774" t="n">
        <f aca="false">C44+F44+I44+L44+N44+P44+R44</f>
        <v>6623302.94689911</v>
      </c>
      <c r="U44" s="771" t="n">
        <f aca="false">E44+H44+K44+M44+O44+Q44+S44</f>
        <v>6450024.7954181</v>
      </c>
      <c r="V44" s="774" t="n">
        <f aca="false">D44+G44+J44+M44+O44+Q44+S44</f>
        <v>6448184.47200197</v>
      </c>
      <c r="W44" s="775" t="n">
        <f aca="false">T44-V44-AD44</f>
        <v>175118.474897144</v>
      </c>
      <c r="X44" s="431"/>
      <c r="Y44" s="776" t="n">
        <f aca="false">T44-U44-AD44</f>
        <v>173278.15148101</v>
      </c>
      <c r="Z44" s="431"/>
      <c r="AA44" s="770" t="n">
        <f aca="false">'power redistribution'!$C$32/12</f>
        <v>58459835.6481481</v>
      </c>
      <c r="AB44" s="770" t="n">
        <f aca="false">'power redistribution'!$D$32/12</f>
        <v>15466.6666666667</v>
      </c>
      <c r="AC44" s="431"/>
      <c r="AD44" s="772" t="n">
        <v>0</v>
      </c>
      <c r="AE44" s="431"/>
    </row>
    <row r="45" customFormat="false" ht="12.75" hidden="false" customHeight="false" outlineLevel="0" collapsed="false">
      <c r="A45" s="767" t="n">
        <v>35</v>
      </c>
      <c r="B45" s="768" t="n">
        <v>37561</v>
      </c>
      <c r="C45" s="872" t="n">
        <f aca="false">Breakout!$E$136/12</f>
        <v>6512883.54193111</v>
      </c>
      <c r="D45" s="873" t="n">
        <f aca="false">Breakout!$E$137/12</f>
        <v>5001832.65</v>
      </c>
      <c r="E45" s="873" t="n">
        <v>5001832.65</v>
      </c>
      <c r="F45" s="872" t="n">
        <f aca="false">Breakout!$E$143/12</f>
        <v>110419.404967998</v>
      </c>
      <c r="G45" s="873" t="n">
        <f aca="false">Breakout!$E$144/12</f>
        <v>90175.8473905314</v>
      </c>
      <c r="H45" s="873" t="n">
        <v>92016.1708066647</v>
      </c>
      <c r="I45" s="769" t="n">
        <v>0</v>
      </c>
      <c r="J45" s="772" t="n">
        <v>0</v>
      </c>
      <c r="K45" s="772" t="n">
        <v>0</v>
      </c>
      <c r="L45" s="769" t="n">
        <v>0</v>
      </c>
      <c r="M45" s="873" t="n">
        <f aca="false">Breakout!$E$151/12</f>
        <v>57967.6705951868</v>
      </c>
      <c r="N45" s="872" t="n">
        <f aca="false">Breakout!$E$157/12</f>
        <v>0</v>
      </c>
      <c r="O45" s="873" t="n">
        <f aca="false">Breakout!$E$158/12</f>
        <v>28196.0133396823</v>
      </c>
      <c r="P45" s="872" t="n">
        <f aca="false">Breakout!$E$164/12</f>
        <v>0</v>
      </c>
      <c r="Q45" s="873" t="n">
        <f aca="false">Breakout!$E$165/12</f>
        <v>0</v>
      </c>
      <c r="R45" s="872" t="n">
        <f aca="false">Breakout!$E$171/12</f>
        <v>0</v>
      </c>
      <c r="S45" s="873" t="n">
        <f aca="false">Breakout!$E$172/12</f>
        <v>1270012.29067657</v>
      </c>
      <c r="T45" s="774" t="n">
        <f aca="false">C45+F45+I45+L45+N45+P45+R45</f>
        <v>6623302.94689911</v>
      </c>
      <c r="U45" s="771" t="n">
        <f aca="false">E45+H45+K45+M45+O45+Q45+S45</f>
        <v>6450024.7954181</v>
      </c>
      <c r="V45" s="774" t="n">
        <f aca="false">D45+G45+J45+M45+O45+Q45+S45</f>
        <v>6448184.47200197</v>
      </c>
      <c r="W45" s="775" t="n">
        <f aca="false">T45-V45-AD45</f>
        <v>175118.474897144</v>
      </c>
      <c r="X45" s="431"/>
      <c r="Y45" s="776" t="n">
        <f aca="false">T45-U45-AD45</f>
        <v>173278.15148101</v>
      </c>
      <c r="Z45" s="431"/>
      <c r="AA45" s="770" t="n">
        <f aca="false">'power redistribution'!$C$32/12</f>
        <v>58459835.6481481</v>
      </c>
      <c r="AB45" s="770" t="n">
        <f aca="false">'power redistribution'!$D$32/12</f>
        <v>15466.6666666667</v>
      </c>
      <c r="AC45" s="431"/>
      <c r="AD45" s="772" t="n">
        <v>0</v>
      </c>
      <c r="AE45" s="431"/>
    </row>
    <row r="46" customFormat="false" ht="12.75" hidden="false" customHeight="false" outlineLevel="0" collapsed="false">
      <c r="A46" s="881" t="n">
        <v>36</v>
      </c>
      <c r="B46" s="894" t="n">
        <v>37591</v>
      </c>
      <c r="C46" s="886" t="n">
        <f aca="false">Breakout!$E$136/12</f>
        <v>6512883.54193111</v>
      </c>
      <c r="D46" s="883" t="n">
        <f aca="false">Breakout!$E$137/12</f>
        <v>5001832.65</v>
      </c>
      <c r="E46" s="883" t="n">
        <v>5001832.65</v>
      </c>
      <c r="F46" s="886" t="n">
        <f aca="false">Breakout!$E$143/12</f>
        <v>110419.404967998</v>
      </c>
      <c r="G46" s="883" t="n">
        <f aca="false">Breakout!$E$144/12</f>
        <v>90175.8473905314</v>
      </c>
      <c r="H46" s="883" t="n">
        <v>92016.1708066647</v>
      </c>
      <c r="I46" s="769" t="n">
        <v>0</v>
      </c>
      <c r="J46" s="772" t="n">
        <v>0</v>
      </c>
      <c r="K46" s="772" t="n">
        <v>0</v>
      </c>
      <c r="L46" s="769" t="n">
        <v>0</v>
      </c>
      <c r="M46" s="883" t="n">
        <f aca="false">Breakout!$E$151/12</f>
        <v>57967.6705951868</v>
      </c>
      <c r="N46" s="886" t="n">
        <f aca="false">Breakout!$E$157/12</f>
        <v>0</v>
      </c>
      <c r="O46" s="883" t="n">
        <f aca="false">Breakout!$E$158/12</f>
        <v>28196.0133396823</v>
      </c>
      <c r="P46" s="886" t="n">
        <f aca="false">Breakout!$E$164/12</f>
        <v>0</v>
      </c>
      <c r="Q46" s="883" t="n">
        <f aca="false">Breakout!$E$165/12</f>
        <v>0</v>
      </c>
      <c r="R46" s="886" t="n">
        <f aca="false">Breakout!$E$171/12</f>
        <v>0</v>
      </c>
      <c r="S46" s="883" t="n">
        <f aca="false">Breakout!$E$172/12</f>
        <v>1270012.29067657</v>
      </c>
      <c r="T46" s="774" t="n">
        <f aca="false">C46+F46+I46+L46+N46+P46+R46</f>
        <v>6623302.94689911</v>
      </c>
      <c r="U46" s="771" t="n">
        <f aca="false">E46+H46+K46+M46+O46+Q46+S46</f>
        <v>6450024.7954181</v>
      </c>
      <c r="V46" s="774" t="n">
        <f aca="false">D46+G46+J46+M46+O46+Q46+S46</f>
        <v>6448184.47200197</v>
      </c>
      <c r="W46" s="775" t="n">
        <f aca="false">T46-V46-AD46</f>
        <v>175118.474897144</v>
      </c>
      <c r="X46" s="885" t="n">
        <f aca="false">SUM(W35:W46)</f>
        <v>2101421.69876573</v>
      </c>
      <c r="Y46" s="776" t="n">
        <f aca="false">T46-U46-AD46</f>
        <v>173278.15148101</v>
      </c>
      <c r="Z46" s="885" t="n">
        <f aca="false">SUM(Y35:Y46)</f>
        <v>2079337.81777212</v>
      </c>
      <c r="AA46" s="770" t="n">
        <f aca="false">'power redistribution'!$C$32/12</f>
        <v>58459835.6481481</v>
      </c>
      <c r="AB46" s="770" t="n">
        <f aca="false">'power redistribution'!$D$32/12</f>
        <v>15466.6666666667</v>
      </c>
      <c r="AC46" s="885"/>
      <c r="AD46" s="772" t="n">
        <v>0</v>
      </c>
      <c r="AE46" s="885"/>
      <c r="AF46" s="885"/>
      <c r="AG46" s="885"/>
      <c r="AH46" s="885"/>
      <c r="AI46" s="885"/>
      <c r="AJ46" s="885"/>
      <c r="AK46" s="885"/>
      <c r="AL46" s="885"/>
      <c r="AM46" s="885"/>
      <c r="AN46" s="885"/>
      <c r="AO46" s="885"/>
      <c r="AP46" s="885"/>
      <c r="AQ46" s="885"/>
      <c r="AR46" s="885"/>
      <c r="AS46" s="885"/>
      <c r="AT46" s="885"/>
      <c r="AU46" s="885"/>
      <c r="AV46" s="885"/>
      <c r="AW46" s="885"/>
      <c r="AX46" s="885"/>
      <c r="AY46" s="885"/>
      <c r="AZ46" s="885"/>
      <c r="BA46" s="885"/>
      <c r="BB46" s="885"/>
      <c r="BC46" s="885"/>
      <c r="BD46" s="885"/>
      <c r="BE46" s="885"/>
      <c r="BF46" s="885"/>
      <c r="BG46" s="885"/>
      <c r="BH46" s="885"/>
      <c r="BI46" s="885"/>
      <c r="BJ46" s="885"/>
      <c r="BK46" s="885"/>
      <c r="BL46" s="885"/>
      <c r="BM46" s="885"/>
      <c r="BN46" s="885"/>
      <c r="BO46" s="885"/>
      <c r="BP46" s="885"/>
      <c r="BQ46" s="885"/>
      <c r="BR46" s="885"/>
      <c r="BS46" s="885"/>
      <c r="BT46" s="885"/>
      <c r="BU46" s="885"/>
      <c r="BV46" s="885"/>
      <c r="BW46" s="885"/>
      <c r="BX46" s="885"/>
      <c r="BY46" s="885"/>
    </row>
    <row r="47" customFormat="false" ht="12.75" hidden="false" customHeight="false" outlineLevel="0" collapsed="false">
      <c r="A47" s="866" t="n">
        <v>37</v>
      </c>
      <c r="B47" s="897" t="n">
        <v>37622</v>
      </c>
      <c r="C47" s="868" t="n">
        <f aca="false">Breakout!$F$136/12</f>
        <v>6760081.63515592</v>
      </c>
      <c r="D47" s="870" t="n">
        <f aca="false">Breakout!$F$137/12</f>
        <v>5195996.5</v>
      </c>
      <c r="E47" s="870" t="n">
        <v>5195996.5</v>
      </c>
      <c r="F47" s="868" t="n">
        <f aca="false">Breakout!$F$143/12</f>
        <v>112311.737386659</v>
      </c>
      <c r="G47" s="870" t="n">
        <f aca="false">Breakout!$F$144/12</f>
        <v>91721.2521991045</v>
      </c>
      <c r="H47" s="870" t="n">
        <v>93593.1144888821</v>
      </c>
      <c r="I47" s="769" t="n">
        <v>0</v>
      </c>
      <c r="J47" s="772" t="n">
        <v>0</v>
      </c>
      <c r="K47" s="772" t="n">
        <v>0</v>
      </c>
      <c r="L47" s="769" t="n">
        <v>0</v>
      </c>
      <c r="M47" s="870" t="n">
        <f aca="false">Breakout!$F$151/12</f>
        <v>60167.8477590433</v>
      </c>
      <c r="N47" s="868" t="n">
        <f aca="false">Breakout!$F$157/12</f>
        <v>0</v>
      </c>
      <c r="O47" s="870" t="n">
        <f aca="false">Breakout!$F$158/12</f>
        <v>14659.2075699726</v>
      </c>
      <c r="P47" s="868" t="n">
        <f aca="false">Breakout!$F$164/12</f>
        <v>0</v>
      </c>
      <c r="Q47" s="870" t="n">
        <f aca="false">Breakout!$F$165/12</f>
        <v>0</v>
      </c>
      <c r="R47" s="868" t="n">
        <f aca="false">Breakout!$F$171/12</f>
        <v>0</v>
      </c>
      <c r="S47" s="870" t="n">
        <f aca="false">Breakout!$F$172/12</f>
        <v>1318215.9188554</v>
      </c>
      <c r="T47" s="774" t="n">
        <f aca="false">C47+F47+I47+L47+N47+P47+R47</f>
        <v>6872393.37254258</v>
      </c>
      <c r="U47" s="771" t="n">
        <f aca="false">E47+H47+K47+M47+O47+Q47+S47</f>
        <v>6682632.5886733</v>
      </c>
      <c r="V47" s="774" t="n">
        <f aca="false">D47+G47+J47+M47+O47+Q47+S47</f>
        <v>6680760.72638352</v>
      </c>
      <c r="W47" s="775" t="n">
        <f aca="false">T47-V47-AD47</f>
        <v>191632.646159052</v>
      </c>
      <c r="X47" s="869"/>
      <c r="Y47" s="776" t="n">
        <f aca="false">T47-U47-AD47</f>
        <v>189760.783869274</v>
      </c>
      <c r="Z47" s="869"/>
      <c r="AA47" s="770" t="n">
        <f aca="false">'power redistribution'!$C$32/12</f>
        <v>58459835.6481481</v>
      </c>
      <c r="AB47" s="770" t="n">
        <f aca="false">'power redistribution'!$D$32/12</f>
        <v>15466.6666666667</v>
      </c>
      <c r="AC47" s="869"/>
      <c r="AD47" s="772" t="n">
        <v>0</v>
      </c>
      <c r="AE47" s="869"/>
      <c r="AF47" s="869"/>
      <c r="AG47" s="869"/>
      <c r="AH47" s="869"/>
      <c r="AI47" s="869"/>
      <c r="AJ47" s="869"/>
      <c r="AK47" s="869"/>
      <c r="AL47" s="869"/>
      <c r="AM47" s="869"/>
      <c r="AN47" s="869"/>
      <c r="AO47" s="869"/>
      <c r="AP47" s="869"/>
      <c r="AQ47" s="869"/>
      <c r="AR47" s="869"/>
      <c r="AS47" s="869"/>
      <c r="AT47" s="869"/>
      <c r="AU47" s="869"/>
      <c r="AV47" s="869"/>
      <c r="AW47" s="869"/>
      <c r="AX47" s="869"/>
      <c r="AY47" s="869"/>
      <c r="AZ47" s="869"/>
      <c r="BA47" s="869"/>
      <c r="BB47" s="869"/>
      <c r="BC47" s="869"/>
      <c r="BD47" s="869"/>
      <c r="BE47" s="869"/>
      <c r="BF47" s="869"/>
      <c r="BG47" s="869"/>
      <c r="BH47" s="869"/>
      <c r="BI47" s="869"/>
      <c r="BJ47" s="869"/>
      <c r="BK47" s="869"/>
      <c r="BL47" s="869"/>
      <c r="BM47" s="869"/>
      <c r="BN47" s="869"/>
      <c r="BO47" s="869"/>
      <c r="BP47" s="869"/>
      <c r="BQ47" s="869"/>
      <c r="BR47" s="869"/>
      <c r="BS47" s="869"/>
      <c r="BT47" s="869"/>
      <c r="BU47" s="869"/>
      <c r="BV47" s="869"/>
      <c r="BW47" s="869"/>
      <c r="BX47" s="869"/>
      <c r="BY47" s="869"/>
    </row>
    <row r="48" customFormat="false" ht="12.75" hidden="false" customHeight="false" outlineLevel="0" collapsed="false">
      <c r="A48" s="767" t="n">
        <v>38</v>
      </c>
      <c r="B48" s="768" t="n">
        <v>37653</v>
      </c>
      <c r="C48" s="872" t="n">
        <f aca="false">Breakout!$F$136/12</f>
        <v>6760081.63515592</v>
      </c>
      <c r="D48" s="873" t="n">
        <f aca="false">Breakout!$F$137/12</f>
        <v>5195996.5</v>
      </c>
      <c r="E48" s="873" t="n">
        <v>5195996.5</v>
      </c>
      <c r="F48" s="872" t="n">
        <f aca="false">Breakout!$F$143/12</f>
        <v>112311.737386659</v>
      </c>
      <c r="G48" s="873" t="n">
        <f aca="false">Breakout!$F$144/12</f>
        <v>91721.2521991045</v>
      </c>
      <c r="H48" s="873" t="n">
        <v>93593.1144888821</v>
      </c>
      <c r="I48" s="769" t="n">
        <v>0</v>
      </c>
      <c r="J48" s="772" t="n">
        <v>0</v>
      </c>
      <c r="K48" s="772" t="n">
        <v>0</v>
      </c>
      <c r="L48" s="769" t="n">
        <v>0</v>
      </c>
      <c r="M48" s="873" t="n">
        <f aca="false">Breakout!$F$151/12</f>
        <v>60167.8477590433</v>
      </c>
      <c r="N48" s="872" t="n">
        <f aca="false">Breakout!$F$157/12</f>
        <v>0</v>
      </c>
      <c r="O48" s="873" t="n">
        <f aca="false">Breakout!$F$158/12</f>
        <v>14659.2075699726</v>
      </c>
      <c r="P48" s="872" t="n">
        <f aca="false">Breakout!$F$164/12</f>
        <v>0</v>
      </c>
      <c r="Q48" s="873" t="n">
        <f aca="false">Breakout!$F$165/12</f>
        <v>0</v>
      </c>
      <c r="R48" s="872" t="n">
        <f aca="false">Breakout!$F$171/12</f>
        <v>0</v>
      </c>
      <c r="S48" s="873" t="n">
        <f aca="false">Breakout!$F$172/12</f>
        <v>1318215.9188554</v>
      </c>
      <c r="T48" s="774" t="n">
        <f aca="false">C48+F48+I48+L48+N48+P48+R48</f>
        <v>6872393.37254258</v>
      </c>
      <c r="U48" s="771" t="n">
        <f aca="false">E48+H48+K48+M48+O48+Q48+S48</f>
        <v>6682632.5886733</v>
      </c>
      <c r="V48" s="774" t="n">
        <f aca="false">D48+G48+J48+M48+O48+Q48+S48</f>
        <v>6680760.72638352</v>
      </c>
      <c r="W48" s="775" t="n">
        <f aca="false">T48-V48-AD48</f>
        <v>191632.646159052</v>
      </c>
      <c r="X48" s="431"/>
      <c r="Y48" s="776" t="n">
        <f aca="false">T48-U48-AD48</f>
        <v>189760.783869274</v>
      </c>
      <c r="Z48" s="431"/>
      <c r="AA48" s="770" t="n">
        <f aca="false">'power redistribution'!$C$32/12</f>
        <v>58459835.6481481</v>
      </c>
      <c r="AB48" s="770" t="n">
        <f aca="false">'power redistribution'!$D$32/12</f>
        <v>15466.6666666667</v>
      </c>
      <c r="AC48" s="431"/>
      <c r="AD48" s="772" t="n">
        <v>0</v>
      </c>
      <c r="AE48" s="431"/>
    </row>
    <row r="49" customFormat="false" ht="12.75" hidden="false" customHeight="false" outlineLevel="0" collapsed="false">
      <c r="A49" s="767" t="n">
        <v>39</v>
      </c>
      <c r="B49" s="768" t="n">
        <v>37681</v>
      </c>
      <c r="C49" s="872" t="n">
        <f aca="false">Breakout!$F$136/12</f>
        <v>6760081.63515592</v>
      </c>
      <c r="D49" s="873" t="n">
        <f aca="false">Breakout!$F$137/12</f>
        <v>5195996.5</v>
      </c>
      <c r="E49" s="873" t="n">
        <v>5195996.5</v>
      </c>
      <c r="F49" s="872" t="n">
        <f aca="false">Breakout!$F$143/12</f>
        <v>112311.737386659</v>
      </c>
      <c r="G49" s="873" t="n">
        <f aca="false">Breakout!$F$144/12</f>
        <v>91721.2521991045</v>
      </c>
      <c r="H49" s="873" t="n">
        <v>93593.1144888821</v>
      </c>
      <c r="I49" s="769" t="n">
        <v>0</v>
      </c>
      <c r="J49" s="772" t="n">
        <v>0</v>
      </c>
      <c r="K49" s="772" t="n">
        <v>0</v>
      </c>
      <c r="L49" s="769" t="n">
        <v>0</v>
      </c>
      <c r="M49" s="873" t="n">
        <f aca="false">Breakout!$F$151/12</f>
        <v>60167.8477590433</v>
      </c>
      <c r="N49" s="872" t="n">
        <f aca="false">Breakout!$F$157/12</f>
        <v>0</v>
      </c>
      <c r="O49" s="873" t="n">
        <f aca="false">Breakout!$F$158/12</f>
        <v>14659.2075699726</v>
      </c>
      <c r="P49" s="872" t="n">
        <f aca="false">Breakout!$F$164/12</f>
        <v>0</v>
      </c>
      <c r="Q49" s="873" t="n">
        <f aca="false">Breakout!$F$165/12</f>
        <v>0</v>
      </c>
      <c r="R49" s="872" t="n">
        <f aca="false">Breakout!$F$171/12</f>
        <v>0</v>
      </c>
      <c r="S49" s="873" t="n">
        <f aca="false">Breakout!$F$172/12</f>
        <v>1318215.9188554</v>
      </c>
      <c r="T49" s="774" t="n">
        <f aca="false">C49+F49+I49+L49+N49+P49+R49</f>
        <v>6872393.37254258</v>
      </c>
      <c r="U49" s="771" t="n">
        <f aca="false">E49+H49+K49+M49+O49+Q49+S49</f>
        <v>6682632.5886733</v>
      </c>
      <c r="V49" s="774" t="n">
        <f aca="false">D49+G49+J49+M49+O49+Q49+S49</f>
        <v>6680760.72638352</v>
      </c>
      <c r="W49" s="775" t="n">
        <f aca="false">T49-V49-AD49</f>
        <v>191632.646159052</v>
      </c>
      <c r="X49" s="431"/>
      <c r="Y49" s="776" t="n">
        <f aca="false">T49-U49-AD49</f>
        <v>189760.783869274</v>
      </c>
      <c r="Z49" s="431"/>
      <c r="AA49" s="770" t="n">
        <f aca="false">'power redistribution'!$C$32/12</f>
        <v>58459835.6481481</v>
      </c>
      <c r="AB49" s="770" t="n">
        <f aca="false">'power redistribution'!$D$32/12</f>
        <v>15466.6666666667</v>
      </c>
      <c r="AC49" s="431"/>
      <c r="AD49" s="772" t="n">
        <v>0</v>
      </c>
      <c r="AE49" s="431"/>
    </row>
    <row r="50" customFormat="false" ht="12.75" hidden="false" customHeight="false" outlineLevel="0" collapsed="false">
      <c r="A50" s="767" t="n">
        <v>40</v>
      </c>
      <c r="B50" s="768" t="n">
        <v>37712</v>
      </c>
      <c r="C50" s="872" t="n">
        <f aca="false">Breakout!$F$136/12</f>
        <v>6760081.63515592</v>
      </c>
      <c r="D50" s="873" t="n">
        <f aca="false">Breakout!$F$137/12</f>
        <v>5195996.5</v>
      </c>
      <c r="E50" s="873" t="n">
        <v>5195996.5</v>
      </c>
      <c r="F50" s="872" t="n">
        <f aca="false">Breakout!$F$143/12</f>
        <v>112311.737386659</v>
      </c>
      <c r="G50" s="873" t="n">
        <f aca="false">Breakout!$F$144/12</f>
        <v>91721.2521991045</v>
      </c>
      <c r="H50" s="873" t="n">
        <v>93593.1144888821</v>
      </c>
      <c r="I50" s="769" t="n">
        <v>0</v>
      </c>
      <c r="J50" s="772" t="n">
        <v>0</v>
      </c>
      <c r="K50" s="772" t="n">
        <v>0</v>
      </c>
      <c r="L50" s="769" t="n">
        <v>0</v>
      </c>
      <c r="M50" s="873" t="n">
        <f aca="false">Breakout!$F$151/12</f>
        <v>60167.8477590433</v>
      </c>
      <c r="N50" s="872" t="n">
        <f aca="false">Breakout!$F$157/12</f>
        <v>0</v>
      </c>
      <c r="O50" s="873" t="n">
        <f aca="false">Breakout!$F$158/12</f>
        <v>14659.2075699726</v>
      </c>
      <c r="P50" s="872" t="n">
        <f aca="false">Breakout!$F$164/12</f>
        <v>0</v>
      </c>
      <c r="Q50" s="873" t="n">
        <f aca="false">Breakout!$F$165/12</f>
        <v>0</v>
      </c>
      <c r="R50" s="872" t="n">
        <f aca="false">Breakout!$F$171/12</f>
        <v>0</v>
      </c>
      <c r="S50" s="873" t="n">
        <f aca="false">Breakout!$F$172/12</f>
        <v>1318215.9188554</v>
      </c>
      <c r="T50" s="774" t="n">
        <f aca="false">C50+F50+I50+L50+N50+P50+R50</f>
        <v>6872393.37254258</v>
      </c>
      <c r="U50" s="771" t="n">
        <f aca="false">E50+H50+K50+M50+O50+Q50+S50</f>
        <v>6682632.5886733</v>
      </c>
      <c r="V50" s="774" t="n">
        <f aca="false">D50+G50+J50+M50+O50+Q50+S50</f>
        <v>6680760.72638352</v>
      </c>
      <c r="W50" s="775" t="n">
        <f aca="false">T50-V50-AD50</f>
        <v>191632.646159052</v>
      </c>
      <c r="X50" s="431"/>
      <c r="Y50" s="776" t="n">
        <f aca="false">T50-U50-AD50</f>
        <v>189760.783869274</v>
      </c>
      <c r="Z50" s="431"/>
      <c r="AA50" s="770" t="n">
        <f aca="false">'power redistribution'!$C$32/12</f>
        <v>58459835.6481481</v>
      </c>
      <c r="AB50" s="770" t="n">
        <f aca="false">'power redistribution'!$D$32/12</f>
        <v>15466.6666666667</v>
      </c>
      <c r="AC50" s="431"/>
      <c r="AD50" s="772" t="n">
        <v>0</v>
      </c>
      <c r="AE50" s="431"/>
    </row>
    <row r="51" customFormat="false" ht="12.75" hidden="false" customHeight="false" outlineLevel="0" collapsed="false">
      <c r="A51" s="767" t="n">
        <v>41</v>
      </c>
      <c r="B51" s="768" t="n">
        <v>37742</v>
      </c>
      <c r="C51" s="872" t="n">
        <f aca="false">Breakout!$F$136/12</f>
        <v>6760081.63515592</v>
      </c>
      <c r="D51" s="873" t="n">
        <f aca="false">Breakout!$F$137/12</f>
        <v>5195996.5</v>
      </c>
      <c r="E51" s="873" t="n">
        <v>5195996.5</v>
      </c>
      <c r="F51" s="872" t="n">
        <f aca="false">Breakout!$F$143/12</f>
        <v>112311.737386659</v>
      </c>
      <c r="G51" s="873" t="n">
        <f aca="false">Breakout!$F$144/12</f>
        <v>91721.2521991045</v>
      </c>
      <c r="H51" s="873" t="n">
        <v>93593.1144888821</v>
      </c>
      <c r="I51" s="769" t="n">
        <v>0</v>
      </c>
      <c r="J51" s="772" t="n">
        <v>0</v>
      </c>
      <c r="K51" s="772" t="n">
        <v>0</v>
      </c>
      <c r="L51" s="769" t="n">
        <v>0</v>
      </c>
      <c r="M51" s="873" t="n">
        <f aca="false">Breakout!$F$151/12</f>
        <v>60167.8477590433</v>
      </c>
      <c r="N51" s="872" t="n">
        <f aca="false">Breakout!$F$157/12</f>
        <v>0</v>
      </c>
      <c r="O51" s="873" t="n">
        <f aca="false">Breakout!$F$158/12</f>
        <v>14659.2075699726</v>
      </c>
      <c r="P51" s="872" t="n">
        <f aca="false">Breakout!$F$164/12</f>
        <v>0</v>
      </c>
      <c r="Q51" s="873" t="n">
        <f aca="false">Breakout!$F$165/12</f>
        <v>0</v>
      </c>
      <c r="R51" s="872" t="n">
        <f aca="false">Breakout!$F$171/12</f>
        <v>0</v>
      </c>
      <c r="S51" s="873" t="n">
        <f aca="false">Breakout!$F$172/12</f>
        <v>1318215.9188554</v>
      </c>
      <c r="T51" s="774" t="n">
        <f aca="false">C51+F51+I51+L51+N51+P51+R51</f>
        <v>6872393.37254258</v>
      </c>
      <c r="U51" s="771" t="n">
        <f aca="false">E51+H51+K51+M51+O51+Q51+S51</f>
        <v>6682632.5886733</v>
      </c>
      <c r="V51" s="774" t="n">
        <f aca="false">D51+G51+J51+M51+O51+Q51+S51</f>
        <v>6680760.72638352</v>
      </c>
      <c r="W51" s="775" t="n">
        <f aca="false">T51-V51-AD51</f>
        <v>191632.646159052</v>
      </c>
      <c r="X51" s="431"/>
      <c r="Y51" s="776" t="n">
        <f aca="false">T51-U51-AD51</f>
        <v>189760.783869274</v>
      </c>
      <c r="Z51" s="431"/>
      <c r="AA51" s="770" t="n">
        <f aca="false">'power redistribution'!$C$32/12</f>
        <v>58459835.6481481</v>
      </c>
      <c r="AB51" s="770" t="n">
        <f aca="false">'power redistribution'!$D$32/12</f>
        <v>15466.6666666667</v>
      </c>
      <c r="AC51" s="431"/>
      <c r="AD51" s="772" t="n">
        <v>0</v>
      </c>
      <c r="AE51" s="431"/>
    </row>
    <row r="52" customFormat="false" ht="12.75" hidden="false" customHeight="false" outlineLevel="0" collapsed="false">
      <c r="A52" s="767" t="n">
        <v>42</v>
      </c>
      <c r="B52" s="768" t="n">
        <v>37773</v>
      </c>
      <c r="C52" s="872" t="n">
        <f aca="false">Breakout!$F$136/12</f>
        <v>6760081.63515592</v>
      </c>
      <c r="D52" s="873" t="n">
        <f aca="false">Breakout!$F$137/12</f>
        <v>5195996.5</v>
      </c>
      <c r="E52" s="873" t="n">
        <v>5195996.5</v>
      </c>
      <c r="F52" s="872" t="n">
        <f aca="false">Breakout!$F$143/12</f>
        <v>112311.737386659</v>
      </c>
      <c r="G52" s="873" t="n">
        <f aca="false">Breakout!$F$144/12</f>
        <v>91721.2521991045</v>
      </c>
      <c r="H52" s="873" t="n">
        <v>93593.1144888821</v>
      </c>
      <c r="I52" s="769" t="n">
        <v>0</v>
      </c>
      <c r="J52" s="772" t="n">
        <v>0</v>
      </c>
      <c r="K52" s="772" t="n">
        <v>0</v>
      </c>
      <c r="L52" s="769" t="n">
        <v>0</v>
      </c>
      <c r="M52" s="873" t="n">
        <f aca="false">Breakout!$F$151/12</f>
        <v>60167.8477590433</v>
      </c>
      <c r="N52" s="872" t="n">
        <f aca="false">Breakout!$F$157/12</f>
        <v>0</v>
      </c>
      <c r="O52" s="873" t="n">
        <f aca="false">Breakout!$F$158/12</f>
        <v>14659.2075699726</v>
      </c>
      <c r="P52" s="872" t="n">
        <f aca="false">Breakout!$F$164/12</f>
        <v>0</v>
      </c>
      <c r="Q52" s="873" t="n">
        <f aca="false">Breakout!$F$165/12</f>
        <v>0</v>
      </c>
      <c r="R52" s="872" t="n">
        <f aca="false">Breakout!$F$171/12</f>
        <v>0</v>
      </c>
      <c r="S52" s="873" t="n">
        <f aca="false">Breakout!$F$172/12</f>
        <v>1318215.9188554</v>
      </c>
      <c r="T52" s="774" t="n">
        <f aca="false">C52+F52+I52+L52+N52+P52+R52</f>
        <v>6872393.37254258</v>
      </c>
      <c r="U52" s="771" t="n">
        <f aca="false">E52+H52+K52+M52+O52+Q52+S52</f>
        <v>6682632.5886733</v>
      </c>
      <c r="V52" s="774" t="n">
        <f aca="false">D52+G52+J52+M52+O52+Q52+S52</f>
        <v>6680760.72638352</v>
      </c>
      <c r="W52" s="775" t="n">
        <f aca="false">T52-V52-AD52</f>
        <v>191632.646159052</v>
      </c>
      <c r="X52" s="431"/>
      <c r="Y52" s="776" t="n">
        <f aca="false">T52-U52-AD52</f>
        <v>189760.783869274</v>
      </c>
      <c r="Z52" s="431"/>
      <c r="AA52" s="770" t="n">
        <f aca="false">'power redistribution'!$C$32/12</f>
        <v>58459835.6481481</v>
      </c>
      <c r="AB52" s="770" t="n">
        <f aca="false">'power redistribution'!$D$32/12</f>
        <v>15466.6666666667</v>
      </c>
      <c r="AC52" s="431"/>
      <c r="AD52" s="772" t="n">
        <v>0</v>
      </c>
      <c r="AE52" s="431"/>
    </row>
    <row r="53" customFormat="false" ht="12.75" hidden="false" customHeight="false" outlineLevel="0" collapsed="false">
      <c r="A53" s="767" t="n">
        <v>43</v>
      </c>
      <c r="B53" s="768" t="n">
        <v>37803</v>
      </c>
      <c r="C53" s="872" t="n">
        <f aca="false">Breakout!$F$136/12</f>
        <v>6760081.63515592</v>
      </c>
      <c r="D53" s="873" t="n">
        <f aca="false">Breakout!$F$137/12</f>
        <v>5195996.5</v>
      </c>
      <c r="E53" s="873" t="n">
        <v>5195996.5</v>
      </c>
      <c r="F53" s="872" t="n">
        <f aca="false">Breakout!$F$143/12</f>
        <v>112311.737386659</v>
      </c>
      <c r="G53" s="873" t="n">
        <f aca="false">Breakout!$F$144/12</f>
        <v>91721.2521991045</v>
      </c>
      <c r="H53" s="873" t="n">
        <v>93593.1144888821</v>
      </c>
      <c r="I53" s="769" t="n">
        <v>0</v>
      </c>
      <c r="J53" s="772" t="n">
        <v>0</v>
      </c>
      <c r="K53" s="772" t="n">
        <v>0</v>
      </c>
      <c r="L53" s="769" t="n">
        <v>0</v>
      </c>
      <c r="M53" s="873" t="n">
        <f aca="false">Breakout!$F$151/12</f>
        <v>60167.8477590433</v>
      </c>
      <c r="N53" s="872" t="n">
        <f aca="false">Breakout!$F$157/12</f>
        <v>0</v>
      </c>
      <c r="O53" s="873" t="n">
        <f aca="false">Breakout!$F$158/12</f>
        <v>14659.2075699726</v>
      </c>
      <c r="P53" s="872" t="n">
        <f aca="false">Breakout!$F$164/12</f>
        <v>0</v>
      </c>
      <c r="Q53" s="873" t="n">
        <f aca="false">Breakout!$F$165/12</f>
        <v>0</v>
      </c>
      <c r="R53" s="872" t="n">
        <f aca="false">Breakout!$F$171/12</f>
        <v>0</v>
      </c>
      <c r="S53" s="873" t="n">
        <f aca="false">Breakout!$F$172/12</f>
        <v>1318215.9188554</v>
      </c>
      <c r="T53" s="774" t="n">
        <f aca="false">C53+F53+I53+L53+N53+P53+R53</f>
        <v>6872393.37254258</v>
      </c>
      <c r="U53" s="771" t="n">
        <f aca="false">E53+H53+K53+M53+O53+Q53+S53</f>
        <v>6682632.5886733</v>
      </c>
      <c r="V53" s="774" t="n">
        <f aca="false">D53+G53+J53+M53+O53+Q53+S53</f>
        <v>6680760.72638352</v>
      </c>
      <c r="W53" s="775" t="n">
        <f aca="false">T53-V53-AD53</f>
        <v>191632.646159052</v>
      </c>
      <c r="X53" s="431"/>
      <c r="Y53" s="776" t="n">
        <f aca="false">T53-U53-AD53</f>
        <v>189760.783869274</v>
      </c>
      <c r="Z53" s="431"/>
      <c r="AA53" s="770" t="n">
        <f aca="false">'power redistribution'!$C$32/12</f>
        <v>58459835.6481481</v>
      </c>
      <c r="AB53" s="770" t="n">
        <f aca="false">'power redistribution'!$D$32/12</f>
        <v>15466.6666666667</v>
      </c>
      <c r="AC53" s="431"/>
      <c r="AD53" s="772" t="n">
        <v>0</v>
      </c>
      <c r="AE53" s="431"/>
    </row>
    <row r="54" customFormat="false" ht="12.75" hidden="false" customHeight="false" outlineLevel="0" collapsed="false">
      <c r="A54" s="767" t="n">
        <v>44</v>
      </c>
      <c r="B54" s="768" t="n">
        <v>37834</v>
      </c>
      <c r="C54" s="872" t="n">
        <f aca="false">Breakout!$F$136/12</f>
        <v>6760081.63515592</v>
      </c>
      <c r="D54" s="873" t="n">
        <f aca="false">Breakout!$F$137/12</f>
        <v>5195996.5</v>
      </c>
      <c r="E54" s="873" t="n">
        <v>5195996.5</v>
      </c>
      <c r="F54" s="872" t="n">
        <f aca="false">Breakout!$F$143/12</f>
        <v>112311.737386659</v>
      </c>
      <c r="G54" s="873" t="n">
        <f aca="false">Breakout!$F$144/12</f>
        <v>91721.2521991045</v>
      </c>
      <c r="H54" s="873" t="n">
        <v>93593.1144888821</v>
      </c>
      <c r="I54" s="769" t="n">
        <v>0</v>
      </c>
      <c r="J54" s="772" t="n">
        <v>0</v>
      </c>
      <c r="K54" s="772" t="n">
        <v>0</v>
      </c>
      <c r="L54" s="769" t="n">
        <v>0</v>
      </c>
      <c r="M54" s="873" t="n">
        <f aca="false">Breakout!$F$151/12</f>
        <v>60167.8477590433</v>
      </c>
      <c r="N54" s="872" t="n">
        <f aca="false">Breakout!$F$157/12</f>
        <v>0</v>
      </c>
      <c r="O54" s="873" t="n">
        <f aca="false">Breakout!$F$158/12</f>
        <v>14659.2075699726</v>
      </c>
      <c r="P54" s="872" t="n">
        <f aca="false">Breakout!$F$164/12</f>
        <v>0</v>
      </c>
      <c r="Q54" s="873" t="n">
        <f aca="false">Breakout!$F$165/12</f>
        <v>0</v>
      </c>
      <c r="R54" s="872" t="n">
        <f aca="false">Breakout!$F$171/12</f>
        <v>0</v>
      </c>
      <c r="S54" s="873" t="n">
        <f aca="false">Breakout!$F$172/12</f>
        <v>1318215.9188554</v>
      </c>
      <c r="T54" s="774" t="n">
        <f aca="false">C54+F54+I54+L54+N54+P54+R54</f>
        <v>6872393.37254258</v>
      </c>
      <c r="U54" s="771" t="n">
        <f aca="false">E54+H54+K54+M54+O54+Q54+S54</f>
        <v>6682632.5886733</v>
      </c>
      <c r="V54" s="774" t="n">
        <f aca="false">D54+G54+J54+M54+O54+Q54+S54</f>
        <v>6680760.72638352</v>
      </c>
      <c r="W54" s="775" t="n">
        <f aca="false">T54-V54-AD54</f>
        <v>191632.646159052</v>
      </c>
      <c r="X54" s="431"/>
      <c r="Y54" s="776" t="n">
        <f aca="false">T54-U54-AD54</f>
        <v>189760.783869274</v>
      </c>
      <c r="Z54" s="431"/>
      <c r="AA54" s="770" t="n">
        <f aca="false">'power redistribution'!$C$32/12</f>
        <v>58459835.6481481</v>
      </c>
      <c r="AB54" s="770" t="n">
        <f aca="false">'power redistribution'!$D$32/12</f>
        <v>15466.6666666667</v>
      </c>
      <c r="AC54" s="431"/>
      <c r="AD54" s="772" t="n">
        <v>0</v>
      </c>
      <c r="AE54" s="431"/>
    </row>
    <row r="55" customFormat="false" ht="12.75" hidden="false" customHeight="false" outlineLevel="0" collapsed="false">
      <c r="A55" s="767" t="n">
        <v>45</v>
      </c>
      <c r="B55" s="768" t="n">
        <v>37865</v>
      </c>
      <c r="C55" s="872" t="n">
        <f aca="false">Breakout!$F$136/12</f>
        <v>6760081.63515592</v>
      </c>
      <c r="D55" s="873" t="n">
        <f aca="false">Breakout!$F$137/12</f>
        <v>5195996.5</v>
      </c>
      <c r="E55" s="873" t="n">
        <v>5195996.5</v>
      </c>
      <c r="F55" s="872" t="n">
        <f aca="false">Breakout!$F$143/12</f>
        <v>112311.737386659</v>
      </c>
      <c r="G55" s="873" t="n">
        <f aca="false">Breakout!$F$144/12</f>
        <v>91721.2521991045</v>
      </c>
      <c r="H55" s="873" t="n">
        <v>93593.1144888821</v>
      </c>
      <c r="I55" s="769" t="n">
        <v>0</v>
      </c>
      <c r="J55" s="772" t="n">
        <v>0</v>
      </c>
      <c r="K55" s="772" t="n">
        <v>0</v>
      </c>
      <c r="L55" s="769" t="n">
        <v>0</v>
      </c>
      <c r="M55" s="873" t="n">
        <f aca="false">Breakout!$F$151/12</f>
        <v>60167.8477590433</v>
      </c>
      <c r="N55" s="872" t="n">
        <f aca="false">Breakout!$F$157/12</f>
        <v>0</v>
      </c>
      <c r="O55" s="873" t="n">
        <f aca="false">Breakout!$F$158/12</f>
        <v>14659.2075699726</v>
      </c>
      <c r="P55" s="872" t="n">
        <f aca="false">Breakout!$F$164/12</f>
        <v>0</v>
      </c>
      <c r="Q55" s="873" t="n">
        <f aca="false">Breakout!$F$165/12</f>
        <v>0</v>
      </c>
      <c r="R55" s="872" t="n">
        <f aca="false">Breakout!$F$171/12</f>
        <v>0</v>
      </c>
      <c r="S55" s="873" t="n">
        <f aca="false">Breakout!$F$172/12</f>
        <v>1318215.9188554</v>
      </c>
      <c r="T55" s="774" t="n">
        <f aca="false">C55+F55+I55+L55+N55+P55+R55</f>
        <v>6872393.37254258</v>
      </c>
      <c r="U55" s="771" t="n">
        <f aca="false">E55+H55+K55+M55+O55+Q55+S55</f>
        <v>6682632.5886733</v>
      </c>
      <c r="V55" s="774" t="n">
        <f aca="false">D55+G55+J55+M55+O55+Q55+S55</f>
        <v>6680760.72638352</v>
      </c>
      <c r="W55" s="775" t="n">
        <f aca="false">T55-V55-AD55</f>
        <v>191632.646159052</v>
      </c>
      <c r="X55" s="431"/>
      <c r="Y55" s="776" t="n">
        <f aca="false">T55-U55-AD55</f>
        <v>189760.783869274</v>
      </c>
      <c r="Z55" s="431"/>
      <c r="AA55" s="770" t="n">
        <f aca="false">'power redistribution'!$C$32/12</f>
        <v>58459835.6481481</v>
      </c>
      <c r="AB55" s="770" t="n">
        <f aca="false">'power redistribution'!$D$32/12</f>
        <v>15466.6666666667</v>
      </c>
      <c r="AC55" s="431"/>
      <c r="AD55" s="772" t="n">
        <v>0</v>
      </c>
      <c r="AE55" s="431"/>
    </row>
    <row r="56" customFormat="false" ht="12.75" hidden="false" customHeight="false" outlineLevel="0" collapsed="false">
      <c r="A56" s="767" t="n">
        <v>46</v>
      </c>
      <c r="B56" s="768" t="n">
        <v>37895</v>
      </c>
      <c r="C56" s="872" t="n">
        <f aca="false">Breakout!$F$136/12</f>
        <v>6760081.63515592</v>
      </c>
      <c r="D56" s="873" t="n">
        <f aca="false">Breakout!$F$137/12</f>
        <v>5195996.5</v>
      </c>
      <c r="E56" s="873" t="n">
        <v>5195996.5</v>
      </c>
      <c r="F56" s="872" t="n">
        <f aca="false">Breakout!$F$143/12</f>
        <v>112311.737386659</v>
      </c>
      <c r="G56" s="873" t="n">
        <f aca="false">Breakout!$F$144/12</f>
        <v>91721.2521991045</v>
      </c>
      <c r="H56" s="873" t="n">
        <v>93593.1144888821</v>
      </c>
      <c r="I56" s="769" t="n">
        <v>0</v>
      </c>
      <c r="J56" s="772" t="n">
        <v>0</v>
      </c>
      <c r="K56" s="772" t="n">
        <v>0</v>
      </c>
      <c r="L56" s="769" t="n">
        <v>0</v>
      </c>
      <c r="M56" s="873" t="n">
        <f aca="false">Breakout!$F$151/12</f>
        <v>60167.8477590433</v>
      </c>
      <c r="N56" s="872" t="n">
        <f aca="false">Breakout!$F$157/12</f>
        <v>0</v>
      </c>
      <c r="O56" s="873" t="n">
        <f aca="false">Breakout!$F$158/12</f>
        <v>14659.2075699726</v>
      </c>
      <c r="P56" s="872" t="n">
        <f aca="false">Breakout!$F$164/12</f>
        <v>0</v>
      </c>
      <c r="Q56" s="873" t="n">
        <f aca="false">Breakout!$F$165/12</f>
        <v>0</v>
      </c>
      <c r="R56" s="872" t="n">
        <f aca="false">Breakout!$F$171/12</f>
        <v>0</v>
      </c>
      <c r="S56" s="873" t="n">
        <f aca="false">Breakout!$F$172/12</f>
        <v>1318215.9188554</v>
      </c>
      <c r="T56" s="774" t="n">
        <f aca="false">C56+F56+I56+L56+N56+P56+R56</f>
        <v>6872393.37254258</v>
      </c>
      <c r="U56" s="771" t="n">
        <f aca="false">E56+H56+K56+M56+O56+Q56+S56</f>
        <v>6682632.5886733</v>
      </c>
      <c r="V56" s="774" t="n">
        <f aca="false">D56+G56+J56+M56+O56+Q56+S56</f>
        <v>6680760.72638352</v>
      </c>
      <c r="W56" s="775" t="n">
        <f aca="false">T56-V56-AD56</f>
        <v>191632.646159052</v>
      </c>
      <c r="X56" s="431"/>
      <c r="Y56" s="776" t="n">
        <f aca="false">T56-U56-AD56</f>
        <v>189760.783869274</v>
      </c>
      <c r="Z56" s="431"/>
      <c r="AA56" s="770" t="n">
        <f aca="false">'power redistribution'!$C$32/12</f>
        <v>58459835.6481481</v>
      </c>
      <c r="AB56" s="770" t="n">
        <f aca="false">'power redistribution'!$D$32/12</f>
        <v>15466.6666666667</v>
      </c>
      <c r="AC56" s="431"/>
      <c r="AD56" s="772" t="n">
        <v>0</v>
      </c>
      <c r="AE56" s="431"/>
    </row>
    <row r="57" customFormat="false" ht="12.75" hidden="false" customHeight="false" outlineLevel="0" collapsed="false">
      <c r="A57" s="767" t="n">
        <v>47</v>
      </c>
      <c r="B57" s="768" t="n">
        <v>37926</v>
      </c>
      <c r="C57" s="872" t="n">
        <f aca="false">Breakout!$F$136/12</f>
        <v>6760081.63515592</v>
      </c>
      <c r="D57" s="873" t="n">
        <f aca="false">Breakout!$F$137/12</f>
        <v>5195996.5</v>
      </c>
      <c r="E57" s="873" t="n">
        <v>5195996.5</v>
      </c>
      <c r="F57" s="872" t="n">
        <f aca="false">Breakout!$F$143/12</f>
        <v>112311.737386659</v>
      </c>
      <c r="G57" s="873" t="n">
        <f aca="false">Breakout!$F$144/12</f>
        <v>91721.2521991045</v>
      </c>
      <c r="H57" s="873" t="n">
        <v>93593.1144888821</v>
      </c>
      <c r="I57" s="769" t="n">
        <v>0</v>
      </c>
      <c r="J57" s="772" t="n">
        <v>0</v>
      </c>
      <c r="K57" s="772" t="n">
        <v>0</v>
      </c>
      <c r="L57" s="769" t="n">
        <v>0</v>
      </c>
      <c r="M57" s="873" t="n">
        <f aca="false">Breakout!$F$151/12</f>
        <v>60167.8477590433</v>
      </c>
      <c r="N57" s="872" t="n">
        <f aca="false">Breakout!$F$157/12</f>
        <v>0</v>
      </c>
      <c r="O57" s="873" t="n">
        <f aca="false">Breakout!$F$158/12</f>
        <v>14659.2075699726</v>
      </c>
      <c r="P57" s="872" t="n">
        <f aca="false">Breakout!$F$164/12</f>
        <v>0</v>
      </c>
      <c r="Q57" s="873" t="n">
        <f aca="false">Breakout!$F$165/12</f>
        <v>0</v>
      </c>
      <c r="R57" s="872" t="n">
        <f aca="false">Breakout!$F$171/12</f>
        <v>0</v>
      </c>
      <c r="S57" s="873" t="n">
        <f aca="false">Breakout!$F$172/12</f>
        <v>1318215.9188554</v>
      </c>
      <c r="T57" s="774" t="n">
        <f aca="false">C57+F57+I57+L57+N57+P57+R57</f>
        <v>6872393.37254258</v>
      </c>
      <c r="U57" s="771" t="n">
        <f aca="false">E57+H57+K57+M57+O57+Q57+S57</f>
        <v>6682632.5886733</v>
      </c>
      <c r="V57" s="774" t="n">
        <f aca="false">D57+G57+J57+M57+O57+Q57+S57</f>
        <v>6680760.72638352</v>
      </c>
      <c r="W57" s="775" t="n">
        <f aca="false">T57-V57-AD57</f>
        <v>191632.646159052</v>
      </c>
      <c r="X57" s="431"/>
      <c r="Y57" s="776" t="n">
        <f aca="false">T57-U57-AD57</f>
        <v>189760.783869274</v>
      </c>
      <c r="Z57" s="431"/>
      <c r="AA57" s="770" t="n">
        <f aca="false">'power redistribution'!$C$32/12</f>
        <v>58459835.6481481</v>
      </c>
      <c r="AB57" s="770" t="n">
        <f aca="false">'power redistribution'!$D$32/12</f>
        <v>15466.6666666667</v>
      </c>
      <c r="AC57" s="431"/>
      <c r="AD57" s="772" t="n">
        <v>0</v>
      </c>
      <c r="AE57" s="431"/>
    </row>
    <row r="58" customFormat="false" ht="12.75" hidden="false" customHeight="false" outlineLevel="0" collapsed="false">
      <c r="A58" s="881" t="n">
        <v>48</v>
      </c>
      <c r="B58" s="894" t="n">
        <v>37956</v>
      </c>
      <c r="C58" s="886" t="n">
        <f aca="false">Breakout!$F$136/12</f>
        <v>6760081.63515592</v>
      </c>
      <c r="D58" s="883" t="n">
        <f aca="false">Breakout!$F$137/12</f>
        <v>5195996.5</v>
      </c>
      <c r="E58" s="883" t="n">
        <v>5195996.5</v>
      </c>
      <c r="F58" s="886" t="n">
        <f aca="false">Breakout!$F$143/12</f>
        <v>112311.737386659</v>
      </c>
      <c r="G58" s="883" t="n">
        <f aca="false">Breakout!$F$144/12</f>
        <v>91721.2521991045</v>
      </c>
      <c r="H58" s="883" t="n">
        <v>93593.1144888821</v>
      </c>
      <c r="I58" s="769" t="n">
        <v>0</v>
      </c>
      <c r="J58" s="772" t="n">
        <v>0</v>
      </c>
      <c r="K58" s="772" t="n">
        <v>0</v>
      </c>
      <c r="L58" s="769" t="n">
        <v>0</v>
      </c>
      <c r="M58" s="883" t="n">
        <f aca="false">Breakout!$F$151/12</f>
        <v>60167.8477590433</v>
      </c>
      <c r="N58" s="886" t="n">
        <f aca="false">Breakout!$F$157/12</f>
        <v>0</v>
      </c>
      <c r="O58" s="883" t="n">
        <f aca="false">Breakout!$F$158/12</f>
        <v>14659.2075699726</v>
      </c>
      <c r="P58" s="886" t="n">
        <f aca="false">Breakout!$F$164/12</f>
        <v>0</v>
      </c>
      <c r="Q58" s="883" t="n">
        <f aca="false">Breakout!$F$165/12</f>
        <v>0</v>
      </c>
      <c r="R58" s="886" t="n">
        <f aca="false">Breakout!$F$171/12</f>
        <v>0</v>
      </c>
      <c r="S58" s="883" t="n">
        <f aca="false">Breakout!$F$172/12</f>
        <v>1318215.9188554</v>
      </c>
      <c r="T58" s="774" t="n">
        <f aca="false">C58+F58+I58+L58+N58+P58+R58</f>
        <v>6872393.37254258</v>
      </c>
      <c r="U58" s="771" t="n">
        <f aca="false">E58+H58+K58+M58+O58+Q58+S58</f>
        <v>6682632.5886733</v>
      </c>
      <c r="V58" s="774" t="n">
        <f aca="false">D58+G58+J58+M58+O58+Q58+S58</f>
        <v>6680760.72638352</v>
      </c>
      <c r="W58" s="775" t="n">
        <f aca="false">T58-V58-AD58</f>
        <v>191632.646159052</v>
      </c>
      <c r="X58" s="885" t="n">
        <f aca="false">SUM(W47:W58)</f>
        <v>2299591.75390862</v>
      </c>
      <c r="Y58" s="776" t="n">
        <f aca="false">T58-U58-AD58</f>
        <v>189760.783869274</v>
      </c>
      <c r="Z58" s="885" t="n">
        <f aca="false">SUM(Y47:Y58)</f>
        <v>2277129.40643129</v>
      </c>
      <c r="AA58" s="770" t="n">
        <f aca="false">'power redistribution'!$C$32/12</f>
        <v>58459835.6481481</v>
      </c>
      <c r="AB58" s="770" t="n">
        <f aca="false">'power redistribution'!$D$32/12</f>
        <v>15466.6666666667</v>
      </c>
      <c r="AC58" s="885"/>
      <c r="AD58" s="772" t="n">
        <v>0</v>
      </c>
      <c r="AE58" s="885"/>
      <c r="AF58" s="885"/>
      <c r="AG58" s="885"/>
      <c r="AH58" s="885"/>
      <c r="AI58" s="885"/>
      <c r="AJ58" s="885"/>
      <c r="AK58" s="885"/>
      <c r="AL58" s="885"/>
      <c r="AM58" s="885"/>
      <c r="AN58" s="885"/>
      <c r="AO58" s="885"/>
      <c r="AP58" s="885"/>
      <c r="AQ58" s="885"/>
      <c r="AR58" s="885"/>
      <c r="AS58" s="885"/>
      <c r="AT58" s="885"/>
      <c r="AU58" s="885"/>
      <c r="AV58" s="885"/>
      <c r="AW58" s="885"/>
      <c r="AX58" s="885"/>
      <c r="AY58" s="885"/>
      <c r="AZ58" s="885"/>
      <c r="BA58" s="885"/>
      <c r="BB58" s="885"/>
      <c r="BC58" s="885"/>
      <c r="BD58" s="885"/>
      <c r="BE58" s="885"/>
      <c r="BF58" s="885"/>
      <c r="BG58" s="885"/>
      <c r="BH58" s="885"/>
      <c r="BI58" s="885"/>
      <c r="BJ58" s="885"/>
      <c r="BK58" s="885"/>
      <c r="BL58" s="885"/>
      <c r="BM58" s="885"/>
      <c r="BN58" s="885"/>
      <c r="BO58" s="885"/>
      <c r="BP58" s="885"/>
      <c r="BQ58" s="885"/>
      <c r="BR58" s="885"/>
      <c r="BS58" s="885"/>
      <c r="BT58" s="885"/>
      <c r="BU58" s="885"/>
      <c r="BV58" s="885"/>
      <c r="BW58" s="885"/>
      <c r="BX58" s="885"/>
      <c r="BY58" s="885"/>
    </row>
    <row r="59" customFormat="false" ht="12.75" hidden="false" customHeight="false" outlineLevel="0" collapsed="false">
      <c r="A59" s="866" t="n">
        <v>49</v>
      </c>
      <c r="B59" s="897" t="n">
        <v>37987</v>
      </c>
      <c r="C59" s="868" t="n">
        <f aca="false">Breakout!$G$136/12</f>
        <v>6760081.63515592</v>
      </c>
      <c r="D59" s="870" t="n">
        <f aca="false">Breakout!$G$137/12</f>
        <v>5086607.1</v>
      </c>
      <c r="E59" s="870" t="n">
        <v>5086607.1</v>
      </c>
      <c r="F59" s="868" t="n">
        <f aca="false">Breakout!$G$143/12</f>
        <v>114615.960633369</v>
      </c>
      <c r="G59" s="870" t="n">
        <f aca="false">Breakout!$G$144/12</f>
        <v>93603.034517251</v>
      </c>
      <c r="H59" s="870" t="n">
        <v>95513.3005278072</v>
      </c>
      <c r="I59" s="769" t="n">
        <v>0</v>
      </c>
      <c r="J59" s="772" t="n">
        <v>0</v>
      </c>
      <c r="K59" s="772" t="n">
        <v>0</v>
      </c>
      <c r="L59" s="769" t="n">
        <v>0</v>
      </c>
      <c r="M59" s="870" t="n">
        <f aca="false">Breakout!$G$151/12</f>
        <v>60167.8477590433</v>
      </c>
      <c r="N59" s="868" t="n">
        <f aca="false">Breakout!$G$157/12</f>
        <v>0</v>
      </c>
      <c r="O59" s="870" t="n">
        <f aca="false">Breakout!$G$158/12</f>
        <v>8333.33333333333</v>
      </c>
      <c r="P59" s="868" t="n">
        <f aca="false">Breakout!$G$164/12</f>
        <v>0</v>
      </c>
      <c r="Q59" s="870" t="n">
        <f aca="false">Breakout!$G$165/12</f>
        <v>0</v>
      </c>
      <c r="R59" s="868" t="n">
        <f aca="false">Breakout!$G$171/12</f>
        <v>0</v>
      </c>
      <c r="S59" s="870" t="n">
        <f aca="false">Breakout!$G$172/12</f>
        <v>1318215.9188554</v>
      </c>
      <c r="T59" s="774" t="n">
        <f aca="false">C59+F59+I59+L59+N59+P59+R59</f>
        <v>6874697.59578928</v>
      </c>
      <c r="U59" s="771" t="n">
        <f aca="false">E59+H59+K59+M59+O59+Q59+S59</f>
        <v>6568837.50047559</v>
      </c>
      <c r="V59" s="774" t="n">
        <f aca="false">D59+G59+J59+M59+O59+Q59+S59</f>
        <v>6566927.23446503</v>
      </c>
      <c r="W59" s="775" t="n">
        <f aca="false">T59-V59-AD59</f>
        <v>307770.361324254</v>
      </c>
      <c r="X59" s="869"/>
      <c r="Y59" s="776" t="n">
        <f aca="false">T59-U59-AD59</f>
        <v>305860.095313698</v>
      </c>
      <c r="Z59" s="869"/>
      <c r="AA59" s="770" t="n">
        <f aca="false">'power redistribution'!$C$32/12</f>
        <v>58459835.6481481</v>
      </c>
      <c r="AB59" s="770" t="n">
        <f aca="false">'power redistribution'!$D$32/12</f>
        <v>15466.6666666667</v>
      </c>
      <c r="AC59" s="869"/>
      <c r="AD59" s="772" t="n">
        <v>0</v>
      </c>
      <c r="AE59" s="869"/>
      <c r="AF59" s="869"/>
      <c r="AG59" s="869"/>
      <c r="AH59" s="869"/>
      <c r="AI59" s="869"/>
      <c r="AJ59" s="869"/>
      <c r="AK59" s="869"/>
      <c r="AL59" s="869"/>
      <c r="AM59" s="869"/>
      <c r="AN59" s="869"/>
      <c r="AO59" s="869"/>
      <c r="AP59" s="869"/>
      <c r="AQ59" s="869"/>
      <c r="AR59" s="869"/>
      <c r="AS59" s="869"/>
      <c r="AT59" s="869"/>
      <c r="AU59" s="869"/>
      <c r="AV59" s="869"/>
      <c r="AW59" s="869"/>
      <c r="AX59" s="869"/>
      <c r="AY59" s="869"/>
      <c r="AZ59" s="869"/>
      <c r="BA59" s="869"/>
      <c r="BB59" s="869"/>
      <c r="BC59" s="869"/>
      <c r="BD59" s="869"/>
      <c r="BE59" s="869"/>
      <c r="BF59" s="869"/>
      <c r="BG59" s="869"/>
      <c r="BH59" s="869"/>
      <c r="BI59" s="869"/>
      <c r="BJ59" s="869"/>
      <c r="BK59" s="869"/>
      <c r="BL59" s="869"/>
      <c r="BM59" s="869"/>
      <c r="BN59" s="869"/>
      <c r="BO59" s="869"/>
      <c r="BP59" s="869"/>
      <c r="BQ59" s="869"/>
      <c r="BR59" s="869"/>
      <c r="BS59" s="869"/>
      <c r="BT59" s="869"/>
      <c r="BU59" s="869"/>
      <c r="BV59" s="869"/>
      <c r="BW59" s="869"/>
      <c r="BX59" s="869"/>
      <c r="BY59" s="869"/>
    </row>
    <row r="60" customFormat="false" ht="12.75" hidden="false" customHeight="false" outlineLevel="0" collapsed="false">
      <c r="A60" s="767" t="n">
        <v>50</v>
      </c>
      <c r="B60" s="768" t="n">
        <v>38018</v>
      </c>
      <c r="C60" s="872" t="n">
        <f aca="false">Breakout!$G$136/12</f>
        <v>6760081.63515592</v>
      </c>
      <c r="D60" s="873" t="n">
        <f aca="false">Breakout!$G$137/12</f>
        <v>5086607.1</v>
      </c>
      <c r="E60" s="873" t="n">
        <v>5086607.1</v>
      </c>
      <c r="F60" s="872" t="n">
        <f aca="false">Breakout!$G$143/12</f>
        <v>114615.960633369</v>
      </c>
      <c r="G60" s="873" t="n">
        <f aca="false">Breakout!$G$144/12</f>
        <v>93603.034517251</v>
      </c>
      <c r="H60" s="873" t="n">
        <v>95513.3005278072</v>
      </c>
      <c r="I60" s="769" t="n">
        <v>0</v>
      </c>
      <c r="J60" s="772" t="n">
        <v>0</v>
      </c>
      <c r="K60" s="772" t="n">
        <v>0</v>
      </c>
      <c r="L60" s="769" t="n">
        <v>0</v>
      </c>
      <c r="M60" s="873" t="n">
        <f aca="false">Breakout!$G$151/12</f>
        <v>60167.8477590433</v>
      </c>
      <c r="N60" s="872" t="n">
        <f aca="false">Breakout!$G$157/12</f>
        <v>0</v>
      </c>
      <c r="O60" s="873" t="n">
        <f aca="false">Breakout!$G$158/12</f>
        <v>8333.33333333333</v>
      </c>
      <c r="P60" s="872" t="n">
        <f aca="false">Breakout!$G$164/12</f>
        <v>0</v>
      </c>
      <c r="Q60" s="873" t="n">
        <f aca="false">Breakout!$G$165/12</f>
        <v>0</v>
      </c>
      <c r="R60" s="872" t="n">
        <f aca="false">Breakout!$G$171/12</f>
        <v>0</v>
      </c>
      <c r="S60" s="873" t="n">
        <f aca="false">Breakout!$G$172/12</f>
        <v>1318215.9188554</v>
      </c>
      <c r="T60" s="774" t="n">
        <f aca="false">C60+F60+I60+L60+N60+P60+R60</f>
        <v>6874697.59578928</v>
      </c>
      <c r="U60" s="771" t="n">
        <f aca="false">E60+H60+K60+M60+O60+Q60+S60</f>
        <v>6568837.50047559</v>
      </c>
      <c r="V60" s="774" t="n">
        <f aca="false">D60+G60+J60+M60+O60+Q60+S60</f>
        <v>6566927.23446503</v>
      </c>
      <c r="W60" s="775" t="n">
        <f aca="false">T60-V60-AD60</f>
        <v>307770.361324254</v>
      </c>
      <c r="X60" s="431"/>
      <c r="Y60" s="776" t="n">
        <f aca="false">T60-U60-AD60</f>
        <v>305860.095313698</v>
      </c>
      <c r="Z60" s="431"/>
      <c r="AA60" s="770" t="n">
        <f aca="false">'power redistribution'!$C$32/12</f>
        <v>58459835.6481481</v>
      </c>
      <c r="AB60" s="770" t="n">
        <f aca="false">'power redistribution'!$D$32/12</f>
        <v>15466.6666666667</v>
      </c>
      <c r="AC60" s="431"/>
      <c r="AD60" s="772" t="n">
        <v>0</v>
      </c>
      <c r="AE60" s="431"/>
    </row>
    <row r="61" customFormat="false" ht="12.75" hidden="false" customHeight="false" outlineLevel="0" collapsed="false">
      <c r="A61" s="767" t="n">
        <v>51</v>
      </c>
      <c r="B61" s="768" t="n">
        <v>38047</v>
      </c>
      <c r="C61" s="872" t="n">
        <f aca="false">Breakout!$G$136/12</f>
        <v>6760081.63515592</v>
      </c>
      <c r="D61" s="873" t="n">
        <f aca="false">Breakout!$G$137/12</f>
        <v>5086607.1</v>
      </c>
      <c r="E61" s="873" t="n">
        <v>5086607.1</v>
      </c>
      <c r="F61" s="872" t="n">
        <f aca="false">Breakout!$G$143/12</f>
        <v>114615.960633369</v>
      </c>
      <c r="G61" s="873" t="n">
        <f aca="false">Breakout!$G$144/12</f>
        <v>93603.034517251</v>
      </c>
      <c r="H61" s="873" t="n">
        <v>95513.3005278072</v>
      </c>
      <c r="I61" s="769" t="n">
        <v>0</v>
      </c>
      <c r="J61" s="772" t="n">
        <v>0</v>
      </c>
      <c r="K61" s="772" t="n">
        <v>0</v>
      </c>
      <c r="L61" s="769" t="n">
        <v>0</v>
      </c>
      <c r="M61" s="873" t="n">
        <f aca="false">Breakout!$G$151/12</f>
        <v>60167.8477590433</v>
      </c>
      <c r="N61" s="872" t="n">
        <f aca="false">Breakout!$G$157/12</f>
        <v>0</v>
      </c>
      <c r="O61" s="873" t="n">
        <f aca="false">Breakout!$G$158/12</f>
        <v>8333.33333333333</v>
      </c>
      <c r="P61" s="872" t="n">
        <f aca="false">Breakout!$G$164/12</f>
        <v>0</v>
      </c>
      <c r="Q61" s="873" t="n">
        <f aca="false">Breakout!$G$165/12</f>
        <v>0</v>
      </c>
      <c r="R61" s="872" t="n">
        <f aca="false">Breakout!$G$171/12</f>
        <v>0</v>
      </c>
      <c r="S61" s="873" t="n">
        <f aca="false">Breakout!$G$172/12</f>
        <v>1318215.9188554</v>
      </c>
      <c r="T61" s="774" t="n">
        <f aca="false">C61+F61+I61+L61+N61+P61+R61</f>
        <v>6874697.59578928</v>
      </c>
      <c r="U61" s="771" t="n">
        <f aca="false">E61+H61+K61+M61+O61+Q61+S61</f>
        <v>6568837.50047559</v>
      </c>
      <c r="V61" s="774" t="n">
        <f aca="false">D61+G61+J61+M61+O61+Q61+S61</f>
        <v>6566927.23446503</v>
      </c>
      <c r="W61" s="775" t="n">
        <f aca="false">T61-V61-AD61</f>
        <v>307770.361324254</v>
      </c>
      <c r="X61" s="431"/>
      <c r="Y61" s="776" t="n">
        <f aca="false">T61-U61-AD61</f>
        <v>305860.095313698</v>
      </c>
      <c r="Z61" s="431"/>
      <c r="AA61" s="770" t="n">
        <f aca="false">'power redistribution'!$C$32/12</f>
        <v>58459835.6481481</v>
      </c>
      <c r="AB61" s="770" t="n">
        <f aca="false">'power redistribution'!$D$32/12</f>
        <v>15466.6666666667</v>
      </c>
      <c r="AC61" s="431"/>
      <c r="AD61" s="772" t="n">
        <v>0</v>
      </c>
      <c r="AE61" s="431"/>
    </row>
    <row r="62" customFormat="false" ht="12.75" hidden="false" customHeight="false" outlineLevel="0" collapsed="false">
      <c r="A62" s="767" t="n">
        <v>52</v>
      </c>
      <c r="B62" s="768" t="n">
        <v>38078</v>
      </c>
      <c r="C62" s="872" t="n">
        <f aca="false">Breakout!$G$136/12</f>
        <v>6760081.63515592</v>
      </c>
      <c r="D62" s="873" t="n">
        <f aca="false">Breakout!$G$137/12</f>
        <v>5086607.1</v>
      </c>
      <c r="E62" s="873" t="n">
        <v>5086607.1</v>
      </c>
      <c r="F62" s="872" t="n">
        <f aca="false">Breakout!$G$143/12</f>
        <v>114615.960633369</v>
      </c>
      <c r="G62" s="873" t="n">
        <f aca="false">Breakout!$G$144/12</f>
        <v>93603.034517251</v>
      </c>
      <c r="H62" s="873" t="n">
        <v>95513.3005278072</v>
      </c>
      <c r="I62" s="769" t="n">
        <v>0</v>
      </c>
      <c r="J62" s="772" t="n">
        <v>0</v>
      </c>
      <c r="K62" s="772" t="n">
        <v>0</v>
      </c>
      <c r="L62" s="769" t="n">
        <v>0</v>
      </c>
      <c r="M62" s="873" t="n">
        <f aca="false">Breakout!$G$151/12</f>
        <v>60167.8477590433</v>
      </c>
      <c r="N62" s="872" t="n">
        <f aca="false">Breakout!$G$157/12</f>
        <v>0</v>
      </c>
      <c r="O62" s="873" t="n">
        <f aca="false">Breakout!$G$158/12</f>
        <v>8333.33333333333</v>
      </c>
      <c r="P62" s="872" t="n">
        <f aca="false">Breakout!$G$164/12</f>
        <v>0</v>
      </c>
      <c r="Q62" s="873" t="n">
        <f aca="false">Breakout!$G$165/12</f>
        <v>0</v>
      </c>
      <c r="R62" s="872" t="n">
        <f aca="false">Breakout!$G$171/12</f>
        <v>0</v>
      </c>
      <c r="S62" s="873" t="n">
        <f aca="false">Breakout!$G$172/12</f>
        <v>1318215.9188554</v>
      </c>
      <c r="T62" s="774" t="n">
        <f aca="false">C62+F62+I62+L62+N62+P62+R62</f>
        <v>6874697.59578928</v>
      </c>
      <c r="U62" s="771" t="n">
        <f aca="false">E62+H62+K62+M62+O62+Q62+S62</f>
        <v>6568837.50047559</v>
      </c>
      <c r="V62" s="774" t="n">
        <f aca="false">D62+G62+J62+M62+O62+Q62+S62</f>
        <v>6566927.23446503</v>
      </c>
      <c r="W62" s="775" t="n">
        <f aca="false">T62-V62-AD62</f>
        <v>307770.361324254</v>
      </c>
      <c r="X62" s="431"/>
      <c r="Y62" s="776" t="n">
        <f aca="false">T62-U62-AD62</f>
        <v>305860.095313698</v>
      </c>
      <c r="Z62" s="431"/>
      <c r="AA62" s="770" t="n">
        <f aca="false">'power redistribution'!$C$32/12</f>
        <v>58459835.6481481</v>
      </c>
      <c r="AB62" s="770" t="n">
        <f aca="false">'power redistribution'!$D$32/12</f>
        <v>15466.6666666667</v>
      </c>
      <c r="AC62" s="431"/>
      <c r="AD62" s="772" t="n">
        <v>0</v>
      </c>
      <c r="AE62" s="431"/>
    </row>
    <row r="63" customFormat="false" ht="12.75" hidden="false" customHeight="false" outlineLevel="0" collapsed="false">
      <c r="A63" s="767" t="n">
        <v>53</v>
      </c>
      <c r="B63" s="768" t="n">
        <v>38108</v>
      </c>
      <c r="C63" s="872" t="n">
        <f aca="false">Breakout!$G$136/12</f>
        <v>6760081.63515592</v>
      </c>
      <c r="D63" s="873" t="n">
        <f aca="false">Breakout!$G$137/12</f>
        <v>5086607.1</v>
      </c>
      <c r="E63" s="873" t="n">
        <v>5086607.1</v>
      </c>
      <c r="F63" s="872" t="n">
        <f aca="false">Breakout!$G$143/12</f>
        <v>114615.960633369</v>
      </c>
      <c r="G63" s="873" t="n">
        <f aca="false">Breakout!$G$144/12</f>
        <v>93603.034517251</v>
      </c>
      <c r="H63" s="873" t="n">
        <v>95513.3005278072</v>
      </c>
      <c r="I63" s="769" t="n">
        <v>0</v>
      </c>
      <c r="J63" s="772" t="n">
        <v>0</v>
      </c>
      <c r="K63" s="772" t="n">
        <v>0</v>
      </c>
      <c r="L63" s="769" t="n">
        <v>0</v>
      </c>
      <c r="M63" s="873" t="n">
        <f aca="false">Breakout!$G$151/12</f>
        <v>60167.8477590433</v>
      </c>
      <c r="N63" s="872" t="n">
        <f aca="false">Breakout!$G$157/12</f>
        <v>0</v>
      </c>
      <c r="O63" s="873" t="n">
        <f aca="false">Breakout!$G$158/12</f>
        <v>8333.33333333333</v>
      </c>
      <c r="P63" s="872" t="n">
        <f aca="false">Breakout!$G$164/12</f>
        <v>0</v>
      </c>
      <c r="Q63" s="873" t="n">
        <f aca="false">Breakout!$G$165/12</f>
        <v>0</v>
      </c>
      <c r="R63" s="872" t="n">
        <f aca="false">Breakout!$G$171/12</f>
        <v>0</v>
      </c>
      <c r="S63" s="873" t="n">
        <f aca="false">Breakout!$G$172/12</f>
        <v>1318215.9188554</v>
      </c>
      <c r="T63" s="774" t="n">
        <f aca="false">C63+F63+I63+L63+N63+P63+R63</f>
        <v>6874697.59578928</v>
      </c>
      <c r="U63" s="771" t="n">
        <f aca="false">E63+H63+K63+M63+O63+Q63+S63</f>
        <v>6568837.50047559</v>
      </c>
      <c r="V63" s="774" t="n">
        <f aca="false">D63+G63+J63+M63+O63+Q63+S63</f>
        <v>6566927.23446503</v>
      </c>
      <c r="W63" s="775" t="n">
        <f aca="false">T63-V63-AD63</f>
        <v>307770.361324254</v>
      </c>
      <c r="X63" s="431"/>
      <c r="Y63" s="776" t="n">
        <f aca="false">T63-U63-AD63</f>
        <v>305860.095313698</v>
      </c>
      <c r="Z63" s="431"/>
      <c r="AA63" s="770" t="n">
        <f aca="false">'power redistribution'!$C$32/12</f>
        <v>58459835.6481481</v>
      </c>
      <c r="AB63" s="770" t="n">
        <f aca="false">'power redistribution'!$D$32/12</f>
        <v>15466.6666666667</v>
      </c>
      <c r="AC63" s="431"/>
      <c r="AD63" s="772" t="n">
        <v>0</v>
      </c>
      <c r="AE63" s="431"/>
    </row>
    <row r="64" customFormat="false" ht="12.75" hidden="false" customHeight="false" outlineLevel="0" collapsed="false">
      <c r="A64" s="767" t="n">
        <v>54</v>
      </c>
      <c r="B64" s="768" t="n">
        <v>38139</v>
      </c>
      <c r="C64" s="872" t="n">
        <f aca="false">Breakout!$G$136/12</f>
        <v>6760081.63515592</v>
      </c>
      <c r="D64" s="873" t="n">
        <f aca="false">Breakout!$G$137/12</f>
        <v>5086607.1</v>
      </c>
      <c r="E64" s="873" t="n">
        <v>5086607.1</v>
      </c>
      <c r="F64" s="872" t="n">
        <f aca="false">Breakout!$G$143/12</f>
        <v>114615.960633369</v>
      </c>
      <c r="G64" s="873" t="n">
        <f aca="false">Breakout!$G$144/12</f>
        <v>93603.034517251</v>
      </c>
      <c r="H64" s="873" t="n">
        <v>95513.3005278072</v>
      </c>
      <c r="I64" s="769" t="n">
        <v>0</v>
      </c>
      <c r="J64" s="772" t="n">
        <v>0</v>
      </c>
      <c r="K64" s="772" t="n">
        <v>0</v>
      </c>
      <c r="L64" s="769" t="n">
        <v>0</v>
      </c>
      <c r="M64" s="873" t="n">
        <f aca="false">Breakout!$G$151/12</f>
        <v>60167.8477590433</v>
      </c>
      <c r="N64" s="872" t="n">
        <f aca="false">Breakout!$G$157/12</f>
        <v>0</v>
      </c>
      <c r="O64" s="873" t="n">
        <f aca="false">Breakout!$G$158/12</f>
        <v>8333.33333333333</v>
      </c>
      <c r="P64" s="872" t="n">
        <f aca="false">Breakout!$G$164/12</f>
        <v>0</v>
      </c>
      <c r="Q64" s="873" t="n">
        <f aca="false">Breakout!$G$165/12</f>
        <v>0</v>
      </c>
      <c r="R64" s="872" t="n">
        <f aca="false">Breakout!$G$171/12</f>
        <v>0</v>
      </c>
      <c r="S64" s="873" t="n">
        <f aca="false">Breakout!$G$172/12</f>
        <v>1318215.9188554</v>
      </c>
      <c r="T64" s="774" t="n">
        <f aca="false">C64+F64+I64+L64+N64+P64+R64</f>
        <v>6874697.59578928</v>
      </c>
      <c r="U64" s="771" t="n">
        <f aca="false">E64+H64+K64+M64+O64+Q64+S64</f>
        <v>6568837.50047559</v>
      </c>
      <c r="V64" s="774" t="n">
        <f aca="false">D64+G64+J64+M64+O64+Q64+S64</f>
        <v>6566927.23446503</v>
      </c>
      <c r="W64" s="775" t="n">
        <f aca="false">T64-V64-AD64</f>
        <v>307770.361324254</v>
      </c>
      <c r="X64" s="431"/>
      <c r="Y64" s="776" t="n">
        <f aca="false">T64-U64-AD64</f>
        <v>305860.095313698</v>
      </c>
      <c r="Z64" s="431"/>
      <c r="AA64" s="770" t="n">
        <f aca="false">'power redistribution'!$C$32/12</f>
        <v>58459835.6481481</v>
      </c>
      <c r="AB64" s="770" t="n">
        <f aca="false">'power redistribution'!$D$32/12</f>
        <v>15466.6666666667</v>
      </c>
      <c r="AC64" s="431"/>
      <c r="AD64" s="772" t="n">
        <v>0</v>
      </c>
      <c r="AE64" s="431"/>
    </row>
    <row r="65" customFormat="false" ht="12.75" hidden="false" customHeight="false" outlineLevel="0" collapsed="false">
      <c r="A65" s="767" t="n">
        <v>55</v>
      </c>
      <c r="B65" s="768" t="n">
        <v>38169</v>
      </c>
      <c r="C65" s="872" t="n">
        <f aca="false">Breakout!$G$136/12</f>
        <v>6760081.63515592</v>
      </c>
      <c r="D65" s="873" t="n">
        <f aca="false">Breakout!$G$137/12</f>
        <v>5086607.1</v>
      </c>
      <c r="E65" s="873" t="n">
        <v>5086607.1</v>
      </c>
      <c r="F65" s="872" t="n">
        <f aca="false">Breakout!$G$143/12</f>
        <v>114615.960633369</v>
      </c>
      <c r="G65" s="873" t="n">
        <f aca="false">Breakout!$G$144/12</f>
        <v>93603.034517251</v>
      </c>
      <c r="H65" s="873" t="n">
        <v>95513.3005278072</v>
      </c>
      <c r="I65" s="769" t="n">
        <v>0</v>
      </c>
      <c r="J65" s="772" t="n">
        <v>0</v>
      </c>
      <c r="K65" s="772" t="n">
        <v>0</v>
      </c>
      <c r="L65" s="769" t="n">
        <v>0</v>
      </c>
      <c r="M65" s="873" t="n">
        <f aca="false">Breakout!$G$151/12</f>
        <v>60167.8477590433</v>
      </c>
      <c r="N65" s="872" t="n">
        <f aca="false">Breakout!$G$157/12</f>
        <v>0</v>
      </c>
      <c r="O65" s="873" t="n">
        <f aca="false">Breakout!$G$158/12</f>
        <v>8333.33333333333</v>
      </c>
      <c r="P65" s="872" t="n">
        <f aca="false">Breakout!$G$164/12</f>
        <v>0</v>
      </c>
      <c r="Q65" s="873" t="n">
        <f aca="false">Breakout!$G$165/12</f>
        <v>0</v>
      </c>
      <c r="R65" s="872" t="n">
        <f aca="false">Breakout!$G$171/12</f>
        <v>0</v>
      </c>
      <c r="S65" s="873" t="n">
        <f aca="false">Breakout!$G$172/12</f>
        <v>1318215.9188554</v>
      </c>
      <c r="T65" s="774" t="n">
        <f aca="false">C65+F65+I65+L65+N65+P65+R65</f>
        <v>6874697.59578928</v>
      </c>
      <c r="U65" s="771" t="n">
        <f aca="false">E65+H65+K65+M65+O65+Q65+S65</f>
        <v>6568837.50047559</v>
      </c>
      <c r="V65" s="774" t="n">
        <f aca="false">D65+G65+J65+M65+O65+Q65+S65</f>
        <v>6566927.23446503</v>
      </c>
      <c r="W65" s="775" t="n">
        <f aca="false">T65-V65-AD65</f>
        <v>307770.361324254</v>
      </c>
      <c r="X65" s="431"/>
      <c r="Y65" s="776" t="n">
        <f aca="false">T65-U65-AD65</f>
        <v>305860.095313698</v>
      </c>
      <c r="Z65" s="431"/>
      <c r="AA65" s="770" t="n">
        <f aca="false">'power redistribution'!$C$32/12</f>
        <v>58459835.6481481</v>
      </c>
      <c r="AB65" s="770" t="n">
        <f aca="false">'power redistribution'!$D$32/12</f>
        <v>15466.6666666667</v>
      </c>
      <c r="AC65" s="431"/>
      <c r="AD65" s="772" t="n">
        <v>0</v>
      </c>
      <c r="AE65" s="431"/>
    </row>
    <row r="66" customFormat="false" ht="12.75" hidden="false" customHeight="false" outlineLevel="0" collapsed="false">
      <c r="A66" s="767" t="n">
        <v>56</v>
      </c>
      <c r="B66" s="768" t="n">
        <v>38200</v>
      </c>
      <c r="C66" s="872" t="n">
        <f aca="false">Breakout!$G$136/12</f>
        <v>6760081.63515592</v>
      </c>
      <c r="D66" s="873" t="n">
        <f aca="false">Breakout!$G$137/12</f>
        <v>5086607.1</v>
      </c>
      <c r="E66" s="873" t="n">
        <v>5086607.1</v>
      </c>
      <c r="F66" s="872" t="n">
        <f aca="false">Breakout!$G$143/12</f>
        <v>114615.960633369</v>
      </c>
      <c r="G66" s="873" t="n">
        <f aca="false">Breakout!$G$144/12</f>
        <v>93603.034517251</v>
      </c>
      <c r="H66" s="873" t="n">
        <v>95513.3005278072</v>
      </c>
      <c r="I66" s="769" t="n">
        <v>0</v>
      </c>
      <c r="J66" s="772" t="n">
        <v>0</v>
      </c>
      <c r="K66" s="772" t="n">
        <v>0</v>
      </c>
      <c r="L66" s="769" t="n">
        <v>0</v>
      </c>
      <c r="M66" s="873" t="n">
        <f aca="false">Breakout!$G$151/12</f>
        <v>60167.8477590433</v>
      </c>
      <c r="N66" s="872" t="n">
        <f aca="false">Breakout!$G$157/12</f>
        <v>0</v>
      </c>
      <c r="O66" s="873" t="n">
        <f aca="false">Breakout!$G$158/12</f>
        <v>8333.33333333333</v>
      </c>
      <c r="P66" s="872" t="n">
        <f aca="false">Breakout!$G$164/12</f>
        <v>0</v>
      </c>
      <c r="Q66" s="873" t="n">
        <f aca="false">Breakout!$G$165/12</f>
        <v>0</v>
      </c>
      <c r="R66" s="872" t="n">
        <f aca="false">Breakout!$G$171/12</f>
        <v>0</v>
      </c>
      <c r="S66" s="873" t="n">
        <f aca="false">Breakout!$G$172/12</f>
        <v>1318215.9188554</v>
      </c>
      <c r="T66" s="774" t="n">
        <f aca="false">C66+F66+I66+L66+N66+P66+R66</f>
        <v>6874697.59578928</v>
      </c>
      <c r="U66" s="771" t="n">
        <f aca="false">E66+H66+K66+M66+O66+Q66+S66</f>
        <v>6568837.50047559</v>
      </c>
      <c r="V66" s="774" t="n">
        <f aca="false">D66+G66+J66+M66+O66+Q66+S66</f>
        <v>6566927.23446503</v>
      </c>
      <c r="W66" s="775" t="n">
        <f aca="false">T66-V66-AD66</f>
        <v>307770.361324254</v>
      </c>
      <c r="X66" s="431"/>
      <c r="Y66" s="776" t="n">
        <f aca="false">T66-U66-AD66</f>
        <v>305860.095313698</v>
      </c>
      <c r="Z66" s="431"/>
      <c r="AA66" s="770" t="n">
        <f aca="false">'power redistribution'!$C$32/12</f>
        <v>58459835.6481481</v>
      </c>
      <c r="AB66" s="770" t="n">
        <f aca="false">'power redistribution'!$D$32/12</f>
        <v>15466.6666666667</v>
      </c>
      <c r="AC66" s="431"/>
      <c r="AD66" s="772" t="n">
        <v>0</v>
      </c>
      <c r="AE66" s="431"/>
    </row>
    <row r="67" customFormat="false" ht="12.75" hidden="false" customHeight="false" outlineLevel="0" collapsed="false">
      <c r="A67" s="767" t="n">
        <v>57</v>
      </c>
      <c r="B67" s="768" t="n">
        <v>38231</v>
      </c>
      <c r="C67" s="872" t="n">
        <f aca="false">Breakout!$G$136/12</f>
        <v>6760081.63515592</v>
      </c>
      <c r="D67" s="873" t="n">
        <f aca="false">Breakout!$G$137/12</f>
        <v>5086607.1</v>
      </c>
      <c r="E67" s="873" t="n">
        <v>5086607.1</v>
      </c>
      <c r="F67" s="872" t="n">
        <f aca="false">Breakout!$G$143/12</f>
        <v>114615.960633369</v>
      </c>
      <c r="G67" s="873" t="n">
        <f aca="false">Breakout!$G$144/12</f>
        <v>93603.034517251</v>
      </c>
      <c r="H67" s="873" t="n">
        <v>95513.3005278072</v>
      </c>
      <c r="I67" s="769" t="n">
        <v>0</v>
      </c>
      <c r="J67" s="772" t="n">
        <v>0</v>
      </c>
      <c r="K67" s="772" t="n">
        <v>0</v>
      </c>
      <c r="L67" s="769" t="n">
        <v>0</v>
      </c>
      <c r="M67" s="873" t="n">
        <f aca="false">Breakout!$G$151/12</f>
        <v>60167.8477590433</v>
      </c>
      <c r="N67" s="872" t="n">
        <f aca="false">Breakout!$G$157/12</f>
        <v>0</v>
      </c>
      <c r="O67" s="873" t="n">
        <f aca="false">Breakout!$G$158/12</f>
        <v>8333.33333333333</v>
      </c>
      <c r="P67" s="872" t="n">
        <f aca="false">Breakout!$G$164/12</f>
        <v>0</v>
      </c>
      <c r="Q67" s="873" t="n">
        <f aca="false">Breakout!$G$165/12</f>
        <v>0</v>
      </c>
      <c r="R67" s="872" t="n">
        <f aca="false">Breakout!$G$171/12</f>
        <v>0</v>
      </c>
      <c r="S67" s="873" t="n">
        <f aca="false">Breakout!$G$172/12</f>
        <v>1318215.9188554</v>
      </c>
      <c r="T67" s="774" t="n">
        <f aca="false">C67+F67+I67+L67+N67+P67+R67</f>
        <v>6874697.59578928</v>
      </c>
      <c r="U67" s="771" t="n">
        <f aca="false">E67+H67+K67+M67+O67+Q67+S67</f>
        <v>6568837.50047559</v>
      </c>
      <c r="V67" s="774" t="n">
        <f aca="false">D67+G67+J67+M67+O67+Q67+S67</f>
        <v>6566927.23446503</v>
      </c>
      <c r="W67" s="775" t="n">
        <f aca="false">T67-V67-AD67</f>
        <v>307770.361324254</v>
      </c>
      <c r="X67" s="431"/>
      <c r="Y67" s="776" t="n">
        <f aca="false">T67-U67-AD67</f>
        <v>305860.095313698</v>
      </c>
      <c r="Z67" s="431"/>
      <c r="AA67" s="770" t="n">
        <f aca="false">'power redistribution'!$C$32/12</f>
        <v>58459835.6481481</v>
      </c>
      <c r="AB67" s="770" t="n">
        <f aca="false">'power redistribution'!$D$32/12</f>
        <v>15466.6666666667</v>
      </c>
      <c r="AC67" s="431"/>
      <c r="AD67" s="772" t="n">
        <v>0</v>
      </c>
      <c r="AE67" s="431"/>
    </row>
    <row r="68" customFormat="false" ht="12.75" hidden="false" customHeight="false" outlineLevel="0" collapsed="false">
      <c r="A68" s="767" t="n">
        <v>58</v>
      </c>
      <c r="B68" s="768" t="n">
        <v>38261</v>
      </c>
      <c r="C68" s="872" t="n">
        <f aca="false">Breakout!$G$136/12</f>
        <v>6760081.63515592</v>
      </c>
      <c r="D68" s="873" t="n">
        <f aca="false">Breakout!$G$137/12</f>
        <v>5086607.1</v>
      </c>
      <c r="E68" s="873" t="n">
        <v>5086607.1</v>
      </c>
      <c r="F68" s="872" t="n">
        <f aca="false">Breakout!$G$143/12</f>
        <v>114615.960633369</v>
      </c>
      <c r="G68" s="873" t="n">
        <f aca="false">Breakout!$G$144/12</f>
        <v>93603.034517251</v>
      </c>
      <c r="H68" s="873" t="n">
        <v>95513.3005278072</v>
      </c>
      <c r="I68" s="769" t="n">
        <v>0</v>
      </c>
      <c r="J68" s="772" t="n">
        <v>0</v>
      </c>
      <c r="K68" s="772" t="n">
        <v>0</v>
      </c>
      <c r="L68" s="769" t="n">
        <v>0</v>
      </c>
      <c r="M68" s="873" t="n">
        <f aca="false">Breakout!$G$151/12</f>
        <v>60167.8477590433</v>
      </c>
      <c r="N68" s="872" t="n">
        <f aca="false">Breakout!$G$157/12</f>
        <v>0</v>
      </c>
      <c r="O68" s="873" t="n">
        <f aca="false">Breakout!$G$158/12</f>
        <v>8333.33333333333</v>
      </c>
      <c r="P68" s="872" t="n">
        <f aca="false">Breakout!$G$164/12</f>
        <v>0</v>
      </c>
      <c r="Q68" s="873" t="n">
        <f aca="false">Breakout!$G$165/12</f>
        <v>0</v>
      </c>
      <c r="R68" s="872" t="n">
        <f aca="false">Breakout!$G$171/12</f>
        <v>0</v>
      </c>
      <c r="S68" s="873" t="n">
        <f aca="false">Breakout!$G$172/12</f>
        <v>1318215.9188554</v>
      </c>
      <c r="T68" s="774" t="n">
        <f aca="false">C68+F68+I68+L68+N68+P68+R68</f>
        <v>6874697.59578928</v>
      </c>
      <c r="U68" s="771" t="n">
        <f aca="false">E68+H68+K68+M68+O68+Q68+S68</f>
        <v>6568837.50047559</v>
      </c>
      <c r="V68" s="774" t="n">
        <f aca="false">D68+G68+J68+M68+O68+Q68+S68</f>
        <v>6566927.23446503</v>
      </c>
      <c r="W68" s="775" t="n">
        <f aca="false">T68-V68-AD68</f>
        <v>307770.361324254</v>
      </c>
      <c r="X68" s="431"/>
      <c r="Y68" s="776" t="n">
        <f aca="false">T68-U68-AD68</f>
        <v>305860.095313698</v>
      </c>
      <c r="Z68" s="431"/>
      <c r="AA68" s="770" t="n">
        <f aca="false">'power redistribution'!$C$32/12</f>
        <v>58459835.6481481</v>
      </c>
      <c r="AB68" s="770" t="n">
        <f aca="false">'power redistribution'!$D$32/12</f>
        <v>15466.6666666667</v>
      </c>
      <c r="AC68" s="431"/>
      <c r="AD68" s="772" t="n">
        <v>0</v>
      </c>
      <c r="AE68" s="431"/>
    </row>
    <row r="69" customFormat="false" ht="12.75" hidden="false" customHeight="false" outlineLevel="0" collapsed="false">
      <c r="A69" s="767" t="n">
        <v>59</v>
      </c>
      <c r="B69" s="768" t="n">
        <v>38292</v>
      </c>
      <c r="C69" s="872" t="n">
        <f aca="false">Breakout!$G$136/12</f>
        <v>6760081.63515592</v>
      </c>
      <c r="D69" s="873" t="n">
        <f aca="false">Breakout!$G$137/12</f>
        <v>5086607.1</v>
      </c>
      <c r="E69" s="873" t="n">
        <v>5086607.1</v>
      </c>
      <c r="F69" s="872" t="n">
        <f aca="false">Breakout!$G$143/12</f>
        <v>114615.960633369</v>
      </c>
      <c r="G69" s="873" t="n">
        <f aca="false">Breakout!$G$144/12</f>
        <v>93603.034517251</v>
      </c>
      <c r="H69" s="873" t="n">
        <v>95513.3005278072</v>
      </c>
      <c r="I69" s="769" t="n">
        <v>0</v>
      </c>
      <c r="J69" s="772" t="n">
        <v>0</v>
      </c>
      <c r="K69" s="772" t="n">
        <v>0</v>
      </c>
      <c r="L69" s="769" t="n">
        <v>0</v>
      </c>
      <c r="M69" s="873" t="n">
        <f aca="false">Breakout!$G$151/12</f>
        <v>60167.8477590433</v>
      </c>
      <c r="N69" s="872" t="n">
        <f aca="false">Breakout!$G$157/12</f>
        <v>0</v>
      </c>
      <c r="O69" s="873" t="n">
        <f aca="false">Breakout!$G$158/12</f>
        <v>8333.33333333333</v>
      </c>
      <c r="P69" s="872" t="n">
        <f aca="false">Breakout!$G$164/12</f>
        <v>0</v>
      </c>
      <c r="Q69" s="873" t="n">
        <f aca="false">Breakout!$G$165/12</f>
        <v>0</v>
      </c>
      <c r="R69" s="872" t="n">
        <f aca="false">Breakout!$G$171/12</f>
        <v>0</v>
      </c>
      <c r="S69" s="873" t="n">
        <f aca="false">Breakout!$G$172/12</f>
        <v>1318215.9188554</v>
      </c>
      <c r="T69" s="774" t="n">
        <f aca="false">C69+F69+I69+L69+N69+P69+R69</f>
        <v>6874697.59578928</v>
      </c>
      <c r="U69" s="771" t="n">
        <f aca="false">E69+H69+K69+M69+O69+Q69+S69</f>
        <v>6568837.50047559</v>
      </c>
      <c r="V69" s="774" t="n">
        <f aca="false">D69+G69+J69+M69+O69+Q69+S69</f>
        <v>6566927.23446503</v>
      </c>
      <c r="W69" s="775" t="n">
        <f aca="false">T69-V69-AD69</f>
        <v>307770.361324254</v>
      </c>
      <c r="X69" s="431"/>
      <c r="Y69" s="776" t="n">
        <f aca="false">T69-U69-AD69</f>
        <v>305860.095313698</v>
      </c>
      <c r="Z69" s="431"/>
      <c r="AA69" s="770" t="n">
        <f aca="false">'power redistribution'!$C$32/12</f>
        <v>58459835.6481481</v>
      </c>
      <c r="AB69" s="770" t="n">
        <f aca="false">'power redistribution'!$D$32/12</f>
        <v>15466.6666666667</v>
      </c>
      <c r="AC69" s="431"/>
      <c r="AD69" s="772" t="n">
        <v>0</v>
      </c>
      <c r="AE69" s="431"/>
    </row>
    <row r="70" customFormat="false" ht="12.75" hidden="false" customHeight="false" outlineLevel="0" collapsed="false">
      <c r="A70" s="881" t="n">
        <v>60</v>
      </c>
      <c r="B70" s="894" t="n">
        <v>38322</v>
      </c>
      <c r="C70" s="886" t="n">
        <f aca="false">Breakout!$G$136/12</f>
        <v>6760081.63515592</v>
      </c>
      <c r="D70" s="883" t="n">
        <f aca="false">Breakout!$G$137/12</f>
        <v>5086607.1</v>
      </c>
      <c r="E70" s="883" t="n">
        <v>5086607.1</v>
      </c>
      <c r="F70" s="886" t="n">
        <f aca="false">Breakout!$G$143/12</f>
        <v>114615.960633369</v>
      </c>
      <c r="G70" s="883" t="n">
        <f aca="false">Breakout!$G$144/12</f>
        <v>93603.034517251</v>
      </c>
      <c r="H70" s="883" t="n">
        <v>95513.3005278072</v>
      </c>
      <c r="I70" s="769" t="n">
        <v>0</v>
      </c>
      <c r="J70" s="772" t="n">
        <v>0</v>
      </c>
      <c r="K70" s="772" t="n">
        <v>0</v>
      </c>
      <c r="L70" s="769" t="n">
        <v>0</v>
      </c>
      <c r="M70" s="883" t="n">
        <f aca="false">Breakout!$G$151/12</f>
        <v>60167.8477590433</v>
      </c>
      <c r="N70" s="886" t="n">
        <f aca="false">Breakout!$G$157/12</f>
        <v>0</v>
      </c>
      <c r="O70" s="883" t="n">
        <f aca="false">Breakout!$G$158/12</f>
        <v>8333.33333333333</v>
      </c>
      <c r="P70" s="886" t="n">
        <f aca="false">Breakout!$G$164/12</f>
        <v>0</v>
      </c>
      <c r="Q70" s="883" t="n">
        <f aca="false">Breakout!$G$165/12</f>
        <v>0</v>
      </c>
      <c r="R70" s="886" t="n">
        <f aca="false">Breakout!$G$171/12</f>
        <v>0</v>
      </c>
      <c r="S70" s="883" t="n">
        <f aca="false">Breakout!$G$172/12</f>
        <v>1318215.9188554</v>
      </c>
      <c r="T70" s="774" t="n">
        <f aca="false">C70+F70+I70+L70+N70+P70+R70</f>
        <v>6874697.59578928</v>
      </c>
      <c r="U70" s="771" t="n">
        <f aca="false">E70+H70+K70+M70+O70+Q70+S70</f>
        <v>6568837.50047559</v>
      </c>
      <c r="V70" s="774" t="n">
        <f aca="false">D70+G70+J70+M70+O70+Q70+S70</f>
        <v>6566927.23446503</v>
      </c>
      <c r="W70" s="775" t="n">
        <f aca="false">T70-V70-AD70</f>
        <v>307770.361324254</v>
      </c>
      <c r="X70" s="885" t="n">
        <f aca="false">SUM(W59:W70)</f>
        <v>3693244.33589105</v>
      </c>
      <c r="Y70" s="776" t="n">
        <f aca="false">T70-U70-AD70</f>
        <v>305860.095313698</v>
      </c>
      <c r="Z70" s="885" t="n">
        <f aca="false">SUM(Y59:Y70)</f>
        <v>3670321.14376438</v>
      </c>
      <c r="AA70" s="770" t="n">
        <f aca="false">'power redistribution'!$C$32/12</f>
        <v>58459835.6481481</v>
      </c>
      <c r="AB70" s="770" t="n">
        <f aca="false">'power redistribution'!$D$32/12</f>
        <v>15466.6666666667</v>
      </c>
      <c r="AC70" s="885"/>
      <c r="AD70" s="772" t="n">
        <v>0</v>
      </c>
      <c r="AE70" s="885"/>
      <c r="AF70" s="885"/>
      <c r="AG70" s="885"/>
      <c r="AH70" s="885"/>
      <c r="AI70" s="885"/>
      <c r="AJ70" s="885"/>
      <c r="AK70" s="885"/>
      <c r="AL70" s="885"/>
      <c r="AM70" s="885"/>
      <c r="AN70" s="885"/>
      <c r="AO70" s="885"/>
      <c r="AP70" s="885"/>
      <c r="AQ70" s="885"/>
      <c r="AR70" s="885"/>
      <c r="AS70" s="885"/>
      <c r="AT70" s="885"/>
      <c r="AU70" s="885"/>
      <c r="AV70" s="885"/>
      <c r="AW70" s="885"/>
      <c r="AX70" s="885"/>
      <c r="AY70" s="885"/>
      <c r="AZ70" s="885"/>
      <c r="BA70" s="885"/>
      <c r="BB70" s="885"/>
      <c r="BC70" s="885"/>
      <c r="BD70" s="885"/>
      <c r="BE70" s="885"/>
      <c r="BF70" s="885"/>
      <c r="BG70" s="885"/>
      <c r="BH70" s="885"/>
      <c r="BI70" s="885"/>
      <c r="BJ70" s="885"/>
      <c r="BK70" s="885"/>
      <c r="BL70" s="885"/>
      <c r="BM70" s="885"/>
      <c r="BN70" s="885"/>
      <c r="BO70" s="885"/>
      <c r="BP70" s="885"/>
      <c r="BQ70" s="885"/>
      <c r="BR70" s="885"/>
      <c r="BS70" s="885"/>
      <c r="BT70" s="885"/>
      <c r="BU70" s="885"/>
      <c r="BV70" s="885"/>
      <c r="BW70" s="885"/>
      <c r="BX70" s="885"/>
      <c r="BY70" s="885"/>
    </row>
    <row r="71" customFormat="false" ht="12.75" hidden="false" customHeight="false" outlineLevel="0" collapsed="false">
      <c r="A71" s="866" t="n">
        <v>61</v>
      </c>
      <c r="B71" s="897" t="n">
        <v>38353</v>
      </c>
      <c r="C71" s="868" t="n">
        <f aca="false">Breakout!$H$136/12</f>
        <v>6760081.63515592</v>
      </c>
      <c r="D71" s="870" t="n">
        <f aca="false">Breakout!$H$137/12</f>
        <v>5086607.1</v>
      </c>
      <c r="E71" s="870" t="n">
        <v>5086607.1</v>
      </c>
      <c r="F71" s="868" t="n">
        <f aca="false">Breakout!$H$143/12</f>
        <v>117329.215942143</v>
      </c>
      <c r="G71" s="870" t="n">
        <f aca="false">Breakout!$H$144/12</f>
        <v>95818.8596860838</v>
      </c>
      <c r="H71" s="870" t="n">
        <v>97774.3466184529</v>
      </c>
      <c r="I71" s="769" t="n">
        <v>0</v>
      </c>
      <c r="J71" s="772" t="n">
        <v>0</v>
      </c>
      <c r="K71" s="772" t="n">
        <v>0</v>
      </c>
      <c r="L71" s="769" t="n">
        <v>0</v>
      </c>
      <c r="M71" s="870" t="n">
        <f aca="false">Breakout!$H$151/12</f>
        <v>60167.8477590433</v>
      </c>
      <c r="N71" s="868" t="n">
        <f aca="false">Breakout!$H$157/12</f>
        <v>0</v>
      </c>
      <c r="O71" s="870" t="n">
        <f aca="false">Breakout!$H$158/12</f>
        <v>8333.33333333333</v>
      </c>
      <c r="P71" s="868" t="n">
        <f aca="false">Breakout!$H$164/12</f>
        <v>0</v>
      </c>
      <c r="Q71" s="870" t="n">
        <f aca="false">Breakout!$H$165/12</f>
        <v>0</v>
      </c>
      <c r="R71" s="868" t="n">
        <f aca="false">Breakout!$H$171/12</f>
        <v>0</v>
      </c>
      <c r="S71" s="870" t="n">
        <f aca="false">Breakout!$H$172/12</f>
        <v>1318215.9188554</v>
      </c>
      <c r="T71" s="774" t="n">
        <f aca="false">C71+F71+I71+L71+N71+P71+R71</f>
        <v>6877410.85109806</v>
      </c>
      <c r="U71" s="771" t="n">
        <f aca="false">E71+H71+K71+M71+O71+Q71+S71</f>
        <v>6571098.54656623</v>
      </c>
      <c r="V71" s="774" t="n">
        <f aca="false">D71+G71+J71+M71+O71+Q71+S71</f>
        <v>6569143.05963386</v>
      </c>
      <c r="W71" s="775" t="n">
        <f aca="false">T71-V71-AD71</f>
        <v>308267.791464197</v>
      </c>
      <c r="X71" s="869"/>
      <c r="Y71" s="776" t="n">
        <f aca="false">T71-U71-AD71</f>
        <v>306312.304531828</v>
      </c>
      <c r="Z71" s="869"/>
      <c r="AA71" s="770" t="n">
        <f aca="false">'power redistribution'!$C$32/12</f>
        <v>58459835.6481481</v>
      </c>
      <c r="AB71" s="770" t="n">
        <f aca="false">'power redistribution'!$D$32/12</f>
        <v>15466.6666666667</v>
      </c>
      <c r="AC71" s="869"/>
      <c r="AD71" s="772" t="n">
        <v>0</v>
      </c>
      <c r="AE71" s="869"/>
      <c r="AF71" s="869"/>
      <c r="AG71" s="869"/>
      <c r="AH71" s="869"/>
      <c r="AI71" s="869"/>
      <c r="AJ71" s="869"/>
      <c r="AK71" s="869"/>
      <c r="AL71" s="869"/>
      <c r="AM71" s="869"/>
      <c r="AN71" s="869"/>
      <c r="AO71" s="869"/>
      <c r="AP71" s="869"/>
      <c r="AQ71" s="869"/>
      <c r="AR71" s="869"/>
      <c r="AS71" s="869"/>
      <c r="AT71" s="869"/>
      <c r="AU71" s="869"/>
      <c r="AV71" s="869"/>
      <c r="AW71" s="869"/>
      <c r="AX71" s="869"/>
      <c r="AY71" s="869"/>
      <c r="AZ71" s="869"/>
      <c r="BA71" s="869"/>
      <c r="BB71" s="869"/>
      <c r="BC71" s="869"/>
      <c r="BD71" s="869"/>
      <c r="BE71" s="869"/>
      <c r="BF71" s="869"/>
      <c r="BG71" s="869"/>
      <c r="BH71" s="869"/>
      <c r="BI71" s="869"/>
      <c r="BJ71" s="869"/>
      <c r="BK71" s="869"/>
      <c r="BL71" s="869"/>
      <c r="BM71" s="869"/>
      <c r="BN71" s="869"/>
      <c r="BO71" s="869"/>
      <c r="BP71" s="869"/>
      <c r="BQ71" s="869"/>
      <c r="BR71" s="869"/>
      <c r="BS71" s="869"/>
      <c r="BT71" s="869"/>
      <c r="BU71" s="869"/>
      <c r="BV71" s="869"/>
      <c r="BW71" s="869"/>
      <c r="BX71" s="869"/>
      <c r="BY71" s="869"/>
    </row>
    <row r="72" customFormat="false" ht="12.75" hidden="false" customHeight="false" outlineLevel="0" collapsed="false">
      <c r="A72" s="767" t="n">
        <v>62</v>
      </c>
      <c r="B72" s="768" t="n">
        <v>38384</v>
      </c>
      <c r="C72" s="872" t="n">
        <f aca="false">Breakout!$H$136/12</f>
        <v>6760081.63515592</v>
      </c>
      <c r="D72" s="873" t="n">
        <f aca="false">Breakout!$H$137/12</f>
        <v>5086607.1</v>
      </c>
      <c r="E72" s="873" t="n">
        <v>5086607.1</v>
      </c>
      <c r="F72" s="872" t="n">
        <f aca="false">Breakout!$H$143/12</f>
        <v>117329.215942143</v>
      </c>
      <c r="G72" s="873" t="n">
        <f aca="false">Breakout!$H$144/12</f>
        <v>95818.8596860838</v>
      </c>
      <c r="H72" s="873" t="n">
        <v>97774.3466184529</v>
      </c>
      <c r="I72" s="769" t="n">
        <v>0</v>
      </c>
      <c r="J72" s="772" t="n">
        <v>0</v>
      </c>
      <c r="K72" s="772" t="n">
        <v>0</v>
      </c>
      <c r="L72" s="769" t="n">
        <v>0</v>
      </c>
      <c r="M72" s="873" t="n">
        <f aca="false">Breakout!$H$151/12</f>
        <v>60167.8477590433</v>
      </c>
      <c r="N72" s="872" t="n">
        <f aca="false">Breakout!$H$157/12</f>
        <v>0</v>
      </c>
      <c r="O72" s="873" t="n">
        <f aca="false">Breakout!$H$158/12</f>
        <v>8333.33333333333</v>
      </c>
      <c r="P72" s="872" t="n">
        <f aca="false">Breakout!$H$164/12</f>
        <v>0</v>
      </c>
      <c r="Q72" s="873" t="n">
        <f aca="false">Breakout!$H$165/12</f>
        <v>0</v>
      </c>
      <c r="R72" s="872" t="n">
        <f aca="false">Breakout!$H$171/12</f>
        <v>0</v>
      </c>
      <c r="S72" s="873" t="n">
        <f aca="false">Breakout!$H$172/12</f>
        <v>1318215.9188554</v>
      </c>
      <c r="T72" s="774" t="n">
        <f aca="false">C72+F72+I72+L72+N72+P72+R72</f>
        <v>6877410.85109806</v>
      </c>
      <c r="U72" s="771" t="n">
        <f aca="false">E72+H72+K72+M72+O72+Q72+S72</f>
        <v>6571098.54656623</v>
      </c>
      <c r="V72" s="774" t="n">
        <f aca="false">D72+G72+J72+M72+O72+Q72+S72</f>
        <v>6569143.05963386</v>
      </c>
      <c r="W72" s="775" t="n">
        <f aca="false">T72-V72-AD72</f>
        <v>308267.791464197</v>
      </c>
      <c r="X72" s="431"/>
      <c r="Y72" s="776" t="n">
        <f aca="false">T72-U72-AD72</f>
        <v>306312.304531828</v>
      </c>
      <c r="Z72" s="431"/>
      <c r="AA72" s="770" t="n">
        <f aca="false">'power redistribution'!$C$32/12</f>
        <v>58459835.6481481</v>
      </c>
      <c r="AB72" s="770" t="n">
        <f aca="false">'power redistribution'!$D$32/12</f>
        <v>15466.6666666667</v>
      </c>
      <c r="AC72" s="431"/>
      <c r="AD72" s="772" t="n">
        <v>0</v>
      </c>
      <c r="AE72" s="431"/>
    </row>
    <row r="73" customFormat="false" ht="12.75" hidden="false" customHeight="false" outlineLevel="0" collapsed="false">
      <c r="A73" s="767" t="n">
        <v>63</v>
      </c>
      <c r="B73" s="897" t="n">
        <v>38412</v>
      </c>
      <c r="C73" s="872" t="n">
        <f aca="false">Breakout!$H$136/12</f>
        <v>6760081.63515592</v>
      </c>
      <c r="D73" s="873" t="n">
        <f aca="false">Breakout!$H$137/12</f>
        <v>5086607.1</v>
      </c>
      <c r="E73" s="873" t="n">
        <v>5086607.1</v>
      </c>
      <c r="F73" s="872" t="n">
        <f aca="false">Breakout!$H$143/12</f>
        <v>117329.215942143</v>
      </c>
      <c r="G73" s="873" t="n">
        <f aca="false">Breakout!$H$144/12</f>
        <v>95818.8596860838</v>
      </c>
      <c r="H73" s="873" t="n">
        <v>97774.3466184529</v>
      </c>
      <c r="I73" s="769" t="n">
        <v>0</v>
      </c>
      <c r="J73" s="772" t="n">
        <v>0</v>
      </c>
      <c r="K73" s="772" t="n">
        <v>0</v>
      </c>
      <c r="L73" s="769" t="n">
        <v>0</v>
      </c>
      <c r="M73" s="873" t="n">
        <f aca="false">Breakout!$H$151/12</f>
        <v>60167.8477590433</v>
      </c>
      <c r="N73" s="872" t="n">
        <f aca="false">Breakout!$H$157/12</f>
        <v>0</v>
      </c>
      <c r="O73" s="873" t="n">
        <f aca="false">Breakout!$H$158/12</f>
        <v>8333.33333333333</v>
      </c>
      <c r="P73" s="872" t="n">
        <f aca="false">Breakout!$H$164/12</f>
        <v>0</v>
      </c>
      <c r="Q73" s="873" t="n">
        <f aca="false">Breakout!$H$165/12</f>
        <v>0</v>
      </c>
      <c r="R73" s="872" t="n">
        <f aca="false">Breakout!$H$171/12</f>
        <v>0</v>
      </c>
      <c r="S73" s="873" t="n">
        <f aca="false">Breakout!$H$172/12</f>
        <v>1318215.9188554</v>
      </c>
      <c r="T73" s="774" t="n">
        <f aca="false">C73+F73+I73+L73+N73+P73+R73</f>
        <v>6877410.85109806</v>
      </c>
      <c r="U73" s="771" t="n">
        <f aca="false">E73+H73+K73+M73+O73+Q73+S73</f>
        <v>6571098.54656623</v>
      </c>
      <c r="V73" s="774" t="n">
        <f aca="false">D73+G73+J73+M73+O73+Q73+S73</f>
        <v>6569143.05963386</v>
      </c>
      <c r="W73" s="775" t="n">
        <f aca="false">T73-V73-AD73</f>
        <v>308267.791464197</v>
      </c>
      <c r="X73" s="431"/>
      <c r="Y73" s="776" t="n">
        <f aca="false">T73-U73-AD73</f>
        <v>306312.304531828</v>
      </c>
      <c r="Z73" s="431"/>
      <c r="AA73" s="770" t="n">
        <f aca="false">'power redistribution'!$C$32/12</f>
        <v>58459835.6481481</v>
      </c>
      <c r="AB73" s="770" t="n">
        <f aca="false">'power redistribution'!$D$32/12</f>
        <v>15466.6666666667</v>
      </c>
      <c r="AC73" s="431"/>
      <c r="AD73" s="772" t="n">
        <v>0</v>
      </c>
      <c r="AE73" s="431"/>
    </row>
    <row r="74" customFormat="false" ht="12.75" hidden="false" customHeight="false" outlineLevel="0" collapsed="false">
      <c r="A74" s="767" t="n">
        <v>64</v>
      </c>
      <c r="B74" s="768" t="n">
        <v>38443</v>
      </c>
      <c r="C74" s="872" t="n">
        <f aca="false">Breakout!$H$136/12</f>
        <v>6760081.63515592</v>
      </c>
      <c r="D74" s="873" t="n">
        <f aca="false">Breakout!$H$137/12</f>
        <v>5086607.1</v>
      </c>
      <c r="E74" s="873" t="n">
        <v>5086607.1</v>
      </c>
      <c r="F74" s="872" t="n">
        <f aca="false">Breakout!$H$143/12</f>
        <v>117329.215942143</v>
      </c>
      <c r="G74" s="873" t="n">
        <f aca="false">Breakout!$H$144/12</f>
        <v>95818.8596860838</v>
      </c>
      <c r="H74" s="873" t="n">
        <v>97774.3466184529</v>
      </c>
      <c r="I74" s="769" t="n">
        <v>0</v>
      </c>
      <c r="J74" s="772" t="n">
        <v>0</v>
      </c>
      <c r="K74" s="772" t="n">
        <v>0</v>
      </c>
      <c r="L74" s="769" t="n">
        <v>0</v>
      </c>
      <c r="M74" s="873" t="n">
        <f aca="false">Breakout!$H$151/12</f>
        <v>60167.8477590433</v>
      </c>
      <c r="N74" s="872" t="n">
        <f aca="false">Breakout!$H$157/12</f>
        <v>0</v>
      </c>
      <c r="O74" s="873" t="n">
        <f aca="false">Breakout!$H$158/12</f>
        <v>8333.33333333333</v>
      </c>
      <c r="P74" s="872" t="n">
        <f aca="false">Breakout!$H$164/12</f>
        <v>0</v>
      </c>
      <c r="Q74" s="873" t="n">
        <f aca="false">Breakout!$H$165/12</f>
        <v>0</v>
      </c>
      <c r="R74" s="872" t="n">
        <f aca="false">Breakout!$H$171/12</f>
        <v>0</v>
      </c>
      <c r="S74" s="873" t="n">
        <f aca="false">Breakout!$H$172/12</f>
        <v>1318215.9188554</v>
      </c>
      <c r="T74" s="774" t="n">
        <f aca="false">C74+F74+I74+L74+N74+P74+R74</f>
        <v>6877410.85109806</v>
      </c>
      <c r="U74" s="771" t="n">
        <f aca="false">E74+H74+K74+M74+O74+Q74+S74</f>
        <v>6571098.54656623</v>
      </c>
      <c r="V74" s="774" t="n">
        <f aca="false">D74+G74+J74+M74+O74+Q74+S74</f>
        <v>6569143.05963386</v>
      </c>
      <c r="W74" s="775" t="n">
        <f aca="false">T74-V74-AD74</f>
        <v>308267.791464197</v>
      </c>
      <c r="X74" s="431"/>
      <c r="Y74" s="776" t="n">
        <f aca="false">T74-U74-AD74</f>
        <v>306312.304531828</v>
      </c>
      <c r="Z74" s="431"/>
      <c r="AA74" s="770" t="n">
        <f aca="false">'power redistribution'!$C$32/12</f>
        <v>58459835.6481481</v>
      </c>
      <c r="AB74" s="770" t="n">
        <f aca="false">'power redistribution'!$D$32/12</f>
        <v>15466.6666666667</v>
      </c>
      <c r="AC74" s="431"/>
      <c r="AD74" s="772" t="n">
        <v>0</v>
      </c>
      <c r="AE74" s="431"/>
    </row>
    <row r="75" customFormat="false" ht="12.75" hidden="false" customHeight="false" outlineLevel="0" collapsed="false">
      <c r="A75" s="767" t="n">
        <v>65</v>
      </c>
      <c r="B75" s="768" t="n">
        <v>38473</v>
      </c>
      <c r="C75" s="872" t="n">
        <f aca="false">Breakout!$H$136/12</f>
        <v>6760081.63515592</v>
      </c>
      <c r="D75" s="873" t="n">
        <f aca="false">Breakout!$H$137/12</f>
        <v>5086607.1</v>
      </c>
      <c r="E75" s="873" t="n">
        <v>5086607.1</v>
      </c>
      <c r="F75" s="872" t="n">
        <f aca="false">Breakout!$H$143/12</f>
        <v>117329.215942143</v>
      </c>
      <c r="G75" s="873" t="n">
        <f aca="false">Breakout!$H$144/12</f>
        <v>95818.8596860838</v>
      </c>
      <c r="H75" s="873" t="n">
        <v>97774.3466184529</v>
      </c>
      <c r="I75" s="769" t="n">
        <v>0</v>
      </c>
      <c r="J75" s="772" t="n">
        <v>0</v>
      </c>
      <c r="K75" s="772" t="n">
        <v>0</v>
      </c>
      <c r="L75" s="769" t="n">
        <v>0</v>
      </c>
      <c r="M75" s="873" t="n">
        <f aca="false">Breakout!$H$151/12</f>
        <v>60167.8477590433</v>
      </c>
      <c r="N75" s="872" t="n">
        <f aca="false">Breakout!$H$157/12</f>
        <v>0</v>
      </c>
      <c r="O75" s="873" t="n">
        <f aca="false">Breakout!$H$158/12</f>
        <v>8333.33333333333</v>
      </c>
      <c r="P75" s="872" t="n">
        <f aca="false">Breakout!$H$164/12</f>
        <v>0</v>
      </c>
      <c r="Q75" s="873" t="n">
        <f aca="false">Breakout!$H$165/12</f>
        <v>0</v>
      </c>
      <c r="R75" s="872" t="n">
        <f aca="false">Breakout!$H$171/12</f>
        <v>0</v>
      </c>
      <c r="S75" s="873" t="n">
        <f aca="false">Breakout!$H$172/12</f>
        <v>1318215.9188554</v>
      </c>
      <c r="T75" s="774" t="n">
        <f aca="false">C75+F75+I75+L75+N75+P75+R75</f>
        <v>6877410.85109806</v>
      </c>
      <c r="U75" s="771" t="n">
        <f aca="false">E75+H75+K75+M75+O75+Q75+S75</f>
        <v>6571098.54656623</v>
      </c>
      <c r="V75" s="774" t="n">
        <f aca="false">D75+G75+J75+M75+O75+Q75+S75</f>
        <v>6569143.05963386</v>
      </c>
      <c r="W75" s="775" t="n">
        <f aca="false">T75-V75-AD75</f>
        <v>308267.791464197</v>
      </c>
      <c r="X75" s="431"/>
      <c r="Y75" s="776" t="n">
        <f aca="false">T75-U75-AD75</f>
        <v>306312.304531828</v>
      </c>
      <c r="Z75" s="431"/>
      <c r="AA75" s="770" t="n">
        <f aca="false">'power redistribution'!$C$32/12</f>
        <v>58459835.6481481</v>
      </c>
      <c r="AB75" s="770" t="n">
        <f aca="false">'power redistribution'!$D$32/12</f>
        <v>15466.6666666667</v>
      </c>
      <c r="AC75" s="431"/>
      <c r="AD75" s="772" t="n">
        <v>0</v>
      </c>
      <c r="AE75" s="431"/>
    </row>
    <row r="76" customFormat="false" ht="12.75" hidden="false" customHeight="false" outlineLevel="0" collapsed="false">
      <c r="A76" s="767" t="n">
        <v>66</v>
      </c>
      <c r="B76" s="768" t="n">
        <v>38504</v>
      </c>
      <c r="C76" s="872" t="n">
        <f aca="false">Breakout!$H$136/12</f>
        <v>6760081.63515592</v>
      </c>
      <c r="D76" s="873" t="n">
        <f aca="false">Breakout!$H$137/12</f>
        <v>5086607.1</v>
      </c>
      <c r="E76" s="873" t="n">
        <v>5086607.1</v>
      </c>
      <c r="F76" s="872" t="n">
        <f aca="false">Breakout!$H$143/12</f>
        <v>117329.215942143</v>
      </c>
      <c r="G76" s="873" t="n">
        <f aca="false">Breakout!$H$144/12</f>
        <v>95818.8596860838</v>
      </c>
      <c r="H76" s="873" t="n">
        <v>97774.3466184529</v>
      </c>
      <c r="I76" s="769" t="n">
        <v>0</v>
      </c>
      <c r="J76" s="772" t="n">
        <v>0</v>
      </c>
      <c r="K76" s="772" t="n">
        <v>0</v>
      </c>
      <c r="L76" s="769" t="n">
        <v>0</v>
      </c>
      <c r="M76" s="873" t="n">
        <f aca="false">Breakout!$H$151/12</f>
        <v>60167.8477590433</v>
      </c>
      <c r="N76" s="872" t="n">
        <f aca="false">Breakout!$H$157/12</f>
        <v>0</v>
      </c>
      <c r="O76" s="873" t="n">
        <f aca="false">Breakout!$H$158/12</f>
        <v>8333.33333333333</v>
      </c>
      <c r="P76" s="872" t="n">
        <f aca="false">Breakout!$H$164/12</f>
        <v>0</v>
      </c>
      <c r="Q76" s="873" t="n">
        <f aca="false">Breakout!$H$165/12</f>
        <v>0</v>
      </c>
      <c r="R76" s="872" t="n">
        <f aca="false">Breakout!$H$171/12</f>
        <v>0</v>
      </c>
      <c r="S76" s="873" t="n">
        <f aca="false">Breakout!$H$172/12</f>
        <v>1318215.9188554</v>
      </c>
      <c r="T76" s="774" t="n">
        <f aca="false">C76+F76+I76+L76+N76+P76+R76</f>
        <v>6877410.85109806</v>
      </c>
      <c r="U76" s="771" t="n">
        <f aca="false">E76+H76+K76+M76+O76+Q76+S76</f>
        <v>6571098.54656623</v>
      </c>
      <c r="V76" s="774" t="n">
        <f aca="false">D76+G76+J76+M76+O76+Q76+S76</f>
        <v>6569143.05963386</v>
      </c>
      <c r="W76" s="775" t="n">
        <f aca="false">T76-V76-AD76</f>
        <v>308267.791464197</v>
      </c>
      <c r="X76" s="431"/>
      <c r="Y76" s="776" t="n">
        <f aca="false">T76-U76-AD76</f>
        <v>306312.304531828</v>
      </c>
      <c r="Z76" s="431"/>
      <c r="AA76" s="770" t="n">
        <f aca="false">'power redistribution'!$C$32/12</f>
        <v>58459835.6481481</v>
      </c>
      <c r="AB76" s="770" t="n">
        <f aca="false">'power redistribution'!$D$32/12</f>
        <v>15466.6666666667</v>
      </c>
      <c r="AC76" s="431"/>
      <c r="AD76" s="772" t="n">
        <v>0</v>
      </c>
      <c r="AE76" s="431"/>
    </row>
    <row r="77" customFormat="false" ht="12.75" hidden="false" customHeight="false" outlineLevel="0" collapsed="false">
      <c r="A77" s="767" t="n">
        <v>67</v>
      </c>
      <c r="B77" s="768" t="n">
        <v>38534</v>
      </c>
      <c r="C77" s="872" t="n">
        <f aca="false">Breakout!$H$136/12</f>
        <v>6760081.63515592</v>
      </c>
      <c r="D77" s="873" t="n">
        <f aca="false">Breakout!$H$137/12</f>
        <v>5086607.1</v>
      </c>
      <c r="E77" s="873" t="n">
        <v>5086607.1</v>
      </c>
      <c r="F77" s="872" t="n">
        <f aca="false">Breakout!$H$143/12</f>
        <v>117329.215942143</v>
      </c>
      <c r="G77" s="873" t="n">
        <f aca="false">Breakout!$H$144/12</f>
        <v>95818.8596860838</v>
      </c>
      <c r="H77" s="873" t="n">
        <v>97774.3466184529</v>
      </c>
      <c r="I77" s="769" t="n">
        <v>0</v>
      </c>
      <c r="J77" s="772" t="n">
        <v>0</v>
      </c>
      <c r="K77" s="772" t="n">
        <v>0</v>
      </c>
      <c r="L77" s="769" t="n">
        <v>0</v>
      </c>
      <c r="M77" s="873" t="n">
        <f aca="false">Breakout!$H$151/12</f>
        <v>60167.8477590433</v>
      </c>
      <c r="N77" s="872" t="n">
        <f aca="false">Breakout!$H$157/12</f>
        <v>0</v>
      </c>
      <c r="O77" s="873" t="n">
        <f aca="false">Breakout!$H$158/12</f>
        <v>8333.33333333333</v>
      </c>
      <c r="P77" s="872" t="n">
        <f aca="false">Breakout!$H$164/12</f>
        <v>0</v>
      </c>
      <c r="Q77" s="873" t="n">
        <f aca="false">Breakout!$H$165/12</f>
        <v>0</v>
      </c>
      <c r="R77" s="872" t="n">
        <f aca="false">Breakout!$H$171/12</f>
        <v>0</v>
      </c>
      <c r="S77" s="873" t="n">
        <f aca="false">Breakout!$H$172/12</f>
        <v>1318215.9188554</v>
      </c>
      <c r="T77" s="774" t="n">
        <f aca="false">C77+F77+I77+L77+N77+P77+R77</f>
        <v>6877410.85109806</v>
      </c>
      <c r="U77" s="771" t="n">
        <f aca="false">E77+H77+K77+M77+O77+Q77+S77</f>
        <v>6571098.54656623</v>
      </c>
      <c r="V77" s="774" t="n">
        <f aca="false">D77+G77+J77+M77+O77+Q77+S77</f>
        <v>6569143.05963386</v>
      </c>
      <c r="W77" s="775" t="n">
        <f aca="false">T77-V77-AD77</f>
        <v>308267.791464197</v>
      </c>
      <c r="X77" s="431"/>
      <c r="Y77" s="776" t="n">
        <f aca="false">T77-U77-AD77</f>
        <v>306312.304531828</v>
      </c>
      <c r="Z77" s="431"/>
      <c r="AA77" s="770" t="n">
        <f aca="false">'power redistribution'!$C$32/12</f>
        <v>58459835.6481481</v>
      </c>
      <c r="AB77" s="770" t="n">
        <f aca="false">'power redistribution'!$D$32/12</f>
        <v>15466.6666666667</v>
      </c>
      <c r="AC77" s="431"/>
      <c r="AD77" s="772" t="n">
        <v>0</v>
      </c>
      <c r="AE77" s="431"/>
    </row>
    <row r="78" customFormat="false" ht="12.75" hidden="false" customHeight="false" outlineLevel="0" collapsed="false">
      <c r="A78" s="767" t="n">
        <v>68</v>
      </c>
      <c r="B78" s="768" t="n">
        <v>38565</v>
      </c>
      <c r="C78" s="872" t="n">
        <f aca="false">Breakout!$H$136/12</f>
        <v>6760081.63515592</v>
      </c>
      <c r="D78" s="873" t="n">
        <f aca="false">Breakout!$H$137/12</f>
        <v>5086607.1</v>
      </c>
      <c r="E78" s="873" t="n">
        <v>5086607.1</v>
      </c>
      <c r="F78" s="872" t="n">
        <f aca="false">Breakout!$H$143/12</f>
        <v>117329.215942143</v>
      </c>
      <c r="G78" s="873" t="n">
        <f aca="false">Breakout!$H$144/12</f>
        <v>95818.8596860838</v>
      </c>
      <c r="H78" s="873" t="n">
        <v>97774.3466184529</v>
      </c>
      <c r="I78" s="769" t="n">
        <v>0</v>
      </c>
      <c r="J78" s="772" t="n">
        <v>0</v>
      </c>
      <c r="K78" s="772" t="n">
        <v>0</v>
      </c>
      <c r="L78" s="769" t="n">
        <v>0</v>
      </c>
      <c r="M78" s="873" t="n">
        <f aca="false">Breakout!$H$151/12</f>
        <v>60167.8477590433</v>
      </c>
      <c r="N78" s="872" t="n">
        <f aca="false">Breakout!$H$157/12</f>
        <v>0</v>
      </c>
      <c r="O78" s="873" t="n">
        <f aca="false">Breakout!$H$158/12</f>
        <v>8333.33333333333</v>
      </c>
      <c r="P78" s="872" t="n">
        <f aca="false">Breakout!$H$164/12</f>
        <v>0</v>
      </c>
      <c r="Q78" s="873" t="n">
        <f aca="false">Breakout!$H$165/12</f>
        <v>0</v>
      </c>
      <c r="R78" s="872" t="n">
        <f aca="false">Breakout!$H$171/12</f>
        <v>0</v>
      </c>
      <c r="S78" s="873" t="n">
        <f aca="false">Breakout!$H$172/12</f>
        <v>1318215.9188554</v>
      </c>
      <c r="T78" s="774" t="n">
        <f aca="false">C78+F78+I78+L78+N78+P78+R78</f>
        <v>6877410.85109806</v>
      </c>
      <c r="U78" s="771" t="n">
        <f aca="false">E78+H78+K78+M78+O78+Q78+S78</f>
        <v>6571098.54656623</v>
      </c>
      <c r="V78" s="774" t="n">
        <f aca="false">D78+G78+J78+M78+O78+Q78+S78</f>
        <v>6569143.05963386</v>
      </c>
      <c r="W78" s="775" t="n">
        <f aca="false">T78-V78-AD78</f>
        <v>308267.791464197</v>
      </c>
      <c r="X78" s="431"/>
      <c r="Y78" s="776" t="n">
        <f aca="false">T78-U78-AD78</f>
        <v>306312.304531828</v>
      </c>
      <c r="Z78" s="431"/>
      <c r="AA78" s="770" t="n">
        <f aca="false">'power redistribution'!$C$32/12</f>
        <v>58459835.6481481</v>
      </c>
      <c r="AB78" s="770" t="n">
        <f aca="false">'power redistribution'!$D$32/12</f>
        <v>15466.6666666667</v>
      </c>
      <c r="AC78" s="431"/>
      <c r="AD78" s="772" t="n">
        <v>0</v>
      </c>
      <c r="AE78" s="431"/>
    </row>
    <row r="79" customFormat="false" ht="12.75" hidden="false" customHeight="false" outlineLevel="0" collapsed="false">
      <c r="A79" s="767" t="n">
        <v>69</v>
      </c>
      <c r="B79" s="768" t="n">
        <v>38596</v>
      </c>
      <c r="C79" s="872" t="n">
        <f aca="false">Breakout!$H$136/12</f>
        <v>6760081.63515592</v>
      </c>
      <c r="D79" s="873" t="n">
        <f aca="false">Breakout!$H$137/12</f>
        <v>5086607.1</v>
      </c>
      <c r="E79" s="873" t="n">
        <v>5086607.1</v>
      </c>
      <c r="F79" s="872" t="n">
        <f aca="false">Breakout!$H$143/12</f>
        <v>117329.215942143</v>
      </c>
      <c r="G79" s="873" t="n">
        <f aca="false">Breakout!$H$144/12</f>
        <v>95818.8596860838</v>
      </c>
      <c r="H79" s="873" t="n">
        <v>97774.3466184529</v>
      </c>
      <c r="I79" s="769" t="n">
        <v>0</v>
      </c>
      <c r="J79" s="772" t="n">
        <v>0</v>
      </c>
      <c r="K79" s="772" t="n">
        <v>0</v>
      </c>
      <c r="L79" s="769" t="n">
        <v>0</v>
      </c>
      <c r="M79" s="873" t="n">
        <f aca="false">Breakout!$H$151/12</f>
        <v>60167.8477590433</v>
      </c>
      <c r="N79" s="872" t="n">
        <f aca="false">Breakout!$H$157/12</f>
        <v>0</v>
      </c>
      <c r="O79" s="873" t="n">
        <f aca="false">Breakout!$H$158/12</f>
        <v>8333.33333333333</v>
      </c>
      <c r="P79" s="872" t="n">
        <f aca="false">Breakout!$H$164/12</f>
        <v>0</v>
      </c>
      <c r="Q79" s="873" t="n">
        <f aca="false">Breakout!$H$165/12</f>
        <v>0</v>
      </c>
      <c r="R79" s="872" t="n">
        <f aca="false">Breakout!$H$171/12</f>
        <v>0</v>
      </c>
      <c r="S79" s="873" t="n">
        <f aca="false">Breakout!$H$172/12</f>
        <v>1318215.9188554</v>
      </c>
      <c r="T79" s="774" t="n">
        <f aca="false">C79+F79+I79+L79+N79+P79+R79</f>
        <v>6877410.85109806</v>
      </c>
      <c r="U79" s="771" t="n">
        <f aca="false">E79+H79+K79+M79+O79+Q79+S79</f>
        <v>6571098.54656623</v>
      </c>
      <c r="V79" s="774" t="n">
        <f aca="false">D79+G79+J79+M79+O79+Q79+S79</f>
        <v>6569143.05963386</v>
      </c>
      <c r="W79" s="775" t="n">
        <f aca="false">T79-V79-AD79</f>
        <v>308267.791464197</v>
      </c>
      <c r="X79" s="431"/>
      <c r="Y79" s="776" t="n">
        <f aca="false">T79-U79-AD79</f>
        <v>306312.304531828</v>
      </c>
      <c r="Z79" s="431"/>
      <c r="AA79" s="770" t="n">
        <f aca="false">'power redistribution'!$C$32/12</f>
        <v>58459835.6481481</v>
      </c>
      <c r="AB79" s="770" t="n">
        <f aca="false">'power redistribution'!$D$32/12</f>
        <v>15466.6666666667</v>
      </c>
      <c r="AC79" s="431"/>
      <c r="AD79" s="772" t="n">
        <v>0</v>
      </c>
      <c r="AE79" s="431"/>
    </row>
    <row r="80" customFormat="false" ht="12.75" hidden="false" customHeight="false" outlineLevel="0" collapsed="false">
      <c r="A80" s="767" t="n">
        <v>70</v>
      </c>
      <c r="B80" s="768" t="n">
        <v>38626</v>
      </c>
      <c r="C80" s="872" t="n">
        <f aca="false">Breakout!$H$136/12</f>
        <v>6760081.63515592</v>
      </c>
      <c r="D80" s="873" t="n">
        <f aca="false">Breakout!$H$137/12</f>
        <v>5086607.1</v>
      </c>
      <c r="E80" s="873" t="n">
        <v>5086607.1</v>
      </c>
      <c r="F80" s="872" t="n">
        <f aca="false">Breakout!$H$143/12</f>
        <v>117329.215942143</v>
      </c>
      <c r="G80" s="873" t="n">
        <f aca="false">Breakout!$H$144/12</f>
        <v>95818.8596860838</v>
      </c>
      <c r="H80" s="873" t="n">
        <v>97774.3466184529</v>
      </c>
      <c r="I80" s="769" t="n">
        <v>0</v>
      </c>
      <c r="J80" s="772" t="n">
        <v>0</v>
      </c>
      <c r="K80" s="772" t="n">
        <v>0</v>
      </c>
      <c r="L80" s="769" t="n">
        <v>0</v>
      </c>
      <c r="M80" s="873" t="n">
        <f aca="false">Breakout!$H$151/12</f>
        <v>60167.8477590433</v>
      </c>
      <c r="N80" s="872" t="n">
        <f aca="false">Breakout!$H$157/12</f>
        <v>0</v>
      </c>
      <c r="O80" s="873" t="n">
        <f aca="false">Breakout!$H$158/12</f>
        <v>8333.33333333333</v>
      </c>
      <c r="P80" s="872" t="n">
        <f aca="false">Breakout!$H$164/12</f>
        <v>0</v>
      </c>
      <c r="Q80" s="873" t="n">
        <f aca="false">Breakout!$H$165/12</f>
        <v>0</v>
      </c>
      <c r="R80" s="872" t="n">
        <f aca="false">Breakout!$H$171/12</f>
        <v>0</v>
      </c>
      <c r="S80" s="873" t="n">
        <f aca="false">Breakout!$H$172/12</f>
        <v>1318215.9188554</v>
      </c>
      <c r="T80" s="774" t="n">
        <f aca="false">C80+F80+I80+L80+N80+P80+R80</f>
        <v>6877410.85109806</v>
      </c>
      <c r="U80" s="771" t="n">
        <f aca="false">E80+H80+K80+M80+O80+Q80+S80</f>
        <v>6571098.54656623</v>
      </c>
      <c r="V80" s="774" t="n">
        <f aca="false">D80+G80+J80+M80+O80+Q80+S80</f>
        <v>6569143.05963386</v>
      </c>
      <c r="W80" s="775" t="n">
        <f aca="false">T80-V80-AD80</f>
        <v>308267.791464197</v>
      </c>
      <c r="X80" s="431"/>
      <c r="Y80" s="776" t="n">
        <f aca="false">T80-U80-AD80</f>
        <v>306312.304531828</v>
      </c>
      <c r="Z80" s="431"/>
      <c r="AA80" s="770" t="n">
        <f aca="false">'power redistribution'!$C$32/12</f>
        <v>58459835.6481481</v>
      </c>
      <c r="AB80" s="770" t="n">
        <f aca="false">'power redistribution'!$D$32/12</f>
        <v>15466.6666666667</v>
      </c>
      <c r="AC80" s="431"/>
      <c r="AD80" s="772" t="n">
        <v>0</v>
      </c>
      <c r="AE80" s="431"/>
    </row>
    <row r="81" customFormat="false" ht="12.75" hidden="false" customHeight="false" outlineLevel="0" collapsed="false">
      <c r="A81" s="767" t="n">
        <v>71</v>
      </c>
      <c r="B81" s="768" t="n">
        <v>38657</v>
      </c>
      <c r="C81" s="872" t="n">
        <f aca="false">Breakout!$H$136/12</f>
        <v>6760081.63515592</v>
      </c>
      <c r="D81" s="873" t="n">
        <f aca="false">Breakout!$H$137/12</f>
        <v>5086607.1</v>
      </c>
      <c r="E81" s="873" t="n">
        <v>5086607.1</v>
      </c>
      <c r="F81" s="872" t="n">
        <f aca="false">Breakout!$H$143/12</f>
        <v>117329.215942143</v>
      </c>
      <c r="G81" s="873" t="n">
        <f aca="false">Breakout!$H$144/12</f>
        <v>95818.8596860838</v>
      </c>
      <c r="H81" s="873" t="n">
        <v>97774.3466184529</v>
      </c>
      <c r="I81" s="769" t="n">
        <v>0</v>
      </c>
      <c r="J81" s="772" t="n">
        <v>0</v>
      </c>
      <c r="K81" s="772" t="n">
        <v>0</v>
      </c>
      <c r="L81" s="769" t="n">
        <v>0</v>
      </c>
      <c r="M81" s="873" t="n">
        <f aca="false">Breakout!$H$151/12</f>
        <v>60167.8477590433</v>
      </c>
      <c r="N81" s="872" t="n">
        <f aca="false">Breakout!$H$157/12</f>
        <v>0</v>
      </c>
      <c r="O81" s="873" t="n">
        <f aca="false">Breakout!$H$158/12</f>
        <v>8333.33333333333</v>
      </c>
      <c r="P81" s="872" t="n">
        <f aca="false">Breakout!$H$164/12</f>
        <v>0</v>
      </c>
      <c r="Q81" s="873" t="n">
        <f aca="false">Breakout!$H$165/12</f>
        <v>0</v>
      </c>
      <c r="R81" s="872" t="n">
        <f aca="false">Breakout!$H$171/12</f>
        <v>0</v>
      </c>
      <c r="S81" s="873" t="n">
        <f aca="false">Breakout!$H$172/12</f>
        <v>1318215.9188554</v>
      </c>
      <c r="T81" s="774" t="n">
        <f aca="false">C81+F81+I81+L81+N81+P81+R81</f>
        <v>6877410.85109806</v>
      </c>
      <c r="U81" s="771" t="n">
        <f aca="false">E81+H81+K81+M81+O81+Q81+S81</f>
        <v>6571098.54656623</v>
      </c>
      <c r="V81" s="774" t="n">
        <f aca="false">D81+G81+J81+M81+O81+Q81+S81</f>
        <v>6569143.05963386</v>
      </c>
      <c r="W81" s="775" t="n">
        <f aca="false">T81-V81-AD81</f>
        <v>308267.791464197</v>
      </c>
      <c r="X81" s="431"/>
      <c r="Y81" s="776" t="n">
        <f aca="false">T81-U81-AD81</f>
        <v>306312.304531828</v>
      </c>
      <c r="Z81" s="431"/>
      <c r="AA81" s="770" t="n">
        <f aca="false">'power redistribution'!$C$32/12</f>
        <v>58459835.6481481</v>
      </c>
      <c r="AB81" s="770" t="n">
        <f aca="false">'power redistribution'!$D$32/12</f>
        <v>15466.6666666667</v>
      </c>
      <c r="AC81" s="431"/>
      <c r="AD81" s="772" t="n">
        <v>0</v>
      </c>
      <c r="AE81" s="431"/>
    </row>
    <row r="82" customFormat="false" ht="12.75" hidden="false" customHeight="false" outlineLevel="0" collapsed="false">
      <c r="A82" s="881" t="n">
        <v>72</v>
      </c>
      <c r="B82" s="894" t="n">
        <v>38687</v>
      </c>
      <c r="C82" s="886" t="n">
        <f aca="false">Breakout!$H$136/12</f>
        <v>6760081.63515592</v>
      </c>
      <c r="D82" s="883" t="n">
        <f aca="false">Breakout!$H$137/12</f>
        <v>5086607.1</v>
      </c>
      <c r="E82" s="883" t="n">
        <v>5086607.1</v>
      </c>
      <c r="F82" s="886" t="n">
        <f aca="false">Breakout!$H$143/12</f>
        <v>117329.215942143</v>
      </c>
      <c r="G82" s="883" t="n">
        <f aca="false">Breakout!$H$144/12</f>
        <v>95818.8596860838</v>
      </c>
      <c r="H82" s="883" t="n">
        <v>97774.3466184529</v>
      </c>
      <c r="I82" s="769" t="n">
        <v>0</v>
      </c>
      <c r="J82" s="772" t="n">
        <v>0</v>
      </c>
      <c r="K82" s="772" t="n">
        <v>0</v>
      </c>
      <c r="L82" s="769" t="n">
        <v>0</v>
      </c>
      <c r="M82" s="883" t="n">
        <f aca="false">Breakout!$H$151/12</f>
        <v>60167.8477590433</v>
      </c>
      <c r="N82" s="886" t="n">
        <f aca="false">Breakout!$H$157/12</f>
        <v>0</v>
      </c>
      <c r="O82" s="883" t="n">
        <f aca="false">Breakout!$H$158/12</f>
        <v>8333.33333333333</v>
      </c>
      <c r="P82" s="886" t="n">
        <f aca="false">Breakout!$H$164/12</f>
        <v>0</v>
      </c>
      <c r="Q82" s="883" t="n">
        <f aca="false">Breakout!$H$165/12</f>
        <v>0</v>
      </c>
      <c r="R82" s="886" t="n">
        <f aca="false">Breakout!$H$171/12</f>
        <v>0</v>
      </c>
      <c r="S82" s="883" t="n">
        <f aca="false">Breakout!$H$172/12</f>
        <v>1318215.9188554</v>
      </c>
      <c r="T82" s="774" t="n">
        <f aca="false">C82+F82+I82+L82+N82+P82+R82</f>
        <v>6877410.85109806</v>
      </c>
      <c r="U82" s="771" t="n">
        <f aca="false">E82+H82+K82+M82+O82+Q82+S82</f>
        <v>6571098.54656623</v>
      </c>
      <c r="V82" s="774" t="n">
        <f aca="false">D82+G82+J82+M82+O82+Q82+S82</f>
        <v>6569143.05963386</v>
      </c>
      <c r="W82" s="775" t="n">
        <f aca="false">T82-V82-AD82</f>
        <v>308267.791464197</v>
      </c>
      <c r="X82" s="885" t="n">
        <f aca="false">SUM(W71:W82)</f>
        <v>3699213.49757036</v>
      </c>
      <c r="Y82" s="776" t="n">
        <f aca="false">T82-U82-AD82</f>
        <v>306312.304531828</v>
      </c>
      <c r="Z82" s="885" t="n">
        <f aca="false">SUM(Y71:Y82)</f>
        <v>3675747.65438193</v>
      </c>
      <c r="AA82" s="770" t="n">
        <f aca="false">'power redistribution'!$C$32/12</f>
        <v>58459835.6481481</v>
      </c>
      <c r="AB82" s="770" t="n">
        <f aca="false">'power redistribution'!$D$32/12</f>
        <v>15466.6666666667</v>
      </c>
      <c r="AC82" s="885"/>
      <c r="AD82" s="772" t="n">
        <v>0</v>
      </c>
      <c r="AE82" s="885"/>
      <c r="AF82" s="885"/>
      <c r="AG82" s="885"/>
      <c r="AH82" s="885"/>
      <c r="AI82" s="885"/>
      <c r="AJ82" s="885"/>
      <c r="AK82" s="885"/>
      <c r="AL82" s="885"/>
      <c r="AM82" s="885"/>
      <c r="AN82" s="885"/>
      <c r="AO82" s="885"/>
      <c r="AP82" s="885"/>
      <c r="AQ82" s="885"/>
      <c r="AR82" s="885"/>
      <c r="AS82" s="885"/>
      <c r="AT82" s="885"/>
      <c r="AU82" s="885"/>
      <c r="AV82" s="885"/>
      <c r="AW82" s="885"/>
      <c r="AX82" s="885"/>
      <c r="AY82" s="885"/>
      <c r="AZ82" s="885"/>
      <c r="BA82" s="885"/>
      <c r="BB82" s="885"/>
      <c r="BC82" s="885"/>
      <c r="BD82" s="885"/>
      <c r="BE82" s="885"/>
      <c r="BF82" s="885"/>
      <c r="BG82" s="885"/>
      <c r="BH82" s="885"/>
      <c r="BI82" s="885"/>
      <c r="BJ82" s="885"/>
      <c r="BK82" s="885"/>
      <c r="BL82" s="885"/>
      <c r="BM82" s="885"/>
      <c r="BN82" s="885"/>
      <c r="BO82" s="885"/>
      <c r="BP82" s="885"/>
      <c r="BQ82" s="885"/>
      <c r="BR82" s="885"/>
      <c r="BS82" s="885"/>
      <c r="BT82" s="885"/>
      <c r="BU82" s="885"/>
      <c r="BV82" s="885"/>
      <c r="BW82" s="885"/>
      <c r="BX82" s="885"/>
      <c r="BY82" s="885"/>
    </row>
    <row r="83" customFormat="false" ht="12.75" hidden="false" customHeight="false" outlineLevel="0" collapsed="false">
      <c r="A83" s="866" t="n">
        <v>73</v>
      </c>
      <c r="B83" s="897" t="n">
        <v>38718</v>
      </c>
      <c r="C83" s="868" t="n">
        <f aca="false">Breakout!$I$136/12</f>
        <v>6760081.63515592</v>
      </c>
      <c r="D83" s="870" t="n">
        <f aca="false">Breakout!$I$137/12</f>
        <v>5086607.1</v>
      </c>
      <c r="E83" s="870" t="n">
        <v>5086607.1</v>
      </c>
      <c r="F83" s="868" t="n">
        <f aca="false">Breakout!$I$143/12</f>
        <v>120448.79656627</v>
      </c>
      <c r="G83" s="870" t="n">
        <f aca="false">Breakout!$I$144/12</f>
        <v>98366.5171957872</v>
      </c>
      <c r="H83" s="870" t="n">
        <v>100373.997138558</v>
      </c>
      <c r="I83" s="769" t="n">
        <v>0</v>
      </c>
      <c r="J83" s="772" t="n">
        <v>0</v>
      </c>
      <c r="K83" s="772" t="n">
        <v>0</v>
      </c>
      <c r="L83" s="769" t="n">
        <v>0</v>
      </c>
      <c r="M83" s="870" t="n">
        <f aca="false">Breakout!$I$151/12</f>
        <v>60167.8477590433</v>
      </c>
      <c r="N83" s="868" t="n">
        <f aca="false">Breakout!$I$157/12</f>
        <v>0</v>
      </c>
      <c r="O83" s="870" t="n">
        <f aca="false">Breakout!$I$158/12</f>
        <v>8333.33333333333</v>
      </c>
      <c r="P83" s="868" t="n">
        <f aca="false">Breakout!$I$164/12</f>
        <v>0</v>
      </c>
      <c r="Q83" s="870" t="n">
        <f aca="false">Breakout!$I$165/12</f>
        <v>0</v>
      </c>
      <c r="R83" s="868" t="n">
        <f aca="false">Breakout!$I$171/12</f>
        <v>0</v>
      </c>
      <c r="S83" s="870" t="n">
        <f aca="false">Breakout!$I$172/12</f>
        <v>1318215.9188554</v>
      </c>
      <c r="T83" s="774" t="n">
        <f aca="false">C83+F83+I83+L83+N83+P83+R83</f>
        <v>6880530.43172219</v>
      </c>
      <c r="U83" s="771" t="n">
        <f aca="false">E83+H83+K83+M83+O83+Q83+S83</f>
        <v>6573698.19708634</v>
      </c>
      <c r="V83" s="774" t="n">
        <f aca="false">D83+G83+J83+M83+O83+Q83+S83</f>
        <v>6571690.71714357</v>
      </c>
      <c r="W83" s="775" t="n">
        <f aca="false">T83-V83-AD83</f>
        <v>308839.71457862</v>
      </c>
      <c r="X83" s="869"/>
      <c r="Y83" s="776" t="n">
        <f aca="false">T83-U83-AD83</f>
        <v>306832.23463585</v>
      </c>
      <c r="Z83" s="869"/>
      <c r="AA83" s="770" t="n">
        <f aca="false">'power redistribution'!$C$32/12</f>
        <v>58459835.6481481</v>
      </c>
      <c r="AB83" s="770" t="n">
        <f aca="false">'power redistribution'!$D$32/12</f>
        <v>15466.6666666667</v>
      </c>
      <c r="AC83" s="869"/>
      <c r="AD83" s="772" t="n">
        <v>0</v>
      </c>
      <c r="AE83" s="869"/>
      <c r="AF83" s="869"/>
      <c r="AG83" s="869"/>
      <c r="AH83" s="869"/>
      <c r="AI83" s="869"/>
      <c r="AJ83" s="869"/>
      <c r="AK83" s="869"/>
      <c r="AL83" s="869"/>
      <c r="AM83" s="869"/>
      <c r="AN83" s="869"/>
      <c r="AO83" s="869"/>
      <c r="AP83" s="869"/>
      <c r="AQ83" s="869"/>
      <c r="AR83" s="869"/>
      <c r="AS83" s="869"/>
      <c r="AT83" s="869"/>
      <c r="AU83" s="869"/>
      <c r="AV83" s="869"/>
      <c r="AW83" s="869"/>
      <c r="AX83" s="869"/>
      <c r="AY83" s="869"/>
      <c r="AZ83" s="869"/>
      <c r="BA83" s="869"/>
      <c r="BB83" s="869"/>
      <c r="BC83" s="869"/>
      <c r="BD83" s="869"/>
      <c r="BE83" s="869"/>
      <c r="BF83" s="869"/>
      <c r="BG83" s="869"/>
      <c r="BH83" s="869"/>
      <c r="BI83" s="869"/>
      <c r="BJ83" s="869"/>
      <c r="BK83" s="869"/>
      <c r="BL83" s="869"/>
      <c r="BM83" s="869"/>
      <c r="BN83" s="869"/>
      <c r="BO83" s="869"/>
      <c r="BP83" s="869"/>
      <c r="BQ83" s="869"/>
      <c r="BR83" s="869"/>
      <c r="BS83" s="869"/>
      <c r="BT83" s="869"/>
      <c r="BU83" s="869"/>
      <c r="BV83" s="869"/>
      <c r="BW83" s="869"/>
      <c r="BX83" s="869"/>
      <c r="BY83" s="869"/>
    </row>
    <row r="84" customFormat="false" ht="12.75" hidden="false" customHeight="false" outlineLevel="0" collapsed="false">
      <c r="A84" s="767" t="n">
        <v>74</v>
      </c>
      <c r="B84" s="768" t="n">
        <v>38749</v>
      </c>
      <c r="C84" s="872" t="n">
        <f aca="false">Breakout!$I$136/12</f>
        <v>6760081.63515592</v>
      </c>
      <c r="D84" s="873" t="n">
        <f aca="false">Breakout!$I$137/12</f>
        <v>5086607.1</v>
      </c>
      <c r="E84" s="873" t="n">
        <v>5086607.1</v>
      </c>
      <c r="F84" s="872" t="n">
        <f aca="false">Breakout!$I$143/12</f>
        <v>120448.79656627</v>
      </c>
      <c r="G84" s="873" t="n">
        <f aca="false">Breakout!$I$144/12</f>
        <v>98366.5171957872</v>
      </c>
      <c r="H84" s="873" t="n">
        <v>100373.997138558</v>
      </c>
      <c r="I84" s="769" t="n">
        <v>0</v>
      </c>
      <c r="J84" s="772" t="n">
        <v>0</v>
      </c>
      <c r="K84" s="772" t="n">
        <v>0</v>
      </c>
      <c r="L84" s="769" t="n">
        <v>0</v>
      </c>
      <c r="M84" s="873" t="n">
        <f aca="false">Breakout!$I$151/12</f>
        <v>60167.8477590433</v>
      </c>
      <c r="N84" s="872" t="n">
        <f aca="false">Breakout!$I$157/12</f>
        <v>0</v>
      </c>
      <c r="O84" s="873" t="n">
        <f aca="false">Breakout!$I$158/12</f>
        <v>8333.33333333333</v>
      </c>
      <c r="P84" s="872" t="n">
        <f aca="false">Breakout!$I$164/12</f>
        <v>0</v>
      </c>
      <c r="Q84" s="873" t="n">
        <f aca="false">Breakout!$I$165/12</f>
        <v>0</v>
      </c>
      <c r="R84" s="872" t="n">
        <f aca="false">Breakout!$I$171/12</f>
        <v>0</v>
      </c>
      <c r="S84" s="873" t="n">
        <f aca="false">Breakout!$I$172/12</f>
        <v>1318215.9188554</v>
      </c>
      <c r="T84" s="774" t="n">
        <f aca="false">C84+F84+I84+L84+N84+P84+R84</f>
        <v>6880530.43172219</v>
      </c>
      <c r="U84" s="771" t="n">
        <f aca="false">E84+H84+K84+M84+O84+Q84+S84</f>
        <v>6573698.19708634</v>
      </c>
      <c r="V84" s="774" t="n">
        <f aca="false">D84+G84+J84+M84+O84+Q84+S84</f>
        <v>6571690.71714357</v>
      </c>
      <c r="W84" s="775" t="n">
        <f aca="false">T84-V84-AD84</f>
        <v>308839.71457862</v>
      </c>
      <c r="X84" s="431"/>
      <c r="Y84" s="776" t="n">
        <f aca="false">T84-U84-AD84</f>
        <v>306832.23463585</v>
      </c>
      <c r="Z84" s="431"/>
      <c r="AA84" s="770" t="n">
        <f aca="false">'power redistribution'!$C$32/12</f>
        <v>58459835.6481481</v>
      </c>
      <c r="AB84" s="770" t="n">
        <f aca="false">'power redistribution'!$D$32/12</f>
        <v>15466.6666666667</v>
      </c>
      <c r="AC84" s="431"/>
      <c r="AD84" s="772" t="n">
        <v>0</v>
      </c>
      <c r="AE84" s="431"/>
    </row>
    <row r="85" customFormat="false" ht="12.75" hidden="false" customHeight="false" outlineLevel="0" collapsed="false">
      <c r="A85" s="767" t="n">
        <v>75</v>
      </c>
      <c r="B85" s="768" t="n">
        <v>38777</v>
      </c>
      <c r="C85" s="872" t="n">
        <f aca="false">Breakout!$I$136/12</f>
        <v>6760081.63515592</v>
      </c>
      <c r="D85" s="873" t="n">
        <f aca="false">Breakout!$I$137/12</f>
        <v>5086607.1</v>
      </c>
      <c r="E85" s="873" t="n">
        <v>5086607.1</v>
      </c>
      <c r="F85" s="872" t="n">
        <f aca="false">Breakout!$I$143/12</f>
        <v>120448.79656627</v>
      </c>
      <c r="G85" s="873" t="n">
        <f aca="false">Breakout!$I$144/12</f>
        <v>98366.5171957872</v>
      </c>
      <c r="H85" s="873" t="n">
        <v>100373.997138558</v>
      </c>
      <c r="I85" s="769" t="n">
        <v>0</v>
      </c>
      <c r="J85" s="772" t="n">
        <v>0</v>
      </c>
      <c r="K85" s="772" t="n">
        <v>0</v>
      </c>
      <c r="L85" s="769" t="n">
        <v>0</v>
      </c>
      <c r="M85" s="873" t="n">
        <f aca="false">Breakout!$I$151/12</f>
        <v>60167.8477590433</v>
      </c>
      <c r="N85" s="872" t="n">
        <f aca="false">Breakout!$I$157/12</f>
        <v>0</v>
      </c>
      <c r="O85" s="873" t="n">
        <f aca="false">Breakout!$I$158/12</f>
        <v>8333.33333333333</v>
      </c>
      <c r="P85" s="872" t="n">
        <f aca="false">Breakout!$I$164/12</f>
        <v>0</v>
      </c>
      <c r="Q85" s="873" t="n">
        <f aca="false">Breakout!$I$165/12</f>
        <v>0</v>
      </c>
      <c r="R85" s="872" t="n">
        <f aca="false">Breakout!$I$171/12</f>
        <v>0</v>
      </c>
      <c r="S85" s="873" t="n">
        <f aca="false">Breakout!$I$172/12</f>
        <v>1318215.9188554</v>
      </c>
      <c r="T85" s="774" t="n">
        <f aca="false">C85+F85+I85+L85+N85+P85+R85</f>
        <v>6880530.43172219</v>
      </c>
      <c r="U85" s="771" t="n">
        <f aca="false">E85+H85+K85+M85+O85+Q85+S85</f>
        <v>6573698.19708634</v>
      </c>
      <c r="V85" s="774" t="n">
        <f aca="false">D85+G85+J85+M85+O85+Q85+S85</f>
        <v>6571690.71714357</v>
      </c>
      <c r="W85" s="775" t="n">
        <f aca="false">T85-V85-AD85</f>
        <v>308839.71457862</v>
      </c>
      <c r="X85" s="431"/>
      <c r="Y85" s="776" t="n">
        <f aca="false">T85-U85-AD85</f>
        <v>306832.23463585</v>
      </c>
      <c r="Z85" s="431"/>
      <c r="AA85" s="770" t="n">
        <f aca="false">'power redistribution'!$C$32/12</f>
        <v>58459835.6481481</v>
      </c>
      <c r="AB85" s="770" t="n">
        <f aca="false">'power redistribution'!$D$32/12</f>
        <v>15466.6666666667</v>
      </c>
      <c r="AC85" s="431"/>
      <c r="AD85" s="772" t="n">
        <v>0</v>
      </c>
      <c r="AE85" s="431"/>
    </row>
    <row r="86" customFormat="false" ht="12.75" hidden="false" customHeight="false" outlineLevel="0" collapsed="false">
      <c r="A86" s="767" t="n">
        <v>76</v>
      </c>
      <c r="B86" s="768" t="n">
        <v>38808</v>
      </c>
      <c r="C86" s="872" t="n">
        <f aca="false">Breakout!$I$136/12</f>
        <v>6760081.63515592</v>
      </c>
      <c r="D86" s="873" t="n">
        <f aca="false">Breakout!$I$137/12</f>
        <v>5086607.1</v>
      </c>
      <c r="E86" s="873" t="n">
        <v>5086607.1</v>
      </c>
      <c r="F86" s="872" t="n">
        <f aca="false">Breakout!$I$143/12</f>
        <v>120448.79656627</v>
      </c>
      <c r="G86" s="873" t="n">
        <f aca="false">Breakout!$I$144/12</f>
        <v>98366.5171957872</v>
      </c>
      <c r="H86" s="873" t="n">
        <v>100373.997138558</v>
      </c>
      <c r="I86" s="769" t="n">
        <v>0</v>
      </c>
      <c r="J86" s="772" t="n">
        <v>0</v>
      </c>
      <c r="K86" s="772" t="n">
        <v>0</v>
      </c>
      <c r="L86" s="769" t="n">
        <v>0</v>
      </c>
      <c r="M86" s="873" t="n">
        <f aca="false">Breakout!$I$151/12</f>
        <v>60167.8477590433</v>
      </c>
      <c r="N86" s="872" t="n">
        <f aca="false">Breakout!$I$157/12</f>
        <v>0</v>
      </c>
      <c r="O86" s="873" t="n">
        <f aca="false">Breakout!$I$158/12</f>
        <v>8333.33333333333</v>
      </c>
      <c r="P86" s="872" t="n">
        <f aca="false">Breakout!$I$164/12</f>
        <v>0</v>
      </c>
      <c r="Q86" s="873" t="n">
        <f aca="false">Breakout!$I$165/12</f>
        <v>0</v>
      </c>
      <c r="R86" s="872" t="n">
        <f aca="false">Breakout!$I$171/12</f>
        <v>0</v>
      </c>
      <c r="S86" s="873" t="n">
        <f aca="false">Breakout!$I$172/12</f>
        <v>1318215.9188554</v>
      </c>
      <c r="T86" s="774" t="n">
        <f aca="false">C86+F86+I86+L86+N86+P86+R86</f>
        <v>6880530.43172219</v>
      </c>
      <c r="U86" s="771" t="n">
        <f aca="false">E86+H86+K86+M86+O86+Q86+S86</f>
        <v>6573698.19708634</v>
      </c>
      <c r="V86" s="774" t="n">
        <f aca="false">D86+G86+J86+M86+O86+Q86+S86</f>
        <v>6571690.71714357</v>
      </c>
      <c r="W86" s="775" t="n">
        <f aca="false">T86-V86-AD86</f>
        <v>308839.71457862</v>
      </c>
      <c r="X86" s="431"/>
      <c r="Y86" s="776" t="n">
        <f aca="false">T86-U86-AD86</f>
        <v>306832.23463585</v>
      </c>
      <c r="Z86" s="431"/>
      <c r="AA86" s="770" t="n">
        <f aca="false">'power redistribution'!$C$32/12</f>
        <v>58459835.6481481</v>
      </c>
      <c r="AB86" s="770" t="n">
        <f aca="false">'power redistribution'!$D$32/12</f>
        <v>15466.6666666667</v>
      </c>
      <c r="AC86" s="431"/>
      <c r="AD86" s="772" t="n">
        <v>0</v>
      </c>
      <c r="AE86" s="431"/>
    </row>
    <row r="87" customFormat="false" ht="12.75" hidden="false" customHeight="false" outlineLevel="0" collapsed="false">
      <c r="A87" s="767" t="n">
        <v>77</v>
      </c>
      <c r="B87" s="768" t="n">
        <v>38838</v>
      </c>
      <c r="C87" s="872" t="n">
        <f aca="false">Breakout!$I$136/12</f>
        <v>6760081.63515592</v>
      </c>
      <c r="D87" s="873" t="n">
        <f aca="false">Breakout!$I$137/12</f>
        <v>5086607.1</v>
      </c>
      <c r="E87" s="873" t="n">
        <v>5086607.1</v>
      </c>
      <c r="F87" s="872" t="n">
        <f aca="false">Breakout!$I$143/12</f>
        <v>120448.79656627</v>
      </c>
      <c r="G87" s="873" t="n">
        <f aca="false">Breakout!$I$144/12</f>
        <v>98366.5171957872</v>
      </c>
      <c r="H87" s="873" t="n">
        <v>100373.997138558</v>
      </c>
      <c r="I87" s="769" t="n">
        <v>0</v>
      </c>
      <c r="J87" s="772" t="n">
        <v>0</v>
      </c>
      <c r="K87" s="772" t="n">
        <v>0</v>
      </c>
      <c r="L87" s="769" t="n">
        <v>0</v>
      </c>
      <c r="M87" s="873" t="n">
        <f aca="false">Breakout!$I$151/12</f>
        <v>60167.8477590433</v>
      </c>
      <c r="N87" s="872" t="n">
        <f aca="false">Breakout!$I$157/12</f>
        <v>0</v>
      </c>
      <c r="O87" s="873" t="n">
        <f aca="false">Breakout!$I$158/12</f>
        <v>8333.33333333333</v>
      </c>
      <c r="P87" s="872" t="n">
        <f aca="false">Breakout!$I$164/12</f>
        <v>0</v>
      </c>
      <c r="Q87" s="873" t="n">
        <f aca="false">Breakout!$I$165/12</f>
        <v>0</v>
      </c>
      <c r="R87" s="872" t="n">
        <f aca="false">Breakout!$I$171/12</f>
        <v>0</v>
      </c>
      <c r="S87" s="873" t="n">
        <f aca="false">Breakout!$I$172/12</f>
        <v>1318215.9188554</v>
      </c>
      <c r="T87" s="774" t="n">
        <f aca="false">C87+F87+I87+L87+N87+P87+R87</f>
        <v>6880530.43172219</v>
      </c>
      <c r="U87" s="771" t="n">
        <f aca="false">E87+H87+K87+M87+O87+Q87+S87</f>
        <v>6573698.19708634</v>
      </c>
      <c r="V87" s="774" t="n">
        <f aca="false">D87+G87+J87+M87+O87+Q87+S87</f>
        <v>6571690.71714357</v>
      </c>
      <c r="W87" s="775" t="n">
        <f aca="false">T87-V87-AD87</f>
        <v>308839.71457862</v>
      </c>
      <c r="X87" s="431"/>
      <c r="Y87" s="776" t="n">
        <f aca="false">T87-U87-AD87</f>
        <v>306832.23463585</v>
      </c>
      <c r="Z87" s="431"/>
      <c r="AA87" s="770" t="n">
        <f aca="false">'power redistribution'!$C$32/12</f>
        <v>58459835.6481481</v>
      </c>
      <c r="AB87" s="770" t="n">
        <f aca="false">'power redistribution'!$D$32/12</f>
        <v>15466.6666666667</v>
      </c>
      <c r="AC87" s="431"/>
      <c r="AD87" s="772" t="n">
        <v>0</v>
      </c>
      <c r="AE87" s="431"/>
    </row>
    <row r="88" customFormat="false" ht="12.75" hidden="false" customHeight="false" outlineLevel="0" collapsed="false">
      <c r="A88" s="767" t="n">
        <v>78</v>
      </c>
      <c r="B88" s="768" t="n">
        <v>38869</v>
      </c>
      <c r="C88" s="872" t="n">
        <f aca="false">Breakout!$I$136/12</f>
        <v>6760081.63515592</v>
      </c>
      <c r="D88" s="873" t="n">
        <f aca="false">Breakout!$I$137/12</f>
        <v>5086607.1</v>
      </c>
      <c r="E88" s="873" t="n">
        <v>5086607.1</v>
      </c>
      <c r="F88" s="872" t="n">
        <f aca="false">Breakout!$I$143/12</f>
        <v>120448.79656627</v>
      </c>
      <c r="G88" s="873" t="n">
        <f aca="false">Breakout!$I$144/12</f>
        <v>98366.5171957872</v>
      </c>
      <c r="H88" s="873" t="n">
        <v>100373.997138558</v>
      </c>
      <c r="I88" s="769" t="n">
        <v>0</v>
      </c>
      <c r="J88" s="772" t="n">
        <v>0</v>
      </c>
      <c r="K88" s="772" t="n">
        <v>0</v>
      </c>
      <c r="L88" s="769" t="n">
        <v>0</v>
      </c>
      <c r="M88" s="873" t="n">
        <f aca="false">Breakout!$I$151/12</f>
        <v>60167.8477590433</v>
      </c>
      <c r="N88" s="872" t="n">
        <f aca="false">Breakout!$I$157/12</f>
        <v>0</v>
      </c>
      <c r="O88" s="873" t="n">
        <f aca="false">Breakout!$I$158/12</f>
        <v>8333.33333333333</v>
      </c>
      <c r="P88" s="872" t="n">
        <f aca="false">Breakout!$I$164/12</f>
        <v>0</v>
      </c>
      <c r="Q88" s="873" t="n">
        <f aca="false">Breakout!$I$165/12</f>
        <v>0</v>
      </c>
      <c r="R88" s="872" t="n">
        <f aca="false">Breakout!$I$171/12</f>
        <v>0</v>
      </c>
      <c r="S88" s="873" t="n">
        <f aca="false">Breakout!$I$172/12</f>
        <v>1318215.9188554</v>
      </c>
      <c r="T88" s="774" t="n">
        <f aca="false">C88+F88+I88+L88+N88+P88+R88</f>
        <v>6880530.43172219</v>
      </c>
      <c r="U88" s="771" t="n">
        <f aca="false">E88+H88+K88+M88+O88+Q88+S88</f>
        <v>6573698.19708634</v>
      </c>
      <c r="V88" s="774" t="n">
        <f aca="false">D88+G88+J88+M88+O88+Q88+S88</f>
        <v>6571690.71714357</v>
      </c>
      <c r="W88" s="775" t="n">
        <f aca="false">T88-V88-AD88</f>
        <v>308839.71457862</v>
      </c>
      <c r="X88" s="431"/>
      <c r="Y88" s="776" t="n">
        <f aca="false">T88-U88-AD88</f>
        <v>306832.23463585</v>
      </c>
      <c r="Z88" s="431"/>
      <c r="AA88" s="770" t="n">
        <f aca="false">'power redistribution'!$C$32/12</f>
        <v>58459835.6481481</v>
      </c>
      <c r="AB88" s="770" t="n">
        <f aca="false">'power redistribution'!$D$32/12</f>
        <v>15466.6666666667</v>
      </c>
      <c r="AC88" s="431"/>
      <c r="AD88" s="772" t="n">
        <v>0</v>
      </c>
      <c r="AE88" s="431"/>
    </row>
    <row r="89" customFormat="false" ht="12.75" hidden="false" customHeight="false" outlineLevel="0" collapsed="false">
      <c r="A89" s="767" t="n">
        <v>79</v>
      </c>
      <c r="B89" s="768" t="n">
        <v>38899</v>
      </c>
      <c r="C89" s="872" t="n">
        <f aca="false">Breakout!$I$136/12</f>
        <v>6760081.63515592</v>
      </c>
      <c r="D89" s="873" t="n">
        <f aca="false">Breakout!$I$137/12</f>
        <v>5086607.1</v>
      </c>
      <c r="E89" s="873" t="n">
        <v>5086607.1</v>
      </c>
      <c r="F89" s="872" t="n">
        <f aca="false">Breakout!$I$143/12</f>
        <v>120448.79656627</v>
      </c>
      <c r="G89" s="873" t="n">
        <f aca="false">Breakout!$I$144/12</f>
        <v>98366.5171957872</v>
      </c>
      <c r="H89" s="873" t="n">
        <v>100373.997138558</v>
      </c>
      <c r="I89" s="769" t="n">
        <v>0</v>
      </c>
      <c r="J89" s="772" t="n">
        <v>0</v>
      </c>
      <c r="K89" s="772" t="n">
        <v>0</v>
      </c>
      <c r="L89" s="769" t="n">
        <v>0</v>
      </c>
      <c r="M89" s="873" t="n">
        <f aca="false">Breakout!$I$151/12</f>
        <v>60167.8477590433</v>
      </c>
      <c r="N89" s="872" t="n">
        <f aca="false">Breakout!$I$157/12</f>
        <v>0</v>
      </c>
      <c r="O89" s="873" t="n">
        <f aca="false">Breakout!$I$158/12</f>
        <v>8333.33333333333</v>
      </c>
      <c r="P89" s="872" t="n">
        <f aca="false">Breakout!$I$164/12</f>
        <v>0</v>
      </c>
      <c r="Q89" s="873" t="n">
        <f aca="false">Breakout!$I$165/12</f>
        <v>0</v>
      </c>
      <c r="R89" s="872" t="n">
        <f aca="false">Breakout!$I$171/12</f>
        <v>0</v>
      </c>
      <c r="S89" s="873" t="n">
        <f aca="false">Breakout!$I$172/12</f>
        <v>1318215.9188554</v>
      </c>
      <c r="T89" s="774" t="n">
        <f aca="false">C89+F89+I89+L89+N89+P89+R89</f>
        <v>6880530.43172219</v>
      </c>
      <c r="U89" s="771" t="n">
        <f aca="false">E89+H89+K89+M89+O89+Q89+S89</f>
        <v>6573698.19708634</v>
      </c>
      <c r="V89" s="774" t="n">
        <f aca="false">D89+G89+J89+M89+O89+Q89+S89</f>
        <v>6571690.71714357</v>
      </c>
      <c r="W89" s="775" t="n">
        <f aca="false">T89-V89-AD89</f>
        <v>308839.71457862</v>
      </c>
      <c r="X89" s="431"/>
      <c r="Y89" s="776" t="n">
        <f aca="false">T89-U89-AD89</f>
        <v>306832.23463585</v>
      </c>
      <c r="Z89" s="431"/>
      <c r="AA89" s="770" t="n">
        <f aca="false">'power redistribution'!$C$32/12</f>
        <v>58459835.6481481</v>
      </c>
      <c r="AB89" s="770" t="n">
        <f aca="false">'power redistribution'!$D$32/12</f>
        <v>15466.6666666667</v>
      </c>
      <c r="AC89" s="431"/>
      <c r="AD89" s="772" t="n">
        <v>0</v>
      </c>
      <c r="AE89" s="431"/>
    </row>
    <row r="90" customFormat="false" ht="12.75" hidden="false" customHeight="false" outlineLevel="0" collapsed="false">
      <c r="A90" s="767" t="n">
        <v>80</v>
      </c>
      <c r="B90" s="768" t="n">
        <v>38930</v>
      </c>
      <c r="C90" s="872" t="n">
        <f aca="false">Breakout!$I$136/12</f>
        <v>6760081.63515592</v>
      </c>
      <c r="D90" s="873" t="n">
        <f aca="false">Breakout!$I$137/12</f>
        <v>5086607.1</v>
      </c>
      <c r="E90" s="873" t="n">
        <v>5086607.1</v>
      </c>
      <c r="F90" s="872" t="n">
        <f aca="false">Breakout!$I$143/12</f>
        <v>120448.79656627</v>
      </c>
      <c r="G90" s="873" t="n">
        <f aca="false">Breakout!$I$144/12</f>
        <v>98366.5171957872</v>
      </c>
      <c r="H90" s="873" t="n">
        <v>100373.997138558</v>
      </c>
      <c r="I90" s="769" t="n">
        <v>0</v>
      </c>
      <c r="J90" s="772" t="n">
        <v>0</v>
      </c>
      <c r="K90" s="772" t="n">
        <v>0</v>
      </c>
      <c r="L90" s="769" t="n">
        <v>0</v>
      </c>
      <c r="M90" s="873" t="n">
        <f aca="false">Breakout!$I$151/12</f>
        <v>60167.8477590433</v>
      </c>
      <c r="N90" s="872" t="n">
        <f aca="false">Breakout!$I$157/12</f>
        <v>0</v>
      </c>
      <c r="O90" s="873" t="n">
        <f aca="false">Breakout!$I$158/12</f>
        <v>8333.33333333333</v>
      </c>
      <c r="P90" s="872" t="n">
        <f aca="false">Breakout!$I$164/12</f>
        <v>0</v>
      </c>
      <c r="Q90" s="873" t="n">
        <f aca="false">Breakout!$I$165/12</f>
        <v>0</v>
      </c>
      <c r="R90" s="872" t="n">
        <f aca="false">Breakout!$I$171/12</f>
        <v>0</v>
      </c>
      <c r="S90" s="873" t="n">
        <f aca="false">Breakout!$I$172/12</f>
        <v>1318215.9188554</v>
      </c>
      <c r="T90" s="774" t="n">
        <f aca="false">C90+F90+I90+L90+N90+P90+R90</f>
        <v>6880530.43172219</v>
      </c>
      <c r="U90" s="771" t="n">
        <f aca="false">E90+H90+K90+M90+O90+Q90+S90</f>
        <v>6573698.19708634</v>
      </c>
      <c r="V90" s="774" t="n">
        <f aca="false">D90+G90+J90+M90+O90+Q90+S90</f>
        <v>6571690.71714357</v>
      </c>
      <c r="W90" s="775" t="n">
        <f aca="false">T90-V90-AD90</f>
        <v>308839.71457862</v>
      </c>
      <c r="X90" s="431"/>
      <c r="Y90" s="776" t="n">
        <f aca="false">T90-U90-AD90</f>
        <v>306832.23463585</v>
      </c>
      <c r="Z90" s="431"/>
      <c r="AA90" s="770" t="n">
        <f aca="false">'power redistribution'!$C$32/12</f>
        <v>58459835.6481481</v>
      </c>
      <c r="AB90" s="770" t="n">
        <f aca="false">'power redistribution'!$D$32/12</f>
        <v>15466.6666666667</v>
      </c>
      <c r="AC90" s="431"/>
      <c r="AD90" s="772" t="n">
        <v>0</v>
      </c>
      <c r="AE90" s="431"/>
    </row>
    <row r="91" customFormat="false" ht="12.75" hidden="false" customHeight="false" outlineLevel="0" collapsed="false">
      <c r="A91" s="767" t="n">
        <v>81</v>
      </c>
      <c r="B91" s="768" t="n">
        <v>38961</v>
      </c>
      <c r="C91" s="872" t="n">
        <f aca="false">Breakout!$I$136/12</f>
        <v>6760081.63515592</v>
      </c>
      <c r="D91" s="873" t="n">
        <f aca="false">Breakout!$I$137/12</f>
        <v>5086607.1</v>
      </c>
      <c r="E91" s="873" t="n">
        <v>5086607.1</v>
      </c>
      <c r="F91" s="872" t="n">
        <f aca="false">Breakout!$I$143/12</f>
        <v>120448.79656627</v>
      </c>
      <c r="G91" s="873" t="n">
        <f aca="false">Breakout!$I$144/12</f>
        <v>98366.5171957872</v>
      </c>
      <c r="H91" s="873" t="n">
        <v>100373.997138558</v>
      </c>
      <c r="I91" s="769" t="n">
        <v>0</v>
      </c>
      <c r="J91" s="772" t="n">
        <v>0</v>
      </c>
      <c r="K91" s="772" t="n">
        <v>0</v>
      </c>
      <c r="L91" s="769" t="n">
        <v>0</v>
      </c>
      <c r="M91" s="873" t="n">
        <f aca="false">Breakout!$I$151/12</f>
        <v>60167.8477590433</v>
      </c>
      <c r="N91" s="872" t="n">
        <f aca="false">Breakout!$I$157/12</f>
        <v>0</v>
      </c>
      <c r="O91" s="873" t="n">
        <f aca="false">Breakout!$I$158/12</f>
        <v>8333.33333333333</v>
      </c>
      <c r="P91" s="872" t="n">
        <f aca="false">Breakout!$I$164/12</f>
        <v>0</v>
      </c>
      <c r="Q91" s="873" t="n">
        <f aca="false">Breakout!$I$165/12</f>
        <v>0</v>
      </c>
      <c r="R91" s="872" t="n">
        <f aca="false">Breakout!$I$171/12</f>
        <v>0</v>
      </c>
      <c r="S91" s="873" t="n">
        <f aca="false">Breakout!$I$172/12</f>
        <v>1318215.9188554</v>
      </c>
      <c r="T91" s="774" t="n">
        <f aca="false">C91+F91+I91+L91+N91+P91+R91</f>
        <v>6880530.43172219</v>
      </c>
      <c r="U91" s="771" t="n">
        <f aca="false">E91+H91+K91+M91+O91+Q91+S91</f>
        <v>6573698.19708634</v>
      </c>
      <c r="V91" s="774" t="n">
        <f aca="false">D91+G91+J91+M91+O91+Q91+S91</f>
        <v>6571690.71714357</v>
      </c>
      <c r="W91" s="775" t="n">
        <f aca="false">T91-V91-AD91</f>
        <v>308839.71457862</v>
      </c>
      <c r="X91" s="431"/>
      <c r="Y91" s="776" t="n">
        <f aca="false">T91-U91-AD91</f>
        <v>306832.23463585</v>
      </c>
      <c r="Z91" s="431"/>
      <c r="AA91" s="770" t="n">
        <f aca="false">'power redistribution'!$C$32/12</f>
        <v>58459835.6481481</v>
      </c>
      <c r="AB91" s="770" t="n">
        <f aca="false">'power redistribution'!$D$32/12</f>
        <v>15466.6666666667</v>
      </c>
      <c r="AC91" s="431"/>
      <c r="AD91" s="772" t="n">
        <v>0</v>
      </c>
      <c r="AE91" s="431"/>
    </row>
    <row r="92" customFormat="false" ht="12.75" hidden="false" customHeight="false" outlineLevel="0" collapsed="false">
      <c r="A92" s="767" t="n">
        <v>82</v>
      </c>
      <c r="B92" s="768" t="n">
        <v>38991</v>
      </c>
      <c r="C92" s="872" t="n">
        <f aca="false">Breakout!$I$136/12</f>
        <v>6760081.63515592</v>
      </c>
      <c r="D92" s="873" t="n">
        <f aca="false">Breakout!$I$137/12</f>
        <v>5086607.1</v>
      </c>
      <c r="E92" s="873" t="n">
        <v>5086607.1</v>
      </c>
      <c r="F92" s="872" t="n">
        <f aca="false">Breakout!$I$143/12</f>
        <v>120448.79656627</v>
      </c>
      <c r="G92" s="873" t="n">
        <f aca="false">Breakout!$I$144/12</f>
        <v>98366.5171957872</v>
      </c>
      <c r="H92" s="873" t="n">
        <v>100373.997138558</v>
      </c>
      <c r="I92" s="769" t="n">
        <v>0</v>
      </c>
      <c r="J92" s="772" t="n">
        <v>0</v>
      </c>
      <c r="K92" s="772" t="n">
        <v>0</v>
      </c>
      <c r="L92" s="769" t="n">
        <v>0</v>
      </c>
      <c r="M92" s="873" t="n">
        <f aca="false">Breakout!$I$151/12</f>
        <v>60167.8477590433</v>
      </c>
      <c r="N92" s="872" t="n">
        <f aca="false">Breakout!$I$157/12</f>
        <v>0</v>
      </c>
      <c r="O92" s="873" t="n">
        <f aca="false">Breakout!$I$158/12</f>
        <v>8333.33333333333</v>
      </c>
      <c r="P92" s="872" t="n">
        <f aca="false">Breakout!$I$164/12</f>
        <v>0</v>
      </c>
      <c r="Q92" s="873" t="n">
        <f aca="false">Breakout!$I$165/12</f>
        <v>0</v>
      </c>
      <c r="R92" s="872" t="n">
        <f aca="false">Breakout!$I$171/12</f>
        <v>0</v>
      </c>
      <c r="S92" s="873" t="n">
        <f aca="false">Breakout!$I$172/12</f>
        <v>1318215.9188554</v>
      </c>
      <c r="T92" s="774" t="n">
        <f aca="false">C92+F92+I92+L92+N92+P92+R92</f>
        <v>6880530.43172219</v>
      </c>
      <c r="U92" s="771" t="n">
        <f aca="false">E92+H92+K92+M92+O92+Q92+S92</f>
        <v>6573698.19708634</v>
      </c>
      <c r="V92" s="774" t="n">
        <f aca="false">D92+G92+J92+M92+O92+Q92+S92</f>
        <v>6571690.71714357</v>
      </c>
      <c r="W92" s="775" t="n">
        <f aca="false">T92-V92-AD92</f>
        <v>308839.71457862</v>
      </c>
      <c r="X92" s="431"/>
      <c r="Y92" s="776" t="n">
        <f aca="false">T92-U92-AD92</f>
        <v>306832.23463585</v>
      </c>
      <c r="Z92" s="431"/>
      <c r="AA92" s="770" t="n">
        <f aca="false">'power redistribution'!$C$32/12</f>
        <v>58459835.6481481</v>
      </c>
      <c r="AB92" s="770" t="n">
        <f aca="false">'power redistribution'!$D$32/12</f>
        <v>15466.6666666667</v>
      </c>
      <c r="AC92" s="431"/>
      <c r="AD92" s="772" t="n">
        <v>0</v>
      </c>
      <c r="AE92" s="431"/>
    </row>
    <row r="93" customFormat="false" ht="12.75" hidden="false" customHeight="false" outlineLevel="0" collapsed="false">
      <c r="A93" s="767" t="n">
        <v>83</v>
      </c>
      <c r="B93" s="768" t="n">
        <v>39022</v>
      </c>
      <c r="C93" s="872" t="n">
        <f aca="false">Breakout!$I$136/12</f>
        <v>6760081.63515592</v>
      </c>
      <c r="D93" s="873" t="n">
        <f aca="false">Breakout!$I$137/12</f>
        <v>5086607.1</v>
      </c>
      <c r="E93" s="873" t="n">
        <v>5086607.1</v>
      </c>
      <c r="F93" s="872" t="n">
        <f aca="false">Breakout!$I$143/12</f>
        <v>120448.79656627</v>
      </c>
      <c r="G93" s="873" t="n">
        <f aca="false">Breakout!$I$144/12</f>
        <v>98366.5171957872</v>
      </c>
      <c r="H93" s="873" t="n">
        <v>100373.997138558</v>
      </c>
      <c r="I93" s="769" t="n">
        <v>0</v>
      </c>
      <c r="J93" s="772" t="n">
        <v>0</v>
      </c>
      <c r="K93" s="772" t="n">
        <v>0</v>
      </c>
      <c r="L93" s="769" t="n">
        <v>0</v>
      </c>
      <c r="M93" s="873" t="n">
        <f aca="false">Breakout!$I$151/12</f>
        <v>60167.8477590433</v>
      </c>
      <c r="N93" s="872" t="n">
        <f aca="false">Breakout!$I$157/12</f>
        <v>0</v>
      </c>
      <c r="O93" s="873" t="n">
        <f aca="false">Breakout!$I$158/12</f>
        <v>8333.33333333333</v>
      </c>
      <c r="P93" s="872" t="n">
        <f aca="false">Breakout!$I$164/12</f>
        <v>0</v>
      </c>
      <c r="Q93" s="873" t="n">
        <f aca="false">Breakout!$I$165/12</f>
        <v>0</v>
      </c>
      <c r="R93" s="872" t="n">
        <f aca="false">Breakout!$I$171/12</f>
        <v>0</v>
      </c>
      <c r="S93" s="873" t="n">
        <f aca="false">Breakout!$I$172/12</f>
        <v>1318215.9188554</v>
      </c>
      <c r="T93" s="774" t="n">
        <f aca="false">C93+F93+I93+L93+N93+P93+R93</f>
        <v>6880530.43172219</v>
      </c>
      <c r="U93" s="771" t="n">
        <f aca="false">E93+H93+K93+M93+O93+Q93+S93</f>
        <v>6573698.19708634</v>
      </c>
      <c r="V93" s="774" t="n">
        <f aca="false">D93+G93+J93+M93+O93+Q93+S93</f>
        <v>6571690.71714357</v>
      </c>
      <c r="W93" s="775" t="n">
        <f aca="false">T93-V93-AD93</f>
        <v>308839.71457862</v>
      </c>
      <c r="X93" s="431"/>
      <c r="Y93" s="776" t="n">
        <f aca="false">T93-U93-AD93</f>
        <v>306832.23463585</v>
      </c>
      <c r="Z93" s="431"/>
      <c r="AA93" s="770" t="n">
        <f aca="false">'power redistribution'!$C$32/12</f>
        <v>58459835.6481481</v>
      </c>
      <c r="AB93" s="770" t="n">
        <f aca="false">'power redistribution'!$D$32/12</f>
        <v>15466.6666666667</v>
      </c>
      <c r="AC93" s="431"/>
      <c r="AD93" s="772" t="n">
        <v>0</v>
      </c>
      <c r="AE93" s="431"/>
    </row>
    <row r="94" customFormat="false" ht="12.75" hidden="false" customHeight="false" outlineLevel="0" collapsed="false">
      <c r="A94" s="881" t="n">
        <v>84</v>
      </c>
      <c r="B94" s="894" t="n">
        <v>39052</v>
      </c>
      <c r="C94" s="886" t="n">
        <f aca="false">Breakout!$I$136/12</f>
        <v>6760081.63515592</v>
      </c>
      <c r="D94" s="883" t="n">
        <f aca="false">Breakout!$I$137/12</f>
        <v>5086607.1</v>
      </c>
      <c r="E94" s="883" t="n">
        <v>5086607.1</v>
      </c>
      <c r="F94" s="886" t="n">
        <f aca="false">Breakout!$I$143/12</f>
        <v>120448.79656627</v>
      </c>
      <c r="G94" s="883" t="n">
        <f aca="false">Breakout!$I$144/12</f>
        <v>98366.5171957872</v>
      </c>
      <c r="H94" s="883" t="n">
        <v>100373.997138558</v>
      </c>
      <c r="I94" s="769" t="n">
        <v>0</v>
      </c>
      <c r="J94" s="772" t="n">
        <v>0</v>
      </c>
      <c r="K94" s="772" t="n">
        <v>0</v>
      </c>
      <c r="L94" s="769" t="n">
        <v>0</v>
      </c>
      <c r="M94" s="883" t="n">
        <f aca="false">Breakout!$I$151/12</f>
        <v>60167.8477590433</v>
      </c>
      <c r="N94" s="886" t="n">
        <f aca="false">Breakout!$I$157/12</f>
        <v>0</v>
      </c>
      <c r="O94" s="883" t="n">
        <f aca="false">Breakout!$I$158/12</f>
        <v>8333.33333333333</v>
      </c>
      <c r="P94" s="886" t="n">
        <f aca="false">Breakout!$I$164/12</f>
        <v>0</v>
      </c>
      <c r="Q94" s="883" t="n">
        <f aca="false">Breakout!$I$165/12</f>
        <v>0</v>
      </c>
      <c r="R94" s="886" t="n">
        <f aca="false">Breakout!$I$171/12</f>
        <v>0</v>
      </c>
      <c r="S94" s="883" t="n">
        <f aca="false">Breakout!$I$172/12</f>
        <v>1318215.9188554</v>
      </c>
      <c r="T94" s="774" t="n">
        <f aca="false">C94+F94+I94+L94+N94+P94+R94</f>
        <v>6880530.43172219</v>
      </c>
      <c r="U94" s="771" t="n">
        <f aca="false">E94+H94+K94+M94+O94+Q94+S94</f>
        <v>6573698.19708634</v>
      </c>
      <c r="V94" s="774" t="n">
        <f aca="false">D94+G94+J94+M94+O94+Q94+S94</f>
        <v>6571690.71714357</v>
      </c>
      <c r="W94" s="775" t="n">
        <f aca="false">T94-V94-AD94</f>
        <v>308839.71457862</v>
      </c>
      <c r="X94" s="885" t="n">
        <f aca="false">SUM(W83:W94)</f>
        <v>3706076.57494344</v>
      </c>
      <c r="Y94" s="776" t="n">
        <f aca="false">T94-U94-AD94</f>
        <v>306832.23463585</v>
      </c>
      <c r="Z94" s="885" t="n">
        <f aca="false">SUM(Y83:Y94)</f>
        <v>3681986.81563019</v>
      </c>
      <c r="AA94" s="770" t="n">
        <f aca="false">'power redistribution'!$C$32/12</f>
        <v>58459835.6481481</v>
      </c>
      <c r="AB94" s="770" t="n">
        <f aca="false">'power redistribution'!$D$32/12</f>
        <v>15466.6666666667</v>
      </c>
      <c r="AC94" s="885"/>
      <c r="AD94" s="772" t="n">
        <v>0</v>
      </c>
      <c r="AE94" s="885"/>
      <c r="AF94" s="885"/>
      <c r="AG94" s="885"/>
      <c r="AH94" s="885"/>
      <c r="AI94" s="885"/>
      <c r="AJ94" s="885"/>
      <c r="AK94" s="885"/>
      <c r="AL94" s="885"/>
      <c r="AM94" s="885"/>
      <c r="AN94" s="885"/>
      <c r="AO94" s="885"/>
      <c r="AP94" s="885"/>
      <c r="AQ94" s="885"/>
      <c r="AR94" s="885"/>
      <c r="AS94" s="885"/>
      <c r="AT94" s="885"/>
      <c r="AU94" s="885"/>
      <c r="AV94" s="885"/>
      <c r="AW94" s="885"/>
      <c r="AX94" s="885"/>
      <c r="AY94" s="885"/>
      <c r="AZ94" s="885"/>
      <c r="BA94" s="885"/>
      <c r="BB94" s="885"/>
      <c r="BC94" s="885"/>
      <c r="BD94" s="885"/>
      <c r="BE94" s="885"/>
      <c r="BF94" s="885"/>
      <c r="BG94" s="885"/>
      <c r="BH94" s="885"/>
      <c r="BI94" s="885"/>
      <c r="BJ94" s="885"/>
      <c r="BK94" s="885"/>
      <c r="BL94" s="885"/>
      <c r="BM94" s="885"/>
      <c r="BN94" s="885"/>
      <c r="BO94" s="885"/>
      <c r="BP94" s="885"/>
      <c r="BQ94" s="885"/>
      <c r="BR94" s="885"/>
      <c r="BS94" s="885"/>
      <c r="BT94" s="885"/>
      <c r="BU94" s="885"/>
      <c r="BV94" s="885"/>
      <c r="BW94" s="885"/>
      <c r="BX94" s="885"/>
      <c r="BY94" s="885"/>
    </row>
    <row r="95" customFormat="false" ht="12.75" hidden="false" customHeight="false" outlineLevel="0" collapsed="false">
      <c r="A95" s="866" t="n">
        <v>85</v>
      </c>
      <c r="B95" s="897" t="n">
        <v>39083</v>
      </c>
      <c r="C95" s="868" t="n">
        <f aca="false">Breakout!$J$136/12</f>
        <v>6760081.63515592</v>
      </c>
      <c r="D95" s="870" t="n">
        <f aca="false">Breakout!$J$137/12</f>
        <v>5086607.1</v>
      </c>
      <c r="E95" s="870" t="n">
        <v>5086607.1</v>
      </c>
      <c r="F95" s="868" t="n">
        <f aca="false">Breakout!$J$143/12</f>
        <v>123972.154114067</v>
      </c>
      <c r="G95" s="870" t="n">
        <f aca="false">Breakout!$J$144/12</f>
        <v>101243.925859821</v>
      </c>
      <c r="H95" s="870" t="n">
        <v>103310.128428389</v>
      </c>
      <c r="I95" s="769" t="n">
        <v>0</v>
      </c>
      <c r="J95" s="772" t="n">
        <v>0</v>
      </c>
      <c r="K95" s="772" t="n">
        <v>0</v>
      </c>
      <c r="L95" s="769" t="n">
        <v>0</v>
      </c>
      <c r="M95" s="870" t="n">
        <f aca="false">Breakout!$J$151/12</f>
        <v>60167.8477590433</v>
      </c>
      <c r="N95" s="868" t="n">
        <f aca="false">Breakout!$J$157/12</f>
        <v>0</v>
      </c>
      <c r="O95" s="870" t="n">
        <f aca="false">Breakout!$J$158/12</f>
        <v>8333.33333333333</v>
      </c>
      <c r="P95" s="868" t="n">
        <f aca="false">Breakout!$J$164/12</f>
        <v>0</v>
      </c>
      <c r="Q95" s="870" t="n">
        <f aca="false">Breakout!$J$165/12</f>
        <v>0</v>
      </c>
      <c r="R95" s="868" t="n">
        <f aca="false">Breakout!$J$171/12</f>
        <v>0</v>
      </c>
      <c r="S95" s="870" t="n">
        <f aca="false">Breakout!$J$172/12</f>
        <v>1318215.9188554</v>
      </c>
      <c r="T95" s="774" t="n">
        <f aca="false">C95+F95+I95+L95+N95+P95+R95</f>
        <v>6884053.78926998</v>
      </c>
      <c r="U95" s="771" t="n">
        <f aca="false">E95+H95+K95+M95+O95+Q95+S95</f>
        <v>6576634.32837617</v>
      </c>
      <c r="V95" s="774" t="n">
        <f aca="false">D95+G95+J95+M95+O95+Q95+S95</f>
        <v>6574568.1258076</v>
      </c>
      <c r="W95" s="775" t="n">
        <f aca="false">T95-V95-AD95</f>
        <v>309485.663462383</v>
      </c>
      <c r="X95" s="869"/>
      <c r="Y95" s="776" t="n">
        <f aca="false">T95-U95-AD95</f>
        <v>307419.460893815</v>
      </c>
      <c r="Z95" s="869"/>
      <c r="AA95" s="770" t="n">
        <f aca="false">'power redistribution'!$C$32/12</f>
        <v>58459835.6481481</v>
      </c>
      <c r="AB95" s="770" t="n">
        <f aca="false">'power redistribution'!$D$32/12</f>
        <v>15466.6666666667</v>
      </c>
      <c r="AC95" s="869"/>
      <c r="AD95" s="772" t="n">
        <v>0</v>
      </c>
      <c r="AE95" s="869"/>
      <c r="AF95" s="869"/>
      <c r="AG95" s="869"/>
      <c r="AH95" s="869"/>
      <c r="AI95" s="869"/>
      <c r="AJ95" s="869"/>
      <c r="AK95" s="869"/>
      <c r="AL95" s="869"/>
      <c r="AM95" s="869"/>
      <c r="AN95" s="869"/>
      <c r="AO95" s="869"/>
      <c r="AP95" s="869"/>
      <c r="AQ95" s="869"/>
      <c r="AR95" s="869"/>
      <c r="AS95" s="869"/>
      <c r="AT95" s="869"/>
      <c r="AU95" s="869"/>
      <c r="AV95" s="869"/>
      <c r="AW95" s="869"/>
      <c r="AX95" s="869"/>
      <c r="AY95" s="869"/>
      <c r="AZ95" s="869"/>
      <c r="BA95" s="869"/>
      <c r="BB95" s="869"/>
      <c r="BC95" s="869"/>
      <c r="BD95" s="869"/>
      <c r="BE95" s="869"/>
      <c r="BF95" s="869"/>
      <c r="BG95" s="869"/>
      <c r="BH95" s="869"/>
      <c r="BI95" s="869"/>
      <c r="BJ95" s="869"/>
      <c r="BK95" s="869"/>
      <c r="BL95" s="869"/>
      <c r="BM95" s="869"/>
      <c r="BN95" s="869"/>
      <c r="BO95" s="869"/>
      <c r="BP95" s="869"/>
      <c r="BQ95" s="869"/>
      <c r="BR95" s="869"/>
      <c r="BS95" s="869"/>
      <c r="BT95" s="869"/>
      <c r="BU95" s="869"/>
      <c r="BV95" s="869"/>
      <c r="BW95" s="869"/>
      <c r="BX95" s="869"/>
      <c r="BY95" s="869"/>
    </row>
    <row r="96" customFormat="false" ht="12.75" hidden="false" customHeight="false" outlineLevel="0" collapsed="false">
      <c r="A96" s="767" t="n">
        <v>86</v>
      </c>
      <c r="B96" s="768" t="n">
        <v>39114</v>
      </c>
      <c r="C96" s="872" t="n">
        <f aca="false">Breakout!$J$136/12</f>
        <v>6760081.63515592</v>
      </c>
      <c r="D96" s="873" t="n">
        <f aca="false">Breakout!$J$137/12</f>
        <v>5086607.1</v>
      </c>
      <c r="E96" s="873" t="n">
        <v>5086607.1</v>
      </c>
      <c r="F96" s="872" t="n">
        <f aca="false">Breakout!$J$143/12</f>
        <v>123972.154114067</v>
      </c>
      <c r="G96" s="873" t="n">
        <f aca="false">Breakout!$J$144/12</f>
        <v>101243.925859821</v>
      </c>
      <c r="H96" s="873" t="n">
        <v>103310.128428389</v>
      </c>
      <c r="I96" s="769" t="n">
        <v>0</v>
      </c>
      <c r="J96" s="772" t="n">
        <v>0</v>
      </c>
      <c r="K96" s="772" t="n">
        <v>0</v>
      </c>
      <c r="L96" s="769" t="n">
        <v>0</v>
      </c>
      <c r="M96" s="873" t="n">
        <f aca="false">Breakout!$J$151/12</f>
        <v>60167.8477590433</v>
      </c>
      <c r="N96" s="872" t="n">
        <f aca="false">Breakout!$J$157/12</f>
        <v>0</v>
      </c>
      <c r="O96" s="873" t="n">
        <f aca="false">Breakout!$J$158/12</f>
        <v>8333.33333333333</v>
      </c>
      <c r="P96" s="872" t="n">
        <f aca="false">Breakout!$J$164/12</f>
        <v>0</v>
      </c>
      <c r="Q96" s="873" t="n">
        <f aca="false">Breakout!$J$165/12</f>
        <v>0</v>
      </c>
      <c r="R96" s="872" t="n">
        <f aca="false">Breakout!$J$171/12</f>
        <v>0</v>
      </c>
      <c r="S96" s="873" t="n">
        <f aca="false">Breakout!$J$172/12</f>
        <v>1318215.9188554</v>
      </c>
      <c r="T96" s="774" t="n">
        <f aca="false">C96+F96+I96+L96+N96+P96+R96</f>
        <v>6884053.78926998</v>
      </c>
      <c r="U96" s="771" t="n">
        <f aca="false">E96+H96+K96+M96+O96+Q96+S96</f>
        <v>6576634.32837617</v>
      </c>
      <c r="V96" s="774" t="n">
        <f aca="false">D96+G96+J96+M96+O96+Q96+S96</f>
        <v>6574568.1258076</v>
      </c>
      <c r="W96" s="775" t="n">
        <f aca="false">T96-V96-AD96</f>
        <v>309485.663462383</v>
      </c>
      <c r="X96" s="431"/>
      <c r="Y96" s="776" t="n">
        <f aca="false">T96-U96-AD96</f>
        <v>307419.460893815</v>
      </c>
      <c r="Z96" s="431"/>
      <c r="AA96" s="770" t="n">
        <f aca="false">'power redistribution'!$C$32/12</f>
        <v>58459835.6481481</v>
      </c>
      <c r="AB96" s="770" t="n">
        <f aca="false">'power redistribution'!$D$32/12</f>
        <v>15466.6666666667</v>
      </c>
      <c r="AC96" s="431"/>
      <c r="AD96" s="772" t="n">
        <v>0</v>
      </c>
      <c r="AE96" s="431"/>
    </row>
    <row r="97" customFormat="false" ht="12.75" hidden="false" customHeight="false" outlineLevel="0" collapsed="false">
      <c r="A97" s="767" t="n">
        <v>87</v>
      </c>
      <c r="B97" s="768" t="n">
        <v>39142</v>
      </c>
      <c r="C97" s="872" t="n">
        <f aca="false">Breakout!$J$136/12</f>
        <v>6760081.63515592</v>
      </c>
      <c r="D97" s="873" t="n">
        <f aca="false">Breakout!$J$137/12</f>
        <v>5086607.1</v>
      </c>
      <c r="E97" s="873" t="n">
        <v>5086607.1</v>
      </c>
      <c r="F97" s="872" t="n">
        <f aca="false">Breakout!$J$143/12</f>
        <v>123972.154114067</v>
      </c>
      <c r="G97" s="873" t="n">
        <f aca="false">Breakout!$J$144/12</f>
        <v>101243.925859821</v>
      </c>
      <c r="H97" s="873" t="n">
        <v>103310.128428389</v>
      </c>
      <c r="I97" s="769" t="n">
        <v>0</v>
      </c>
      <c r="J97" s="772" t="n">
        <v>0</v>
      </c>
      <c r="K97" s="772" t="n">
        <v>0</v>
      </c>
      <c r="L97" s="769" t="n">
        <v>0</v>
      </c>
      <c r="M97" s="873" t="n">
        <f aca="false">Breakout!$J$151/12</f>
        <v>60167.8477590433</v>
      </c>
      <c r="N97" s="872" t="n">
        <f aca="false">Breakout!$J$157/12</f>
        <v>0</v>
      </c>
      <c r="O97" s="873" t="n">
        <f aca="false">Breakout!$J$158/12</f>
        <v>8333.33333333333</v>
      </c>
      <c r="P97" s="872" t="n">
        <f aca="false">Breakout!$J$164/12</f>
        <v>0</v>
      </c>
      <c r="Q97" s="873" t="n">
        <f aca="false">Breakout!$J$165/12</f>
        <v>0</v>
      </c>
      <c r="R97" s="872" t="n">
        <f aca="false">Breakout!$J$171/12</f>
        <v>0</v>
      </c>
      <c r="S97" s="873" t="n">
        <f aca="false">Breakout!$J$172/12</f>
        <v>1318215.9188554</v>
      </c>
      <c r="T97" s="774" t="n">
        <f aca="false">C97+F97+I97+L97+N97+P97+R97</f>
        <v>6884053.78926998</v>
      </c>
      <c r="U97" s="771" t="n">
        <f aca="false">E97+H97+K97+M97+O97+Q97+S97</f>
        <v>6576634.32837617</v>
      </c>
      <c r="V97" s="774" t="n">
        <f aca="false">D97+G97+J97+M97+O97+Q97+S97</f>
        <v>6574568.1258076</v>
      </c>
      <c r="W97" s="775" t="n">
        <f aca="false">T97-V97-AD97</f>
        <v>309485.663462383</v>
      </c>
      <c r="X97" s="431"/>
      <c r="Y97" s="776" t="n">
        <f aca="false">T97-U97-AD97</f>
        <v>307419.460893815</v>
      </c>
      <c r="Z97" s="431"/>
      <c r="AA97" s="770" t="n">
        <f aca="false">'power redistribution'!$C$32/12</f>
        <v>58459835.6481481</v>
      </c>
      <c r="AB97" s="770" t="n">
        <f aca="false">'power redistribution'!$D$32/12</f>
        <v>15466.6666666667</v>
      </c>
      <c r="AC97" s="431"/>
      <c r="AD97" s="772" t="n">
        <v>0</v>
      </c>
      <c r="AE97" s="431"/>
    </row>
    <row r="98" customFormat="false" ht="12.75" hidden="false" customHeight="false" outlineLevel="0" collapsed="false">
      <c r="A98" s="767" t="n">
        <v>88</v>
      </c>
      <c r="B98" s="768" t="n">
        <v>39173</v>
      </c>
      <c r="C98" s="872" t="n">
        <f aca="false">Breakout!$J$136/12</f>
        <v>6760081.63515592</v>
      </c>
      <c r="D98" s="873" t="n">
        <f aca="false">Breakout!$J$137/12</f>
        <v>5086607.1</v>
      </c>
      <c r="E98" s="873" t="n">
        <v>5086607.1</v>
      </c>
      <c r="F98" s="872" t="n">
        <f aca="false">Breakout!$J$143/12</f>
        <v>123972.154114067</v>
      </c>
      <c r="G98" s="873" t="n">
        <f aca="false">Breakout!$J$144/12</f>
        <v>101243.925859821</v>
      </c>
      <c r="H98" s="873" t="n">
        <v>103310.128428389</v>
      </c>
      <c r="I98" s="769" t="n">
        <v>0</v>
      </c>
      <c r="J98" s="772" t="n">
        <v>0</v>
      </c>
      <c r="K98" s="772" t="n">
        <v>0</v>
      </c>
      <c r="L98" s="769" t="n">
        <v>0</v>
      </c>
      <c r="M98" s="873" t="n">
        <f aca="false">Breakout!$J$151/12</f>
        <v>60167.8477590433</v>
      </c>
      <c r="N98" s="872" t="n">
        <f aca="false">Breakout!$J$157/12</f>
        <v>0</v>
      </c>
      <c r="O98" s="873" t="n">
        <f aca="false">Breakout!$J$158/12</f>
        <v>8333.33333333333</v>
      </c>
      <c r="P98" s="872" t="n">
        <f aca="false">Breakout!$J$164/12</f>
        <v>0</v>
      </c>
      <c r="Q98" s="873" t="n">
        <f aca="false">Breakout!$J$165/12</f>
        <v>0</v>
      </c>
      <c r="R98" s="872" t="n">
        <f aca="false">Breakout!$J$171/12</f>
        <v>0</v>
      </c>
      <c r="S98" s="873" t="n">
        <f aca="false">Breakout!$J$172/12</f>
        <v>1318215.9188554</v>
      </c>
      <c r="T98" s="774" t="n">
        <f aca="false">C98+F98+I98+L98+N98+P98+R98</f>
        <v>6884053.78926998</v>
      </c>
      <c r="U98" s="771" t="n">
        <f aca="false">E98+H98+K98+M98+O98+Q98+S98</f>
        <v>6576634.32837617</v>
      </c>
      <c r="V98" s="774" t="n">
        <f aca="false">D98+G98+J98+M98+O98+Q98+S98</f>
        <v>6574568.1258076</v>
      </c>
      <c r="W98" s="775" t="n">
        <f aca="false">T98-V98-AD98</f>
        <v>309485.663462383</v>
      </c>
      <c r="X98" s="431"/>
      <c r="Y98" s="776" t="n">
        <f aca="false">T98-U98-AD98</f>
        <v>307419.460893815</v>
      </c>
      <c r="Z98" s="431"/>
      <c r="AA98" s="770" t="n">
        <f aca="false">'power redistribution'!$C$32/12</f>
        <v>58459835.6481481</v>
      </c>
      <c r="AB98" s="770" t="n">
        <f aca="false">'power redistribution'!$D$32/12</f>
        <v>15466.6666666667</v>
      </c>
      <c r="AC98" s="431"/>
      <c r="AD98" s="772" t="n">
        <v>0</v>
      </c>
      <c r="AE98" s="431"/>
    </row>
    <row r="99" customFormat="false" ht="12.75" hidden="false" customHeight="false" outlineLevel="0" collapsed="false">
      <c r="A99" s="767" t="n">
        <v>89</v>
      </c>
      <c r="B99" s="768" t="n">
        <v>39203</v>
      </c>
      <c r="C99" s="872" t="n">
        <f aca="false">Breakout!$J$136/12</f>
        <v>6760081.63515592</v>
      </c>
      <c r="D99" s="873" t="n">
        <f aca="false">Breakout!$J$137/12</f>
        <v>5086607.1</v>
      </c>
      <c r="E99" s="873" t="n">
        <v>5086607.1</v>
      </c>
      <c r="F99" s="872" t="n">
        <f aca="false">Breakout!$J$143/12</f>
        <v>123972.154114067</v>
      </c>
      <c r="G99" s="873" t="n">
        <f aca="false">Breakout!$J$144/12</f>
        <v>101243.925859821</v>
      </c>
      <c r="H99" s="873" t="n">
        <v>103310.128428389</v>
      </c>
      <c r="I99" s="769" t="n">
        <v>0</v>
      </c>
      <c r="J99" s="772" t="n">
        <v>0</v>
      </c>
      <c r="K99" s="772" t="n">
        <v>0</v>
      </c>
      <c r="L99" s="769" t="n">
        <v>0</v>
      </c>
      <c r="M99" s="873" t="n">
        <f aca="false">Breakout!$J$151/12</f>
        <v>60167.8477590433</v>
      </c>
      <c r="N99" s="872" t="n">
        <f aca="false">Breakout!$J$157/12</f>
        <v>0</v>
      </c>
      <c r="O99" s="873" t="n">
        <f aca="false">Breakout!$J$158/12</f>
        <v>8333.33333333333</v>
      </c>
      <c r="P99" s="872" t="n">
        <f aca="false">Breakout!$J$164/12</f>
        <v>0</v>
      </c>
      <c r="Q99" s="873" t="n">
        <f aca="false">Breakout!$J$165/12</f>
        <v>0</v>
      </c>
      <c r="R99" s="872" t="n">
        <f aca="false">Breakout!$J$171/12</f>
        <v>0</v>
      </c>
      <c r="S99" s="873" t="n">
        <f aca="false">Breakout!$J$172/12</f>
        <v>1318215.9188554</v>
      </c>
      <c r="T99" s="774" t="n">
        <f aca="false">C99+F99+I99+L99+N99+P99+R99</f>
        <v>6884053.78926998</v>
      </c>
      <c r="U99" s="771" t="n">
        <f aca="false">E99+H99+K99+M99+O99+Q99+S99</f>
        <v>6576634.32837617</v>
      </c>
      <c r="V99" s="774" t="n">
        <f aca="false">D99+G99+J99+M99+O99+Q99+S99</f>
        <v>6574568.1258076</v>
      </c>
      <c r="W99" s="775" t="n">
        <f aca="false">T99-V99-AD99</f>
        <v>309485.663462383</v>
      </c>
      <c r="X99" s="431"/>
      <c r="Y99" s="776" t="n">
        <f aca="false">T99-U99-AD99</f>
        <v>307419.460893815</v>
      </c>
      <c r="Z99" s="431"/>
      <c r="AA99" s="770" t="n">
        <f aca="false">'power redistribution'!$C$32/12</f>
        <v>58459835.6481481</v>
      </c>
      <c r="AB99" s="770" t="n">
        <f aca="false">'power redistribution'!$D$32/12</f>
        <v>15466.6666666667</v>
      </c>
      <c r="AC99" s="431"/>
      <c r="AD99" s="772" t="n">
        <v>0</v>
      </c>
      <c r="AE99" s="431"/>
    </row>
    <row r="100" customFormat="false" ht="12.75" hidden="false" customHeight="false" outlineLevel="0" collapsed="false">
      <c r="A100" s="767" t="n">
        <v>90</v>
      </c>
      <c r="B100" s="768" t="n">
        <v>39234</v>
      </c>
      <c r="C100" s="872" t="n">
        <f aca="false">Breakout!$J$136/12</f>
        <v>6760081.63515592</v>
      </c>
      <c r="D100" s="873" t="n">
        <f aca="false">Breakout!$J$137/12</f>
        <v>5086607.1</v>
      </c>
      <c r="E100" s="873" t="n">
        <v>5086607.1</v>
      </c>
      <c r="F100" s="872" t="n">
        <f aca="false">Breakout!$J$143/12</f>
        <v>123972.154114067</v>
      </c>
      <c r="G100" s="873" t="n">
        <f aca="false">Breakout!$J$144/12</f>
        <v>101243.925859821</v>
      </c>
      <c r="H100" s="873" t="n">
        <v>103310.128428389</v>
      </c>
      <c r="I100" s="769" t="n">
        <v>0</v>
      </c>
      <c r="J100" s="772" t="n">
        <v>0</v>
      </c>
      <c r="K100" s="772" t="n">
        <v>0</v>
      </c>
      <c r="L100" s="769" t="n">
        <v>0</v>
      </c>
      <c r="M100" s="873" t="n">
        <f aca="false">Breakout!$J$151/12</f>
        <v>60167.8477590433</v>
      </c>
      <c r="N100" s="872" t="n">
        <f aca="false">Breakout!$J$157/12</f>
        <v>0</v>
      </c>
      <c r="O100" s="873" t="n">
        <f aca="false">Breakout!$J$158/12</f>
        <v>8333.33333333333</v>
      </c>
      <c r="P100" s="872" t="n">
        <f aca="false">Breakout!$J$164/12</f>
        <v>0</v>
      </c>
      <c r="Q100" s="873" t="n">
        <f aca="false">Breakout!$J$165/12</f>
        <v>0</v>
      </c>
      <c r="R100" s="872" t="n">
        <f aca="false">Breakout!$J$171/12</f>
        <v>0</v>
      </c>
      <c r="S100" s="873" t="n">
        <f aca="false">Breakout!$J$172/12</f>
        <v>1318215.9188554</v>
      </c>
      <c r="T100" s="774" t="n">
        <f aca="false">C100+F100+I100+L100+N100+P100+R100</f>
        <v>6884053.78926998</v>
      </c>
      <c r="U100" s="771" t="n">
        <f aca="false">E100+H100+K100+M100+O100+Q100+S100</f>
        <v>6576634.32837617</v>
      </c>
      <c r="V100" s="774" t="n">
        <f aca="false">D100+G100+J100+M100+O100+Q100+S100</f>
        <v>6574568.1258076</v>
      </c>
      <c r="W100" s="775" t="n">
        <f aca="false">T100-V100-AD100</f>
        <v>309485.663462383</v>
      </c>
      <c r="X100" s="431"/>
      <c r="Y100" s="776" t="n">
        <f aca="false">T100-U100-AD100</f>
        <v>307419.460893815</v>
      </c>
      <c r="Z100" s="431"/>
      <c r="AA100" s="770" t="n">
        <f aca="false">'power redistribution'!$C$32/12</f>
        <v>58459835.6481481</v>
      </c>
      <c r="AB100" s="770" t="n">
        <f aca="false">'power redistribution'!$D$32/12</f>
        <v>15466.6666666667</v>
      </c>
      <c r="AC100" s="431"/>
      <c r="AD100" s="772" t="n">
        <v>0</v>
      </c>
      <c r="AE100" s="431"/>
    </row>
    <row r="101" customFormat="false" ht="12.75" hidden="false" customHeight="false" outlineLevel="0" collapsed="false">
      <c r="A101" s="767" t="n">
        <v>91</v>
      </c>
      <c r="B101" s="768" t="n">
        <v>39264</v>
      </c>
      <c r="C101" s="872" t="n">
        <f aca="false">Breakout!$J$136/12</f>
        <v>6760081.63515592</v>
      </c>
      <c r="D101" s="873" t="n">
        <f aca="false">Breakout!$J$137/12</f>
        <v>5086607.1</v>
      </c>
      <c r="E101" s="873" t="n">
        <v>5086607.1</v>
      </c>
      <c r="F101" s="872" t="n">
        <f aca="false">Breakout!$J$143/12</f>
        <v>123972.154114067</v>
      </c>
      <c r="G101" s="873" t="n">
        <f aca="false">Breakout!$J$144/12</f>
        <v>101243.925859821</v>
      </c>
      <c r="H101" s="873" t="n">
        <v>103310.128428389</v>
      </c>
      <c r="I101" s="769" t="n">
        <v>0</v>
      </c>
      <c r="J101" s="772" t="n">
        <v>0</v>
      </c>
      <c r="K101" s="772" t="n">
        <v>0</v>
      </c>
      <c r="L101" s="769" t="n">
        <v>0</v>
      </c>
      <c r="M101" s="873" t="n">
        <f aca="false">Breakout!$J$151/12</f>
        <v>60167.8477590433</v>
      </c>
      <c r="N101" s="872" t="n">
        <f aca="false">Breakout!$J$157/12</f>
        <v>0</v>
      </c>
      <c r="O101" s="873" t="n">
        <f aca="false">Breakout!$J$158/12</f>
        <v>8333.33333333333</v>
      </c>
      <c r="P101" s="872" t="n">
        <f aca="false">Breakout!$J$164/12</f>
        <v>0</v>
      </c>
      <c r="Q101" s="873" t="n">
        <f aca="false">Breakout!$J$165/12</f>
        <v>0</v>
      </c>
      <c r="R101" s="872" t="n">
        <f aca="false">Breakout!$J$171/12</f>
        <v>0</v>
      </c>
      <c r="S101" s="873" t="n">
        <f aca="false">Breakout!$J$172/12</f>
        <v>1318215.9188554</v>
      </c>
      <c r="T101" s="774" t="n">
        <f aca="false">C101+F101+I101+L101+N101+P101+R101</f>
        <v>6884053.78926998</v>
      </c>
      <c r="U101" s="771" t="n">
        <f aca="false">E101+H101+K101+M101+O101+Q101+S101</f>
        <v>6576634.32837617</v>
      </c>
      <c r="V101" s="774" t="n">
        <f aca="false">D101+G101+J101+M101+O101+Q101+S101</f>
        <v>6574568.1258076</v>
      </c>
      <c r="W101" s="775" t="n">
        <f aca="false">T101-V101-AD101</f>
        <v>309485.663462383</v>
      </c>
      <c r="X101" s="431"/>
      <c r="Y101" s="776" t="n">
        <f aca="false">T101-U101-AD101</f>
        <v>307419.460893815</v>
      </c>
      <c r="Z101" s="431"/>
      <c r="AA101" s="770" t="n">
        <f aca="false">'power redistribution'!$C$32/12</f>
        <v>58459835.6481481</v>
      </c>
      <c r="AB101" s="770" t="n">
        <f aca="false">'power redistribution'!$D$32/12</f>
        <v>15466.6666666667</v>
      </c>
      <c r="AC101" s="431"/>
      <c r="AD101" s="772" t="n">
        <v>0</v>
      </c>
      <c r="AE101" s="431"/>
    </row>
    <row r="102" customFormat="false" ht="12.75" hidden="false" customHeight="false" outlineLevel="0" collapsed="false">
      <c r="A102" s="767" t="n">
        <v>92</v>
      </c>
      <c r="B102" s="768" t="n">
        <v>39295</v>
      </c>
      <c r="C102" s="872" t="n">
        <f aca="false">Breakout!$J$136/12</f>
        <v>6760081.63515592</v>
      </c>
      <c r="D102" s="873" t="n">
        <f aca="false">Breakout!$J$137/12</f>
        <v>5086607.1</v>
      </c>
      <c r="E102" s="873" t="n">
        <v>5086607.1</v>
      </c>
      <c r="F102" s="872" t="n">
        <f aca="false">Breakout!$J$143/12</f>
        <v>123972.154114067</v>
      </c>
      <c r="G102" s="873" t="n">
        <f aca="false">Breakout!$J$144/12</f>
        <v>101243.925859821</v>
      </c>
      <c r="H102" s="873" t="n">
        <v>103310.128428389</v>
      </c>
      <c r="I102" s="769" t="n">
        <v>0</v>
      </c>
      <c r="J102" s="772" t="n">
        <v>0</v>
      </c>
      <c r="K102" s="772" t="n">
        <v>0</v>
      </c>
      <c r="L102" s="769" t="n">
        <v>0</v>
      </c>
      <c r="M102" s="873" t="n">
        <f aca="false">Breakout!$J$151/12</f>
        <v>60167.8477590433</v>
      </c>
      <c r="N102" s="872" t="n">
        <f aca="false">Breakout!$J$157/12</f>
        <v>0</v>
      </c>
      <c r="O102" s="873" t="n">
        <f aca="false">Breakout!$J$158/12</f>
        <v>8333.33333333333</v>
      </c>
      <c r="P102" s="872" t="n">
        <f aca="false">Breakout!$J$164/12</f>
        <v>0</v>
      </c>
      <c r="Q102" s="873" t="n">
        <f aca="false">Breakout!$J$165/12</f>
        <v>0</v>
      </c>
      <c r="R102" s="872" t="n">
        <f aca="false">Breakout!$J$171/12</f>
        <v>0</v>
      </c>
      <c r="S102" s="873" t="n">
        <f aca="false">Breakout!$J$172/12</f>
        <v>1318215.9188554</v>
      </c>
      <c r="T102" s="774" t="n">
        <f aca="false">C102+F102+I102+L102+N102+P102+R102</f>
        <v>6884053.78926998</v>
      </c>
      <c r="U102" s="771" t="n">
        <f aca="false">E102+H102+K102+M102+O102+Q102+S102</f>
        <v>6576634.32837617</v>
      </c>
      <c r="V102" s="774" t="n">
        <f aca="false">D102+G102+J102+M102+O102+Q102+S102</f>
        <v>6574568.1258076</v>
      </c>
      <c r="W102" s="775" t="n">
        <f aca="false">T102-V102-AD102</f>
        <v>309485.663462383</v>
      </c>
      <c r="X102" s="431"/>
      <c r="Y102" s="776" t="n">
        <f aca="false">T102-U102-AD102</f>
        <v>307419.460893815</v>
      </c>
      <c r="Z102" s="431"/>
      <c r="AA102" s="770" t="n">
        <f aca="false">'power redistribution'!$C$32/12</f>
        <v>58459835.6481481</v>
      </c>
      <c r="AB102" s="770" t="n">
        <f aca="false">'power redistribution'!$D$32/12</f>
        <v>15466.6666666667</v>
      </c>
      <c r="AC102" s="431"/>
      <c r="AD102" s="772" t="n">
        <v>0</v>
      </c>
      <c r="AE102" s="431"/>
    </row>
    <row r="103" customFormat="false" ht="12.75" hidden="false" customHeight="false" outlineLevel="0" collapsed="false">
      <c r="A103" s="767" t="n">
        <v>93</v>
      </c>
      <c r="B103" s="768" t="n">
        <v>39326</v>
      </c>
      <c r="C103" s="872" t="n">
        <f aca="false">Breakout!$J$136/12</f>
        <v>6760081.63515592</v>
      </c>
      <c r="D103" s="873" t="n">
        <f aca="false">Breakout!$J$137/12</f>
        <v>5086607.1</v>
      </c>
      <c r="E103" s="873" t="n">
        <v>5086607.1</v>
      </c>
      <c r="F103" s="872" t="n">
        <f aca="false">Breakout!$J$143/12</f>
        <v>123972.154114067</v>
      </c>
      <c r="G103" s="873" t="n">
        <f aca="false">Breakout!$J$144/12</f>
        <v>101243.925859821</v>
      </c>
      <c r="H103" s="873" t="n">
        <v>103310.128428389</v>
      </c>
      <c r="I103" s="769" t="n">
        <v>0</v>
      </c>
      <c r="J103" s="772" t="n">
        <v>0</v>
      </c>
      <c r="K103" s="772" t="n">
        <v>0</v>
      </c>
      <c r="L103" s="769" t="n">
        <v>0</v>
      </c>
      <c r="M103" s="873" t="n">
        <f aca="false">Breakout!$J$151/12</f>
        <v>60167.8477590433</v>
      </c>
      <c r="N103" s="872" t="n">
        <f aca="false">Breakout!$J$157/12</f>
        <v>0</v>
      </c>
      <c r="O103" s="873" t="n">
        <f aca="false">Breakout!$J$158/12</f>
        <v>8333.33333333333</v>
      </c>
      <c r="P103" s="872" t="n">
        <f aca="false">Breakout!$J$164/12</f>
        <v>0</v>
      </c>
      <c r="Q103" s="873" t="n">
        <f aca="false">Breakout!$J$165/12</f>
        <v>0</v>
      </c>
      <c r="R103" s="872" t="n">
        <f aca="false">Breakout!$J$171/12</f>
        <v>0</v>
      </c>
      <c r="S103" s="873" t="n">
        <f aca="false">Breakout!$J$172/12</f>
        <v>1318215.9188554</v>
      </c>
      <c r="T103" s="774" t="n">
        <f aca="false">C103+F103+I103+L103+N103+P103+R103</f>
        <v>6884053.78926998</v>
      </c>
      <c r="U103" s="771" t="n">
        <f aca="false">E103+H103+K103+M103+O103+Q103+S103</f>
        <v>6576634.32837617</v>
      </c>
      <c r="V103" s="774" t="n">
        <f aca="false">D103+G103+J103+M103+O103+Q103+S103</f>
        <v>6574568.1258076</v>
      </c>
      <c r="W103" s="775" t="n">
        <f aca="false">T103-V103-AD103</f>
        <v>309485.663462383</v>
      </c>
      <c r="X103" s="431"/>
      <c r="Y103" s="776" t="n">
        <f aca="false">T103-U103-AD103</f>
        <v>307419.460893815</v>
      </c>
      <c r="Z103" s="431"/>
      <c r="AA103" s="770" t="n">
        <f aca="false">'power redistribution'!$C$32/12</f>
        <v>58459835.6481481</v>
      </c>
      <c r="AB103" s="770" t="n">
        <f aca="false">'power redistribution'!$D$32/12</f>
        <v>15466.6666666667</v>
      </c>
      <c r="AC103" s="431"/>
      <c r="AD103" s="772" t="n">
        <v>0</v>
      </c>
      <c r="AE103" s="431"/>
    </row>
    <row r="104" customFormat="false" ht="12.75" hidden="false" customHeight="false" outlineLevel="0" collapsed="false">
      <c r="A104" s="767" t="n">
        <v>94</v>
      </c>
      <c r="B104" s="768" t="n">
        <v>39356</v>
      </c>
      <c r="C104" s="872" t="n">
        <f aca="false">Breakout!$J$136/12</f>
        <v>6760081.63515592</v>
      </c>
      <c r="D104" s="873" t="n">
        <f aca="false">Breakout!$J$137/12</f>
        <v>5086607.1</v>
      </c>
      <c r="E104" s="873" t="n">
        <v>5086607.1</v>
      </c>
      <c r="F104" s="872" t="n">
        <f aca="false">Breakout!$J$143/12</f>
        <v>123972.154114067</v>
      </c>
      <c r="G104" s="873" t="n">
        <f aca="false">Breakout!$J$144/12</f>
        <v>101243.925859821</v>
      </c>
      <c r="H104" s="873" t="n">
        <v>103310.128428389</v>
      </c>
      <c r="I104" s="769" t="n">
        <v>0</v>
      </c>
      <c r="J104" s="772" t="n">
        <v>0</v>
      </c>
      <c r="K104" s="772" t="n">
        <v>0</v>
      </c>
      <c r="L104" s="769" t="n">
        <v>0</v>
      </c>
      <c r="M104" s="873" t="n">
        <f aca="false">Breakout!$J$151/12</f>
        <v>60167.8477590433</v>
      </c>
      <c r="N104" s="872" t="n">
        <f aca="false">Breakout!$J$157/12</f>
        <v>0</v>
      </c>
      <c r="O104" s="873" t="n">
        <f aca="false">Breakout!$J$158/12</f>
        <v>8333.33333333333</v>
      </c>
      <c r="P104" s="872" t="n">
        <f aca="false">Breakout!$J$164/12</f>
        <v>0</v>
      </c>
      <c r="Q104" s="873" t="n">
        <f aca="false">Breakout!$J$165/12</f>
        <v>0</v>
      </c>
      <c r="R104" s="872" t="n">
        <f aca="false">Breakout!$J$171/12</f>
        <v>0</v>
      </c>
      <c r="S104" s="873" t="n">
        <f aca="false">Breakout!$J$172/12</f>
        <v>1318215.9188554</v>
      </c>
      <c r="T104" s="774" t="n">
        <f aca="false">C104+F104+I104+L104+N104+P104+R104</f>
        <v>6884053.78926998</v>
      </c>
      <c r="U104" s="771" t="n">
        <f aca="false">E104+H104+K104+M104+O104+Q104+S104</f>
        <v>6576634.32837617</v>
      </c>
      <c r="V104" s="774" t="n">
        <f aca="false">D104+G104+J104+M104+O104+Q104+S104</f>
        <v>6574568.1258076</v>
      </c>
      <c r="W104" s="775" t="n">
        <f aca="false">T104-V104-AD104</f>
        <v>309485.663462383</v>
      </c>
      <c r="X104" s="431"/>
      <c r="Y104" s="776" t="n">
        <f aca="false">T104-U104-AD104</f>
        <v>307419.460893815</v>
      </c>
      <c r="Z104" s="431"/>
      <c r="AA104" s="770" t="n">
        <f aca="false">'power redistribution'!$C$32/12</f>
        <v>58459835.6481481</v>
      </c>
      <c r="AB104" s="770" t="n">
        <f aca="false">'power redistribution'!$D$32/12</f>
        <v>15466.6666666667</v>
      </c>
      <c r="AC104" s="431"/>
      <c r="AD104" s="772" t="n">
        <v>0</v>
      </c>
      <c r="AE104" s="431"/>
    </row>
    <row r="105" customFormat="false" ht="12.75" hidden="false" customHeight="false" outlineLevel="0" collapsed="false">
      <c r="A105" s="767" t="n">
        <v>95</v>
      </c>
      <c r="B105" s="768" t="n">
        <v>39387</v>
      </c>
      <c r="C105" s="872" t="n">
        <f aca="false">Breakout!$J$136/12</f>
        <v>6760081.63515592</v>
      </c>
      <c r="D105" s="873" t="n">
        <f aca="false">Breakout!$J$137/12</f>
        <v>5086607.1</v>
      </c>
      <c r="E105" s="873" t="n">
        <v>5086607.1</v>
      </c>
      <c r="F105" s="872" t="n">
        <f aca="false">Breakout!$J$143/12</f>
        <v>123972.154114067</v>
      </c>
      <c r="G105" s="873" t="n">
        <f aca="false">Breakout!$J$144/12</f>
        <v>101243.925859821</v>
      </c>
      <c r="H105" s="873" t="n">
        <v>103310.128428389</v>
      </c>
      <c r="I105" s="769" t="n">
        <v>0</v>
      </c>
      <c r="J105" s="772" t="n">
        <v>0</v>
      </c>
      <c r="K105" s="772" t="n">
        <v>0</v>
      </c>
      <c r="L105" s="769" t="n">
        <v>0</v>
      </c>
      <c r="M105" s="873" t="n">
        <f aca="false">Breakout!$J$151/12</f>
        <v>60167.8477590433</v>
      </c>
      <c r="N105" s="872" t="n">
        <f aca="false">Breakout!$J$157/12</f>
        <v>0</v>
      </c>
      <c r="O105" s="873" t="n">
        <f aca="false">Breakout!$J$158/12</f>
        <v>8333.33333333333</v>
      </c>
      <c r="P105" s="872" t="n">
        <f aca="false">Breakout!$J$164/12</f>
        <v>0</v>
      </c>
      <c r="Q105" s="873" t="n">
        <f aca="false">Breakout!$J$165/12</f>
        <v>0</v>
      </c>
      <c r="R105" s="872" t="n">
        <f aca="false">Breakout!$J$171/12</f>
        <v>0</v>
      </c>
      <c r="S105" s="873" t="n">
        <f aca="false">Breakout!$J$172/12</f>
        <v>1318215.9188554</v>
      </c>
      <c r="T105" s="774" t="n">
        <f aca="false">C105+F105+I105+L105+N105+P105+R105</f>
        <v>6884053.78926998</v>
      </c>
      <c r="U105" s="771" t="n">
        <f aca="false">E105+H105+K105+M105+O105+Q105+S105</f>
        <v>6576634.32837617</v>
      </c>
      <c r="V105" s="774" t="n">
        <f aca="false">D105+G105+J105+M105+O105+Q105+S105</f>
        <v>6574568.1258076</v>
      </c>
      <c r="W105" s="775" t="n">
        <f aca="false">T105-V105-AD105</f>
        <v>309485.663462383</v>
      </c>
      <c r="X105" s="431"/>
      <c r="Y105" s="776" t="n">
        <f aca="false">T105-U105-AD105</f>
        <v>307419.460893815</v>
      </c>
      <c r="Z105" s="431"/>
      <c r="AA105" s="770" t="n">
        <f aca="false">'power redistribution'!$C$32/12</f>
        <v>58459835.6481481</v>
      </c>
      <c r="AB105" s="770" t="n">
        <f aca="false">'power redistribution'!$D$32/12</f>
        <v>15466.6666666667</v>
      </c>
      <c r="AC105" s="431"/>
      <c r="AD105" s="772" t="n">
        <v>0</v>
      </c>
      <c r="AE105" s="431"/>
    </row>
    <row r="106" customFormat="false" ht="12.75" hidden="false" customHeight="false" outlineLevel="0" collapsed="false">
      <c r="A106" s="881" t="n">
        <v>96</v>
      </c>
      <c r="B106" s="894" t="n">
        <v>39417</v>
      </c>
      <c r="C106" s="886" t="n">
        <f aca="false">Breakout!$J$136/12</f>
        <v>6760081.63515592</v>
      </c>
      <c r="D106" s="883" t="n">
        <f aca="false">Breakout!$J$137/12</f>
        <v>5086607.1</v>
      </c>
      <c r="E106" s="883" t="n">
        <v>5086607.1</v>
      </c>
      <c r="F106" s="886" t="n">
        <f aca="false">Breakout!$J$143/12</f>
        <v>123972.154114067</v>
      </c>
      <c r="G106" s="883" t="n">
        <f aca="false">Breakout!$J$144/12</f>
        <v>101243.925859821</v>
      </c>
      <c r="H106" s="883" t="n">
        <v>103310.128428389</v>
      </c>
      <c r="I106" s="769" t="n">
        <v>0</v>
      </c>
      <c r="J106" s="772" t="n">
        <v>0</v>
      </c>
      <c r="K106" s="772" t="n">
        <v>0</v>
      </c>
      <c r="L106" s="769" t="n">
        <v>0</v>
      </c>
      <c r="M106" s="883" t="n">
        <f aca="false">Breakout!$J$151/12</f>
        <v>60167.8477590433</v>
      </c>
      <c r="N106" s="886" t="n">
        <f aca="false">Breakout!$J$157/12</f>
        <v>0</v>
      </c>
      <c r="O106" s="883" t="n">
        <f aca="false">Breakout!$J$158/12</f>
        <v>8333.33333333333</v>
      </c>
      <c r="P106" s="886" t="n">
        <f aca="false">Breakout!$J$164/12</f>
        <v>0</v>
      </c>
      <c r="Q106" s="883" t="n">
        <f aca="false">Breakout!$J$165/12</f>
        <v>0</v>
      </c>
      <c r="R106" s="886" t="n">
        <f aca="false">Breakout!$J$171/12</f>
        <v>0</v>
      </c>
      <c r="S106" s="883" t="n">
        <f aca="false">Breakout!$J$172/12</f>
        <v>1318215.9188554</v>
      </c>
      <c r="T106" s="774" t="n">
        <f aca="false">C106+F106+I106+L106+N106+P106+R106</f>
        <v>6884053.78926998</v>
      </c>
      <c r="U106" s="771" t="n">
        <f aca="false">E106+H106+K106+M106+O106+Q106+S106</f>
        <v>6576634.32837617</v>
      </c>
      <c r="V106" s="774" t="n">
        <f aca="false">D106+G106+J106+M106+O106+Q106+S106</f>
        <v>6574568.1258076</v>
      </c>
      <c r="W106" s="775" t="n">
        <f aca="false">T106-V106-AD106</f>
        <v>309485.663462383</v>
      </c>
      <c r="X106" s="885" t="n">
        <f aca="false">SUM(W95:W106)</f>
        <v>3713827.96154859</v>
      </c>
      <c r="Y106" s="776" t="n">
        <f aca="false">T106-U106-AD106</f>
        <v>307419.460893815</v>
      </c>
      <c r="Z106" s="885" t="n">
        <f aca="false">SUM(Y95:Y106)</f>
        <v>3689033.53072578</v>
      </c>
      <c r="AA106" s="770" t="n">
        <f aca="false">'power redistribution'!$C$32/12</f>
        <v>58459835.6481481</v>
      </c>
      <c r="AB106" s="770" t="n">
        <f aca="false">'power redistribution'!$D$32/12</f>
        <v>15466.6666666667</v>
      </c>
      <c r="AC106" s="885"/>
      <c r="AD106" s="772" t="n">
        <v>0</v>
      </c>
      <c r="AE106" s="885"/>
      <c r="AF106" s="885"/>
      <c r="AG106" s="885"/>
      <c r="AH106" s="885"/>
      <c r="AI106" s="885"/>
      <c r="AJ106" s="885"/>
      <c r="AK106" s="885"/>
      <c r="AL106" s="885"/>
      <c r="AM106" s="885"/>
      <c r="AN106" s="885"/>
      <c r="AO106" s="885"/>
      <c r="AP106" s="885"/>
      <c r="AQ106" s="885"/>
      <c r="AR106" s="885"/>
      <c r="AS106" s="885"/>
      <c r="AT106" s="885"/>
      <c r="AU106" s="885"/>
      <c r="AV106" s="885"/>
      <c r="AW106" s="885"/>
      <c r="AX106" s="885"/>
      <c r="AY106" s="885"/>
      <c r="AZ106" s="885"/>
      <c r="BA106" s="885"/>
      <c r="BB106" s="885"/>
      <c r="BC106" s="885"/>
      <c r="BD106" s="885"/>
      <c r="BE106" s="885"/>
      <c r="BF106" s="885"/>
      <c r="BG106" s="885"/>
      <c r="BH106" s="885"/>
      <c r="BI106" s="885"/>
      <c r="BJ106" s="885"/>
      <c r="BK106" s="885"/>
      <c r="BL106" s="885"/>
      <c r="BM106" s="885"/>
      <c r="BN106" s="885"/>
      <c r="BO106" s="885"/>
      <c r="BP106" s="885"/>
      <c r="BQ106" s="885"/>
      <c r="BR106" s="885"/>
      <c r="BS106" s="885"/>
      <c r="BT106" s="885"/>
      <c r="BU106" s="885"/>
      <c r="BV106" s="885"/>
      <c r="BW106" s="885"/>
      <c r="BX106" s="885"/>
      <c r="BY106" s="885"/>
    </row>
    <row r="107" customFormat="false" ht="12.75" hidden="false" customHeight="false" outlineLevel="0" collapsed="false">
      <c r="A107" s="866" t="n">
        <v>97</v>
      </c>
      <c r="B107" s="897" t="n">
        <v>39448</v>
      </c>
      <c r="C107" s="868" t="n">
        <f aca="false">Breakout!$K$136/12</f>
        <v>6760081.63515592</v>
      </c>
      <c r="D107" s="870" t="n">
        <f aca="false">Breakout!$K$137/12</f>
        <v>4922523</v>
      </c>
      <c r="E107" s="870" t="n">
        <v>4922523</v>
      </c>
      <c r="F107" s="868" t="n">
        <f aca="false">Breakout!$K$143/12</f>
        <v>127896.901549339</v>
      </c>
      <c r="G107" s="870" t="n">
        <f aca="false">Breakout!$K$144/12</f>
        <v>104449.136265294</v>
      </c>
      <c r="H107" s="870" t="n">
        <v>106580.751291116</v>
      </c>
      <c r="I107" s="769" t="n">
        <v>0</v>
      </c>
      <c r="J107" s="772" t="n">
        <v>0</v>
      </c>
      <c r="K107" s="772" t="n">
        <v>0</v>
      </c>
      <c r="L107" s="769" t="n">
        <v>0</v>
      </c>
      <c r="M107" s="870" t="n">
        <f aca="false">Breakout!$K$151/12</f>
        <v>60167.8477590433</v>
      </c>
      <c r="N107" s="868" t="n">
        <f aca="false">Breakout!$K$157/12</f>
        <v>0</v>
      </c>
      <c r="O107" s="870" t="n">
        <f aca="false">Breakout!$K$158/12</f>
        <v>8333.33333333333</v>
      </c>
      <c r="P107" s="868" t="n">
        <f aca="false">Breakout!$K$164/12</f>
        <v>0</v>
      </c>
      <c r="Q107" s="870" t="n">
        <f aca="false">Breakout!$K$165/12</f>
        <v>0</v>
      </c>
      <c r="R107" s="868" t="n">
        <f aca="false">Breakout!$K$171/12</f>
        <v>0</v>
      </c>
      <c r="S107" s="870" t="n">
        <f aca="false">Breakout!$K$172/12</f>
        <v>1318215.9188554</v>
      </c>
      <c r="T107" s="774" t="n">
        <f aca="false">C107+F107+I107+L107+N107+P107+R107</f>
        <v>6887978.53670526</v>
      </c>
      <c r="U107" s="771" t="n">
        <f aca="false">E107+H107+K107+M107+O107+Q107+S107</f>
        <v>6415820.8512389</v>
      </c>
      <c r="V107" s="774" t="n">
        <f aca="false">D107+G107+J107+M107+O107+Q107+S107</f>
        <v>6413689.23621307</v>
      </c>
      <c r="W107" s="775" t="n">
        <f aca="false">T107-V107-AD107</f>
        <v>474289.300492182</v>
      </c>
      <c r="X107" s="869"/>
      <c r="Y107" s="776" t="n">
        <f aca="false">T107-U107-AD107</f>
        <v>472157.68546636</v>
      </c>
      <c r="Z107" s="869"/>
      <c r="AA107" s="770" t="n">
        <f aca="false">'power redistribution'!$C$32/12</f>
        <v>58459835.6481481</v>
      </c>
      <c r="AB107" s="770" t="n">
        <f aca="false">'power redistribution'!$D$32/12</f>
        <v>15466.6666666667</v>
      </c>
      <c r="AC107" s="869"/>
      <c r="AD107" s="772" t="n">
        <v>0</v>
      </c>
      <c r="AE107" s="869"/>
      <c r="AF107" s="869"/>
      <c r="AG107" s="869"/>
      <c r="AH107" s="869"/>
      <c r="AI107" s="869"/>
      <c r="AJ107" s="869"/>
      <c r="AK107" s="869"/>
      <c r="AL107" s="869"/>
      <c r="AM107" s="869"/>
      <c r="AN107" s="869"/>
      <c r="AO107" s="869"/>
      <c r="AP107" s="869"/>
      <c r="AQ107" s="869"/>
      <c r="AR107" s="869"/>
      <c r="AS107" s="869"/>
      <c r="AT107" s="869"/>
      <c r="AU107" s="869"/>
      <c r="AV107" s="869"/>
      <c r="AW107" s="869"/>
      <c r="AX107" s="869"/>
      <c r="AY107" s="869"/>
      <c r="AZ107" s="869"/>
      <c r="BA107" s="869"/>
      <c r="BB107" s="869"/>
      <c r="BC107" s="869"/>
      <c r="BD107" s="869"/>
      <c r="BE107" s="869"/>
      <c r="BF107" s="869"/>
      <c r="BG107" s="869"/>
      <c r="BH107" s="869"/>
      <c r="BI107" s="869"/>
      <c r="BJ107" s="869"/>
      <c r="BK107" s="869"/>
      <c r="BL107" s="869"/>
      <c r="BM107" s="869"/>
      <c r="BN107" s="869"/>
      <c r="BO107" s="869"/>
      <c r="BP107" s="869"/>
      <c r="BQ107" s="869"/>
      <c r="BR107" s="869"/>
      <c r="BS107" s="869"/>
      <c r="BT107" s="869"/>
      <c r="BU107" s="869"/>
      <c r="BV107" s="869"/>
      <c r="BW107" s="869"/>
      <c r="BX107" s="869"/>
      <c r="BY107" s="869"/>
    </row>
    <row r="108" customFormat="false" ht="12.75" hidden="false" customHeight="false" outlineLevel="0" collapsed="false">
      <c r="A108" s="767" t="n">
        <v>98</v>
      </c>
      <c r="B108" s="768" t="n">
        <v>39479</v>
      </c>
      <c r="C108" s="872" t="n">
        <f aca="false">Breakout!$K$136/12</f>
        <v>6760081.63515592</v>
      </c>
      <c r="D108" s="873" t="n">
        <f aca="false">Breakout!$K$137/12</f>
        <v>4922523</v>
      </c>
      <c r="E108" s="873" t="n">
        <v>4922523</v>
      </c>
      <c r="F108" s="872" t="n">
        <f aca="false">Breakout!$K$143/12</f>
        <v>127896.901549339</v>
      </c>
      <c r="G108" s="873" t="n">
        <f aca="false">Breakout!$K$144/12</f>
        <v>104449.136265294</v>
      </c>
      <c r="H108" s="873" t="n">
        <v>106580.751291116</v>
      </c>
      <c r="I108" s="769" t="n">
        <v>0</v>
      </c>
      <c r="J108" s="772" t="n">
        <v>0</v>
      </c>
      <c r="K108" s="772" t="n">
        <v>0</v>
      </c>
      <c r="L108" s="769" t="n">
        <v>0</v>
      </c>
      <c r="M108" s="873" t="n">
        <f aca="false">Breakout!$K$151/12</f>
        <v>60167.8477590433</v>
      </c>
      <c r="N108" s="872" t="n">
        <f aca="false">Breakout!$K$157/12</f>
        <v>0</v>
      </c>
      <c r="O108" s="873" t="n">
        <f aca="false">Breakout!$K$158/12</f>
        <v>8333.33333333333</v>
      </c>
      <c r="P108" s="872" t="n">
        <f aca="false">Breakout!$K$164/12</f>
        <v>0</v>
      </c>
      <c r="Q108" s="873" t="n">
        <f aca="false">Breakout!$K$165/12</f>
        <v>0</v>
      </c>
      <c r="R108" s="872" t="n">
        <f aca="false">Breakout!$K$171/12</f>
        <v>0</v>
      </c>
      <c r="S108" s="873" t="n">
        <f aca="false">Breakout!$K$172/12</f>
        <v>1318215.9188554</v>
      </c>
      <c r="T108" s="774" t="n">
        <f aca="false">C108+F108+I108+L108+N108+P108+R108</f>
        <v>6887978.53670526</v>
      </c>
      <c r="U108" s="771" t="n">
        <f aca="false">E108+H108+K108+M108+O108+Q108+S108</f>
        <v>6415820.8512389</v>
      </c>
      <c r="V108" s="774" t="n">
        <f aca="false">D108+G108+J108+M108+O108+Q108+S108</f>
        <v>6413689.23621307</v>
      </c>
      <c r="W108" s="775" t="n">
        <f aca="false">T108-V108-AD108</f>
        <v>474289.300492182</v>
      </c>
      <c r="X108" s="431"/>
      <c r="Y108" s="776" t="n">
        <f aca="false">T108-U108-AD108</f>
        <v>472157.68546636</v>
      </c>
      <c r="Z108" s="431"/>
      <c r="AA108" s="770" t="n">
        <f aca="false">'power redistribution'!$C$32/12</f>
        <v>58459835.6481481</v>
      </c>
      <c r="AB108" s="770" t="n">
        <f aca="false">'power redistribution'!$D$32/12</f>
        <v>15466.6666666667</v>
      </c>
      <c r="AC108" s="431"/>
      <c r="AD108" s="772" t="n">
        <v>0</v>
      </c>
      <c r="AE108" s="431"/>
    </row>
    <row r="109" customFormat="false" ht="12.75" hidden="false" customHeight="false" outlineLevel="0" collapsed="false">
      <c r="A109" s="767" t="n">
        <v>99</v>
      </c>
      <c r="B109" s="768" t="n">
        <v>39508</v>
      </c>
      <c r="C109" s="872" t="n">
        <f aca="false">Breakout!$K$136/12</f>
        <v>6760081.63515592</v>
      </c>
      <c r="D109" s="873" t="n">
        <f aca="false">Breakout!$K$137/12</f>
        <v>4922523</v>
      </c>
      <c r="E109" s="873" t="n">
        <v>4922523</v>
      </c>
      <c r="F109" s="872" t="n">
        <f aca="false">Breakout!$K$143/12</f>
        <v>127896.901549339</v>
      </c>
      <c r="G109" s="873" t="n">
        <f aca="false">Breakout!$K$144/12</f>
        <v>104449.136265294</v>
      </c>
      <c r="H109" s="873" t="n">
        <v>106580.751291116</v>
      </c>
      <c r="I109" s="769" t="n">
        <v>0</v>
      </c>
      <c r="J109" s="772" t="n">
        <v>0</v>
      </c>
      <c r="K109" s="772" t="n">
        <v>0</v>
      </c>
      <c r="L109" s="769" t="n">
        <v>0</v>
      </c>
      <c r="M109" s="873" t="n">
        <f aca="false">Breakout!$K$151/12</f>
        <v>60167.8477590433</v>
      </c>
      <c r="N109" s="872" t="n">
        <f aca="false">Breakout!$K$157/12</f>
        <v>0</v>
      </c>
      <c r="O109" s="873" t="n">
        <f aca="false">Breakout!$K$158/12</f>
        <v>8333.33333333333</v>
      </c>
      <c r="P109" s="872" t="n">
        <f aca="false">Breakout!$K$164/12</f>
        <v>0</v>
      </c>
      <c r="Q109" s="873" t="n">
        <f aca="false">Breakout!$K$165/12</f>
        <v>0</v>
      </c>
      <c r="R109" s="872" t="n">
        <f aca="false">Breakout!$K$171/12</f>
        <v>0</v>
      </c>
      <c r="S109" s="873" t="n">
        <f aca="false">Breakout!$K$172/12</f>
        <v>1318215.9188554</v>
      </c>
      <c r="T109" s="774" t="n">
        <f aca="false">C109+F109+I109+L109+N109+P109+R109</f>
        <v>6887978.53670526</v>
      </c>
      <c r="U109" s="771" t="n">
        <f aca="false">E109+H109+K109+M109+O109+Q109+S109</f>
        <v>6415820.8512389</v>
      </c>
      <c r="V109" s="774" t="n">
        <f aca="false">D109+G109+J109+M109+O109+Q109+S109</f>
        <v>6413689.23621307</v>
      </c>
      <c r="W109" s="775" t="n">
        <f aca="false">T109-V109-AD109</f>
        <v>474289.300492182</v>
      </c>
      <c r="X109" s="431"/>
      <c r="Y109" s="776" t="n">
        <f aca="false">T109-U109-AD109</f>
        <v>472157.68546636</v>
      </c>
      <c r="Z109" s="431"/>
      <c r="AA109" s="770" t="n">
        <f aca="false">'power redistribution'!$C$32/12</f>
        <v>58459835.6481481</v>
      </c>
      <c r="AB109" s="770" t="n">
        <f aca="false">'power redistribution'!$D$32/12</f>
        <v>15466.6666666667</v>
      </c>
      <c r="AC109" s="431"/>
      <c r="AD109" s="772" t="n">
        <v>0</v>
      </c>
      <c r="AE109" s="431"/>
    </row>
    <row r="110" customFormat="false" ht="12.75" hidden="false" customHeight="false" outlineLevel="0" collapsed="false">
      <c r="A110" s="767" t="n">
        <v>100</v>
      </c>
      <c r="B110" s="768" t="n">
        <v>39539</v>
      </c>
      <c r="C110" s="872" t="n">
        <f aca="false">Breakout!$K$136/12</f>
        <v>6760081.63515592</v>
      </c>
      <c r="D110" s="873" t="n">
        <f aca="false">Breakout!$K$137/12</f>
        <v>4922523</v>
      </c>
      <c r="E110" s="873" t="n">
        <v>4922523</v>
      </c>
      <c r="F110" s="872" t="n">
        <f aca="false">Breakout!$K$143/12</f>
        <v>127896.901549339</v>
      </c>
      <c r="G110" s="873" t="n">
        <f aca="false">Breakout!$K$144/12</f>
        <v>104449.136265294</v>
      </c>
      <c r="H110" s="873" t="n">
        <v>106580.751291116</v>
      </c>
      <c r="I110" s="769" t="n">
        <v>0</v>
      </c>
      <c r="J110" s="772" t="n">
        <v>0</v>
      </c>
      <c r="K110" s="772" t="n">
        <v>0</v>
      </c>
      <c r="L110" s="769" t="n">
        <v>0</v>
      </c>
      <c r="M110" s="873" t="n">
        <f aca="false">Breakout!$K$151/12</f>
        <v>60167.8477590433</v>
      </c>
      <c r="N110" s="872" t="n">
        <f aca="false">Breakout!$K$157/12</f>
        <v>0</v>
      </c>
      <c r="O110" s="873" t="n">
        <f aca="false">Breakout!$K$158/12</f>
        <v>8333.33333333333</v>
      </c>
      <c r="P110" s="872" t="n">
        <f aca="false">Breakout!$K$164/12</f>
        <v>0</v>
      </c>
      <c r="Q110" s="873" t="n">
        <f aca="false">Breakout!$K$165/12</f>
        <v>0</v>
      </c>
      <c r="R110" s="872" t="n">
        <f aca="false">Breakout!$K$171/12</f>
        <v>0</v>
      </c>
      <c r="S110" s="873" t="n">
        <f aca="false">Breakout!$K$172/12</f>
        <v>1318215.9188554</v>
      </c>
      <c r="T110" s="774" t="n">
        <f aca="false">C110+F110+I110+L110+N110+P110+R110</f>
        <v>6887978.53670526</v>
      </c>
      <c r="U110" s="771" t="n">
        <f aca="false">E110+H110+K110+M110+O110+Q110+S110</f>
        <v>6415820.8512389</v>
      </c>
      <c r="V110" s="774" t="n">
        <f aca="false">D110+G110+J110+M110+O110+Q110+S110</f>
        <v>6413689.23621307</v>
      </c>
      <c r="W110" s="775" t="n">
        <f aca="false">T110-V110-AD110</f>
        <v>474289.300492182</v>
      </c>
      <c r="X110" s="431"/>
      <c r="Y110" s="776" t="n">
        <f aca="false">T110-U110-AD110</f>
        <v>472157.68546636</v>
      </c>
      <c r="Z110" s="431"/>
      <c r="AA110" s="770" t="n">
        <f aca="false">'power redistribution'!$C$32/12</f>
        <v>58459835.6481481</v>
      </c>
      <c r="AB110" s="770" t="n">
        <f aca="false">'power redistribution'!$D$32/12</f>
        <v>15466.6666666667</v>
      </c>
      <c r="AC110" s="431"/>
      <c r="AD110" s="772" t="n">
        <v>0</v>
      </c>
      <c r="AE110" s="431"/>
    </row>
    <row r="111" customFormat="false" ht="12.75" hidden="false" customHeight="false" outlineLevel="0" collapsed="false">
      <c r="A111" s="767" t="n">
        <v>101</v>
      </c>
      <c r="B111" s="768" t="n">
        <v>39569</v>
      </c>
      <c r="C111" s="872" t="n">
        <f aca="false">Breakout!$K$136/12</f>
        <v>6760081.63515592</v>
      </c>
      <c r="D111" s="873" t="n">
        <f aca="false">Breakout!$K$137/12</f>
        <v>4922523</v>
      </c>
      <c r="E111" s="873" t="n">
        <v>4922523</v>
      </c>
      <c r="F111" s="872" t="n">
        <f aca="false">Breakout!$K$143/12</f>
        <v>127896.901549339</v>
      </c>
      <c r="G111" s="873" t="n">
        <f aca="false">Breakout!$K$144/12</f>
        <v>104449.136265294</v>
      </c>
      <c r="H111" s="873" t="n">
        <v>106580.751291116</v>
      </c>
      <c r="I111" s="769" t="n">
        <v>0</v>
      </c>
      <c r="J111" s="772" t="n">
        <v>0</v>
      </c>
      <c r="K111" s="772" t="n">
        <v>0</v>
      </c>
      <c r="L111" s="769" t="n">
        <v>0</v>
      </c>
      <c r="M111" s="873" t="n">
        <f aca="false">Breakout!$K$151/12</f>
        <v>60167.8477590433</v>
      </c>
      <c r="N111" s="872" t="n">
        <f aca="false">Breakout!$K$157/12</f>
        <v>0</v>
      </c>
      <c r="O111" s="873" t="n">
        <f aca="false">Breakout!$K$158/12</f>
        <v>8333.33333333333</v>
      </c>
      <c r="P111" s="872" t="n">
        <f aca="false">Breakout!$K$164/12</f>
        <v>0</v>
      </c>
      <c r="Q111" s="873" t="n">
        <f aca="false">Breakout!$K$165/12</f>
        <v>0</v>
      </c>
      <c r="R111" s="872" t="n">
        <f aca="false">Breakout!$K$171/12</f>
        <v>0</v>
      </c>
      <c r="S111" s="873" t="n">
        <f aca="false">Breakout!$K$172/12</f>
        <v>1318215.9188554</v>
      </c>
      <c r="T111" s="774" t="n">
        <f aca="false">C111+F111+I111+L111+N111+P111+R111</f>
        <v>6887978.53670526</v>
      </c>
      <c r="U111" s="771" t="n">
        <f aca="false">E111+H111+K111+M111+O111+Q111+S111</f>
        <v>6415820.8512389</v>
      </c>
      <c r="V111" s="774" t="n">
        <f aca="false">D111+G111+J111+M111+O111+Q111+S111</f>
        <v>6413689.23621307</v>
      </c>
      <c r="W111" s="775" t="n">
        <f aca="false">T111-V111-AD111</f>
        <v>474289.300492182</v>
      </c>
      <c r="X111" s="431"/>
      <c r="Y111" s="776" t="n">
        <f aca="false">T111-U111-AD111</f>
        <v>472157.68546636</v>
      </c>
      <c r="Z111" s="431"/>
      <c r="AA111" s="770" t="n">
        <f aca="false">'power redistribution'!$C$32/12</f>
        <v>58459835.6481481</v>
      </c>
      <c r="AB111" s="770" t="n">
        <f aca="false">'power redistribution'!$D$32/12</f>
        <v>15466.6666666667</v>
      </c>
      <c r="AC111" s="431"/>
      <c r="AD111" s="772" t="n">
        <v>0</v>
      </c>
      <c r="AE111" s="431"/>
    </row>
    <row r="112" customFormat="false" ht="12.75" hidden="false" customHeight="false" outlineLevel="0" collapsed="false">
      <c r="A112" s="767" t="n">
        <v>102</v>
      </c>
      <c r="B112" s="768" t="n">
        <v>39600</v>
      </c>
      <c r="C112" s="872" t="n">
        <f aca="false">Breakout!$K$136/12</f>
        <v>6760081.63515592</v>
      </c>
      <c r="D112" s="873" t="n">
        <f aca="false">Breakout!$K$137/12</f>
        <v>4922523</v>
      </c>
      <c r="E112" s="873" t="n">
        <v>4922523</v>
      </c>
      <c r="F112" s="872" t="n">
        <f aca="false">Breakout!$K$143/12</f>
        <v>127896.901549339</v>
      </c>
      <c r="G112" s="873" t="n">
        <f aca="false">Breakout!$K$144/12</f>
        <v>104449.136265294</v>
      </c>
      <c r="H112" s="873" t="n">
        <v>106580.751291116</v>
      </c>
      <c r="I112" s="769" t="n">
        <v>0</v>
      </c>
      <c r="J112" s="772" t="n">
        <v>0</v>
      </c>
      <c r="K112" s="772" t="n">
        <v>0</v>
      </c>
      <c r="L112" s="769" t="n">
        <v>0</v>
      </c>
      <c r="M112" s="873" t="n">
        <f aca="false">Breakout!$K$151/12</f>
        <v>60167.8477590433</v>
      </c>
      <c r="N112" s="872" t="n">
        <f aca="false">Breakout!$K$157/12</f>
        <v>0</v>
      </c>
      <c r="O112" s="873" t="n">
        <f aca="false">Breakout!$K$158/12</f>
        <v>8333.33333333333</v>
      </c>
      <c r="P112" s="872" t="n">
        <f aca="false">Breakout!$K$164/12</f>
        <v>0</v>
      </c>
      <c r="Q112" s="873" t="n">
        <f aca="false">Breakout!$K$165/12</f>
        <v>0</v>
      </c>
      <c r="R112" s="872" t="n">
        <f aca="false">Breakout!$K$171/12</f>
        <v>0</v>
      </c>
      <c r="S112" s="873" t="n">
        <f aca="false">Breakout!$K$172/12</f>
        <v>1318215.9188554</v>
      </c>
      <c r="T112" s="774" t="n">
        <f aca="false">C112+F112+I112+L112+N112+P112+R112</f>
        <v>6887978.53670526</v>
      </c>
      <c r="U112" s="771" t="n">
        <f aca="false">E112+H112+K112+M112+O112+Q112+S112</f>
        <v>6415820.8512389</v>
      </c>
      <c r="V112" s="774" t="n">
        <f aca="false">D112+G112+J112+M112+O112+Q112+S112</f>
        <v>6413689.23621307</v>
      </c>
      <c r="W112" s="775" t="n">
        <f aca="false">T112-V112-AD112</f>
        <v>474289.300492182</v>
      </c>
      <c r="X112" s="431"/>
      <c r="Y112" s="776" t="n">
        <f aca="false">T112-U112-AD112</f>
        <v>472157.68546636</v>
      </c>
      <c r="Z112" s="431"/>
      <c r="AA112" s="770" t="n">
        <f aca="false">'power redistribution'!$C$32/12</f>
        <v>58459835.6481481</v>
      </c>
      <c r="AB112" s="770" t="n">
        <f aca="false">'power redistribution'!$D$32/12</f>
        <v>15466.6666666667</v>
      </c>
      <c r="AC112" s="431"/>
      <c r="AD112" s="772" t="n">
        <v>0</v>
      </c>
      <c r="AE112" s="431"/>
    </row>
    <row r="113" customFormat="false" ht="12.75" hidden="false" customHeight="false" outlineLevel="0" collapsed="false">
      <c r="A113" s="767" t="n">
        <v>103</v>
      </c>
      <c r="B113" s="768" t="n">
        <v>39630</v>
      </c>
      <c r="C113" s="872" t="n">
        <f aca="false">Breakout!$K$136/12</f>
        <v>6760081.63515592</v>
      </c>
      <c r="D113" s="873" t="n">
        <f aca="false">Breakout!$K$137/12</f>
        <v>4922523</v>
      </c>
      <c r="E113" s="873" t="n">
        <v>4922523</v>
      </c>
      <c r="F113" s="872" t="n">
        <f aca="false">Breakout!$K$143/12</f>
        <v>127896.901549339</v>
      </c>
      <c r="G113" s="873" t="n">
        <f aca="false">Breakout!$K$144/12</f>
        <v>104449.136265294</v>
      </c>
      <c r="H113" s="873" t="n">
        <v>106580.751291116</v>
      </c>
      <c r="I113" s="769" t="n">
        <v>0</v>
      </c>
      <c r="J113" s="772" t="n">
        <v>0</v>
      </c>
      <c r="K113" s="772" t="n">
        <v>0</v>
      </c>
      <c r="L113" s="769" t="n">
        <v>0</v>
      </c>
      <c r="M113" s="873" t="n">
        <f aca="false">Breakout!$K$151/12</f>
        <v>60167.8477590433</v>
      </c>
      <c r="N113" s="872" t="n">
        <f aca="false">Breakout!$K$157/12</f>
        <v>0</v>
      </c>
      <c r="O113" s="873" t="n">
        <f aca="false">Breakout!$K$158/12</f>
        <v>8333.33333333333</v>
      </c>
      <c r="P113" s="872" t="n">
        <f aca="false">Breakout!$K$164/12</f>
        <v>0</v>
      </c>
      <c r="Q113" s="873" t="n">
        <f aca="false">Breakout!$K$165/12</f>
        <v>0</v>
      </c>
      <c r="R113" s="872" t="n">
        <f aca="false">Breakout!$K$171/12</f>
        <v>0</v>
      </c>
      <c r="S113" s="873" t="n">
        <f aca="false">Breakout!$K$172/12</f>
        <v>1318215.9188554</v>
      </c>
      <c r="T113" s="774" t="n">
        <f aca="false">C113+F113+I113+L113+N113+P113+R113</f>
        <v>6887978.53670526</v>
      </c>
      <c r="U113" s="771" t="n">
        <f aca="false">E113+H113+K113+M113+O113+Q113+S113</f>
        <v>6415820.8512389</v>
      </c>
      <c r="V113" s="774" t="n">
        <f aca="false">D113+G113+J113+M113+O113+Q113+S113</f>
        <v>6413689.23621307</v>
      </c>
      <c r="W113" s="775" t="n">
        <f aca="false">T113-V113-AD113</f>
        <v>474289.300492182</v>
      </c>
      <c r="X113" s="431"/>
      <c r="Y113" s="776" t="n">
        <f aca="false">T113-U113-AD113</f>
        <v>472157.68546636</v>
      </c>
      <c r="Z113" s="431"/>
      <c r="AA113" s="770" t="n">
        <f aca="false">'power redistribution'!$C$32/12</f>
        <v>58459835.6481481</v>
      </c>
      <c r="AB113" s="770" t="n">
        <f aca="false">'power redistribution'!$D$32/12</f>
        <v>15466.6666666667</v>
      </c>
      <c r="AC113" s="431"/>
      <c r="AD113" s="772" t="n">
        <v>0</v>
      </c>
      <c r="AE113" s="431"/>
    </row>
    <row r="114" customFormat="false" ht="12.75" hidden="false" customHeight="false" outlineLevel="0" collapsed="false">
      <c r="A114" s="767" t="n">
        <v>104</v>
      </c>
      <c r="B114" s="768" t="n">
        <v>39661</v>
      </c>
      <c r="C114" s="872" t="n">
        <f aca="false">Breakout!$K$136/12</f>
        <v>6760081.63515592</v>
      </c>
      <c r="D114" s="873" t="n">
        <f aca="false">Breakout!$K$137/12</f>
        <v>4922523</v>
      </c>
      <c r="E114" s="873" t="n">
        <v>4922523</v>
      </c>
      <c r="F114" s="872" t="n">
        <f aca="false">Breakout!$K$143/12</f>
        <v>127896.901549339</v>
      </c>
      <c r="G114" s="873" t="n">
        <f aca="false">Breakout!$K$144/12</f>
        <v>104449.136265294</v>
      </c>
      <c r="H114" s="873" t="n">
        <v>106580.751291116</v>
      </c>
      <c r="I114" s="769" t="n">
        <v>0</v>
      </c>
      <c r="J114" s="772" t="n">
        <v>0</v>
      </c>
      <c r="K114" s="772" t="n">
        <v>0</v>
      </c>
      <c r="L114" s="769" t="n">
        <v>0</v>
      </c>
      <c r="M114" s="873" t="n">
        <f aca="false">Breakout!$K$151/12</f>
        <v>60167.8477590433</v>
      </c>
      <c r="N114" s="872" t="n">
        <f aca="false">Breakout!$K$157/12</f>
        <v>0</v>
      </c>
      <c r="O114" s="873" t="n">
        <f aca="false">Breakout!$K$158/12</f>
        <v>8333.33333333333</v>
      </c>
      <c r="P114" s="872" t="n">
        <f aca="false">Breakout!$K$164/12</f>
        <v>0</v>
      </c>
      <c r="Q114" s="873" t="n">
        <f aca="false">Breakout!$K$165/12</f>
        <v>0</v>
      </c>
      <c r="R114" s="872" t="n">
        <f aca="false">Breakout!$K$171/12</f>
        <v>0</v>
      </c>
      <c r="S114" s="873" t="n">
        <f aca="false">Breakout!$K$172/12</f>
        <v>1318215.9188554</v>
      </c>
      <c r="T114" s="774" t="n">
        <f aca="false">C114+F114+I114+L114+N114+P114+R114</f>
        <v>6887978.53670526</v>
      </c>
      <c r="U114" s="771" t="n">
        <f aca="false">E114+H114+K114+M114+O114+Q114+S114</f>
        <v>6415820.8512389</v>
      </c>
      <c r="V114" s="774" t="n">
        <f aca="false">D114+G114+J114+M114+O114+Q114+S114</f>
        <v>6413689.23621307</v>
      </c>
      <c r="W114" s="775" t="n">
        <f aca="false">T114-V114-AD114</f>
        <v>474289.300492182</v>
      </c>
      <c r="X114" s="431"/>
      <c r="Y114" s="776" t="n">
        <f aca="false">T114-U114-AD114</f>
        <v>472157.68546636</v>
      </c>
      <c r="Z114" s="431"/>
      <c r="AA114" s="770" t="n">
        <f aca="false">'power redistribution'!$C$32/12</f>
        <v>58459835.6481481</v>
      </c>
      <c r="AB114" s="770" t="n">
        <f aca="false">'power redistribution'!$D$32/12</f>
        <v>15466.6666666667</v>
      </c>
      <c r="AC114" s="431"/>
      <c r="AD114" s="772" t="n">
        <v>0</v>
      </c>
      <c r="AE114" s="431"/>
    </row>
    <row r="115" customFormat="false" ht="12.75" hidden="false" customHeight="false" outlineLevel="0" collapsed="false">
      <c r="A115" s="767" t="n">
        <v>105</v>
      </c>
      <c r="B115" s="768" t="n">
        <v>39692</v>
      </c>
      <c r="C115" s="872" t="n">
        <f aca="false">Breakout!$K$136/12</f>
        <v>6760081.63515592</v>
      </c>
      <c r="D115" s="873" t="n">
        <f aca="false">Breakout!$K$137/12</f>
        <v>4922523</v>
      </c>
      <c r="E115" s="873" t="n">
        <v>4922523</v>
      </c>
      <c r="F115" s="872" t="n">
        <f aca="false">Breakout!$K$143/12</f>
        <v>127896.901549339</v>
      </c>
      <c r="G115" s="873" t="n">
        <f aca="false">Breakout!$K$144/12</f>
        <v>104449.136265294</v>
      </c>
      <c r="H115" s="873" t="n">
        <v>106580.751291116</v>
      </c>
      <c r="I115" s="769" t="n">
        <v>0</v>
      </c>
      <c r="J115" s="772" t="n">
        <v>0</v>
      </c>
      <c r="K115" s="772" t="n">
        <v>0</v>
      </c>
      <c r="L115" s="769" t="n">
        <v>0</v>
      </c>
      <c r="M115" s="873" t="n">
        <f aca="false">Breakout!$K$151/12</f>
        <v>60167.8477590433</v>
      </c>
      <c r="N115" s="872" t="n">
        <f aca="false">Breakout!$K$157/12</f>
        <v>0</v>
      </c>
      <c r="O115" s="873" t="n">
        <f aca="false">Breakout!$K$158/12</f>
        <v>8333.33333333333</v>
      </c>
      <c r="P115" s="872" t="n">
        <f aca="false">Breakout!$K$164/12</f>
        <v>0</v>
      </c>
      <c r="Q115" s="873" t="n">
        <f aca="false">Breakout!$K$165/12</f>
        <v>0</v>
      </c>
      <c r="R115" s="872" t="n">
        <f aca="false">Breakout!$K$171/12</f>
        <v>0</v>
      </c>
      <c r="S115" s="873" t="n">
        <f aca="false">Breakout!$K$172/12</f>
        <v>1318215.9188554</v>
      </c>
      <c r="T115" s="774" t="n">
        <f aca="false">C115+F115+I115+L115+N115+P115+R115</f>
        <v>6887978.53670526</v>
      </c>
      <c r="U115" s="771" t="n">
        <f aca="false">E115+H115+K115+M115+O115+Q115+S115</f>
        <v>6415820.8512389</v>
      </c>
      <c r="V115" s="774" t="n">
        <f aca="false">D115+G115+J115+M115+O115+Q115+S115</f>
        <v>6413689.23621307</v>
      </c>
      <c r="W115" s="775" t="n">
        <f aca="false">T115-V115-AD115</f>
        <v>474289.300492182</v>
      </c>
      <c r="X115" s="431"/>
      <c r="Y115" s="776" t="n">
        <f aca="false">T115-U115-AD115</f>
        <v>472157.68546636</v>
      </c>
      <c r="Z115" s="431"/>
      <c r="AA115" s="770" t="n">
        <f aca="false">'power redistribution'!$C$32/12</f>
        <v>58459835.6481481</v>
      </c>
      <c r="AB115" s="770" t="n">
        <f aca="false">'power redistribution'!$D$32/12</f>
        <v>15466.6666666667</v>
      </c>
      <c r="AC115" s="431"/>
      <c r="AD115" s="772" t="n">
        <v>0</v>
      </c>
      <c r="AE115" s="431"/>
    </row>
    <row r="116" customFormat="false" ht="12.75" hidden="false" customHeight="false" outlineLevel="0" collapsed="false">
      <c r="A116" s="767" t="n">
        <v>106</v>
      </c>
      <c r="B116" s="768" t="n">
        <v>39722</v>
      </c>
      <c r="C116" s="872" t="n">
        <f aca="false">Breakout!$K$136/12</f>
        <v>6760081.63515592</v>
      </c>
      <c r="D116" s="873" t="n">
        <f aca="false">Breakout!$K$137/12</f>
        <v>4922523</v>
      </c>
      <c r="E116" s="873" t="n">
        <v>4922523</v>
      </c>
      <c r="F116" s="872" t="n">
        <f aca="false">Breakout!$K$143/12</f>
        <v>127896.901549339</v>
      </c>
      <c r="G116" s="873" t="n">
        <f aca="false">Breakout!$K$144/12</f>
        <v>104449.136265294</v>
      </c>
      <c r="H116" s="873" t="n">
        <v>106580.751291116</v>
      </c>
      <c r="I116" s="769" t="n">
        <v>0</v>
      </c>
      <c r="J116" s="772" t="n">
        <v>0</v>
      </c>
      <c r="K116" s="772" t="n">
        <v>0</v>
      </c>
      <c r="L116" s="769" t="n">
        <v>0</v>
      </c>
      <c r="M116" s="873" t="n">
        <f aca="false">Breakout!$K$151/12</f>
        <v>60167.8477590433</v>
      </c>
      <c r="N116" s="872" t="n">
        <f aca="false">Breakout!$K$157/12</f>
        <v>0</v>
      </c>
      <c r="O116" s="873" t="n">
        <f aca="false">Breakout!$K$158/12</f>
        <v>8333.33333333333</v>
      </c>
      <c r="P116" s="872" t="n">
        <f aca="false">Breakout!$K$164/12</f>
        <v>0</v>
      </c>
      <c r="Q116" s="873" t="n">
        <f aca="false">Breakout!$K$165/12</f>
        <v>0</v>
      </c>
      <c r="R116" s="872" t="n">
        <f aca="false">Breakout!$K$171/12</f>
        <v>0</v>
      </c>
      <c r="S116" s="873" t="n">
        <f aca="false">Breakout!$K$172/12</f>
        <v>1318215.9188554</v>
      </c>
      <c r="T116" s="774" t="n">
        <f aca="false">C116+F116+I116+L116+N116+P116+R116</f>
        <v>6887978.53670526</v>
      </c>
      <c r="U116" s="771" t="n">
        <f aca="false">E116+H116+K116+M116+O116+Q116+S116</f>
        <v>6415820.8512389</v>
      </c>
      <c r="V116" s="774" t="n">
        <f aca="false">D116+G116+J116+M116+O116+Q116+S116</f>
        <v>6413689.23621307</v>
      </c>
      <c r="W116" s="775" t="n">
        <f aca="false">T116-V116-AD116</f>
        <v>474289.300492182</v>
      </c>
      <c r="X116" s="431"/>
      <c r="Y116" s="776" t="n">
        <f aca="false">T116-U116-AD116</f>
        <v>472157.68546636</v>
      </c>
      <c r="Z116" s="431"/>
      <c r="AA116" s="770" t="n">
        <f aca="false">'power redistribution'!$C$32/12</f>
        <v>58459835.6481481</v>
      </c>
      <c r="AB116" s="770" t="n">
        <f aca="false">'power redistribution'!$D$32/12</f>
        <v>15466.6666666667</v>
      </c>
      <c r="AC116" s="431"/>
      <c r="AD116" s="772" t="n">
        <v>0</v>
      </c>
      <c r="AE116" s="431"/>
    </row>
    <row r="117" customFormat="false" ht="12.75" hidden="false" customHeight="false" outlineLevel="0" collapsed="false">
      <c r="A117" s="767" t="n">
        <v>107</v>
      </c>
      <c r="B117" s="768" t="n">
        <v>39753</v>
      </c>
      <c r="C117" s="872" t="n">
        <f aca="false">Breakout!$K$136/12</f>
        <v>6760081.63515592</v>
      </c>
      <c r="D117" s="873" t="n">
        <f aca="false">Breakout!$K$137/12</f>
        <v>4922523</v>
      </c>
      <c r="E117" s="873" t="n">
        <v>4922523</v>
      </c>
      <c r="F117" s="872" t="n">
        <f aca="false">Breakout!$K$143/12</f>
        <v>127896.901549339</v>
      </c>
      <c r="G117" s="873" t="n">
        <f aca="false">Breakout!$K$144/12</f>
        <v>104449.136265294</v>
      </c>
      <c r="H117" s="873" t="n">
        <v>106580.751291116</v>
      </c>
      <c r="I117" s="769" t="n">
        <v>0</v>
      </c>
      <c r="J117" s="772" t="n">
        <v>0</v>
      </c>
      <c r="K117" s="772" t="n">
        <v>0</v>
      </c>
      <c r="L117" s="769" t="n">
        <v>0</v>
      </c>
      <c r="M117" s="873" t="n">
        <f aca="false">Breakout!$K$151/12</f>
        <v>60167.8477590433</v>
      </c>
      <c r="N117" s="872" t="n">
        <f aca="false">Breakout!$K$157/12</f>
        <v>0</v>
      </c>
      <c r="O117" s="873" t="n">
        <f aca="false">Breakout!$K$158/12</f>
        <v>8333.33333333333</v>
      </c>
      <c r="P117" s="872" t="n">
        <f aca="false">Breakout!$K$164/12</f>
        <v>0</v>
      </c>
      <c r="Q117" s="873" t="n">
        <f aca="false">Breakout!$K$165/12</f>
        <v>0</v>
      </c>
      <c r="R117" s="872" t="n">
        <f aca="false">Breakout!$K$171/12</f>
        <v>0</v>
      </c>
      <c r="S117" s="873" t="n">
        <f aca="false">Breakout!$K$172/12</f>
        <v>1318215.9188554</v>
      </c>
      <c r="T117" s="774" t="n">
        <f aca="false">C117+F117+I117+L117+N117+P117+R117</f>
        <v>6887978.53670526</v>
      </c>
      <c r="U117" s="771" t="n">
        <f aca="false">E117+H117+K117+M117+O117+Q117+S117</f>
        <v>6415820.8512389</v>
      </c>
      <c r="V117" s="774" t="n">
        <f aca="false">D117+G117+J117+M117+O117+Q117+S117</f>
        <v>6413689.23621307</v>
      </c>
      <c r="W117" s="775" t="n">
        <f aca="false">T117-V117-AD117</f>
        <v>474289.300492182</v>
      </c>
      <c r="X117" s="431"/>
      <c r="Y117" s="776" t="n">
        <f aca="false">T117-U117-AD117</f>
        <v>472157.68546636</v>
      </c>
      <c r="Z117" s="431"/>
      <c r="AA117" s="770" t="n">
        <f aca="false">'power redistribution'!$C$32/12</f>
        <v>58459835.6481481</v>
      </c>
      <c r="AB117" s="770" t="n">
        <f aca="false">'power redistribution'!$D$32/12</f>
        <v>15466.6666666667</v>
      </c>
      <c r="AC117" s="431"/>
      <c r="AD117" s="772" t="n">
        <v>0</v>
      </c>
      <c r="AE117" s="431"/>
    </row>
    <row r="118" customFormat="false" ht="12.75" hidden="false" customHeight="false" outlineLevel="0" collapsed="false">
      <c r="A118" s="881" t="n">
        <v>108</v>
      </c>
      <c r="B118" s="894" t="n">
        <v>39783</v>
      </c>
      <c r="C118" s="886" t="n">
        <f aca="false">Breakout!$K$136/12</f>
        <v>6760081.63515592</v>
      </c>
      <c r="D118" s="883" t="n">
        <f aca="false">Breakout!$K$137/12</f>
        <v>4922523</v>
      </c>
      <c r="E118" s="883" t="n">
        <v>4922523</v>
      </c>
      <c r="F118" s="886" t="n">
        <f aca="false">Breakout!$K$143/12</f>
        <v>127896.901549339</v>
      </c>
      <c r="G118" s="883" t="n">
        <f aca="false">Breakout!$K$144/12</f>
        <v>104449.136265294</v>
      </c>
      <c r="H118" s="883" t="n">
        <v>106580.751291116</v>
      </c>
      <c r="I118" s="769" t="n">
        <v>0</v>
      </c>
      <c r="J118" s="772" t="n">
        <v>0</v>
      </c>
      <c r="K118" s="772" t="n">
        <v>0</v>
      </c>
      <c r="L118" s="769" t="n">
        <v>0</v>
      </c>
      <c r="M118" s="883" t="n">
        <f aca="false">Breakout!$K$151/12</f>
        <v>60167.8477590433</v>
      </c>
      <c r="N118" s="886" t="n">
        <f aca="false">Breakout!$K$157/12</f>
        <v>0</v>
      </c>
      <c r="O118" s="883" t="n">
        <f aca="false">Breakout!$K$158/12</f>
        <v>8333.33333333333</v>
      </c>
      <c r="P118" s="886" t="n">
        <f aca="false">Breakout!$K$164/12</f>
        <v>0</v>
      </c>
      <c r="Q118" s="883" t="n">
        <f aca="false">Breakout!$K$165/12</f>
        <v>0</v>
      </c>
      <c r="R118" s="886" t="n">
        <f aca="false">Breakout!$K$171/12</f>
        <v>0</v>
      </c>
      <c r="S118" s="883" t="n">
        <f aca="false">Breakout!$K$172/12</f>
        <v>1318215.9188554</v>
      </c>
      <c r="T118" s="774" t="n">
        <f aca="false">C118+F118+I118+L118+N118+P118+R118</f>
        <v>6887978.53670526</v>
      </c>
      <c r="U118" s="771" t="n">
        <f aca="false">E118+H118+K118+M118+O118+Q118+S118</f>
        <v>6415820.8512389</v>
      </c>
      <c r="V118" s="774" t="n">
        <f aca="false">D118+G118+J118+M118+O118+Q118+S118</f>
        <v>6413689.23621307</v>
      </c>
      <c r="W118" s="775" t="n">
        <f aca="false">T118-V118-AD118</f>
        <v>474289.300492182</v>
      </c>
      <c r="X118" s="885" t="n">
        <f aca="false">SUM(W107:W118)</f>
        <v>5691471.60590619</v>
      </c>
      <c r="Y118" s="776" t="n">
        <f aca="false">T118-U118-AD118</f>
        <v>472157.68546636</v>
      </c>
      <c r="Z118" s="885" t="n">
        <f aca="false">SUM(Y107:Y118)</f>
        <v>5665892.22559632</v>
      </c>
      <c r="AA118" s="770" t="n">
        <f aca="false">'power redistribution'!$C$32/12</f>
        <v>58459835.6481481</v>
      </c>
      <c r="AB118" s="770" t="n">
        <f aca="false">'power redistribution'!$D$32/12</f>
        <v>15466.6666666667</v>
      </c>
      <c r="AC118" s="885"/>
      <c r="AD118" s="772" t="n">
        <v>0</v>
      </c>
      <c r="AE118" s="885"/>
      <c r="AF118" s="885"/>
      <c r="AG118" s="885"/>
      <c r="AH118" s="885"/>
      <c r="AI118" s="885"/>
      <c r="AJ118" s="885"/>
      <c r="AK118" s="885"/>
      <c r="AL118" s="885"/>
      <c r="AM118" s="885"/>
      <c r="AN118" s="885"/>
      <c r="AO118" s="885"/>
      <c r="AP118" s="885"/>
      <c r="AQ118" s="885"/>
      <c r="AR118" s="885"/>
      <c r="AS118" s="885"/>
      <c r="AT118" s="885"/>
      <c r="AU118" s="885"/>
      <c r="AV118" s="885"/>
      <c r="AW118" s="885"/>
      <c r="AX118" s="885"/>
      <c r="AY118" s="885"/>
      <c r="AZ118" s="885"/>
      <c r="BA118" s="885"/>
      <c r="BB118" s="885"/>
      <c r="BC118" s="885"/>
      <c r="BD118" s="885"/>
      <c r="BE118" s="885"/>
      <c r="BF118" s="885"/>
      <c r="BG118" s="885"/>
      <c r="BH118" s="885"/>
      <c r="BI118" s="885"/>
      <c r="BJ118" s="885"/>
      <c r="BK118" s="885"/>
      <c r="BL118" s="885"/>
      <c r="BM118" s="885"/>
      <c r="BN118" s="885"/>
      <c r="BO118" s="885"/>
      <c r="BP118" s="885"/>
      <c r="BQ118" s="885"/>
      <c r="BR118" s="885"/>
      <c r="BS118" s="885"/>
      <c r="BT118" s="885"/>
      <c r="BU118" s="885"/>
      <c r="BV118" s="885"/>
      <c r="BW118" s="885"/>
      <c r="BX118" s="885"/>
      <c r="BY118" s="885"/>
    </row>
    <row r="119" customFormat="false" ht="12.75" hidden="false" customHeight="false" outlineLevel="0" collapsed="false">
      <c r="A119" s="866" t="n">
        <v>109</v>
      </c>
      <c r="B119" s="897" t="n">
        <v>39814</v>
      </c>
      <c r="C119" s="868" t="n">
        <f aca="false">Breakout!$L$136/12</f>
        <v>6760081.63515592</v>
      </c>
      <c r="D119" s="870" t="n">
        <f aca="false">Breakout!$L$137/12</f>
        <v>4922523</v>
      </c>
      <c r="E119" s="870" t="n">
        <v>4922523</v>
      </c>
      <c r="F119" s="868" t="n">
        <f aca="false">Breakout!$L$143/12</f>
        <v>132220.813236734</v>
      </c>
      <c r="G119" s="870" t="n">
        <f aca="false">Breakout!$L$144/12</f>
        <v>107980.33081</v>
      </c>
      <c r="H119" s="870" t="n">
        <v>110184.011030612</v>
      </c>
      <c r="I119" s="769" t="n">
        <v>0</v>
      </c>
      <c r="J119" s="772" t="n">
        <v>0</v>
      </c>
      <c r="K119" s="772" t="n">
        <v>0</v>
      </c>
      <c r="L119" s="769" t="n">
        <v>0</v>
      </c>
      <c r="M119" s="870" t="n">
        <f aca="false">Breakout!$L$151/12</f>
        <v>60167.8477590433</v>
      </c>
      <c r="N119" s="868" t="n">
        <f aca="false">Breakout!$L$157/12</f>
        <v>0</v>
      </c>
      <c r="O119" s="870" t="n">
        <f aca="false">Breakout!$L$158/12</f>
        <v>8333.33333333333</v>
      </c>
      <c r="P119" s="868" t="n">
        <f aca="false">Breakout!$L$164/12</f>
        <v>0</v>
      </c>
      <c r="Q119" s="870" t="n">
        <f aca="false">Breakout!$L$165/12</f>
        <v>0</v>
      </c>
      <c r="R119" s="868" t="n">
        <f aca="false">Breakout!$L$171/12</f>
        <v>0</v>
      </c>
      <c r="S119" s="870" t="n">
        <f aca="false">Breakout!$L$172/12</f>
        <v>1318215.9188554</v>
      </c>
      <c r="T119" s="774" t="n">
        <f aca="false">C119+F119+I119+L119+N119+P119+R119</f>
        <v>6892302.44839265</v>
      </c>
      <c r="U119" s="771" t="n">
        <f aca="false">E119+H119+K119+M119+O119+Q119+S119</f>
        <v>6419424.11097839</v>
      </c>
      <c r="V119" s="774" t="n">
        <f aca="false">D119+G119+J119+M119+O119+Q119+S119</f>
        <v>6417220.43075778</v>
      </c>
      <c r="W119" s="775" t="n">
        <f aca="false">T119-V119-AD119</f>
        <v>475082.017634871</v>
      </c>
      <c r="X119" s="869"/>
      <c r="Y119" s="776" t="n">
        <f aca="false">T119-U119-AD119</f>
        <v>472878.33741426</v>
      </c>
      <c r="Z119" s="869"/>
      <c r="AA119" s="770" t="n">
        <f aca="false">'power redistribution'!$C$32/12</f>
        <v>58459835.6481481</v>
      </c>
      <c r="AB119" s="770" t="n">
        <f aca="false">'power redistribution'!$D$32/12</f>
        <v>15466.6666666667</v>
      </c>
      <c r="AC119" s="869"/>
      <c r="AD119" s="772" t="n">
        <v>0</v>
      </c>
      <c r="AE119" s="869"/>
      <c r="AF119" s="869"/>
      <c r="AG119" s="869"/>
      <c r="AH119" s="869"/>
      <c r="AI119" s="869"/>
      <c r="AJ119" s="869"/>
      <c r="AK119" s="869"/>
      <c r="AL119" s="869"/>
      <c r="AM119" s="869"/>
      <c r="AN119" s="869"/>
      <c r="AO119" s="869"/>
      <c r="AP119" s="869"/>
      <c r="AQ119" s="869"/>
      <c r="AR119" s="869"/>
      <c r="AS119" s="869"/>
      <c r="AT119" s="869"/>
      <c r="AU119" s="869"/>
      <c r="AV119" s="869"/>
      <c r="AW119" s="869"/>
      <c r="AX119" s="869"/>
      <c r="AY119" s="869"/>
      <c r="AZ119" s="869"/>
      <c r="BA119" s="869"/>
      <c r="BB119" s="869"/>
      <c r="BC119" s="869"/>
      <c r="BD119" s="869"/>
      <c r="BE119" s="869"/>
      <c r="BF119" s="869"/>
      <c r="BG119" s="869"/>
      <c r="BH119" s="869"/>
      <c r="BI119" s="869"/>
      <c r="BJ119" s="869"/>
      <c r="BK119" s="869"/>
      <c r="BL119" s="869"/>
      <c r="BM119" s="869"/>
      <c r="BN119" s="869"/>
      <c r="BO119" s="869"/>
      <c r="BP119" s="869"/>
      <c r="BQ119" s="869"/>
      <c r="BR119" s="869"/>
      <c r="BS119" s="869"/>
      <c r="BT119" s="869"/>
      <c r="BU119" s="869"/>
      <c r="BV119" s="869"/>
      <c r="BW119" s="869"/>
      <c r="BX119" s="869"/>
      <c r="BY119" s="869"/>
    </row>
    <row r="120" customFormat="false" ht="12.75" hidden="false" customHeight="false" outlineLevel="0" collapsed="false">
      <c r="A120" s="767" t="n">
        <v>110</v>
      </c>
      <c r="B120" s="768" t="n">
        <v>39845</v>
      </c>
      <c r="C120" s="872" t="n">
        <f aca="false">Breakout!$L$136/12</f>
        <v>6760081.63515592</v>
      </c>
      <c r="D120" s="873" t="n">
        <f aca="false">Breakout!$L$137/12</f>
        <v>4922523</v>
      </c>
      <c r="E120" s="873" t="n">
        <v>4922523</v>
      </c>
      <c r="F120" s="872" t="n">
        <f aca="false">Breakout!$L$143/12</f>
        <v>132220.813236734</v>
      </c>
      <c r="G120" s="873" t="n">
        <f aca="false">Breakout!$L$144/12</f>
        <v>107980.33081</v>
      </c>
      <c r="H120" s="873" t="n">
        <v>110184.011030612</v>
      </c>
      <c r="I120" s="769" t="n">
        <v>0</v>
      </c>
      <c r="J120" s="772" t="n">
        <v>0</v>
      </c>
      <c r="K120" s="772" t="n">
        <v>0</v>
      </c>
      <c r="L120" s="769" t="n">
        <v>0</v>
      </c>
      <c r="M120" s="873" t="n">
        <f aca="false">Breakout!$L$151/12</f>
        <v>60167.8477590433</v>
      </c>
      <c r="N120" s="872" t="n">
        <f aca="false">Breakout!$L$157/12</f>
        <v>0</v>
      </c>
      <c r="O120" s="873" t="n">
        <f aca="false">Breakout!$L$158/12</f>
        <v>8333.33333333333</v>
      </c>
      <c r="P120" s="872" t="n">
        <f aca="false">Breakout!$L$164/12</f>
        <v>0</v>
      </c>
      <c r="Q120" s="873" t="n">
        <f aca="false">Breakout!$L$165/12</f>
        <v>0</v>
      </c>
      <c r="R120" s="872" t="n">
        <f aca="false">Breakout!$L$171/12</f>
        <v>0</v>
      </c>
      <c r="S120" s="873" t="n">
        <f aca="false">Breakout!$L$172/12</f>
        <v>1318215.9188554</v>
      </c>
      <c r="T120" s="774" t="n">
        <f aca="false">C120+F120+I120+L120+N120+P120+R120</f>
        <v>6892302.44839265</v>
      </c>
      <c r="U120" s="771" t="n">
        <f aca="false">E120+H120+K120+M120+O120+Q120+S120</f>
        <v>6419424.11097839</v>
      </c>
      <c r="V120" s="774" t="n">
        <f aca="false">D120+G120+J120+M120+O120+Q120+S120</f>
        <v>6417220.43075778</v>
      </c>
      <c r="W120" s="775" t="n">
        <f aca="false">T120-V120-AD120</f>
        <v>475082.017634871</v>
      </c>
      <c r="X120" s="431"/>
      <c r="Y120" s="776" t="n">
        <f aca="false">T120-U120-AD120</f>
        <v>472878.33741426</v>
      </c>
      <c r="Z120" s="431"/>
      <c r="AA120" s="770" t="n">
        <f aca="false">'power redistribution'!$C$32/12</f>
        <v>58459835.6481481</v>
      </c>
      <c r="AB120" s="770" t="n">
        <f aca="false">'power redistribution'!$D$32/12</f>
        <v>15466.6666666667</v>
      </c>
      <c r="AC120" s="431"/>
      <c r="AD120" s="772" t="n">
        <v>0</v>
      </c>
      <c r="AE120" s="431"/>
    </row>
    <row r="121" customFormat="false" ht="12.75" hidden="false" customHeight="false" outlineLevel="0" collapsed="false">
      <c r="A121" s="767" t="n">
        <v>111</v>
      </c>
      <c r="B121" s="768" t="n">
        <v>39873</v>
      </c>
      <c r="C121" s="872" t="n">
        <f aca="false">Breakout!$L$136/12</f>
        <v>6760081.63515592</v>
      </c>
      <c r="D121" s="873" t="n">
        <f aca="false">Breakout!$L$137/12</f>
        <v>4922523</v>
      </c>
      <c r="E121" s="873" t="n">
        <v>4922523</v>
      </c>
      <c r="F121" s="872" t="n">
        <f aca="false">Breakout!$L$143/12</f>
        <v>132220.813236734</v>
      </c>
      <c r="G121" s="873" t="n">
        <f aca="false">Breakout!$L$144/12</f>
        <v>107980.33081</v>
      </c>
      <c r="H121" s="873" t="n">
        <v>110184.011030612</v>
      </c>
      <c r="I121" s="769" t="n">
        <v>0</v>
      </c>
      <c r="J121" s="772" t="n">
        <v>0</v>
      </c>
      <c r="K121" s="772" t="n">
        <v>0</v>
      </c>
      <c r="L121" s="769" t="n">
        <v>0</v>
      </c>
      <c r="M121" s="873" t="n">
        <f aca="false">Breakout!$L$151/12</f>
        <v>60167.8477590433</v>
      </c>
      <c r="N121" s="872" t="n">
        <f aca="false">Breakout!$L$157/12</f>
        <v>0</v>
      </c>
      <c r="O121" s="873" t="n">
        <f aca="false">Breakout!$L$158/12</f>
        <v>8333.33333333333</v>
      </c>
      <c r="P121" s="872" t="n">
        <f aca="false">Breakout!$L$164/12</f>
        <v>0</v>
      </c>
      <c r="Q121" s="873" t="n">
        <f aca="false">Breakout!$L$165/12</f>
        <v>0</v>
      </c>
      <c r="R121" s="872" t="n">
        <f aca="false">Breakout!$L$171/12</f>
        <v>0</v>
      </c>
      <c r="S121" s="873" t="n">
        <f aca="false">Breakout!$L$172/12</f>
        <v>1318215.9188554</v>
      </c>
      <c r="T121" s="774" t="n">
        <f aca="false">C121+F121+I121+L121+N121+P121+R121</f>
        <v>6892302.44839265</v>
      </c>
      <c r="U121" s="771" t="n">
        <f aca="false">E121+H121+K121+M121+O121+Q121+S121</f>
        <v>6419424.11097839</v>
      </c>
      <c r="V121" s="774" t="n">
        <f aca="false">D121+G121+J121+M121+O121+Q121+S121</f>
        <v>6417220.43075778</v>
      </c>
      <c r="W121" s="775" t="n">
        <f aca="false">T121-V121-AD121</f>
        <v>475082.017634871</v>
      </c>
      <c r="X121" s="431"/>
      <c r="Y121" s="776" t="n">
        <f aca="false">T121-U121-AD121</f>
        <v>472878.33741426</v>
      </c>
      <c r="Z121" s="431"/>
      <c r="AA121" s="770" t="n">
        <f aca="false">'power redistribution'!$C$32/12</f>
        <v>58459835.6481481</v>
      </c>
      <c r="AB121" s="770" t="n">
        <f aca="false">'power redistribution'!$D$32/12</f>
        <v>15466.6666666667</v>
      </c>
      <c r="AC121" s="431"/>
      <c r="AD121" s="772" t="n">
        <v>0</v>
      </c>
      <c r="AE121" s="431"/>
    </row>
    <row r="122" customFormat="false" ht="12.75" hidden="false" customHeight="false" outlineLevel="0" collapsed="false">
      <c r="A122" s="767" t="n">
        <v>112</v>
      </c>
      <c r="B122" s="768" t="n">
        <v>39904</v>
      </c>
      <c r="C122" s="872" t="n">
        <f aca="false">Breakout!$L$136/12</f>
        <v>6760081.63515592</v>
      </c>
      <c r="D122" s="873" t="n">
        <f aca="false">Breakout!$L$137/12</f>
        <v>4922523</v>
      </c>
      <c r="E122" s="873" t="n">
        <v>4922523</v>
      </c>
      <c r="F122" s="872" t="n">
        <f aca="false">Breakout!$L$143/12</f>
        <v>132220.813236734</v>
      </c>
      <c r="G122" s="873" t="n">
        <f aca="false">Breakout!$L$144/12</f>
        <v>107980.33081</v>
      </c>
      <c r="H122" s="873" t="n">
        <v>110184.011030612</v>
      </c>
      <c r="I122" s="769" t="n">
        <v>0</v>
      </c>
      <c r="J122" s="772" t="n">
        <v>0</v>
      </c>
      <c r="K122" s="772" t="n">
        <v>0</v>
      </c>
      <c r="L122" s="769" t="n">
        <v>0</v>
      </c>
      <c r="M122" s="873" t="n">
        <f aca="false">Breakout!$L$151/12</f>
        <v>60167.8477590433</v>
      </c>
      <c r="N122" s="872" t="n">
        <f aca="false">Breakout!$L$157/12</f>
        <v>0</v>
      </c>
      <c r="O122" s="873" t="n">
        <f aca="false">Breakout!$L$158/12</f>
        <v>8333.33333333333</v>
      </c>
      <c r="P122" s="872" t="n">
        <f aca="false">Breakout!$L$164/12</f>
        <v>0</v>
      </c>
      <c r="Q122" s="873" t="n">
        <f aca="false">Breakout!$L$165/12</f>
        <v>0</v>
      </c>
      <c r="R122" s="872" t="n">
        <f aca="false">Breakout!$L$171/12</f>
        <v>0</v>
      </c>
      <c r="S122" s="873" t="n">
        <f aca="false">Breakout!$L$172/12</f>
        <v>1318215.9188554</v>
      </c>
      <c r="T122" s="774" t="n">
        <f aca="false">C122+F122+I122+L122+N122+P122+R122</f>
        <v>6892302.44839265</v>
      </c>
      <c r="U122" s="771" t="n">
        <f aca="false">E122+H122+K122+M122+O122+Q122+S122</f>
        <v>6419424.11097839</v>
      </c>
      <c r="V122" s="774" t="n">
        <f aca="false">D122+G122+J122+M122+O122+Q122+S122</f>
        <v>6417220.43075778</v>
      </c>
      <c r="W122" s="775" t="n">
        <f aca="false">T122-V122-AD122</f>
        <v>475082.017634871</v>
      </c>
      <c r="X122" s="431"/>
      <c r="Y122" s="776" t="n">
        <f aca="false">T122-U122-AD122</f>
        <v>472878.33741426</v>
      </c>
      <c r="Z122" s="431"/>
      <c r="AA122" s="770" t="n">
        <f aca="false">'power redistribution'!$C$32/12</f>
        <v>58459835.6481481</v>
      </c>
      <c r="AB122" s="770" t="n">
        <f aca="false">'power redistribution'!$D$32/12</f>
        <v>15466.6666666667</v>
      </c>
      <c r="AC122" s="431"/>
      <c r="AD122" s="772" t="n">
        <v>0</v>
      </c>
      <c r="AE122" s="431"/>
    </row>
    <row r="123" customFormat="false" ht="12.75" hidden="false" customHeight="false" outlineLevel="0" collapsed="false">
      <c r="A123" s="767" t="n">
        <v>113</v>
      </c>
      <c r="B123" s="768" t="n">
        <v>39934</v>
      </c>
      <c r="C123" s="872" t="n">
        <f aca="false">Breakout!$L$136/12</f>
        <v>6760081.63515592</v>
      </c>
      <c r="D123" s="873" t="n">
        <f aca="false">Breakout!$L$137/12</f>
        <v>4922523</v>
      </c>
      <c r="E123" s="873" t="n">
        <v>4922523</v>
      </c>
      <c r="F123" s="872" t="n">
        <f aca="false">Breakout!$L$143/12</f>
        <v>132220.813236734</v>
      </c>
      <c r="G123" s="873" t="n">
        <f aca="false">Breakout!$L$144/12</f>
        <v>107980.33081</v>
      </c>
      <c r="H123" s="873" t="n">
        <v>110184.011030612</v>
      </c>
      <c r="I123" s="769" t="n">
        <v>0</v>
      </c>
      <c r="J123" s="772" t="n">
        <v>0</v>
      </c>
      <c r="K123" s="772" t="n">
        <v>0</v>
      </c>
      <c r="L123" s="769" t="n">
        <v>0</v>
      </c>
      <c r="M123" s="873" t="n">
        <f aca="false">Breakout!$L$151/12</f>
        <v>60167.8477590433</v>
      </c>
      <c r="N123" s="872" t="n">
        <f aca="false">Breakout!$L$157/12</f>
        <v>0</v>
      </c>
      <c r="O123" s="873" t="n">
        <f aca="false">Breakout!$L$158/12</f>
        <v>8333.33333333333</v>
      </c>
      <c r="P123" s="872" t="n">
        <f aca="false">Breakout!$L$164/12</f>
        <v>0</v>
      </c>
      <c r="Q123" s="873" t="n">
        <f aca="false">Breakout!$L$165/12</f>
        <v>0</v>
      </c>
      <c r="R123" s="872" t="n">
        <f aca="false">Breakout!$L$171/12</f>
        <v>0</v>
      </c>
      <c r="S123" s="873" t="n">
        <f aca="false">Breakout!$L$172/12</f>
        <v>1318215.9188554</v>
      </c>
      <c r="T123" s="774" t="n">
        <f aca="false">C123+F123+I123+L123+N123+P123+R123</f>
        <v>6892302.44839265</v>
      </c>
      <c r="U123" s="771" t="n">
        <f aca="false">E123+H123+K123+M123+O123+Q123+S123</f>
        <v>6419424.11097839</v>
      </c>
      <c r="V123" s="774" t="n">
        <f aca="false">D123+G123+J123+M123+O123+Q123+S123</f>
        <v>6417220.43075778</v>
      </c>
      <c r="W123" s="775" t="n">
        <f aca="false">T123-V123-AD123</f>
        <v>475082.017634871</v>
      </c>
      <c r="X123" s="431"/>
      <c r="Y123" s="776" t="n">
        <f aca="false">T123-U123-AD123</f>
        <v>472878.33741426</v>
      </c>
      <c r="Z123" s="431"/>
      <c r="AA123" s="770" t="n">
        <f aca="false">'power redistribution'!$C$32/12</f>
        <v>58459835.6481481</v>
      </c>
      <c r="AB123" s="770" t="n">
        <f aca="false">'power redistribution'!$D$32/12</f>
        <v>15466.6666666667</v>
      </c>
      <c r="AC123" s="431"/>
      <c r="AD123" s="772" t="n">
        <v>0</v>
      </c>
      <c r="AE123" s="431"/>
    </row>
    <row r="124" customFormat="false" ht="12.75" hidden="false" customHeight="false" outlineLevel="0" collapsed="false">
      <c r="A124" s="767" t="n">
        <v>114</v>
      </c>
      <c r="B124" s="768" t="n">
        <v>39965</v>
      </c>
      <c r="C124" s="872" t="n">
        <f aca="false">Breakout!$L$136/12</f>
        <v>6760081.63515592</v>
      </c>
      <c r="D124" s="873" t="n">
        <f aca="false">Breakout!$L$137/12</f>
        <v>4922523</v>
      </c>
      <c r="E124" s="873" t="n">
        <v>4922523</v>
      </c>
      <c r="F124" s="872" t="n">
        <f aca="false">Breakout!$L$143/12</f>
        <v>132220.813236734</v>
      </c>
      <c r="G124" s="873" t="n">
        <f aca="false">Breakout!$L$144/12</f>
        <v>107980.33081</v>
      </c>
      <c r="H124" s="873" t="n">
        <v>110184.011030612</v>
      </c>
      <c r="I124" s="769" t="n">
        <v>0</v>
      </c>
      <c r="J124" s="772" t="n">
        <v>0</v>
      </c>
      <c r="K124" s="772" t="n">
        <v>0</v>
      </c>
      <c r="L124" s="769" t="n">
        <v>0</v>
      </c>
      <c r="M124" s="873" t="n">
        <f aca="false">Breakout!$L$151/12</f>
        <v>60167.8477590433</v>
      </c>
      <c r="N124" s="872" t="n">
        <f aca="false">Breakout!$L$157/12</f>
        <v>0</v>
      </c>
      <c r="O124" s="873" t="n">
        <f aca="false">Breakout!$L$158/12</f>
        <v>8333.33333333333</v>
      </c>
      <c r="P124" s="872" t="n">
        <f aca="false">Breakout!$L$164/12</f>
        <v>0</v>
      </c>
      <c r="Q124" s="873" t="n">
        <f aca="false">Breakout!$L$165/12</f>
        <v>0</v>
      </c>
      <c r="R124" s="872" t="n">
        <f aca="false">Breakout!$L$171/12</f>
        <v>0</v>
      </c>
      <c r="S124" s="873" t="n">
        <f aca="false">Breakout!$L$172/12</f>
        <v>1318215.9188554</v>
      </c>
      <c r="T124" s="774" t="n">
        <f aca="false">C124+F124+I124+L124+N124+P124+R124</f>
        <v>6892302.44839265</v>
      </c>
      <c r="U124" s="771" t="n">
        <f aca="false">E124+H124+K124+M124+O124+Q124+S124</f>
        <v>6419424.11097839</v>
      </c>
      <c r="V124" s="774" t="n">
        <f aca="false">D124+G124+J124+M124+O124+Q124+S124</f>
        <v>6417220.43075778</v>
      </c>
      <c r="W124" s="775" t="n">
        <f aca="false">T124-V124-AD124</f>
        <v>475082.017634871</v>
      </c>
      <c r="X124" s="431"/>
      <c r="Y124" s="776" t="n">
        <f aca="false">T124-U124-AD124</f>
        <v>472878.33741426</v>
      </c>
      <c r="Z124" s="431"/>
      <c r="AA124" s="770" t="n">
        <f aca="false">'power redistribution'!$C$32/12</f>
        <v>58459835.6481481</v>
      </c>
      <c r="AB124" s="770" t="n">
        <f aca="false">'power redistribution'!$D$32/12</f>
        <v>15466.6666666667</v>
      </c>
      <c r="AC124" s="431"/>
      <c r="AD124" s="772" t="n">
        <v>0</v>
      </c>
      <c r="AE124" s="431"/>
    </row>
    <row r="125" customFormat="false" ht="12.75" hidden="false" customHeight="false" outlineLevel="0" collapsed="false">
      <c r="A125" s="767" t="n">
        <v>115</v>
      </c>
      <c r="B125" s="768" t="n">
        <v>39995</v>
      </c>
      <c r="C125" s="872" t="n">
        <f aca="false">Breakout!$L$136/12</f>
        <v>6760081.63515592</v>
      </c>
      <c r="D125" s="873" t="n">
        <f aca="false">Breakout!$L$137/12</f>
        <v>4922523</v>
      </c>
      <c r="E125" s="873" t="n">
        <v>4922523</v>
      </c>
      <c r="F125" s="872" t="n">
        <f aca="false">Breakout!$L$143/12</f>
        <v>132220.813236734</v>
      </c>
      <c r="G125" s="873" t="n">
        <f aca="false">Breakout!$L$144/12</f>
        <v>107980.33081</v>
      </c>
      <c r="H125" s="873" t="n">
        <v>110184.011030612</v>
      </c>
      <c r="I125" s="769" t="n">
        <v>0</v>
      </c>
      <c r="J125" s="772" t="n">
        <v>0</v>
      </c>
      <c r="K125" s="772" t="n">
        <v>0</v>
      </c>
      <c r="L125" s="769" t="n">
        <v>0</v>
      </c>
      <c r="M125" s="873" t="n">
        <f aca="false">Breakout!$L$151/12</f>
        <v>60167.8477590433</v>
      </c>
      <c r="N125" s="872" t="n">
        <f aca="false">Breakout!$L$157/12</f>
        <v>0</v>
      </c>
      <c r="O125" s="873" t="n">
        <f aca="false">Breakout!$L$158/12</f>
        <v>8333.33333333333</v>
      </c>
      <c r="P125" s="872" t="n">
        <f aca="false">Breakout!$L$164/12</f>
        <v>0</v>
      </c>
      <c r="Q125" s="873" t="n">
        <f aca="false">Breakout!$L$165/12</f>
        <v>0</v>
      </c>
      <c r="R125" s="872" t="n">
        <f aca="false">Breakout!$L$171/12</f>
        <v>0</v>
      </c>
      <c r="S125" s="873" t="n">
        <f aca="false">Breakout!$L$172/12</f>
        <v>1318215.9188554</v>
      </c>
      <c r="T125" s="774" t="n">
        <f aca="false">C125+F125+I125+L125+N125+P125+R125</f>
        <v>6892302.44839265</v>
      </c>
      <c r="U125" s="771" t="n">
        <f aca="false">E125+H125+K125+M125+O125+Q125+S125</f>
        <v>6419424.11097839</v>
      </c>
      <c r="V125" s="774" t="n">
        <f aca="false">D125+G125+J125+M125+O125+Q125+S125</f>
        <v>6417220.43075778</v>
      </c>
      <c r="W125" s="775" t="n">
        <f aca="false">T125-V125-AD125</f>
        <v>475082.017634871</v>
      </c>
      <c r="X125" s="431"/>
      <c r="Y125" s="776" t="n">
        <f aca="false">T125-U125-AD125</f>
        <v>472878.33741426</v>
      </c>
      <c r="Z125" s="431"/>
      <c r="AA125" s="770" t="n">
        <f aca="false">'power redistribution'!$C$32/12</f>
        <v>58459835.6481481</v>
      </c>
      <c r="AB125" s="770" t="n">
        <f aca="false">'power redistribution'!$D$32/12</f>
        <v>15466.6666666667</v>
      </c>
      <c r="AC125" s="431"/>
      <c r="AD125" s="772" t="n">
        <v>0</v>
      </c>
      <c r="AE125" s="431"/>
    </row>
    <row r="126" customFormat="false" ht="12.75" hidden="false" customHeight="false" outlineLevel="0" collapsed="false">
      <c r="A126" s="767" t="n">
        <v>116</v>
      </c>
      <c r="B126" s="768" t="n">
        <v>40026</v>
      </c>
      <c r="C126" s="872" t="n">
        <f aca="false">Breakout!$L$136/12</f>
        <v>6760081.63515592</v>
      </c>
      <c r="D126" s="873" t="n">
        <f aca="false">Breakout!$L$137/12</f>
        <v>4922523</v>
      </c>
      <c r="E126" s="873" t="n">
        <v>4922523</v>
      </c>
      <c r="F126" s="872" t="n">
        <f aca="false">Breakout!$L$143/12</f>
        <v>132220.813236734</v>
      </c>
      <c r="G126" s="873" t="n">
        <f aca="false">Breakout!$L$144/12</f>
        <v>107980.33081</v>
      </c>
      <c r="H126" s="873" t="n">
        <v>110184.011030612</v>
      </c>
      <c r="I126" s="769" t="n">
        <v>0</v>
      </c>
      <c r="J126" s="772" t="n">
        <v>0</v>
      </c>
      <c r="K126" s="772" t="n">
        <v>0</v>
      </c>
      <c r="L126" s="769" t="n">
        <v>0</v>
      </c>
      <c r="M126" s="873" t="n">
        <f aca="false">Breakout!$L$151/12</f>
        <v>60167.8477590433</v>
      </c>
      <c r="N126" s="872" t="n">
        <f aca="false">Breakout!$L$157/12</f>
        <v>0</v>
      </c>
      <c r="O126" s="873" t="n">
        <f aca="false">Breakout!$L$158/12</f>
        <v>8333.33333333333</v>
      </c>
      <c r="P126" s="872" t="n">
        <f aca="false">Breakout!$L$164/12</f>
        <v>0</v>
      </c>
      <c r="Q126" s="873" t="n">
        <f aca="false">Breakout!$L$165/12</f>
        <v>0</v>
      </c>
      <c r="R126" s="872" t="n">
        <f aca="false">Breakout!$L$171/12</f>
        <v>0</v>
      </c>
      <c r="S126" s="873" t="n">
        <f aca="false">Breakout!$L$172/12</f>
        <v>1318215.9188554</v>
      </c>
      <c r="T126" s="774" t="n">
        <f aca="false">C126+F126+I126+L126+N126+P126+R126</f>
        <v>6892302.44839265</v>
      </c>
      <c r="U126" s="771" t="n">
        <f aca="false">E126+H126+K126+M126+O126+Q126+S126</f>
        <v>6419424.11097839</v>
      </c>
      <c r="V126" s="774" t="n">
        <f aca="false">D126+G126+J126+M126+O126+Q126+S126</f>
        <v>6417220.43075778</v>
      </c>
      <c r="W126" s="775" t="n">
        <f aca="false">T126-V126-AD126</f>
        <v>475082.017634871</v>
      </c>
      <c r="X126" s="431"/>
      <c r="Y126" s="776" t="n">
        <f aca="false">T126-U126-AD126</f>
        <v>472878.33741426</v>
      </c>
      <c r="Z126" s="431"/>
      <c r="AA126" s="770" t="n">
        <f aca="false">'power redistribution'!$C$32/12</f>
        <v>58459835.6481481</v>
      </c>
      <c r="AB126" s="770" t="n">
        <f aca="false">'power redistribution'!$D$32/12</f>
        <v>15466.6666666667</v>
      </c>
      <c r="AC126" s="431"/>
      <c r="AD126" s="772" t="n">
        <v>0</v>
      </c>
      <c r="AE126" s="431"/>
    </row>
    <row r="127" customFormat="false" ht="12.75" hidden="false" customHeight="false" outlineLevel="0" collapsed="false">
      <c r="A127" s="767" t="n">
        <v>117</v>
      </c>
      <c r="B127" s="768" t="n">
        <v>40057</v>
      </c>
      <c r="C127" s="872" t="n">
        <f aca="false">Breakout!$L$136/12</f>
        <v>6760081.63515592</v>
      </c>
      <c r="D127" s="873" t="n">
        <f aca="false">Breakout!$L$137/12</f>
        <v>4922523</v>
      </c>
      <c r="E127" s="873" t="n">
        <v>4922523</v>
      </c>
      <c r="F127" s="872" t="n">
        <f aca="false">Breakout!$L$143/12</f>
        <v>132220.813236734</v>
      </c>
      <c r="G127" s="873" t="n">
        <f aca="false">Breakout!$L$144/12</f>
        <v>107980.33081</v>
      </c>
      <c r="H127" s="873" t="n">
        <v>110184.011030612</v>
      </c>
      <c r="I127" s="769" t="n">
        <v>0</v>
      </c>
      <c r="J127" s="772" t="n">
        <v>0</v>
      </c>
      <c r="K127" s="772" t="n">
        <v>0</v>
      </c>
      <c r="L127" s="769" t="n">
        <v>0</v>
      </c>
      <c r="M127" s="873" t="n">
        <f aca="false">Breakout!$L$151/12</f>
        <v>60167.8477590433</v>
      </c>
      <c r="N127" s="872" t="n">
        <f aca="false">Breakout!$L$157/12</f>
        <v>0</v>
      </c>
      <c r="O127" s="873" t="n">
        <f aca="false">Breakout!$L$158/12</f>
        <v>8333.33333333333</v>
      </c>
      <c r="P127" s="872" t="n">
        <f aca="false">Breakout!$L$164/12</f>
        <v>0</v>
      </c>
      <c r="Q127" s="873" t="n">
        <f aca="false">Breakout!$L$165/12</f>
        <v>0</v>
      </c>
      <c r="R127" s="872" t="n">
        <f aca="false">Breakout!$L$171/12</f>
        <v>0</v>
      </c>
      <c r="S127" s="873" t="n">
        <f aca="false">Breakout!$L$172/12</f>
        <v>1318215.9188554</v>
      </c>
      <c r="T127" s="774" t="n">
        <f aca="false">C127+F127+I127+L127+N127+P127+R127</f>
        <v>6892302.44839265</v>
      </c>
      <c r="U127" s="771" t="n">
        <f aca="false">E127+H127+K127+M127+O127+Q127+S127</f>
        <v>6419424.11097839</v>
      </c>
      <c r="V127" s="774" t="n">
        <f aca="false">D127+G127+J127+M127+O127+Q127+S127</f>
        <v>6417220.43075778</v>
      </c>
      <c r="W127" s="775" t="n">
        <f aca="false">T127-V127-AD127</f>
        <v>475082.017634871</v>
      </c>
      <c r="X127" s="431"/>
      <c r="Y127" s="776" t="n">
        <f aca="false">T127-U127-AD127</f>
        <v>472878.33741426</v>
      </c>
      <c r="Z127" s="431"/>
      <c r="AA127" s="770" t="n">
        <f aca="false">'power redistribution'!$C$32/12</f>
        <v>58459835.6481481</v>
      </c>
      <c r="AB127" s="770" t="n">
        <f aca="false">'power redistribution'!$D$32/12</f>
        <v>15466.6666666667</v>
      </c>
      <c r="AC127" s="431"/>
      <c r="AD127" s="772" t="n">
        <v>0</v>
      </c>
      <c r="AE127" s="431"/>
    </row>
    <row r="128" customFormat="false" ht="12.75" hidden="false" customHeight="false" outlineLevel="0" collapsed="false">
      <c r="A128" s="767" t="n">
        <v>118</v>
      </c>
      <c r="B128" s="768" t="n">
        <v>40087</v>
      </c>
      <c r="C128" s="872" t="n">
        <f aca="false">Breakout!$L$136/12</f>
        <v>6760081.63515592</v>
      </c>
      <c r="D128" s="873" t="n">
        <f aca="false">Breakout!$L$137/12</f>
        <v>4922523</v>
      </c>
      <c r="E128" s="873" t="n">
        <v>4922523</v>
      </c>
      <c r="F128" s="872" t="n">
        <f aca="false">Breakout!$L$143/12</f>
        <v>132220.813236734</v>
      </c>
      <c r="G128" s="873" t="n">
        <f aca="false">Breakout!$L$144/12</f>
        <v>107980.33081</v>
      </c>
      <c r="H128" s="873" t="n">
        <v>110184.011030612</v>
      </c>
      <c r="I128" s="769" t="n">
        <v>0</v>
      </c>
      <c r="J128" s="772" t="n">
        <v>0</v>
      </c>
      <c r="K128" s="772" t="n">
        <v>0</v>
      </c>
      <c r="L128" s="769" t="n">
        <v>0</v>
      </c>
      <c r="M128" s="873" t="n">
        <f aca="false">Breakout!$L$151/12</f>
        <v>60167.8477590433</v>
      </c>
      <c r="N128" s="872" t="n">
        <f aca="false">Breakout!$L$157/12</f>
        <v>0</v>
      </c>
      <c r="O128" s="873" t="n">
        <f aca="false">Breakout!$L$158/12</f>
        <v>8333.33333333333</v>
      </c>
      <c r="P128" s="872" t="n">
        <f aca="false">Breakout!$L$164/12</f>
        <v>0</v>
      </c>
      <c r="Q128" s="873" t="n">
        <f aca="false">Breakout!$L$165/12</f>
        <v>0</v>
      </c>
      <c r="R128" s="872" t="n">
        <f aca="false">Breakout!$L$171/12</f>
        <v>0</v>
      </c>
      <c r="S128" s="873" t="n">
        <f aca="false">Breakout!$L$172/12</f>
        <v>1318215.9188554</v>
      </c>
      <c r="T128" s="774" t="n">
        <f aca="false">C128+F128+I128+L128+N128+P128+R128</f>
        <v>6892302.44839265</v>
      </c>
      <c r="U128" s="771" t="n">
        <f aca="false">E128+H128+K128+M128+O128+Q128+S128</f>
        <v>6419424.11097839</v>
      </c>
      <c r="V128" s="774" t="n">
        <f aca="false">D128+G128+J128+M128+O128+Q128+S128</f>
        <v>6417220.43075778</v>
      </c>
      <c r="W128" s="775" t="n">
        <f aca="false">T128-V128-AD128</f>
        <v>475082.017634871</v>
      </c>
      <c r="X128" s="431"/>
      <c r="Y128" s="776" t="n">
        <f aca="false">T128-U128-AD128</f>
        <v>472878.33741426</v>
      </c>
      <c r="Z128" s="431"/>
      <c r="AA128" s="770" t="n">
        <f aca="false">'power redistribution'!$C$32/12</f>
        <v>58459835.6481481</v>
      </c>
      <c r="AB128" s="770" t="n">
        <f aca="false">'power redistribution'!$D$32/12</f>
        <v>15466.6666666667</v>
      </c>
      <c r="AC128" s="431"/>
      <c r="AD128" s="772" t="n">
        <v>0</v>
      </c>
      <c r="AE128" s="431"/>
    </row>
    <row r="129" customFormat="false" ht="12.75" hidden="false" customHeight="false" outlineLevel="0" collapsed="false">
      <c r="A129" s="767" t="n">
        <v>119</v>
      </c>
      <c r="B129" s="768" t="n">
        <v>40118</v>
      </c>
      <c r="C129" s="872" t="n">
        <f aca="false">Breakout!$L$136/12</f>
        <v>6760081.63515592</v>
      </c>
      <c r="D129" s="873" t="n">
        <f aca="false">Breakout!$L$137/12</f>
        <v>4922523</v>
      </c>
      <c r="E129" s="873" t="n">
        <v>4922523</v>
      </c>
      <c r="F129" s="872" t="n">
        <f aca="false">Breakout!$L$143/12</f>
        <v>132220.813236734</v>
      </c>
      <c r="G129" s="873" t="n">
        <f aca="false">Breakout!$L$144/12</f>
        <v>107980.33081</v>
      </c>
      <c r="H129" s="873" t="n">
        <v>110184.011030612</v>
      </c>
      <c r="I129" s="769" t="n">
        <v>0</v>
      </c>
      <c r="J129" s="772" t="n">
        <v>0</v>
      </c>
      <c r="K129" s="772" t="n">
        <v>0</v>
      </c>
      <c r="L129" s="769" t="n">
        <v>0</v>
      </c>
      <c r="M129" s="873" t="n">
        <f aca="false">Breakout!$L$151/12</f>
        <v>60167.8477590433</v>
      </c>
      <c r="N129" s="872" t="n">
        <f aca="false">Breakout!$L$157/12</f>
        <v>0</v>
      </c>
      <c r="O129" s="873" t="n">
        <f aca="false">Breakout!$L$158/12</f>
        <v>8333.33333333333</v>
      </c>
      <c r="P129" s="872" t="n">
        <f aca="false">Breakout!$L$164/12</f>
        <v>0</v>
      </c>
      <c r="Q129" s="873" t="n">
        <f aca="false">Breakout!$L$165/12</f>
        <v>0</v>
      </c>
      <c r="R129" s="872" t="n">
        <f aca="false">Breakout!$L$171/12</f>
        <v>0</v>
      </c>
      <c r="S129" s="873" t="n">
        <f aca="false">Breakout!$L$172/12</f>
        <v>1318215.9188554</v>
      </c>
      <c r="T129" s="774" t="n">
        <f aca="false">C129+F129+I129+L129+N129+P129+R129</f>
        <v>6892302.44839265</v>
      </c>
      <c r="U129" s="771" t="n">
        <f aca="false">E129+H129+K129+M129+O129+Q129+S129</f>
        <v>6419424.11097839</v>
      </c>
      <c r="V129" s="774" t="n">
        <f aca="false">D129+G129+J129+M129+O129+Q129+S129</f>
        <v>6417220.43075778</v>
      </c>
      <c r="W129" s="775" t="n">
        <f aca="false">T129-V129-AD129</f>
        <v>475082.017634871</v>
      </c>
      <c r="X129" s="431"/>
      <c r="Y129" s="776" t="n">
        <f aca="false">T129-U129-AD129</f>
        <v>472878.33741426</v>
      </c>
      <c r="Z129" s="431"/>
      <c r="AA129" s="770" t="n">
        <f aca="false">'power redistribution'!$C$32/12</f>
        <v>58459835.6481481</v>
      </c>
      <c r="AB129" s="770" t="n">
        <f aca="false">'power redistribution'!$D$32/12</f>
        <v>15466.6666666667</v>
      </c>
      <c r="AC129" s="431"/>
      <c r="AD129" s="772" t="n">
        <v>0</v>
      </c>
      <c r="AE129" s="431"/>
    </row>
    <row r="130" customFormat="false" ht="12.75" hidden="false" customHeight="false" outlineLevel="0" collapsed="false">
      <c r="A130" s="881" t="n">
        <v>120</v>
      </c>
      <c r="B130" s="894" t="n">
        <v>40148</v>
      </c>
      <c r="C130" s="886" t="n">
        <f aca="false">Breakout!$L$136/12</f>
        <v>6760081.63515592</v>
      </c>
      <c r="D130" s="883" t="n">
        <f aca="false">Breakout!$L$137/12</f>
        <v>4922523</v>
      </c>
      <c r="E130" s="883" t="n">
        <v>4922523</v>
      </c>
      <c r="F130" s="886" t="n">
        <f aca="false">Breakout!$L$143/12</f>
        <v>132220.813236734</v>
      </c>
      <c r="G130" s="883" t="n">
        <f aca="false">Breakout!$L$144/12</f>
        <v>107980.33081</v>
      </c>
      <c r="H130" s="883" t="n">
        <v>110184.011030612</v>
      </c>
      <c r="I130" s="769" t="n">
        <v>0</v>
      </c>
      <c r="J130" s="772" t="n">
        <v>0</v>
      </c>
      <c r="K130" s="772" t="n">
        <v>0</v>
      </c>
      <c r="L130" s="769" t="n">
        <v>0</v>
      </c>
      <c r="M130" s="883" t="n">
        <f aca="false">Breakout!$L$151/12</f>
        <v>60167.8477590433</v>
      </c>
      <c r="N130" s="886" t="n">
        <f aca="false">Breakout!$L$157/12</f>
        <v>0</v>
      </c>
      <c r="O130" s="883" t="n">
        <f aca="false">Breakout!$L$158/12</f>
        <v>8333.33333333333</v>
      </c>
      <c r="P130" s="886" t="n">
        <f aca="false">Breakout!$L$164/12</f>
        <v>0</v>
      </c>
      <c r="Q130" s="883" t="n">
        <f aca="false">Breakout!$L$165/12</f>
        <v>0</v>
      </c>
      <c r="R130" s="886" t="n">
        <f aca="false">Breakout!$L$171/12</f>
        <v>0</v>
      </c>
      <c r="S130" s="883" t="n">
        <f aca="false">Breakout!$L$172/12</f>
        <v>1318215.9188554</v>
      </c>
      <c r="T130" s="774" t="n">
        <f aca="false">C130+F130+I130+L130+N130+P130+R130</f>
        <v>6892302.44839265</v>
      </c>
      <c r="U130" s="771" t="n">
        <f aca="false">E130+H130+K130+M130+O130+Q130+S130</f>
        <v>6419424.11097839</v>
      </c>
      <c r="V130" s="774" t="n">
        <f aca="false">D130+G130+J130+M130+O130+Q130+S130</f>
        <v>6417220.43075778</v>
      </c>
      <c r="W130" s="775" t="n">
        <f aca="false">T130-V130-AD130</f>
        <v>475082.017634871</v>
      </c>
      <c r="X130" s="885" t="n">
        <f aca="false">SUM(W119:W130)</f>
        <v>5700984.21161846</v>
      </c>
      <c r="Y130" s="776" t="n">
        <f aca="false">T130-U130-AD130</f>
        <v>472878.33741426</v>
      </c>
      <c r="Z130" s="885" t="n">
        <f aca="false">SUM(Y119:Y130)</f>
        <v>5674540.04897112</v>
      </c>
      <c r="AA130" s="770" t="n">
        <f aca="false">'power redistribution'!$C$32/12</f>
        <v>58459835.6481481</v>
      </c>
      <c r="AB130" s="770" t="n">
        <f aca="false">'power redistribution'!$D$32/12</f>
        <v>15466.6666666667</v>
      </c>
      <c r="AC130" s="885"/>
      <c r="AD130" s="772" t="n">
        <v>0</v>
      </c>
      <c r="AE130" s="885"/>
      <c r="AF130" s="885"/>
      <c r="AG130" s="885"/>
      <c r="AH130" s="885"/>
      <c r="AI130" s="885"/>
      <c r="AJ130" s="885"/>
      <c r="AK130" s="885"/>
      <c r="AL130" s="885"/>
      <c r="AM130" s="885"/>
      <c r="AN130" s="885"/>
      <c r="AO130" s="885"/>
      <c r="AP130" s="885"/>
      <c r="AQ130" s="885"/>
      <c r="AR130" s="885"/>
      <c r="AS130" s="885"/>
      <c r="AT130" s="885"/>
      <c r="AU130" s="885"/>
      <c r="AV130" s="885"/>
      <c r="AW130" s="885"/>
      <c r="AX130" s="885"/>
      <c r="AY130" s="885"/>
      <c r="AZ130" s="885"/>
      <c r="BA130" s="885"/>
      <c r="BB130" s="885"/>
      <c r="BC130" s="885"/>
      <c r="BD130" s="885"/>
      <c r="BE130" s="885"/>
      <c r="BF130" s="885"/>
      <c r="BG130" s="885"/>
      <c r="BH130" s="885"/>
      <c r="BI130" s="885"/>
      <c r="BJ130" s="885"/>
      <c r="BK130" s="885"/>
      <c r="BL130" s="885"/>
      <c r="BM130" s="885"/>
      <c r="BN130" s="885"/>
      <c r="BO130" s="885"/>
      <c r="BP130" s="885"/>
      <c r="BQ130" s="885"/>
      <c r="BR130" s="885"/>
      <c r="BS130" s="885"/>
      <c r="BT130" s="885"/>
      <c r="BU130" s="885"/>
      <c r="BV130" s="885"/>
      <c r="BW130" s="885"/>
      <c r="BX130" s="885"/>
      <c r="BY130" s="885"/>
    </row>
    <row r="131" customFormat="false" ht="12.75" hidden="false" customHeight="false" outlineLevel="0" collapsed="false">
      <c r="A131" s="866" t="n">
        <v>121</v>
      </c>
      <c r="B131" s="897" t="n">
        <v>40179</v>
      </c>
      <c r="C131" s="868"/>
      <c r="D131" s="870"/>
      <c r="E131" s="877"/>
      <c r="F131" s="868"/>
      <c r="G131" s="877"/>
      <c r="H131" s="870"/>
      <c r="I131" s="868"/>
      <c r="J131" s="869"/>
      <c r="K131" s="877"/>
      <c r="L131" s="868"/>
      <c r="M131" s="870"/>
      <c r="N131" s="868"/>
      <c r="O131" s="870"/>
      <c r="P131" s="868"/>
      <c r="Q131" s="870"/>
      <c r="R131" s="868"/>
      <c r="S131" s="870"/>
      <c r="T131" s="878"/>
      <c r="U131" s="878"/>
      <c r="V131" s="878"/>
      <c r="W131" s="879"/>
      <c r="X131" s="869"/>
      <c r="Y131" s="880"/>
      <c r="Z131" s="869"/>
      <c r="AA131" s="869"/>
      <c r="AB131" s="869"/>
      <c r="AC131" s="869"/>
      <c r="AD131" s="869"/>
      <c r="AE131" s="869"/>
      <c r="AF131" s="869"/>
      <c r="AG131" s="869"/>
      <c r="AH131" s="869"/>
      <c r="AI131" s="869"/>
      <c r="AJ131" s="869"/>
      <c r="AK131" s="869"/>
      <c r="AL131" s="869"/>
      <c r="AM131" s="869"/>
      <c r="AN131" s="869"/>
      <c r="AO131" s="869"/>
      <c r="AP131" s="869"/>
      <c r="AQ131" s="869"/>
      <c r="AR131" s="869"/>
      <c r="AS131" s="869"/>
      <c r="AT131" s="869"/>
      <c r="AU131" s="869"/>
      <c r="AV131" s="869"/>
      <c r="AW131" s="869"/>
      <c r="AX131" s="869"/>
      <c r="AY131" s="869"/>
      <c r="AZ131" s="869"/>
      <c r="BA131" s="869"/>
      <c r="BB131" s="869"/>
      <c r="BC131" s="869"/>
      <c r="BD131" s="869"/>
      <c r="BE131" s="869"/>
      <c r="BF131" s="869"/>
      <c r="BG131" s="869"/>
      <c r="BH131" s="869"/>
      <c r="BI131" s="869"/>
      <c r="BJ131" s="869"/>
      <c r="BK131" s="869"/>
      <c r="BL131" s="869"/>
      <c r="BM131" s="869"/>
      <c r="BN131" s="869"/>
      <c r="BO131" s="869"/>
      <c r="BP131" s="869"/>
      <c r="BQ131" s="869"/>
      <c r="BR131" s="869"/>
      <c r="BS131" s="869"/>
      <c r="BT131" s="869"/>
      <c r="BU131" s="869"/>
      <c r="BV131" s="869"/>
      <c r="BW131" s="869"/>
      <c r="BX131" s="869"/>
      <c r="BY131" s="869"/>
    </row>
    <row r="132" customFormat="false" ht="12.75" hidden="false" customHeight="false" outlineLevel="0" collapsed="false">
      <c r="A132" s="767" t="n">
        <v>122</v>
      </c>
      <c r="B132" s="768" t="n">
        <v>40210</v>
      </c>
    </row>
    <row r="133" customFormat="false" ht="12.75" hidden="false" customHeight="false" outlineLevel="0" collapsed="false">
      <c r="A133" s="767" t="n">
        <v>123</v>
      </c>
      <c r="B133" s="768" t="n">
        <v>40238</v>
      </c>
    </row>
    <row r="134" customFormat="false" ht="12.75" hidden="false" customHeight="false" outlineLevel="0" collapsed="false">
      <c r="A134" s="767" t="n">
        <v>124</v>
      </c>
      <c r="B134" s="768" t="n">
        <v>40269</v>
      </c>
    </row>
    <row r="135" customFormat="false" ht="12.75" hidden="false" customHeight="false" outlineLevel="0" collapsed="false">
      <c r="A135" s="767" t="n">
        <v>125</v>
      </c>
      <c r="B135" s="768" t="n">
        <v>40299</v>
      </c>
    </row>
    <row r="136" customFormat="false" ht="12.75" hidden="false" customHeight="false" outlineLevel="0" collapsed="false">
      <c r="A136" s="767" t="n">
        <v>126</v>
      </c>
      <c r="B136" s="768" t="n">
        <v>40330</v>
      </c>
    </row>
    <row r="137" customFormat="false" ht="12.75" hidden="false" customHeight="false" outlineLevel="0" collapsed="false">
      <c r="A137" s="767" t="n">
        <v>127</v>
      </c>
      <c r="B137" s="768" t="n">
        <v>40360</v>
      </c>
    </row>
    <row r="138" customFormat="false" ht="12.75" hidden="false" customHeight="false" outlineLevel="0" collapsed="false">
      <c r="A138" s="767" t="n">
        <v>128</v>
      </c>
      <c r="B138" s="768" t="n">
        <v>40391</v>
      </c>
    </row>
    <row r="139" customFormat="false" ht="12.75" hidden="false" customHeight="false" outlineLevel="0" collapsed="false">
      <c r="A139" s="767" t="n">
        <v>129</v>
      </c>
      <c r="B139" s="768" t="n">
        <v>40422</v>
      </c>
    </row>
    <row r="140" customFormat="false" ht="12.75" hidden="false" customHeight="false" outlineLevel="0" collapsed="false">
      <c r="A140" s="767" t="n">
        <v>130</v>
      </c>
      <c r="B140" s="768" t="n">
        <v>40452</v>
      </c>
    </row>
    <row r="141" customFormat="false" ht="12.75" hidden="false" customHeight="false" outlineLevel="0" collapsed="false">
      <c r="A141" s="767" t="n">
        <v>131</v>
      </c>
      <c r="B141" s="768" t="n">
        <v>40483</v>
      </c>
    </row>
    <row r="142" customFormat="false" ht="12.75" hidden="false" customHeight="false" outlineLevel="0" collapsed="false">
      <c r="A142" s="881" t="n">
        <v>132</v>
      </c>
      <c r="B142" s="894" t="n">
        <v>40513</v>
      </c>
      <c r="C142" s="886"/>
      <c r="D142" s="883"/>
      <c r="E142" s="884"/>
      <c r="F142" s="886"/>
      <c r="G142" s="884"/>
      <c r="H142" s="883"/>
      <c r="I142" s="886"/>
      <c r="J142" s="885"/>
      <c r="K142" s="884"/>
      <c r="L142" s="886"/>
      <c r="M142" s="883"/>
      <c r="N142" s="886"/>
      <c r="O142" s="883"/>
      <c r="P142" s="886"/>
      <c r="Q142" s="883"/>
      <c r="R142" s="886"/>
      <c r="S142" s="883"/>
      <c r="T142" s="888"/>
      <c r="U142" s="888"/>
      <c r="V142" s="888"/>
      <c r="W142" s="889"/>
      <c r="X142" s="885"/>
      <c r="Y142" s="890"/>
      <c r="Z142" s="885"/>
      <c r="AA142" s="885"/>
      <c r="AB142" s="885"/>
      <c r="AC142" s="885"/>
      <c r="AD142" s="885"/>
      <c r="AE142" s="885"/>
      <c r="AF142" s="885"/>
      <c r="AG142" s="885"/>
      <c r="AH142" s="885"/>
      <c r="AI142" s="885"/>
      <c r="AJ142" s="885"/>
      <c r="AK142" s="885"/>
      <c r="AL142" s="885"/>
      <c r="AM142" s="885"/>
      <c r="AN142" s="885"/>
      <c r="AO142" s="885"/>
      <c r="AP142" s="885"/>
      <c r="AQ142" s="885"/>
      <c r="AR142" s="885"/>
      <c r="AS142" s="885"/>
      <c r="AT142" s="885"/>
      <c r="AU142" s="885"/>
      <c r="AV142" s="885"/>
      <c r="AW142" s="885"/>
      <c r="AX142" s="885"/>
      <c r="AY142" s="885"/>
      <c r="AZ142" s="885"/>
      <c r="BA142" s="885"/>
      <c r="BB142" s="885"/>
      <c r="BC142" s="885"/>
      <c r="BD142" s="885"/>
      <c r="BE142" s="885"/>
      <c r="BF142" s="885"/>
      <c r="BG142" s="885"/>
      <c r="BH142" s="885"/>
      <c r="BI142" s="885"/>
      <c r="BJ142" s="885"/>
      <c r="BK142" s="885"/>
      <c r="BL142" s="885"/>
      <c r="BM142" s="885"/>
      <c r="BN142" s="885"/>
      <c r="BO142" s="885"/>
      <c r="BP142" s="885"/>
      <c r="BQ142" s="885"/>
      <c r="BR142" s="885"/>
      <c r="BS142" s="885"/>
      <c r="BT142" s="885"/>
      <c r="BU142" s="885"/>
      <c r="BV142" s="885"/>
      <c r="BW142" s="885"/>
      <c r="BX142" s="885"/>
      <c r="BY142" s="885"/>
    </row>
    <row r="143" customFormat="false" ht="12.75" hidden="false" customHeight="false" outlineLevel="0" collapsed="false">
      <c r="A143" s="866" t="n">
        <v>133</v>
      </c>
      <c r="B143" s="897" t="n">
        <v>40544</v>
      </c>
      <c r="C143" s="868"/>
      <c r="D143" s="870"/>
      <c r="E143" s="877"/>
      <c r="F143" s="868"/>
      <c r="G143" s="877"/>
      <c r="H143" s="870"/>
      <c r="I143" s="868"/>
      <c r="J143" s="869"/>
      <c r="K143" s="877"/>
      <c r="L143" s="868"/>
      <c r="M143" s="870"/>
      <c r="N143" s="868"/>
      <c r="O143" s="870"/>
      <c r="P143" s="868"/>
      <c r="Q143" s="870"/>
      <c r="R143" s="868"/>
      <c r="S143" s="870"/>
      <c r="T143" s="878"/>
      <c r="U143" s="878"/>
      <c r="V143" s="878"/>
      <c r="W143" s="879"/>
      <c r="X143" s="869"/>
      <c r="Y143" s="880"/>
      <c r="Z143" s="869"/>
      <c r="AA143" s="869"/>
      <c r="AB143" s="869"/>
      <c r="AC143" s="869"/>
      <c r="AD143" s="869"/>
      <c r="AE143" s="869"/>
      <c r="AF143" s="869"/>
      <c r="AG143" s="869"/>
      <c r="AH143" s="869"/>
      <c r="AI143" s="869"/>
      <c r="AJ143" s="869"/>
      <c r="AK143" s="869"/>
      <c r="AL143" s="869"/>
      <c r="AM143" s="869"/>
      <c r="AN143" s="869"/>
      <c r="AO143" s="869"/>
      <c r="AP143" s="869"/>
      <c r="AQ143" s="869"/>
      <c r="AR143" s="869"/>
      <c r="AS143" s="869"/>
      <c r="AT143" s="869"/>
      <c r="AU143" s="869"/>
      <c r="AV143" s="869"/>
      <c r="AW143" s="869"/>
      <c r="AX143" s="869"/>
      <c r="AY143" s="869"/>
      <c r="AZ143" s="869"/>
      <c r="BA143" s="869"/>
      <c r="BB143" s="869"/>
      <c r="BC143" s="869"/>
      <c r="BD143" s="869"/>
      <c r="BE143" s="869"/>
      <c r="BF143" s="869"/>
      <c r="BG143" s="869"/>
      <c r="BH143" s="869"/>
      <c r="BI143" s="869"/>
      <c r="BJ143" s="869"/>
      <c r="BK143" s="869"/>
      <c r="BL143" s="869"/>
      <c r="BM143" s="869"/>
      <c r="BN143" s="869"/>
      <c r="BO143" s="869"/>
      <c r="BP143" s="869"/>
      <c r="BQ143" s="869"/>
      <c r="BR143" s="869"/>
      <c r="BS143" s="869"/>
      <c r="BT143" s="869"/>
      <c r="BU143" s="869"/>
      <c r="BV143" s="869"/>
      <c r="BW143" s="869"/>
      <c r="BX143" s="869"/>
      <c r="BY143" s="869"/>
    </row>
    <row r="144" customFormat="false" ht="12.75" hidden="false" customHeight="false" outlineLevel="0" collapsed="false">
      <c r="A144" s="767" t="n">
        <v>134</v>
      </c>
      <c r="B144" s="768" t="n">
        <v>40575</v>
      </c>
    </row>
    <row r="145" customFormat="false" ht="12.75" hidden="false" customHeight="false" outlineLevel="0" collapsed="false">
      <c r="A145" s="767" t="n">
        <v>135</v>
      </c>
      <c r="B145" s="768" t="n">
        <v>40603</v>
      </c>
    </row>
    <row r="146" customFormat="false" ht="12.75" hidden="false" customHeight="false" outlineLevel="0" collapsed="false">
      <c r="A146" s="767" t="n">
        <v>136</v>
      </c>
      <c r="B146" s="768" t="n">
        <v>40634</v>
      </c>
    </row>
    <row r="147" customFormat="false" ht="12.75" hidden="false" customHeight="false" outlineLevel="0" collapsed="false">
      <c r="A147" s="767" t="n">
        <v>137</v>
      </c>
      <c r="B147" s="768" t="n">
        <v>40664</v>
      </c>
    </row>
    <row r="148" customFormat="false" ht="12.75" hidden="false" customHeight="false" outlineLevel="0" collapsed="false">
      <c r="A148" s="767" t="n">
        <v>138</v>
      </c>
      <c r="B148" s="768" t="n">
        <v>40695</v>
      </c>
    </row>
    <row r="149" customFormat="false" ht="12.75" hidden="false" customHeight="false" outlineLevel="0" collapsed="false">
      <c r="A149" s="767" t="n">
        <v>139</v>
      </c>
      <c r="B149" s="768" t="n">
        <v>40725</v>
      </c>
    </row>
    <row r="150" customFormat="false" ht="12.75" hidden="false" customHeight="false" outlineLevel="0" collapsed="false">
      <c r="A150" s="767" t="n">
        <v>140</v>
      </c>
      <c r="B150" s="768" t="n">
        <v>40756</v>
      </c>
    </row>
    <row r="151" customFormat="false" ht="12.75" hidden="false" customHeight="false" outlineLevel="0" collapsed="false">
      <c r="A151" s="767" t="n">
        <v>141</v>
      </c>
      <c r="B151" s="768" t="n">
        <v>40787</v>
      </c>
    </row>
    <row r="152" customFormat="false" ht="12.75" hidden="false" customHeight="false" outlineLevel="0" collapsed="false">
      <c r="A152" s="767" t="n">
        <v>142</v>
      </c>
      <c r="B152" s="768" t="n">
        <v>40817</v>
      </c>
    </row>
    <row r="153" customFormat="false" ht="12.75" hidden="false" customHeight="false" outlineLevel="0" collapsed="false">
      <c r="A153" s="767" t="n">
        <v>143</v>
      </c>
      <c r="B153" s="768" t="n">
        <v>40848</v>
      </c>
    </row>
    <row r="154" customFormat="false" ht="12.75" hidden="false" customHeight="false" outlineLevel="0" collapsed="false">
      <c r="A154" s="881" t="n">
        <v>144</v>
      </c>
      <c r="B154" s="894" t="n">
        <v>40878</v>
      </c>
      <c r="C154" s="886"/>
      <c r="D154" s="883"/>
      <c r="E154" s="884"/>
      <c r="F154" s="886"/>
      <c r="G154" s="884"/>
      <c r="H154" s="883"/>
      <c r="I154" s="886"/>
      <c r="J154" s="885"/>
      <c r="K154" s="884"/>
      <c r="L154" s="886"/>
      <c r="M154" s="883"/>
      <c r="N154" s="886"/>
      <c r="O154" s="883"/>
      <c r="P154" s="886"/>
      <c r="Q154" s="883"/>
      <c r="R154" s="886"/>
      <c r="S154" s="883"/>
      <c r="T154" s="888"/>
      <c r="U154" s="888"/>
      <c r="V154" s="888"/>
      <c r="W154" s="889"/>
      <c r="X154" s="885"/>
      <c r="Y154" s="890"/>
      <c r="Z154" s="885"/>
      <c r="AA154" s="885"/>
      <c r="AB154" s="885"/>
      <c r="AC154" s="885"/>
      <c r="AD154" s="885"/>
      <c r="AE154" s="885"/>
      <c r="AF154" s="885"/>
      <c r="AG154" s="885"/>
      <c r="AH154" s="885"/>
      <c r="AI154" s="885"/>
      <c r="AJ154" s="885"/>
      <c r="AK154" s="885"/>
      <c r="AL154" s="885"/>
      <c r="AM154" s="885"/>
      <c r="AN154" s="885"/>
      <c r="AO154" s="885"/>
      <c r="AP154" s="885"/>
      <c r="AQ154" s="885"/>
      <c r="AR154" s="885"/>
      <c r="AS154" s="885"/>
      <c r="AT154" s="885"/>
      <c r="AU154" s="885"/>
      <c r="AV154" s="885"/>
      <c r="AW154" s="885"/>
      <c r="AX154" s="885"/>
      <c r="AY154" s="885"/>
      <c r="AZ154" s="885"/>
      <c r="BA154" s="885"/>
      <c r="BB154" s="885"/>
      <c r="BC154" s="885"/>
      <c r="BD154" s="885"/>
      <c r="BE154" s="885"/>
      <c r="BF154" s="885"/>
      <c r="BG154" s="885"/>
      <c r="BH154" s="885"/>
      <c r="BI154" s="885"/>
      <c r="BJ154" s="885"/>
      <c r="BK154" s="885"/>
      <c r="BL154" s="885"/>
      <c r="BM154" s="885"/>
      <c r="BN154" s="885"/>
      <c r="BO154" s="885"/>
      <c r="BP154" s="885"/>
      <c r="BQ154" s="885"/>
      <c r="BR154" s="885"/>
      <c r="BS154" s="885"/>
      <c r="BT154" s="885"/>
      <c r="BU154" s="885"/>
      <c r="BV154" s="885"/>
      <c r="BW154" s="885"/>
      <c r="BX154" s="885"/>
      <c r="BY154" s="885"/>
    </row>
    <row r="155" customFormat="false" ht="12.75" hidden="false" customHeight="false" outlineLevel="0" collapsed="false">
      <c r="A155" s="866" t="n">
        <v>145</v>
      </c>
      <c r="B155" s="897" t="n">
        <v>40909</v>
      </c>
      <c r="C155" s="868"/>
      <c r="D155" s="870"/>
      <c r="E155" s="877"/>
      <c r="F155" s="868"/>
      <c r="G155" s="877"/>
      <c r="H155" s="870"/>
      <c r="I155" s="868"/>
      <c r="J155" s="869"/>
      <c r="K155" s="877"/>
      <c r="L155" s="868"/>
      <c r="M155" s="870"/>
      <c r="N155" s="868"/>
      <c r="O155" s="870"/>
      <c r="P155" s="868"/>
      <c r="Q155" s="870"/>
      <c r="R155" s="868"/>
      <c r="S155" s="870"/>
      <c r="T155" s="878"/>
      <c r="U155" s="878"/>
      <c r="V155" s="878"/>
      <c r="W155" s="879"/>
      <c r="X155" s="869"/>
      <c r="Y155" s="880"/>
      <c r="Z155" s="869"/>
      <c r="AA155" s="869"/>
      <c r="AB155" s="869"/>
      <c r="AC155" s="869"/>
      <c r="AD155" s="869"/>
      <c r="AE155" s="869"/>
      <c r="AF155" s="869"/>
      <c r="AG155" s="869"/>
      <c r="AH155" s="869"/>
      <c r="AI155" s="869"/>
      <c r="AJ155" s="869"/>
      <c r="AK155" s="869"/>
      <c r="AL155" s="869"/>
      <c r="AM155" s="869"/>
      <c r="AN155" s="869"/>
      <c r="AO155" s="869"/>
      <c r="AP155" s="869"/>
      <c r="AQ155" s="869"/>
      <c r="AR155" s="869"/>
      <c r="AS155" s="869"/>
      <c r="AT155" s="869"/>
      <c r="AU155" s="869"/>
      <c r="AV155" s="869"/>
      <c r="AW155" s="869"/>
      <c r="AX155" s="869"/>
      <c r="AY155" s="869"/>
      <c r="AZ155" s="869"/>
      <c r="BA155" s="869"/>
      <c r="BB155" s="869"/>
      <c r="BC155" s="869"/>
      <c r="BD155" s="869"/>
      <c r="BE155" s="869"/>
      <c r="BF155" s="869"/>
      <c r="BG155" s="869"/>
      <c r="BH155" s="869"/>
      <c r="BI155" s="869"/>
      <c r="BJ155" s="869"/>
      <c r="BK155" s="869"/>
      <c r="BL155" s="869"/>
      <c r="BM155" s="869"/>
      <c r="BN155" s="869"/>
      <c r="BO155" s="869"/>
      <c r="BP155" s="869"/>
      <c r="BQ155" s="869"/>
      <c r="BR155" s="869"/>
      <c r="BS155" s="869"/>
      <c r="BT155" s="869"/>
      <c r="BU155" s="869"/>
      <c r="BV155" s="869"/>
      <c r="BW155" s="869"/>
      <c r="BX155" s="869"/>
      <c r="BY155" s="869"/>
    </row>
    <row r="156" customFormat="false" ht="12.75" hidden="false" customHeight="false" outlineLevel="0" collapsed="false">
      <c r="A156" s="767" t="n">
        <v>146</v>
      </c>
      <c r="B156" s="768" t="n">
        <v>40940</v>
      </c>
    </row>
    <row r="157" customFormat="false" ht="12.75" hidden="false" customHeight="false" outlineLevel="0" collapsed="false">
      <c r="A157" s="767" t="n">
        <v>147</v>
      </c>
      <c r="B157" s="768" t="n">
        <v>40969</v>
      </c>
    </row>
    <row r="158" customFormat="false" ht="12.75" hidden="false" customHeight="false" outlineLevel="0" collapsed="false">
      <c r="A158" s="767" t="n">
        <v>148</v>
      </c>
      <c r="B158" s="768" t="n">
        <v>41000</v>
      </c>
    </row>
    <row r="159" customFormat="false" ht="12.75" hidden="false" customHeight="false" outlineLevel="0" collapsed="false">
      <c r="A159" s="767" t="n">
        <v>149</v>
      </c>
      <c r="B159" s="768" t="n">
        <v>41030</v>
      </c>
    </row>
    <row r="160" customFormat="false" ht="12.75" hidden="false" customHeight="false" outlineLevel="0" collapsed="false">
      <c r="A160" s="767" t="n">
        <v>150</v>
      </c>
      <c r="B160" s="768" t="n">
        <v>41061</v>
      </c>
    </row>
    <row r="161" customFormat="false" ht="12.75" hidden="false" customHeight="false" outlineLevel="0" collapsed="false">
      <c r="A161" s="767" t="n">
        <v>151</v>
      </c>
      <c r="B161" s="768" t="n">
        <v>41091</v>
      </c>
    </row>
    <row r="162" customFormat="false" ht="12.75" hidden="false" customHeight="false" outlineLevel="0" collapsed="false">
      <c r="A162" s="767" t="n">
        <v>152</v>
      </c>
      <c r="B162" s="768" t="n">
        <v>41122</v>
      </c>
    </row>
    <row r="163" customFormat="false" ht="12.75" hidden="false" customHeight="false" outlineLevel="0" collapsed="false">
      <c r="A163" s="767" t="n">
        <v>153</v>
      </c>
      <c r="B163" s="768" t="n">
        <v>41153</v>
      </c>
    </row>
    <row r="164" customFormat="false" ht="12.75" hidden="false" customHeight="false" outlineLevel="0" collapsed="false">
      <c r="A164" s="767" t="n">
        <v>154</v>
      </c>
      <c r="B164" s="768" t="n">
        <v>41183</v>
      </c>
    </row>
    <row r="165" customFormat="false" ht="12.75" hidden="false" customHeight="false" outlineLevel="0" collapsed="false">
      <c r="A165" s="767" t="n">
        <v>155</v>
      </c>
      <c r="B165" s="768" t="n">
        <v>41214</v>
      </c>
    </row>
    <row r="166" customFormat="false" ht="12.75" hidden="false" customHeight="false" outlineLevel="0" collapsed="false">
      <c r="A166" s="881" t="n">
        <v>156</v>
      </c>
      <c r="B166" s="894" t="n">
        <v>41244</v>
      </c>
      <c r="C166" s="886"/>
      <c r="D166" s="883"/>
      <c r="E166" s="884"/>
      <c r="F166" s="886"/>
      <c r="G166" s="884"/>
      <c r="H166" s="883"/>
      <c r="I166" s="886"/>
      <c r="J166" s="885"/>
      <c r="K166" s="884"/>
      <c r="L166" s="886"/>
      <c r="M166" s="883"/>
      <c r="N166" s="886"/>
      <c r="O166" s="883"/>
      <c r="P166" s="886"/>
      <c r="Q166" s="883"/>
      <c r="R166" s="886"/>
      <c r="S166" s="883"/>
      <c r="T166" s="888"/>
      <c r="U166" s="888"/>
      <c r="V166" s="888"/>
      <c r="W166" s="889"/>
      <c r="X166" s="885"/>
      <c r="Y166" s="890"/>
      <c r="Z166" s="885"/>
      <c r="AA166" s="885"/>
      <c r="AB166" s="885"/>
      <c r="AC166" s="885"/>
      <c r="AD166" s="885"/>
      <c r="AE166" s="885"/>
      <c r="AF166" s="885"/>
      <c r="AG166" s="885"/>
      <c r="AH166" s="885"/>
      <c r="AI166" s="885"/>
      <c r="AJ166" s="885"/>
      <c r="AK166" s="885"/>
      <c r="AL166" s="885"/>
      <c r="AM166" s="885"/>
      <c r="AN166" s="885"/>
      <c r="AO166" s="885"/>
      <c r="AP166" s="885"/>
      <c r="AQ166" s="885"/>
      <c r="AR166" s="885"/>
      <c r="AS166" s="885"/>
      <c r="AT166" s="885"/>
      <c r="AU166" s="885"/>
      <c r="AV166" s="885"/>
      <c r="AW166" s="885"/>
      <c r="AX166" s="885"/>
      <c r="AY166" s="885"/>
      <c r="AZ166" s="885"/>
      <c r="BA166" s="885"/>
      <c r="BB166" s="885"/>
      <c r="BC166" s="885"/>
      <c r="BD166" s="885"/>
      <c r="BE166" s="885"/>
      <c r="BF166" s="885"/>
      <c r="BG166" s="885"/>
      <c r="BH166" s="885"/>
      <c r="BI166" s="885"/>
      <c r="BJ166" s="885"/>
      <c r="BK166" s="885"/>
      <c r="BL166" s="885"/>
      <c r="BM166" s="885"/>
      <c r="BN166" s="885"/>
      <c r="BO166" s="885"/>
      <c r="BP166" s="885"/>
      <c r="BQ166" s="885"/>
      <c r="BR166" s="885"/>
      <c r="BS166" s="885"/>
      <c r="BT166" s="885"/>
      <c r="BU166" s="885"/>
      <c r="BV166" s="885"/>
      <c r="BW166" s="885"/>
      <c r="BX166" s="885"/>
      <c r="BY166" s="885"/>
    </row>
    <row r="167" customFormat="false" ht="12.75" hidden="false" customHeight="false" outlineLevel="0" collapsed="false">
      <c r="A167" s="767" t="n">
        <v>157</v>
      </c>
      <c r="B167" s="768" t="n">
        <v>41275</v>
      </c>
    </row>
    <row r="168" customFormat="false" ht="12.75" hidden="false" customHeight="false" outlineLevel="0" collapsed="false">
      <c r="A168" s="767" t="n">
        <v>158</v>
      </c>
      <c r="B168" s="768" t="n">
        <v>41306</v>
      </c>
    </row>
    <row r="169" customFormat="false" ht="12.75" hidden="false" customHeight="false" outlineLevel="0" collapsed="false">
      <c r="A169" s="767" t="n">
        <v>159</v>
      </c>
      <c r="B169" s="768" t="n">
        <v>41334</v>
      </c>
    </row>
    <row r="170" customFormat="false" ht="12.75" hidden="false" customHeight="false" outlineLevel="0" collapsed="false">
      <c r="A170" s="767" t="n">
        <v>160</v>
      </c>
      <c r="B170" s="768" t="n">
        <v>41365</v>
      </c>
    </row>
    <row r="171" customFormat="false" ht="12.75" hidden="false" customHeight="false" outlineLevel="0" collapsed="false">
      <c r="A171" s="767" t="n">
        <v>161</v>
      </c>
      <c r="B171" s="768" t="n">
        <v>41395</v>
      </c>
    </row>
    <row r="172" customFormat="false" ht="12.75" hidden="false" customHeight="false" outlineLevel="0" collapsed="false">
      <c r="A172" s="767" t="n">
        <v>162</v>
      </c>
      <c r="B172" s="768" t="n">
        <v>41426</v>
      </c>
    </row>
    <row r="173" customFormat="false" ht="12.75" hidden="false" customHeight="false" outlineLevel="0" collapsed="false">
      <c r="A173" s="767" t="n">
        <v>163</v>
      </c>
      <c r="B173" s="768" t="n">
        <v>41456</v>
      </c>
    </row>
    <row r="174" customFormat="false" ht="12.75" hidden="false" customHeight="false" outlineLevel="0" collapsed="false">
      <c r="A174" s="767" t="n">
        <v>164</v>
      </c>
      <c r="B174" s="768" t="n">
        <v>41487</v>
      </c>
    </row>
    <row r="175" customFormat="false" ht="12.75" hidden="false" customHeight="false" outlineLevel="0" collapsed="false">
      <c r="A175" s="767" t="n">
        <v>165</v>
      </c>
      <c r="B175" s="768" t="n">
        <v>41518</v>
      </c>
    </row>
    <row r="176" customFormat="false" ht="12.75" hidden="false" customHeight="false" outlineLevel="0" collapsed="false">
      <c r="A176" s="767" t="n">
        <v>166</v>
      </c>
      <c r="B176" s="768" t="n">
        <v>41548</v>
      </c>
    </row>
    <row r="177" customFormat="false" ht="12.75" hidden="false" customHeight="false" outlineLevel="0" collapsed="false">
      <c r="A177" s="767" t="n">
        <v>167</v>
      </c>
      <c r="B177" s="768" t="n">
        <v>41579</v>
      </c>
    </row>
    <row r="178" customFormat="false" ht="12.75" hidden="false" customHeight="false" outlineLevel="0" collapsed="false">
      <c r="A178" s="881" t="n">
        <v>168</v>
      </c>
      <c r="B178" s="894" t="n">
        <v>41609</v>
      </c>
      <c r="C178" s="886"/>
      <c r="D178" s="883"/>
      <c r="E178" s="884"/>
      <c r="F178" s="886"/>
      <c r="G178" s="884"/>
      <c r="H178" s="883"/>
      <c r="I178" s="886"/>
      <c r="J178" s="885"/>
      <c r="K178" s="884"/>
      <c r="L178" s="886"/>
      <c r="M178" s="883"/>
      <c r="N178" s="886"/>
      <c r="O178" s="883"/>
      <c r="P178" s="886"/>
      <c r="Q178" s="883"/>
      <c r="R178" s="886"/>
      <c r="S178" s="883"/>
      <c r="T178" s="888"/>
      <c r="U178" s="888"/>
      <c r="V178" s="888"/>
      <c r="W178" s="889"/>
      <c r="X178" s="885"/>
      <c r="Y178" s="890"/>
      <c r="Z178" s="885"/>
      <c r="AA178" s="885"/>
      <c r="AB178" s="885"/>
      <c r="AC178" s="885"/>
      <c r="AD178" s="885"/>
      <c r="AE178" s="885"/>
      <c r="AF178" s="885"/>
      <c r="AG178" s="885"/>
      <c r="AH178" s="885"/>
      <c r="AI178" s="885"/>
      <c r="AJ178" s="885"/>
      <c r="AK178" s="885"/>
      <c r="AL178" s="885"/>
      <c r="AM178" s="885"/>
      <c r="AN178" s="885"/>
      <c r="AO178" s="885"/>
      <c r="AP178" s="885"/>
      <c r="AQ178" s="885"/>
      <c r="AR178" s="885"/>
      <c r="AS178" s="885"/>
      <c r="AT178" s="885"/>
      <c r="AU178" s="885"/>
      <c r="AV178" s="885"/>
      <c r="AW178" s="885"/>
      <c r="AX178" s="885"/>
      <c r="AY178" s="885"/>
      <c r="AZ178" s="885"/>
      <c r="BA178" s="885"/>
      <c r="BB178" s="885"/>
      <c r="BC178" s="885"/>
      <c r="BD178" s="885"/>
      <c r="BE178" s="885"/>
      <c r="BF178" s="885"/>
      <c r="BG178" s="885"/>
      <c r="BH178" s="885"/>
      <c r="BI178" s="885"/>
      <c r="BJ178" s="885"/>
      <c r="BK178" s="885"/>
      <c r="BL178" s="885"/>
      <c r="BM178" s="885"/>
      <c r="BN178" s="885"/>
      <c r="BO178" s="885"/>
      <c r="BP178" s="885"/>
      <c r="BQ178" s="885"/>
      <c r="BR178" s="885"/>
      <c r="BS178" s="885"/>
      <c r="BT178" s="885"/>
      <c r="BU178" s="885"/>
      <c r="BV178" s="885"/>
      <c r="BW178" s="885"/>
      <c r="BX178" s="885"/>
      <c r="BY178" s="885"/>
    </row>
    <row r="179" customFormat="false" ht="12.75" hidden="false" customHeight="false" outlineLevel="0" collapsed="false">
      <c r="A179" s="767" t="n">
        <v>169</v>
      </c>
      <c r="B179" s="768" t="n">
        <v>41640</v>
      </c>
    </row>
    <row r="180" customFormat="false" ht="12.75" hidden="false" customHeight="false" outlineLevel="0" collapsed="false">
      <c r="A180" s="767" t="n">
        <v>170</v>
      </c>
      <c r="B180" s="768" t="n">
        <v>41671</v>
      </c>
    </row>
    <row r="181" customFormat="false" ht="12.75" hidden="false" customHeight="false" outlineLevel="0" collapsed="false">
      <c r="A181" s="767" t="n">
        <v>171</v>
      </c>
      <c r="B181" s="768" t="n">
        <v>41699</v>
      </c>
    </row>
    <row r="182" customFormat="false" ht="12.75" hidden="false" customHeight="false" outlineLevel="0" collapsed="false">
      <c r="A182" s="767" t="n">
        <v>172</v>
      </c>
      <c r="B182" s="768" t="n">
        <v>41730</v>
      </c>
    </row>
    <row r="183" customFormat="false" ht="12.75" hidden="false" customHeight="false" outlineLevel="0" collapsed="false">
      <c r="A183" s="767" t="n">
        <v>173</v>
      </c>
      <c r="B183" s="768" t="n">
        <v>41760</v>
      </c>
    </row>
    <row r="184" customFormat="false" ht="12.75" hidden="false" customHeight="false" outlineLevel="0" collapsed="false">
      <c r="A184" s="767" t="n">
        <v>174</v>
      </c>
      <c r="B184" s="768" t="n">
        <v>41791</v>
      </c>
    </row>
    <row r="185" customFormat="false" ht="12.75" hidden="false" customHeight="false" outlineLevel="0" collapsed="false">
      <c r="A185" s="767" t="n">
        <v>175</v>
      </c>
      <c r="B185" s="768" t="n">
        <v>41821</v>
      </c>
    </row>
    <row r="186" customFormat="false" ht="12.75" hidden="false" customHeight="false" outlineLevel="0" collapsed="false">
      <c r="A186" s="767" t="n">
        <v>176</v>
      </c>
      <c r="B186" s="768" t="n">
        <v>41852</v>
      </c>
    </row>
    <row r="187" customFormat="false" ht="12.75" hidden="false" customHeight="false" outlineLevel="0" collapsed="false">
      <c r="A187" s="767" t="n">
        <v>177</v>
      </c>
      <c r="B187" s="768" t="n">
        <v>41883</v>
      </c>
    </row>
    <row r="188" customFormat="false" ht="12.75" hidden="false" customHeight="false" outlineLevel="0" collapsed="false">
      <c r="A188" s="767" t="n">
        <v>178</v>
      </c>
      <c r="B188" s="768" t="n">
        <v>41913</v>
      </c>
    </row>
    <row r="189" customFormat="false" ht="12.75" hidden="false" customHeight="false" outlineLevel="0" collapsed="false">
      <c r="A189" s="767" t="n">
        <v>179</v>
      </c>
      <c r="B189" s="768" t="n">
        <v>41944</v>
      </c>
    </row>
    <row r="190" customFormat="false" ht="12.75" hidden="false" customHeight="false" outlineLevel="0" collapsed="false">
      <c r="A190" s="767" t="n">
        <v>180</v>
      </c>
      <c r="B190" s="768" t="n">
        <v>41974</v>
      </c>
    </row>
    <row r="191" customFormat="false" ht="12.75" hidden="false" customHeight="false" outlineLevel="0" collapsed="false">
      <c r="A191" s="767" t="n">
        <v>181</v>
      </c>
      <c r="B191" s="768" t="n">
        <v>42005</v>
      </c>
    </row>
    <row r="192" customFormat="false" ht="12.75" hidden="false" customHeight="false" outlineLevel="0" collapsed="false">
      <c r="A192" s="767" t="n">
        <v>182</v>
      </c>
      <c r="B192" s="768" t="n">
        <v>42036</v>
      </c>
    </row>
    <row r="193" customFormat="false" ht="12.75" hidden="false" customHeight="false" outlineLevel="0" collapsed="false">
      <c r="A193" s="767" t="n">
        <v>183</v>
      </c>
      <c r="B193" s="768" t="n">
        <v>42064</v>
      </c>
    </row>
    <row r="194" customFormat="false" ht="12.75" hidden="false" customHeight="false" outlineLevel="0" collapsed="false">
      <c r="A194" s="767" t="n">
        <v>184</v>
      </c>
      <c r="B194" s="768" t="n">
        <v>42095</v>
      </c>
    </row>
    <row r="195" customFormat="false" ht="12.75" hidden="false" customHeight="false" outlineLevel="0" collapsed="false">
      <c r="A195" s="767" t="n">
        <v>185</v>
      </c>
      <c r="B195" s="768" t="n">
        <v>42125</v>
      </c>
    </row>
    <row r="196" customFormat="false" ht="12.75" hidden="false" customHeight="false" outlineLevel="0" collapsed="false">
      <c r="A196" s="767" t="n">
        <v>186</v>
      </c>
      <c r="B196" s="768" t="n">
        <v>42156</v>
      </c>
    </row>
    <row r="197" customFormat="false" ht="12.75" hidden="false" customHeight="false" outlineLevel="0" collapsed="false">
      <c r="A197" s="767" t="n">
        <v>187</v>
      </c>
      <c r="B197" s="768" t="n">
        <v>42186</v>
      </c>
    </row>
    <row r="198" customFormat="false" ht="12.75" hidden="false" customHeight="false" outlineLevel="0" collapsed="false">
      <c r="A198" s="767" t="n">
        <v>188</v>
      </c>
      <c r="B198" s="768" t="n">
        <v>42217</v>
      </c>
    </row>
    <row r="199" customFormat="false" ht="12.75" hidden="false" customHeight="false" outlineLevel="0" collapsed="false">
      <c r="A199" s="767" t="n">
        <v>189</v>
      </c>
      <c r="B199" s="768" t="n">
        <v>42248</v>
      </c>
    </row>
    <row r="200" customFormat="false" ht="12.75" hidden="false" customHeight="false" outlineLevel="0" collapsed="false">
      <c r="A200" s="767" t="n">
        <v>190</v>
      </c>
      <c r="B200" s="768" t="n">
        <v>42278</v>
      </c>
    </row>
    <row r="201" customFormat="false" ht="12.75" hidden="false" customHeight="false" outlineLevel="0" collapsed="false">
      <c r="A201" s="767" t="n">
        <v>191</v>
      </c>
      <c r="B201" s="768" t="n">
        <v>42309</v>
      </c>
    </row>
    <row r="202" customFormat="false" ht="12.75" hidden="false" customHeight="false" outlineLevel="0" collapsed="false">
      <c r="A202" s="767" t="n">
        <v>192</v>
      </c>
      <c r="B202" s="768" t="n">
        <v>42339</v>
      </c>
    </row>
    <row r="203" customFormat="false" ht="12.75" hidden="false" customHeight="false" outlineLevel="0" collapsed="false">
      <c r="A203" s="767" t="n">
        <v>193</v>
      </c>
      <c r="B203" s="768" t="n">
        <v>42370</v>
      </c>
    </row>
    <row r="204" customFormat="false" ht="12.75" hidden="false" customHeight="false" outlineLevel="0" collapsed="false">
      <c r="A204" s="767" t="n">
        <v>194</v>
      </c>
      <c r="B204" s="768" t="n">
        <v>42401</v>
      </c>
    </row>
    <row r="205" customFormat="false" ht="12.75" hidden="false" customHeight="false" outlineLevel="0" collapsed="false">
      <c r="A205" s="767" t="n">
        <v>195</v>
      </c>
      <c r="B205" s="768" t="n">
        <v>42430</v>
      </c>
    </row>
    <row r="206" customFormat="false" ht="12.75" hidden="false" customHeight="false" outlineLevel="0" collapsed="false">
      <c r="A206" s="767" t="n">
        <v>196</v>
      </c>
      <c r="B206" s="768" t="n">
        <v>42461</v>
      </c>
    </row>
    <row r="207" customFormat="false" ht="12.75" hidden="false" customHeight="false" outlineLevel="0" collapsed="false">
      <c r="A207" s="767" t="n">
        <v>197</v>
      </c>
      <c r="B207" s="768" t="n">
        <v>42491</v>
      </c>
    </row>
    <row r="208" customFormat="false" ht="12.75" hidden="false" customHeight="false" outlineLevel="0" collapsed="false">
      <c r="A208" s="767" t="n">
        <v>198</v>
      </c>
      <c r="B208" s="768" t="n">
        <v>42522</v>
      </c>
    </row>
    <row r="209" customFormat="false" ht="12.75" hidden="false" customHeight="false" outlineLevel="0" collapsed="false">
      <c r="A209" s="767" t="n">
        <v>199</v>
      </c>
      <c r="B209" s="768" t="n">
        <v>42552</v>
      </c>
    </row>
    <row r="210" customFormat="false" ht="12.75" hidden="false" customHeight="false" outlineLevel="0" collapsed="false">
      <c r="A210" s="767" t="n">
        <v>200</v>
      </c>
      <c r="B210" s="768" t="n">
        <v>42583</v>
      </c>
    </row>
    <row r="211" customFormat="false" ht="12.75" hidden="false" customHeight="false" outlineLevel="0" collapsed="false">
      <c r="A211" s="767" t="n">
        <v>201</v>
      </c>
      <c r="B211" s="768" t="n">
        <v>42614</v>
      </c>
    </row>
    <row r="212" customFormat="false" ht="12.75" hidden="false" customHeight="false" outlineLevel="0" collapsed="false">
      <c r="A212" s="767" t="n">
        <v>202</v>
      </c>
      <c r="B212" s="768" t="n">
        <v>42644</v>
      </c>
    </row>
    <row r="213" customFormat="false" ht="12.75" hidden="false" customHeight="false" outlineLevel="0" collapsed="false">
      <c r="A213" s="767" t="n">
        <v>203</v>
      </c>
      <c r="B213" s="768" t="n">
        <v>42675</v>
      </c>
    </row>
    <row r="214" customFormat="false" ht="12.75" hidden="false" customHeight="false" outlineLevel="0" collapsed="false">
      <c r="A214" s="767" t="n">
        <v>204</v>
      </c>
      <c r="B214" s="768" t="n">
        <v>42705</v>
      </c>
    </row>
    <row r="215" customFormat="false" ht="12.75" hidden="false" customHeight="false" outlineLevel="0" collapsed="false">
      <c r="A215" s="767" t="n">
        <v>205</v>
      </c>
      <c r="B215" s="768" t="n">
        <v>42736</v>
      </c>
    </row>
    <row r="216" customFormat="false" ht="12.75" hidden="false" customHeight="false" outlineLevel="0" collapsed="false">
      <c r="A216" s="767" t="n">
        <v>206</v>
      </c>
      <c r="B216" s="768" t="n">
        <v>42767</v>
      </c>
    </row>
    <row r="217" customFormat="false" ht="12.75" hidden="false" customHeight="false" outlineLevel="0" collapsed="false">
      <c r="A217" s="767" t="n">
        <v>207</v>
      </c>
      <c r="B217" s="768" t="n">
        <v>42795</v>
      </c>
    </row>
    <row r="218" customFormat="false" ht="12.75" hidden="false" customHeight="false" outlineLevel="0" collapsed="false">
      <c r="A218" s="767" t="n">
        <v>208</v>
      </c>
      <c r="B218" s="768" t="n">
        <v>42826</v>
      </c>
    </row>
    <row r="219" customFormat="false" ht="12.75" hidden="false" customHeight="false" outlineLevel="0" collapsed="false">
      <c r="A219" s="767" t="n">
        <v>209</v>
      </c>
      <c r="B219" s="768" t="n">
        <v>42856</v>
      </c>
    </row>
    <row r="220" customFormat="false" ht="12.75" hidden="false" customHeight="false" outlineLevel="0" collapsed="false">
      <c r="A220" s="767" t="n">
        <v>210</v>
      </c>
      <c r="B220" s="768" t="n">
        <v>42887</v>
      </c>
    </row>
    <row r="221" customFormat="false" ht="12.75" hidden="false" customHeight="false" outlineLevel="0" collapsed="false">
      <c r="A221" s="767" t="n">
        <v>211</v>
      </c>
      <c r="B221" s="768" t="n">
        <v>42917</v>
      </c>
    </row>
    <row r="222" customFormat="false" ht="12.75" hidden="false" customHeight="false" outlineLevel="0" collapsed="false">
      <c r="A222" s="767" t="n">
        <v>212</v>
      </c>
      <c r="B222" s="768" t="n">
        <v>42948</v>
      </c>
    </row>
    <row r="223" customFormat="false" ht="12.75" hidden="false" customHeight="false" outlineLevel="0" collapsed="false">
      <c r="A223" s="767" t="n">
        <v>213</v>
      </c>
      <c r="B223" s="768" t="n">
        <v>42979</v>
      </c>
    </row>
    <row r="224" customFormat="false" ht="12.75" hidden="false" customHeight="false" outlineLevel="0" collapsed="false">
      <c r="A224" s="767" t="n">
        <v>214</v>
      </c>
      <c r="B224" s="768" t="n">
        <v>43009</v>
      </c>
    </row>
    <row r="225" customFormat="false" ht="12.75" hidden="false" customHeight="false" outlineLevel="0" collapsed="false">
      <c r="A225" s="767" t="n">
        <v>215</v>
      </c>
      <c r="B225" s="768" t="n">
        <v>43040</v>
      </c>
    </row>
    <row r="226" customFormat="false" ht="12.75" hidden="false" customHeight="false" outlineLevel="0" collapsed="false">
      <c r="A226" s="767" t="n">
        <v>216</v>
      </c>
      <c r="B226" s="768" t="n">
        <v>43070</v>
      </c>
    </row>
    <row r="227" customFormat="false" ht="12.75" hidden="false" customHeight="false" outlineLevel="0" collapsed="false">
      <c r="A227" s="767" t="n">
        <v>217</v>
      </c>
      <c r="B227" s="768" t="n">
        <v>43101</v>
      </c>
    </row>
    <row r="228" customFormat="false" ht="12.75" hidden="false" customHeight="false" outlineLevel="0" collapsed="false">
      <c r="A228" s="767" t="n">
        <v>218</v>
      </c>
      <c r="B228" s="768" t="n">
        <v>43132</v>
      </c>
    </row>
    <row r="229" customFormat="false" ht="12.75" hidden="false" customHeight="false" outlineLevel="0" collapsed="false">
      <c r="A229" s="767" t="n">
        <v>219</v>
      </c>
      <c r="B229" s="768" t="n">
        <v>43160</v>
      </c>
    </row>
    <row r="230" customFormat="false" ht="12.75" hidden="false" customHeight="false" outlineLevel="0" collapsed="false">
      <c r="A230" s="767" t="n">
        <v>220</v>
      </c>
      <c r="B230" s="768" t="n">
        <v>43191</v>
      </c>
    </row>
    <row r="231" customFormat="false" ht="12.75" hidden="false" customHeight="false" outlineLevel="0" collapsed="false">
      <c r="A231" s="767" t="n">
        <v>221</v>
      </c>
      <c r="B231" s="768" t="n">
        <v>43221</v>
      </c>
    </row>
    <row r="232" customFormat="false" ht="12.75" hidden="false" customHeight="false" outlineLevel="0" collapsed="false">
      <c r="A232" s="767" t="n">
        <v>222</v>
      </c>
      <c r="B232" s="768" t="n">
        <v>43252</v>
      </c>
    </row>
    <row r="233" customFormat="false" ht="12.75" hidden="false" customHeight="false" outlineLevel="0" collapsed="false">
      <c r="A233" s="767" t="n">
        <v>223</v>
      </c>
      <c r="B233" s="768" t="n">
        <v>43282</v>
      </c>
    </row>
    <row r="234" customFormat="false" ht="12.75" hidden="false" customHeight="false" outlineLevel="0" collapsed="false">
      <c r="A234" s="767" t="n">
        <v>224</v>
      </c>
      <c r="B234" s="768" t="n">
        <v>43313</v>
      </c>
    </row>
    <row r="235" customFormat="false" ht="12.75" hidden="false" customHeight="false" outlineLevel="0" collapsed="false">
      <c r="A235" s="767" t="n">
        <v>225</v>
      </c>
      <c r="B235" s="768" t="n">
        <v>43344</v>
      </c>
    </row>
    <row r="236" customFormat="false" ht="12.75" hidden="false" customHeight="false" outlineLevel="0" collapsed="false">
      <c r="A236" s="767" t="n">
        <v>226</v>
      </c>
      <c r="B236" s="768" t="n">
        <v>43374</v>
      </c>
    </row>
    <row r="237" customFormat="false" ht="12.75" hidden="false" customHeight="false" outlineLevel="0" collapsed="false">
      <c r="A237" s="767" t="n">
        <v>227</v>
      </c>
      <c r="B237" s="768" t="n">
        <v>43405</v>
      </c>
    </row>
    <row r="238" customFormat="false" ht="12.75" hidden="false" customHeight="false" outlineLevel="0" collapsed="false">
      <c r="A238" s="767" t="n">
        <v>228</v>
      </c>
      <c r="B238" s="768" t="n">
        <v>43435</v>
      </c>
    </row>
    <row r="239" customFormat="false" ht="12.75" hidden="false" customHeight="false" outlineLevel="0" collapsed="false">
      <c r="A239" s="767" t="n">
        <v>229</v>
      </c>
      <c r="B239" s="768" t="n">
        <v>43466</v>
      </c>
    </row>
    <row r="240" customFormat="false" ht="12.75" hidden="false" customHeight="false" outlineLevel="0" collapsed="false">
      <c r="A240" s="767" t="n">
        <v>230</v>
      </c>
      <c r="B240" s="768" t="n">
        <v>43497</v>
      </c>
    </row>
    <row r="241" customFormat="false" ht="12.75" hidden="false" customHeight="false" outlineLevel="0" collapsed="false">
      <c r="A241" s="767" t="n">
        <v>231</v>
      </c>
      <c r="B241" s="768" t="n">
        <v>43525</v>
      </c>
    </row>
    <row r="242" customFormat="false" ht="12.75" hidden="false" customHeight="false" outlineLevel="0" collapsed="false">
      <c r="A242" s="767" t="n">
        <v>232</v>
      </c>
      <c r="B242" s="768" t="n">
        <v>43556</v>
      </c>
    </row>
    <row r="243" customFormat="false" ht="12.75" hidden="false" customHeight="false" outlineLevel="0" collapsed="false">
      <c r="A243" s="767" t="n">
        <v>233</v>
      </c>
      <c r="B243" s="768" t="n">
        <v>43586</v>
      </c>
    </row>
    <row r="244" customFormat="false" ht="12.75" hidden="false" customHeight="false" outlineLevel="0" collapsed="false">
      <c r="A244" s="767" t="n">
        <v>234</v>
      </c>
      <c r="B244" s="768" t="n">
        <v>43617</v>
      </c>
    </row>
    <row r="245" customFormat="false" ht="12.75" hidden="false" customHeight="false" outlineLevel="0" collapsed="false">
      <c r="A245" s="767" t="n">
        <v>235</v>
      </c>
      <c r="B245" s="768" t="n">
        <v>43647</v>
      </c>
    </row>
    <row r="246" customFormat="false" ht="12.75" hidden="false" customHeight="false" outlineLevel="0" collapsed="false">
      <c r="A246" s="767" t="n">
        <v>236</v>
      </c>
      <c r="B246" s="768" t="n">
        <v>43678</v>
      </c>
    </row>
    <row r="247" customFormat="false" ht="12.75" hidden="false" customHeight="false" outlineLevel="0" collapsed="false">
      <c r="A247" s="767" t="n">
        <v>237</v>
      </c>
      <c r="B247" s="768" t="n">
        <v>43709</v>
      </c>
    </row>
    <row r="248" customFormat="false" ht="12.75" hidden="false" customHeight="false" outlineLevel="0" collapsed="false">
      <c r="A248" s="767" t="n">
        <v>238</v>
      </c>
      <c r="B248" s="768" t="n">
        <v>43739</v>
      </c>
    </row>
    <row r="249" customFormat="false" ht="12.75" hidden="false" customHeight="false" outlineLevel="0" collapsed="false">
      <c r="A249" s="767" t="n">
        <v>239</v>
      </c>
      <c r="B249" s="768" t="n">
        <v>43770</v>
      </c>
    </row>
    <row r="250" customFormat="false" ht="12.75" hidden="false" customHeight="false" outlineLevel="0" collapsed="false">
      <c r="A250" s="767" t="n">
        <v>240</v>
      </c>
      <c r="B250" s="768" t="n">
        <v>43800</v>
      </c>
    </row>
    <row r="251" customFormat="false" ht="12.75" hidden="false" customHeight="false" outlineLevel="0" collapsed="false">
      <c r="A251" s="767" t="n">
        <v>241</v>
      </c>
      <c r="B251" s="768" t="n">
        <v>43831</v>
      </c>
    </row>
    <row r="252" customFormat="false" ht="12.75" hidden="false" customHeight="false" outlineLevel="0" collapsed="false">
      <c r="A252" s="767" t="n">
        <v>242</v>
      </c>
      <c r="B252" s="768" t="n">
        <v>43862</v>
      </c>
    </row>
    <row r="253" customFormat="false" ht="12.75" hidden="false" customHeight="false" outlineLevel="0" collapsed="false">
      <c r="A253" s="767" t="n">
        <v>243</v>
      </c>
      <c r="B253" s="768" t="n">
        <v>43891</v>
      </c>
    </row>
    <row r="254" customFormat="false" ht="12.75" hidden="false" customHeight="false" outlineLevel="0" collapsed="false">
      <c r="A254" s="767" t="n">
        <v>244</v>
      </c>
      <c r="B254" s="768" t="n">
        <v>43922</v>
      </c>
    </row>
    <row r="255" customFormat="false" ht="12.75" hidden="false" customHeight="false" outlineLevel="0" collapsed="false">
      <c r="A255" s="767" t="n">
        <v>245</v>
      </c>
      <c r="B255" s="768" t="n">
        <v>43952</v>
      </c>
    </row>
    <row r="256" customFormat="false" ht="12.75" hidden="false" customHeight="false" outlineLevel="0" collapsed="false">
      <c r="A256" s="767" t="n">
        <v>246</v>
      </c>
      <c r="B256" s="768" t="n">
        <v>43983</v>
      </c>
    </row>
    <row r="257" customFormat="false" ht="12.75" hidden="false" customHeight="false" outlineLevel="0" collapsed="false">
      <c r="A257" s="767" t="n">
        <v>247</v>
      </c>
      <c r="B257" s="768" t="n">
        <v>44013</v>
      </c>
    </row>
    <row r="258" customFormat="false" ht="12.75" hidden="false" customHeight="false" outlineLevel="0" collapsed="false">
      <c r="A258" s="767" t="n">
        <v>248</v>
      </c>
      <c r="B258" s="768" t="n">
        <v>44044</v>
      </c>
    </row>
    <row r="259" customFormat="false" ht="12.75" hidden="false" customHeight="false" outlineLevel="0" collapsed="false">
      <c r="A259" s="767" t="n">
        <v>249</v>
      </c>
      <c r="B259" s="768" t="n">
        <v>44075</v>
      </c>
    </row>
    <row r="260" customFormat="false" ht="12.75" hidden="false" customHeight="false" outlineLevel="0" collapsed="false">
      <c r="A260" s="767" t="n">
        <v>250</v>
      </c>
      <c r="B260" s="768" t="n">
        <v>44105</v>
      </c>
    </row>
    <row r="261" customFormat="false" ht="12.75" hidden="false" customHeight="false" outlineLevel="0" collapsed="false">
      <c r="A261" s="767" t="n">
        <v>251</v>
      </c>
      <c r="B261" s="768" t="n">
        <v>44136</v>
      </c>
    </row>
    <row r="262" customFormat="false" ht="12.75" hidden="false" customHeight="false" outlineLevel="0" collapsed="false">
      <c r="A262" s="767" t="n">
        <v>252</v>
      </c>
      <c r="B262" s="768" t="n">
        <v>44166</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P26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V25" activeCellId="0" sqref="V25"/>
    </sheetView>
  </sheetViews>
  <sheetFormatPr defaultColWidth="9.0546875" defaultRowHeight="12.75" customHeight="true" zeroHeight="false" outlineLevelRow="0" outlineLevelCol="0"/>
  <cols>
    <col collapsed="false" customWidth="true" hidden="false" outlineLevel="0" max="1" min="1" style="767" width="21.84"/>
    <col collapsed="false" customWidth="true" hidden="false" outlineLevel="0" max="2" min="2" style="768" width="13.85"/>
    <col collapsed="false" customWidth="true" hidden="false" outlineLevel="0" max="3" min="3" style="769" width="12.56"/>
    <col collapsed="false" customWidth="true" hidden="false" outlineLevel="0" max="4" min="4" style="770" width="11.28"/>
    <col collapsed="false" customWidth="true" hidden="false" outlineLevel="0" max="5" min="5" style="769" width="12.7"/>
    <col collapsed="false" customWidth="true" hidden="false" outlineLevel="0" max="6" min="6" style="770" width="12.42"/>
    <col collapsed="false" customWidth="true" hidden="false" outlineLevel="0" max="7" min="7" style="769" width="9.7"/>
    <col collapsed="false" customWidth="true" hidden="false" outlineLevel="0" max="8" min="8" style="770" width="10.56"/>
    <col collapsed="false" customWidth="true" hidden="false" outlineLevel="0" max="9" min="9" style="769" width="10.71"/>
    <col collapsed="false" customWidth="true" hidden="false" outlineLevel="0" max="10" min="10" style="770" width="11.13"/>
    <col collapsed="false" customWidth="true" hidden="false" outlineLevel="0" max="11" min="11" style="774" width="13.28"/>
    <col collapsed="false" customWidth="true" hidden="false" outlineLevel="0" max="12" min="12" style="774" width="11.85"/>
    <col collapsed="false" customWidth="true" hidden="false" outlineLevel="0" max="13" min="13" style="774" width="13.28"/>
    <col collapsed="false" customWidth="true" hidden="false" outlineLevel="0" max="14" min="14" style="775" width="12.7"/>
    <col collapsed="false" customWidth="true" hidden="false" outlineLevel="0" max="15" min="15" style="772" width="10.41"/>
    <col collapsed="false" customWidth="true" hidden="false" outlineLevel="0" max="16" min="16" style="776" width="13.56"/>
    <col collapsed="false" customWidth="true" hidden="false" outlineLevel="0" max="17" min="17" style="772" width="9.7"/>
    <col collapsed="false" customWidth="true" hidden="false" outlineLevel="0" max="18" min="18" style="772" width="9.14"/>
    <col collapsed="false" customWidth="true" hidden="false" outlineLevel="0" max="19" min="19" style="772" width="15.56"/>
    <col collapsed="false" customWidth="true" hidden="false" outlineLevel="0" max="68" min="20" style="772" width="9.14"/>
  </cols>
  <sheetData>
    <row r="1" customFormat="false" ht="12.75" hidden="false" customHeight="false" outlineLevel="0" collapsed="false">
      <c r="A1" s="778" t="s">
        <v>1325</v>
      </c>
      <c r="B1" s="779"/>
    </row>
    <row r="2" customFormat="false" ht="12.75" hidden="false" customHeight="false" outlineLevel="0" collapsed="false">
      <c r="A2" s="778" t="s">
        <v>1326</v>
      </c>
      <c r="B2" s="779"/>
    </row>
    <row r="3" customFormat="false" ht="12.75" hidden="false" customHeight="false" outlineLevel="0" collapsed="false">
      <c r="A3" s="778" t="s">
        <v>1428</v>
      </c>
      <c r="B3" s="779"/>
    </row>
    <row r="4" customFormat="false" ht="12.75" hidden="false" customHeight="false" outlineLevel="0" collapsed="false">
      <c r="A4" s="778"/>
      <c r="B4" s="779"/>
      <c r="K4" s="791" t="s">
        <v>1416</v>
      </c>
    </row>
    <row r="5" customFormat="false" ht="12.75" hidden="false" customHeight="false" outlineLevel="0" collapsed="false">
      <c r="A5" s="778" t="s">
        <v>1337</v>
      </c>
      <c r="B5" s="779"/>
      <c r="K5" s="791" t="n">
        <f aca="false">SUM(K11:K130)</f>
        <v>8750000</v>
      </c>
    </row>
    <row r="6" customFormat="false" ht="12.75" hidden="false" customHeight="false" outlineLevel="0" collapsed="false">
      <c r="A6" s="778" t="s">
        <v>1342</v>
      </c>
      <c r="B6" s="779"/>
    </row>
    <row r="7" customFormat="false" ht="12.75" hidden="false" customHeight="false" outlineLevel="0" collapsed="false">
      <c r="A7" s="778"/>
      <c r="B7" s="779"/>
      <c r="M7" s="827"/>
    </row>
    <row r="8" customFormat="false" ht="12.75" hidden="false" customHeight="false" outlineLevel="0" collapsed="false">
      <c r="A8" s="834"/>
      <c r="B8" s="835"/>
      <c r="C8" s="837" t="s">
        <v>1429</v>
      </c>
      <c r="D8" s="838" t="s">
        <v>1429</v>
      </c>
      <c r="E8" s="837" t="s">
        <v>1430</v>
      </c>
      <c r="F8" s="838" t="s">
        <v>1430</v>
      </c>
      <c r="G8" s="837" t="s">
        <v>1015</v>
      </c>
      <c r="H8" s="838" t="s">
        <v>1015</v>
      </c>
      <c r="I8" s="837" t="s">
        <v>1420</v>
      </c>
      <c r="J8" s="838" t="s">
        <v>1420</v>
      </c>
      <c r="K8" s="841" t="s">
        <v>1389</v>
      </c>
      <c r="L8" s="839" t="s">
        <v>1389</v>
      </c>
      <c r="M8" s="841" t="s">
        <v>1431</v>
      </c>
      <c r="N8" s="842" t="s">
        <v>1390</v>
      </c>
      <c r="O8" s="843"/>
      <c r="P8" s="844" t="s">
        <v>1391</v>
      </c>
      <c r="Q8" s="830"/>
      <c r="R8" s="830"/>
      <c r="S8" s="833" t="s">
        <v>1000</v>
      </c>
      <c r="T8" s="830"/>
      <c r="U8" s="830"/>
      <c r="V8" s="830"/>
      <c r="W8" s="830"/>
      <c r="X8" s="830"/>
      <c r="Y8" s="830"/>
      <c r="Z8" s="830"/>
      <c r="AA8" s="830"/>
      <c r="AB8" s="830"/>
      <c r="AC8" s="830"/>
      <c r="AD8" s="830"/>
      <c r="AE8" s="830"/>
      <c r="AF8" s="830"/>
      <c r="AG8" s="830"/>
      <c r="AH8" s="830"/>
      <c r="AI8" s="830"/>
      <c r="AJ8" s="830"/>
      <c r="AK8" s="830"/>
      <c r="AL8" s="830"/>
      <c r="AM8" s="830"/>
      <c r="AN8" s="830"/>
      <c r="AO8" s="830"/>
      <c r="AP8" s="830"/>
      <c r="AQ8" s="830"/>
      <c r="AR8" s="830"/>
      <c r="AS8" s="830"/>
      <c r="AT8" s="830"/>
      <c r="AU8" s="830"/>
      <c r="AV8" s="830"/>
      <c r="AW8" s="830"/>
      <c r="AX8" s="830"/>
      <c r="AY8" s="830"/>
      <c r="AZ8" s="830"/>
      <c r="BA8" s="830"/>
      <c r="BB8" s="830"/>
      <c r="BC8" s="830"/>
      <c r="BD8" s="830"/>
      <c r="BE8" s="830"/>
      <c r="BF8" s="830"/>
      <c r="BG8" s="830"/>
      <c r="BH8" s="830"/>
      <c r="BI8" s="830"/>
      <c r="BJ8" s="830"/>
      <c r="BK8" s="830"/>
      <c r="BL8" s="830"/>
      <c r="BM8" s="830"/>
      <c r="BN8" s="830"/>
      <c r="BO8" s="830"/>
      <c r="BP8" s="830"/>
    </row>
    <row r="9" customFormat="false" ht="12.75" hidden="false" customHeight="false" outlineLevel="0" collapsed="false">
      <c r="A9" s="834" t="s">
        <v>1396</v>
      </c>
      <c r="B9" s="835" t="s">
        <v>1397</v>
      </c>
      <c r="C9" s="837" t="s">
        <v>1425</v>
      </c>
      <c r="D9" s="838" t="s">
        <v>1425</v>
      </c>
      <c r="E9" s="837" t="s">
        <v>1425</v>
      </c>
      <c r="F9" s="838" t="s">
        <v>1425</v>
      </c>
      <c r="G9" s="837" t="s">
        <v>1432</v>
      </c>
      <c r="H9" s="838" t="s">
        <v>1432</v>
      </c>
      <c r="I9" s="837" t="s">
        <v>1433</v>
      </c>
      <c r="J9" s="838" t="s">
        <v>1433</v>
      </c>
      <c r="K9" s="841" t="s">
        <v>890</v>
      </c>
      <c r="L9" s="839" t="s">
        <v>888</v>
      </c>
      <c r="M9" s="841"/>
      <c r="N9" s="893" t="n">
        <f aca="false">XNPV(Breakout!$C$5,N10:N130,$B$10:$B$130)</f>
        <v>-267009.741197242</v>
      </c>
      <c r="O9" s="893"/>
      <c r="P9" s="893" t="n">
        <f aca="false">XNPV(Breakout!$C$5,P10:P130,$B$10:$B$130)</f>
        <v>-267009.741197242</v>
      </c>
      <c r="Q9" s="830"/>
      <c r="R9" s="830"/>
      <c r="S9" s="893" t="n">
        <f aca="false">XNPV(Breakout!$C$5,S10:S130,$B$10:$B$130)</f>
        <v>380000</v>
      </c>
      <c r="T9" s="830"/>
      <c r="U9" s="830"/>
      <c r="V9" s="830"/>
      <c r="W9" s="830"/>
      <c r="X9" s="830"/>
      <c r="Y9" s="830"/>
      <c r="Z9" s="830"/>
      <c r="AA9" s="830"/>
      <c r="AB9" s="830"/>
      <c r="AC9" s="830"/>
      <c r="AD9" s="830"/>
      <c r="AE9" s="830"/>
      <c r="AF9" s="830"/>
      <c r="AG9" s="830"/>
      <c r="AH9" s="830"/>
      <c r="AI9" s="830"/>
      <c r="AJ9" s="830"/>
      <c r="AK9" s="830"/>
      <c r="AL9" s="830"/>
      <c r="AM9" s="830"/>
      <c r="AN9" s="830"/>
      <c r="AO9" s="830"/>
      <c r="AP9" s="830"/>
      <c r="AQ9" s="830"/>
      <c r="AR9" s="830"/>
      <c r="AS9" s="830"/>
      <c r="AT9" s="830"/>
      <c r="AU9" s="830"/>
      <c r="AV9" s="830"/>
      <c r="AW9" s="830"/>
      <c r="AX9" s="830"/>
      <c r="AY9" s="830"/>
      <c r="AZ9" s="830"/>
      <c r="BA9" s="830"/>
      <c r="BB9" s="830"/>
      <c r="BC9" s="830"/>
      <c r="BD9" s="830"/>
      <c r="BE9" s="830"/>
      <c r="BF9" s="830"/>
      <c r="BG9" s="830"/>
      <c r="BH9" s="830"/>
      <c r="BI9" s="830"/>
      <c r="BJ9" s="830"/>
      <c r="BK9" s="830"/>
      <c r="BL9" s="830"/>
      <c r="BM9" s="830"/>
      <c r="BN9" s="830"/>
      <c r="BO9" s="830"/>
      <c r="BP9" s="830"/>
    </row>
    <row r="10" customFormat="false" ht="12.75" hidden="false" customHeight="false" outlineLevel="0" collapsed="false">
      <c r="A10" s="834"/>
      <c r="B10" s="835" t="n">
        <v>36434</v>
      </c>
      <c r="C10" s="837"/>
      <c r="D10" s="838"/>
      <c r="E10" s="837"/>
      <c r="F10" s="838"/>
      <c r="G10" s="837"/>
      <c r="H10" s="838"/>
      <c r="I10" s="837"/>
      <c r="J10" s="838"/>
      <c r="K10" s="841"/>
      <c r="L10" s="841"/>
      <c r="M10" s="841"/>
      <c r="N10" s="775" t="n">
        <f aca="false">K10-M10-S10</f>
        <v>-380000</v>
      </c>
      <c r="O10" s="830"/>
      <c r="P10" s="776" t="n">
        <f aca="false">L10-M10-S10</f>
        <v>-380000</v>
      </c>
      <c r="Q10" s="830"/>
      <c r="R10" s="830"/>
      <c r="S10" s="830" t="n">
        <f aca="false">380000</f>
        <v>380000</v>
      </c>
      <c r="T10" s="830"/>
      <c r="U10" s="830"/>
      <c r="V10" s="830"/>
      <c r="W10" s="830"/>
      <c r="X10" s="830"/>
      <c r="Y10" s="830"/>
      <c r="Z10" s="830"/>
      <c r="AA10" s="830"/>
      <c r="AB10" s="830"/>
      <c r="AC10" s="830"/>
      <c r="AD10" s="830"/>
      <c r="AE10" s="830"/>
      <c r="AF10" s="830"/>
      <c r="AG10" s="830"/>
      <c r="AH10" s="830"/>
      <c r="AI10" s="830"/>
      <c r="AJ10" s="830"/>
      <c r="AK10" s="830"/>
      <c r="AL10" s="830"/>
      <c r="AM10" s="830"/>
      <c r="AN10" s="830"/>
      <c r="AO10" s="830"/>
      <c r="AP10" s="830"/>
      <c r="AQ10" s="830"/>
      <c r="AR10" s="830"/>
      <c r="AS10" s="830"/>
      <c r="AT10" s="830"/>
      <c r="AU10" s="830"/>
      <c r="AV10" s="830"/>
      <c r="AW10" s="830"/>
      <c r="AX10" s="830"/>
      <c r="AY10" s="830"/>
      <c r="AZ10" s="830"/>
      <c r="BA10" s="830"/>
      <c r="BB10" s="830"/>
      <c r="BC10" s="830"/>
      <c r="BD10" s="830"/>
      <c r="BE10" s="830"/>
      <c r="BF10" s="830"/>
      <c r="BG10" s="830"/>
      <c r="BH10" s="830"/>
      <c r="BI10" s="830"/>
      <c r="BJ10" s="830"/>
      <c r="BK10" s="830"/>
      <c r="BL10" s="830"/>
      <c r="BM10" s="830"/>
      <c r="BN10" s="830"/>
      <c r="BO10" s="830"/>
      <c r="BP10" s="830"/>
    </row>
    <row r="11" customFormat="false" ht="12.75" hidden="false" customHeight="false" outlineLevel="0" collapsed="false">
      <c r="A11" s="767" t="n">
        <v>1</v>
      </c>
      <c r="B11" s="768" t="n">
        <v>36526</v>
      </c>
      <c r="C11" s="769" t="n">
        <v>0</v>
      </c>
      <c r="D11" s="770" t="n">
        <f aca="false">-Breakout!C209</f>
        <v>4000000</v>
      </c>
      <c r="E11" s="769" t="n">
        <f aca="false">Breakout!$C$215/12</f>
        <v>0</v>
      </c>
      <c r="F11" s="770" t="n">
        <f aca="false">Breakout!$C$216/12</f>
        <v>0</v>
      </c>
      <c r="G11" s="769" t="n">
        <f aca="false">Breakout!$C$222/12</f>
        <v>16666.6666666667</v>
      </c>
      <c r="H11" s="770" t="n">
        <f aca="false">Breakout!$C$223/12</f>
        <v>0</v>
      </c>
      <c r="I11" s="769" t="n">
        <f aca="false">Breakout!$C$229/12</f>
        <v>0</v>
      </c>
      <c r="J11" s="770" t="n">
        <f aca="false">Breakout!$C$230/12</f>
        <v>0</v>
      </c>
      <c r="K11" s="774" t="n">
        <f aca="false">C11+E11+G11+I11</f>
        <v>16666.6666666667</v>
      </c>
      <c r="L11" s="771" t="n">
        <f aca="false">C11+E11+G11+I11</f>
        <v>16666.6666666667</v>
      </c>
      <c r="M11" s="774" t="n">
        <f aca="false">D11+F11+H11+J11</f>
        <v>4000000</v>
      </c>
      <c r="N11" s="775" t="n">
        <f aca="false">K11-M11-S11</f>
        <v>-3983333.33333333</v>
      </c>
      <c r="P11" s="776" t="n">
        <f aca="false">L11-M11-S11</f>
        <v>-3983333.33333333</v>
      </c>
      <c r="S11" s="772" t="n">
        <v>0</v>
      </c>
    </row>
    <row r="12" customFormat="false" ht="12.75" hidden="false" customHeight="false" outlineLevel="0" collapsed="false">
      <c r="A12" s="767" t="n">
        <v>2</v>
      </c>
      <c r="B12" s="768" t="n">
        <v>36557</v>
      </c>
      <c r="C12" s="769" t="n">
        <v>0</v>
      </c>
      <c r="D12" s="770" t="n">
        <v>0</v>
      </c>
      <c r="E12" s="769" t="n">
        <f aca="false">Breakout!$C$215/12</f>
        <v>0</v>
      </c>
      <c r="F12" s="770" t="n">
        <f aca="false">Breakout!$C$216/12</f>
        <v>0</v>
      </c>
      <c r="G12" s="769" t="n">
        <f aca="false">Breakout!$C$222/12</f>
        <v>16666.6666666667</v>
      </c>
      <c r="H12" s="770" t="n">
        <f aca="false">Breakout!$C$223/12</f>
        <v>0</v>
      </c>
      <c r="I12" s="769" t="n">
        <f aca="false">Breakout!$C$229/12</f>
        <v>0</v>
      </c>
      <c r="J12" s="770" t="n">
        <f aca="false">Breakout!$C$230/12</f>
        <v>0</v>
      </c>
      <c r="K12" s="774" t="n">
        <f aca="false">C12+E12+G12+I12</f>
        <v>16666.6666666667</v>
      </c>
      <c r="L12" s="771" t="n">
        <f aca="false">C12+E12+G12+I12</f>
        <v>16666.6666666667</v>
      </c>
      <c r="M12" s="774" t="n">
        <f aca="false">D12+F12+H12+J12</f>
        <v>0</v>
      </c>
      <c r="N12" s="775" t="n">
        <f aca="false">K12-M12-S12</f>
        <v>16666.6666666667</v>
      </c>
      <c r="P12" s="776" t="n">
        <f aca="false">L12-M12-S12</f>
        <v>16666.6666666667</v>
      </c>
      <c r="S12" s="772" t="n">
        <v>0</v>
      </c>
    </row>
    <row r="13" customFormat="false" ht="12.75" hidden="false" customHeight="false" outlineLevel="0" collapsed="false">
      <c r="A13" s="767" t="n">
        <v>3</v>
      </c>
      <c r="B13" s="768" t="n">
        <v>36586</v>
      </c>
      <c r="C13" s="769" t="n">
        <v>0</v>
      </c>
      <c r="D13" s="770" t="n">
        <v>0</v>
      </c>
      <c r="E13" s="769" t="n">
        <f aca="false">Breakout!$C$215/12</f>
        <v>0</v>
      </c>
      <c r="F13" s="770" t="n">
        <f aca="false">Breakout!$C$216/12</f>
        <v>0</v>
      </c>
      <c r="G13" s="769" t="n">
        <f aca="false">Breakout!$C$222/12</f>
        <v>16666.6666666667</v>
      </c>
      <c r="H13" s="770" t="n">
        <f aca="false">Breakout!$C$223/12</f>
        <v>0</v>
      </c>
      <c r="I13" s="769" t="n">
        <f aca="false">Breakout!$C$229/12</f>
        <v>0</v>
      </c>
      <c r="J13" s="770" t="n">
        <f aca="false">Breakout!$C$230/12</f>
        <v>0</v>
      </c>
      <c r="K13" s="774" t="n">
        <f aca="false">C13+E13+G13+I13</f>
        <v>16666.6666666667</v>
      </c>
      <c r="L13" s="771" t="n">
        <f aca="false">C13+E13+G13+I13</f>
        <v>16666.6666666667</v>
      </c>
      <c r="M13" s="774" t="n">
        <f aca="false">D13+F13+H13+J13</f>
        <v>0</v>
      </c>
      <c r="N13" s="775" t="n">
        <f aca="false">K13-M13-S13</f>
        <v>16666.6666666667</v>
      </c>
      <c r="P13" s="776" t="n">
        <f aca="false">L13-M13-S13</f>
        <v>16666.6666666667</v>
      </c>
      <c r="S13" s="772" t="n">
        <v>0</v>
      </c>
    </row>
    <row r="14" customFormat="false" ht="12.75" hidden="false" customHeight="false" outlineLevel="0" collapsed="false">
      <c r="A14" s="767" t="n">
        <v>4</v>
      </c>
      <c r="B14" s="768" t="n">
        <v>36617</v>
      </c>
      <c r="C14" s="769" t="n">
        <v>0</v>
      </c>
      <c r="D14" s="770" t="n">
        <v>0</v>
      </c>
      <c r="E14" s="769" t="n">
        <f aca="false">Breakout!$C$215/12</f>
        <v>0</v>
      </c>
      <c r="F14" s="770" t="n">
        <f aca="false">Breakout!$C$216/12</f>
        <v>0</v>
      </c>
      <c r="G14" s="769" t="n">
        <f aca="false">Breakout!$C$222/12</f>
        <v>16666.6666666667</v>
      </c>
      <c r="H14" s="770" t="n">
        <f aca="false">Breakout!$C$223/12</f>
        <v>0</v>
      </c>
      <c r="I14" s="769" t="n">
        <f aca="false">Breakout!$C$229/12</f>
        <v>0</v>
      </c>
      <c r="J14" s="770" t="n">
        <f aca="false">Breakout!$C$230/12</f>
        <v>0</v>
      </c>
      <c r="K14" s="774" t="n">
        <f aca="false">C14+E14+G14+I14</f>
        <v>16666.6666666667</v>
      </c>
      <c r="L14" s="771" t="n">
        <f aca="false">C14+E14+G14+I14</f>
        <v>16666.6666666667</v>
      </c>
      <c r="M14" s="774" t="n">
        <f aca="false">D14+F14+H14+J14</f>
        <v>0</v>
      </c>
      <c r="N14" s="775" t="n">
        <f aca="false">K14-M14-S14</f>
        <v>16666.6666666667</v>
      </c>
      <c r="P14" s="776" t="n">
        <f aca="false">L14-M14-S14</f>
        <v>16666.6666666667</v>
      </c>
      <c r="S14" s="772" t="n">
        <v>0</v>
      </c>
    </row>
    <row r="15" customFormat="false" ht="12.75" hidden="false" customHeight="false" outlineLevel="0" collapsed="false">
      <c r="A15" s="767" t="n">
        <v>5</v>
      </c>
      <c r="B15" s="768" t="n">
        <v>36647</v>
      </c>
      <c r="C15" s="769" t="n">
        <v>0</v>
      </c>
      <c r="D15" s="770" t="n">
        <v>0</v>
      </c>
      <c r="E15" s="769" t="n">
        <f aca="false">Breakout!$C$215/12</f>
        <v>0</v>
      </c>
      <c r="F15" s="770" t="n">
        <f aca="false">Breakout!$C$216/12</f>
        <v>0</v>
      </c>
      <c r="G15" s="769" t="n">
        <f aca="false">Breakout!$C$222/12</f>
        <v>16666.6666666667</v>
      </c>
      <c r="H15" s="770" t="n">
        <f aca="false">Breakout!$C$223/12</f>
        <v>0</v>
      </c>
      <c r="I15" s="769" t="n">
        <f aca="false">Breakout!$C$229/12</f>
        <v>0</v>
      </c>
      <c r="J15" s="770" t="n">
        <f aca="false">Breakout!$C$230/12</f>
        <v>0</v>
      </c>
      <c r="K15" s="774" t="n">
        <f aca="false">C15+E15+G15+I15</f>
        <v>16666.6666666667</v>
      </c>
      <c r="L15" s="771" t="n">
        <f aca="false">C15+E15+G15+I15</f>
        <v>16666.6666666667</v>
      </c>
      <c r="M15" s="774" t="n">
        <f aca="false">D15+F15+H15+J15</f>
        <v>0</v>
      </c>
      <c r="N15" s="775" t="n">
        <f aca="false">K15-M15-S15</f>
        <v>16666.6666666667</v>
      </c>
      <c r="P15" s="776" t="n">
        <f aca="false">L15-M15-S15</f>
        <v>16666.6666666667</v>
      </c>
      <c r="S15" s="772" t="n">
        <v>0</v>
      </c>
    </row>
    <row r="16" customFormat="false" ht="12.75" hidden="false" customHeight="false" outlineLevel="0" collapsed="false">
      <c r="A16" s="767" t="n">
        <v>6</v>
      </c>
      <c r="B16" s="768" t="n">
        <v>36678</v>
      </c>
      <c r="C16" s="769" t="n">
        <v>0</v>
      </c>
      <c r="D16" s="770" t="n">
        <v>0</v>
      </c>
      <c r="E16" s="769" t="n">
        <f aca="false">Breakout!$C$215/12</f>
        <v>0</v>
      </c>
      <c r="F16" s="770" t="n">
        <f aca="false">Breakout!$C$216/12</f>
        <v>0</v>
      </c>
      <c r="G16" s="769" t="n">
        <f aca="false">Breakout!$C$222/12</f>
        <v>16666.6666666667</v>
      </c>
      <c r="H16" s="770" t="n">
        <f aca="false">Breakout!$C$223/12</f>
        <v>0</v>
      </c>
      <c r="I16" s="769" t="n">
        <f aca="false">Breakout!$C$229/12</f>
        <v>0</v>
      </c>
      <c r="J16" s="770" t="n">
        <f aca="false">Breakout!$C$230/12</f>
        <v>0</v>
      </c>
      <c r="K16" s="774" t="n">
        <f aca="false">C16+E16+G16+I16</f>
        <v>16666.6666666667</v>
      </c>
      <c r="L16" s="771" t="n">
        <f aca="false">C16+E16+G16+I16</f>
        <v>16666.6666666667</v>
      </c>
      <c r="M16" s="774" t="n">
        <f aca="false">D16+F16+H16+J16</f>
        <v>0</v>
      </c>
      <c r="N16" s="775" t="n">
        <f aca="false">K16-M16-S16</f>
        <v>16666.6666666667</v>
      </c>
      <c r="P16" s="776" t="n">
        <f aca="false">L16-M16-S16</f>
        <v>16666.6666666667</v>
      </c>
      <c r="S16" s="772" t="n">
        <v>0</v>
      </c>
    </row>
    <row r="17" customFormat="false" ht="12.75" hidden="false" customHeight="false" outlineLevel="0" collapsed="false">
      <c r="A17" s="767" t="n">
        <v>7</v>
      </c>
      <c r="B17" s="768" t="n">
        <v>36708</v>
      </c>
      <c r="C17" s="769" t="n">
        <v>0</v>
      </c>
      <c r="D17" s="770" t="n">
        <v>0</v>
      </c>
      <c r="E17" s="769" t="n">
        <f aca="false">Breakout!$C$215/12</f>
        <v>0</v>
      </c>
      <c r="F17" s="770" t="n">
        <f aca="false">Breakout!$C$216/12</f>
        <v>0</v>
      </c>
      <c r="G17" s="769" t="n">
        <f aca="false">Breakout!$C$222/12</f>
        <v>16666.6666666667</v>
      </c>
      <c r="H17" s="770" t="n">
        <f aca="false">Breakout!$C$223/12</f>
        <v>0</v>
      </c>
      <c r="I17" s="769" t="n">
        <f aca="false">Breakout!$C$229/12</f>
        <v>0</v>
      </c>
      <c r="J17" s="770" t="n">
        <f aca="false">Breakout!$C$230/12</f>
        <v>0</v>
      </c>
      <c r="K17" s="774" t="n">
        <f aca="false">C17+E17+G17+I17</f>
        <v>16666.6666666667</v>
      </c>
      <c r="L17" s="771" t="n">
        <f aca="false">C17+E17+G17+I17</f>
        <v>16666.6666666667</v>
      </c>
      <c r="M17" s="774" t="n">
        <f aca="false">D17+F17+H17+J17</f>
        <v>0</v>
      </c>
      <c r="N17" s="775" t="n">
        <f aca="false">K17-M17-S17</f>
        <v>16666.6666666667</v>
      </c>
      <c r="P17" s="776" t="n">
        <f aca="false">L17-M17-S17</f>
        <v>16666.6666666667</v>
      </c>
      <c r="S17" s="772" t="n">
        <v>0</v>
      </c>
    </row>
    <row r="18" customFormat="false" ht="12.75" hidden="false" customHeight="false" outlineLevel="0" collapsed="false">
      <c r="A18" s="767" t="n">
        <v>8</v>
      </c>
      <c r="B18" s="768" t="n">
        <v>36739</v>
      </c>
      <c r="C18" s="769" t="n">
        <v>0</v>
      </c>
      <c r="D18" s="770" t="n">
        <v>0</v>
      </c>
      <c r="E18" s="769" t="n">
        <f aca="false">Breakout!$C$215/12</f>
        <v>0</v>
      </c>
      <c r="F18" s="770" t="n">
        <f aca="false">Breakout!$C$216/12</f>
        <v>0</v>
      </c>
      <c r="G18" s="769" t="n">
        <f aca="false">Breakout!$C$222/12</f>
        <v>16666.6666666667</v>
      </c>
      <c r="H18" s="770" t="n">
        <f aca="false">Breakout!$C$223/12</f>
        <v>0</v>
      </c>
      <c r="I18" s="769" t="n">
        <f aca="false">Breakout!$C$229/12</f>
        <v>0</v>
      </c>
      <c r="J18" s="770" t="n">
        <f aca="false">Breakout!$C$230/12</f>
        <v>0</v>
      </c>
      <c r="K18" s="774" t="n">
        <f aca="false">C18+E18+G18+I18</f>
        <v>16666.6666666667</v>
      </c>
      <c r="L18" s="771" t="n">
        <f aca="false">C18+E18+G18+I18</f>
        <v>16666.6666666667</v>
      </c>
      <c r="M18" s="774" t="n">
        <f aca="false">D18+F18+H18+J18</f>
        <v>0</v>
      </c>
      <c r="N18" s="775" t="n">
        <f aca="false">K18-M18-S18</f>
        <v>16666.6666666667</v>
      </c>
      <c r="P18" s="776" t="n">
        <f aca="false">L18-M18-S18</f>
        <v>16666.6666666667</v>
      </c>
      <c r="S18" s="772" t="n">
        <v>0</v>
      </c>
    </row>
    <row r="19" customFormat="false" ht="12.75" hidden="false" customHeight="false" outlineLevel="0" collapsed="false">
      <c r="A19" s="767" t="n">
        <v>9</v>
      </c>
      <c r="B19" s="768" t="n">
        <v>36770</v>
      </c>
      <c r="C19" s="769" t="n">
        <v>0</v>
      </c>
      <c r="D19" s="770" t="n">
        <v>0</v>
      </c>
      <c r="E19" s="769" t="n">
        <f aca="false">Breakout!$C$215/12</f>
        <v>0</v>
      </c>
      <c r="F19" s="770" t="n">
        <f aca="false">Breakout!$C$216/12</f>
        <v>0</v>
      </c>
      <c r="G19" s="769" t="n">
        <f aca="false">Breakout!$C$222/12</f>
        <v>16666.6666666667</v>
      </c>
      <c r="H19" s="770" t="n">
        <f aca="false">Breakout!$C$223/12</f>
        <v>0</v>
      </c>
      <c r="I19" s="769" t="n">
        <f aca="false">Breakout!$C$229/12</f>
        <v>0</v>
      </c>
      <c r="J19" s="770" t="n">
        <f aca="false">Breakout!$C$230/12</f>
        <v>0</v>
      </c>
      <c r="K19" s="774" t="n">
        <f aca="false">C19+E19+G19+I19</f>
        <v>16666.6666666667</v>
      </c>
      <c r="L19" s="771" t="n">
        <f aca="false">C19+E19+G19+I19</f>
        <v>16666.6666666667</v>
      </c>
      <c r="M19" s="774" t="n">
        <f aca="false">D19+F19+H19+J19</f>
        <v>0</v>
      </c>
      <c r="N19" s="775" t="n">
        <f aca="false">K19-M19-S19</f>
        <v>16666.6666666667</v>
      </c>
      <c r="P19" s="776" t="n">
        <f aca="false">L19-M19-S19</f>
        <v>16666.6666666667</v>
      </c>
      <c r="S19" s="772" t="n">
        <v>0</v>
      </c>
    </row>
    <row r="20" customFormat="false" ht="12.75" hidden="false" customHeight="false" outlineLevel="0" collapsed="false">
      <c r="A20" s="767" t="n">
        <v>10</v>
      </c>
      <c r="B20" s="768" t="n">
        <v>36800</v>
      </c>
      <c r="C20" s="769" t="n">
        <v>0</v>
      </c>
      <c r="D20" s="770" t="n">
        <v>0</v>
      </c>
      <c r="E20" s="769" t="n">
        <f aca="false">Breakout!$C$215/12</f>
        <v>0</v>
      </c>
      <c r="F20" s="770" t="n">
        <f aca="false">Breakout!$C$216/12</f>
        <v>0</v>
      </c>
      <c r="G20" s="769" t="n">
        <f aca="false">Breakout!$C$222/12</f>
        <v>16666.6666666667</v>
      </c>
      <c r="H20" s="770" t="n">
        <f aca="false">Breakout!$C$223/12</f>
        <v>0</v>
      </c>
      <c r="I20" s="769" t="n">
        <f aca="false">Breakout!$C$229/12</f>
        <v>0</v>
      </c>
      <c r="J20" s="770" t="n">
        <f aca="false">Breakout!$C$230/12</f>
        <v>0</v>
      </c>
      <c r="K20" s="774" t="n">
        <f aca="false">C20+E20+G20+I20</f>
        <v>16666.6666666667</v>
      </c>
      <c r="L20" s="771" t="n">
        <f aca="false">C20+E20+G20+I20</f>
        <v>16666.6666666667</v>
      </c>
      <c r="M20" s="774" t="n">
        <f aca="false">D20+F20+H20+J20</f>
        <v>0</v>
      </c>
      <c r="N20" s="775" t="n">
        <f aca="false">K20-M20-S20</f>
        <v>16666.6666666667</v>
      </c>
      <c r="P20" s="776" t="n">
        <f aca="false">L20-M20-S20</f>
        <v>16666.6666666667</v>
      </c>
      <c r="S20" s="772" t="n">
        <v>0</v>
      </c>
    </row>
    <row r="21" customFormat="false" ht="12.75" hidden="false" customHeight="false" outlineLevel="0" collapsed="false">
      <c r="A21" s="767" t="n">
        <v>11</v>
      </c>
      <c r="B21" s="768" t="n">
        <v>36831</v>
      </c>
      <c r="C21" s="769" t="n">
        <v>0</v>
      </c>
      <c r="D21" s="770" t="n">
        <v>0</v>
      </c>
      <c r="E21" s="769" t="n">
        <f aca="false">Breakout!$C$215/12</f>
        <v>0</v>
      </c>
      <c r="F21" s="770" t="n">
        <f aca="false">Breakout!$C$216/12</f>
        <v>0</v>
      </c>
      <c r="G21" s="769" t="n">
        <f aca="false">Breakout!$C$222/12</f>
        <v>16666.6666666667</v>
      </c>
      <c r="H21" s="770" t="n">
        <f aca="false">Breakout!$C$223/12</f>
        <v>0</v>
      </c>
      <c r="I21" s="769" t="n">
        <f aca="false">Breakout!$C$229/12</f>
        <v>0</v>
      </c>
      <c r="J21" s="770" t="n">
        <f aca="false">Breakout!$C$230/12</f>
        <v>0</v>
      </c>
      <c r="K21" s="774" t="n">
        <f aca="false">C21+E21+G21+I21</f>
        <v>16666.6666666667</v>
      </c>
      <c r="L21" s="771" t="n">
        <f aca="false">C21+E21+G21+I21</f>
        <v>16666.6666666667</v>
      </c>
      <c r="M21" s="774" t="n">
        <f aca="false">D21+F21+H21+J21</f>
        <v>0</v>
      </c>
      <c r="N21" s="775" t="n">
        <f aca="false">K21-M21-S21</f>
        <v>16666.6666666667</v>
      </c>
      <c r="P21" s="776" t="n">
        <f aca="false">L21-M21-S21</f>
        <v>16666.6666666667</v>
      </c>
      <c r="S21" s="772" t="n">
        <v>0</v>
      </c>
    </row>
    <row r="22" customFormat="false" ht="12.75" hidden="false" customHeight="false" outlineLevel="0" collapsed="false">
      <c r="A22" s="881" t="n">
        <v>12</v>
      </c>
      <c r="B22" s="894" t="n">
        <v>36861</v>
      </c>
      <c r="C22" s="769" t="n">
        <v>0</v>
      </c>
      <c r="D22" s="770" t="n">
        <v>0</v>
      </c>
      <c r="E22" s="886" t="n">
        <f aca="false">Breakout!$C$215/12</f>
        <v>0</v>
      </c>
      <c r="F22" s="883" t="n">
        <f aca="false">Breakout!$C$216/12</f>
        <v>0</v>
      </c>
      <c r="G22" s="886" t="n">
        <f aca="false">Breakout!$C$222/12</f>
        <v>16666.6666666667</v>
      </c>
      <c r="H22" s="883" t="n">
        <f aca="false">Breakout!$C$223/12</f>
        <v>0</v>
      </c>
      <c r="I22" s="886" t="n">
        <f aca="false">Breakout!$C$229/12</f>
        <v>0</v>
      </c>
      <c r="J22" s="883" t="n">
        <f aca="false">Breakout!$C$230/12</f>
        <v>0</v>
      </c>
      <c r="K22" s="774" t="n">
        <f aca="false">C22+E22+G22+I22</f>
        <v>16666.6666666667</v>
      </c>
      <c r="L22" s="771" t="n">
        <f aca="false">C22+E22+G22+I22</f>
        <v>16666.6666666667</v>
      </c>
      <c r="M22" s="774" t="n">
        <f aca="false">D22+F22+H22+J22</f>
        <v>0</v>
      </c>
      <c r="N22" s="775" t="n">
        <f aca="false">K22-M22-S22</f>
        <v>16666.6666666667</v>
      </c>
      <c r="O22" s="885" t="n">
        <f aca="false">SUM(N11:N22)</f>
        <v>-3800000</v>
      </c>
      <c r="P22" s="776" t="n">
        <f aca="false">L22-M22-S22</f>
        <v>16666.6666666667</v>
      </c>
      <c r="Q22" s="885" t="n">
        <f aca="false">SUM(P11:P22)</f>
        <v>-3800000</v>
      </c>
      <c r="R22" s="885"/>
      <c r="S22" s="772" t="n">
        <v>0</v>
      </c>
      <c r="T22" s="885"/>
      <c r="U22" s="885"/>
      <c r="V22" s="885"/>
      <c r="W22" s="885"/>
      <c r="X22" s="885"/>
      <c r="Y22" s="885"/>
      <c r="Z22" s="885"/>
      <c r="AA22" s="885"/>
      <c r="AB22" s="885"/>
      <c r="AC22" s="885"/>
      <c r="AD22" s="885"/>
      <c r="AE22" s="885"/>
      <c r="AF22" s="885"/>
      <c r="AG22" s="885"/>
      <c r="AH22" s="885"/>
      <c r="AI22" s="885"/>
      <c r="AJ22" s="885"/>
      <c r="AK22" s="885"/>
      <c r="AL22" s="885"/>
      <c r="AM22" s="885"/>
      <c r="AN22" s="885"/>
      <c r="AO22" s="885"/>
      <c r="AP22" s="885"/>
      <c r="AQ22" s="885"/>
      <c r="AR22" s="885"/>
      <c r="AS22" s="885"/>
      <c r="AT22" s="885"/>
      <c r="AU22" s="885"/>
      <c r="AV22" s="885"/>
      <c r="AW22" s="885"/>
      <c r="AX22" s="885"/>
      <c r="AY22" s="885"/>
      <c r="AZ22" s="885"/>
      <c r="BA22" s="885"/>
      <c r="BB22" s="885"/>
      <c r="BC22" s="885"/>
      <c r="BD22" s="885"/>
      <c r="BE22" s="885"/>
      <c r="BF22" s="885"/>
      <c r="BG22" s="885"/>
      <c r="BH22" s="885"/>
      <c r="BI22" s="885"/>
      <c r="BJ22" s="885"/>
      <c r="BK22" s="885"/>
      <c r="BL22" s="885"/>
      <c r="BM22" s="885"/>
      <c r="BN22" s="885"/>
      <c r="BO22" s="885"/>
      <c r="BP22" s="885"/>
    </row>
    <row r="23" customFormat="false" ht="12.75" hidden="false" customHeight="false" outlineLevel="0" collapsed="false">
      <c r="A23" s="767" t="n">
        <v>13</v>
      </c>
      <c r="B23" s="768" t="n">
        <v>36892</v>
      </c>
      <c r="C23" s="769" t="n">
        <v>0</v>
      </c>
      <c r="D23" s="770" t="n">
        <v>0</v>
      </c>
      <c r="E23" s="769" t="n">
        <f aca="false">Breakout!$D$215/12</f>
        <v>0</v>
      </c>
      <c r="F23" s="770" t="n">
        <f aca="false">Breakout!$D$216/12</f>
        <v>0</v>
      </c>
      <c r="G23" s="769" t="n">
        <f aca="false">Breakout!$D$222/12</f>
        <v>29166.6666666667</v>
      </c>
      <c r="H23" s="770" t="n">
        <f aca="false">Breakout!$D$223/12</f>
        <v>0</v>
      </c>
      <c r="I23" s="769" t="n">
        <f aca="false">Breakout!$D$229/12</f>
        <v>0</v>
      </c>
      <c r="J23" s="770" t="n">
        <f aca="false">Breakout!$D$230/12</f>
        <v>0</v>
      </c>
      <c r="K23" s="774" t="n">
        <f aca="false">C23+E23+G23+I23</f>
        <v>29166.6666666667</v>
      </c>
      <c r="L23" s="771" t="n">
        <f aca="false">C23+E23+G23+I23</f>
        <v>29166.6666666667</v>
      </c>
      <c r="M23" s="774" t="n">
        <f aca="false">D23+F23+H23+J23</f>
        <v>0</v>
      </c>
      <c r="N23" s="775" t="n">
        <f aca="false">K23-M23-S23</f>
        <v>29166.6666666667</v>
      </c>
      <c r="P23" s="776" t="n">
        <f aca="false">L23-M23-S23</f>
        <v>29166.6666666667</v>
      </c>
      <c r="S23" s="772" t="n">
        <v>0</v>
      </c>
    </row>
    <row r="24" customFormat="false" ht="12.75" hidden="false" customHeight="false" outlineLevel="0" collapsed="false">
      <c r="A24" s="767" t="n">
        <v>14</v>
      </c>
      <c r="B24" s="768" t="n">
        <v>36923</v>
      </c>
      <c r="C24" s="769" t="n">
        <v>0</v>
      </c>
      <c r="D24" s="770" t="n">
        <v>0</v>
      </c>
      <c r="E24" s="769" t="n">
        <f aca="false">Breakout!$D$215/12</f>
        <v>0</v>
      </c>
      <c r="F24" s="770" t="n">
        <f aca="false">Breakout!$D$216/12</f>
        <v>0</v>
      </c>
      <c r="G24" s="769" t="n">
        <f aca="false">Breakout!$D$222/12</f>
        <v>29166.6666666667</v>
      </c>
      <c r="H24" s="770" t="n">
        <f aca="false">Breakout!$D$223/12</f>
        <v>0</v>
      </c>
      <c r="I24" s="769" t="n">
        <f aca="false">Breakout!$D$229/12</f>
        <v>0</v>
      </c>
      <c r="J24" s="770" t="n">
        <f aca="false">Breakout!$D$230/12</f>
        <v>0</v>
      </c>
      <c r="K24" s="774" t="n">
        <f aca="false">C24+E24+G24+I24</f>
        <v>29166.6666666667</v>
      </c>
      <c r="L24" s="771" t="n">
        <f aca="false">C24+E24+G24+I24</f>
        <v>29166.6666666667</v>
      </c>
      <c r="M24" s="774" t="n">
        <f aca="false">D24+F24+H24+J24</f>
        <v>0</v>
      </c>
      <c r="N24" s="775" t="n">
        <f aca="false">K24-M24-S24</f>
        <v>29166.6666666667</v>
      </c>
      <c r="P24" s="776" t="n">
        <f aca="false">L24-M24-S24</f>
        <v>29166.6666666667</v>
      </c>
      <c r="S24" s="772" t="n">
        <v>0</v>
      </c>
    </row>
    <row r="25" customFormat="false" ht="12.75" hidden="false" customHeight="false" outlineLevel="0" collapsed="false">
      <c r="A25" s="767" t="n">
        <v>15</v>
      </c>
      <c r="B25" s="768" t="n">
        <v>36951</v>
      </c>
      <c r="C25" s="769" t="n">
        <v>0</v>
      </c>
      <c r="D25" s="770" t="n">
        <v>0</v>
      </c>
      <c r="E25" s="769" t="n">
        <f aca="false">Breakout!$D$215/12</f>
        <v>0</v>
      </c>
      <c r="F25" s="770" t="n">
        <f aca="false">Breakout!$D$216/12</f>
        <v>0</v>
      </c>
      <c r="G25" s="769" t="n">
        <f aca="false">Breakout!$D$222/12</f>
        <v>29166.6666666667</v>
      </c>
      <c r="H25" s="770" t="n">
        <f aca="false">Breakout!$D$223/12</f>
        <v>0</v>
      </c>
      <c r="I25" s="769" t="n">
        <f aca="false">Breakout!$D$229/12</f>
        <v>0</v>
      </c>
      <c r="J25" s="770" t="n">
        <f aca="false">Breakout!$D$230/12</f>
        <v>0</v>
      </c>
      <c r="K25" s="774" t="n">
        <f aca="false">C25+E25+G25+I25</f>
        <v>29166.6666666667</v>
      </c>
      <c r="L25" s="771" t="n">
        <f aca="false">C25+E25+G25+I25</f>
        <v>29166.6666666667</v>
      </c>
      <c r="M25" s="774" t="n">
        <f aca="false">D25+F25+H25+J25</f>
        <v>0</v>
      </c>
      <c r="N25" s="775" t="n">
        <f aca="false">K25-M25-S25</f>
        <v>29166.6666666667</v>
      </c>
      <c r="P25" s="776" t="n">
        <f aca="false">L25-M25-S25</f>
        <v>29166.6666666667</v>
      </c>
      <c r="S25" s="772" t="n">
        <v>0</v>
      </c>
    </row>
    <row r="26" customFormat="false" ht="12.75" hidden="false" customHeight="false" outlineLevel="0" collapsed="false">
      <c r="A26" s="767" t="n">
        <v>16</v>
      </c>
      <c r="B26" s="768" t="n">
        <v>36982</v>
      </c>
      <c r="C26" s="769" t="n">
        <v>0</v>
      </c>
      <c r="D26" s="770" t="n">
        <v>0</v>
      </c>
      <c r="E26" s="769" t="n">
        <f aca="false">Breakout!$D$215/12</f>
        <v>0</v>
      </c>
      <c r="F26" s="770" t="n">
        <f aca="false">Breakout!$D$216/12</f>
        <v>0</v>
      </c>
      <c r="G26" s="769" t="n">
        <f aca="false">Breakout!$D$222/12</f>
        <v>29166.6666666667</v>
      </c>
      <c r="H26" s="770" t="n">
        <f aca="false">Breakout!$D$223/12</f>
        <v>0</v>
      </c>
      <c r="I26" s="769" t="n">
        <f aca="false">Breakout!$D$229/12</f>
        <v>0</v>
      </c>
      <c r="J26" s="770" t="n">
        <f aca="false">Breakout!$D$230/12</f>
        <v>0</v>
      </c>
      <c r="K26" s="774" t="n">
        <f aca="false">C26+E26+G26+I26</f>
        <v>29166.6666666667</v>
      </c>
      <c r="L26" s="771" t="n">
        <f aca="false">C26+E26+G26+I26</f>
        <v>29166.6666666667</v>
      </c>
      <c r="M26" s="774" t="n">
        <f aca="false">D26+F26+H26+J26</f>
        <v>0</v>
      </c>
      <c r="N26" s="775" t="n">
        <f aca="false">K26-M26-S26</f>
        <v>29166.6666666667</v>
      </c>
      <c r="P26" s="776" t="n">
        <f aca="false">L26-M26-S26</f>
        <v>29166.6666666667</v>
      </c>
      <c r="S26" s="772" t="n">
        <v>0</v>
      </c>
    </row>
    <row r="27" customFormat="false" ht="12.75" hidden="false" customHeight="false" outlineLevel="0" collapsed="false">
      <c r="A27" s="767" t="n">
        <v>17</v>
      </c>
      <c r="B27" s="768" t="n">
        <v>37012</v>
      </c>
      <c r="C27" s="769" t="n">
        <v>0</v>
      </c>
      <c r="D27" s="770" t="n">
        <v>0</v>
      </c>
      <c r="E27" s="769" t="n">
        <f aca="false">Breakout!$D$215/12</f>
        <v>0</v>
      </c>
      <c r="F27" s="770" t="n">
        <f aca="false">Breakout!$D$216/12</f>
        <v>0</v>
      </c>
      <c r="G27" s="769" t="n">
        <f aca="false">Breakout!$D$222/12</f>
        <v>29166.6666666667</v>
      </c>
      <c r="H27" s="770" t="n">
        <f aca="false">Breakout!$D$223/12</f>
        <v>0</v>
      </c>
      <c r="I27" s="769" t="n">
        <f aca="false">Breakout!$D$229/12</f>
        <v>0</v>
      </c>
      <c r="J27" s="770" t="n">
        <f aca="false">Breakout!$D$230/12</f>
        <v>0</v>
      </c>
      <c r="K27" s="774" t="n">
        <f aca="false">C27+E27+G27+I27</f>
        <v>29166.6666666667</v>
      </c>
      <c r="L27" s="771" t="n">
        <f aca="false">C27+E27+G27+I27</f>
        <v>29166.6666666667</v>
      </c>
      <c r="M27" s="774" t="n">
        <f aca="false">D27+F27+H27+J27</f>
        <v>0</v>
      </c>
      <c r="N27" s="775" t="n">
        <f aca="false">K27-M27-S27</f>
        <v>29166.6666666667</v>
      </c>
      <c r="P27" s="776" t="n">
        <f aca="false">L27-M27-S27</f>
        <v>29166.6666666667</v>
      </c>
      <c r="S27" s="772" t="n">
        <v>0</v>
      </c>
    </row>
    <row r="28" customFormat="false" ht="12.75" hidden="false" customHeight="false" outlineLevel="0" collapsed="false">
      <c r="A28" s="767" t="n">
        <v>18</v>
      </c>
      <c r="B28" s="768" t="n">
        <v>37043</v>
      </c>
      <c r="C28" s="769" t="n">
        <v>0</v>
      </c>
      <c r="D28" s="770" t="n">
        <v>0</v>
      </c>
      <c r="E28" s="769" t="n">
        <f aca="false">Breakout!$D$215/12</f>
        <v>0</v>
      </c>
      <c r="F28" s="770" t="n">
        <f aca="false">Breakout!$D$216/12</f>
        <v>0</v>
      </c>
      <c r="G28" s="769" t="n">
        <f aca="false">Breakout!$D$222/12</f>
        <v>29166.6666666667</v>
      </c>
      <c r="H28" s="770" t="n">
        <f aca="false">Breakout!$D$223/12</f>
        <v>0</v>
      </c>
      <c r="I28" s="769" t="n">
        <f aca="false">Breakout!$D$229/12</f>
        <v>0</v>
      </c>
      <c r="J28" s="770" t="n">
        <f aca="false">Breakout!$D$230/12</f>
        <v>0</v>
      </c>
      <c r="K28" s="774" t="n">
        <f aca="false">C28+E28+G28+I28</f>
        <v>29166.6666666667</v>
      </c>
      <c r="L28" s="771" t="n">
        <f aca="false">C28+E28+G28+I28</f>
        <v>29166.6666666667</v>
      </c>
      <c r="M28" s="774" t="n">
        <f aca="false">D28+F28+H28+J28</f>
        <v>0</v>
      </c>
      <c r="N28" s="775" t="n">
        <f aca="false">K28-M28-S28</f>
        <v>29166.6666666667</v>
      </c>
      <c r="P28" s="776" t="n">
        <f aca="false">L28-M28-S28</f>
        <v>29166.6666666667</v>
      </c>
      <c r="S28" s="772" t="n">
        <v>0</v>
      </c>
    </row>
    <row r="29" customFormat="false" ht="12.75" hidden="false" customHeight="false" outlineLevel="0" collapsed="false">
      <c r="A29" s="767" t="n">
        <v>19</v>
      </c>
      <c r="B29" s="768" t="n">
        <v>37073</v>
      </c>
      <c r="C29" s="769" t="n">
        <v>0</v>
      </c>
      <c r="D29" s="770" t="n">
        <v>0</v>
      </c>
      <c r="E29" s="769" t="n">
        <f aca="false">Breakout!$D$215/12</f>
        <v>0</v>
      </c>
      <c r="F29" s="770" t="n">
        <f aca="false">Breakout!$D$216/12</f>
        <v>0</v>
      </c>
      <c r="G29" s="769" t="n">
        <f aca="false">Breakout!$D$222/12</f>
        <v>29166.6666666667</v>
      </c>
      <c r="H29" s="770" t="n">
        <f aca="false">Breakout!$D$223/12</f>
        <v>0</v>
      </c>
      <c r="I29" s="769" t="n">
        <f aca="false">Breakout!$D$229/12</f>
        <v>0</v>
      </c>
      <c r="J29" s="770" t="n">
        <f aca="false">Breakout!$D$230/12</f>
        <v>0</v>
      </c>
      <c r="K29" s="774" t="n">
        <f aca="false">C29+E29+G29+I29</f>
        <v>29166.6666666667</v>
      </c>
      <c r="L29" s="771" t="n">
        <f aca="false">C29+E29+G29+I29</f>
        <v>29166.6666666667</v>
      </c>
      <c r="M29" s="774" t="n">
        <f aca="false">D29+F29+H29+J29</f>
        <v>0</v>
      </c>
      <c r="N29" s="775" t="n">
        <f aca="false">K29-M29-S29</f>
        <v>29166.6666666667</v>
      </c>
      <c r="P29" s="776" t="n">
        <f aca="false">L29-M29-S29</f>
        <v>29166.6666666667</v>
      </c>
      <c r="S29" s="772" t="n">
        <v>0</v>
      </c>
    </row>
    <row r="30" customFormat="false" ht="12.75" hidden="false" customHeight="false" outlineLevel="0" collapsed="false">
      <c r="A30" s="767" t="n">
        <v>20</v>
      </c>
      <c r="B30" s="768" t="n">
        <v>37104</v>
      </c>
      <c r="C30" s="769" t="n">
        <v>0</v>
      </c>
      <c r="D30" s="770" t="n">
        <v>0</v>
      </c>
      <c r="E30" s="769" t="n">
        <f aca="false">Breakout!$D$215/12</f>
        <v>0</v>
      </c>
      <c r="F30" s="770" t="n">
        <f aca="false">Breakout!$D$216/12</f>
        <v>0</v>
      </c>
      <c r="G30" s="769" t="n">
        <f aca="false">Breakout!$D$222/12</f>
        <v>29166.6666666667</v>
      </c>
      <c r="H30" s="770" t="n">
        <f aca="false">Breakout!$D$223/12</f>
        <v>0</v>
      </c>
      <c r="I30" s="769" t="n">
        <f aca="false">Breakout!$D$229/12</f>
        <v>0</v>
      </c>
      <c r="J30" s="770" t="n">
        <f aca="false">Breakout!$D$230/12</f>
        <v>0</v>
      </c>
      <c r="K30" s="774" t="n">
        <f aca="false">C30+E30+G30+I30</f>
        <v>29166.6666666667</v>
      </c>
      <c r="L30" s="771" t="n">
        <f aca="false">C30+E30+G30+I30</f>
        <v>29166.6666666667</v>
      </c>
      <c r="M30" s="774" t="n">
        <f aca="false">D30+F30+H30+J30</f>
        <v>0</v>
      </c>
      <c r="N30" s="775" t="n">
        <f aca="false">K30-M30-S30</f>
        <v>29166.6666666667</v>
      </c>
      <c r="P30" s="776" t="n">
        <f aca="false">L30-M30-S30</f>
        <v>29166.6666666667</v>
      </c>
      <c r="S30" s="772" t="n">
        <v>0</v>
      </c>
    </row>
    <row r="31" customFormat="false" ht="12.75" hidden="false" customHeight="false" outlineLevel="0" collapsed="false">
      <c r="A31" s="767" t="n">
        <v>21</v>
      </c>
      <c r="B31" s="768" t="n">
        <v>37135</v>
      </c>
      <c r="C31" s="769" t="n">
        <v>0</v>
      </c>
      <c r="D31" s="770" t="n">
        <v>0</v>
      </c>
      <c r="E31" s="769" t="n">
        <f aca="false">Breakout!$D$215/12</f>
        <v>0</v>
      </c>
      <c r="F31" s="770" t="n">
        <f aca="false">Breakout!$D$216/12</f>
        <v>0</v>
      </c>
      <c r="G31" s="769" t="n">
        <f aca="false">Breakout!$D$222/12</f>
        <v>29166.6666666667</v>
      </c>
      <c r="H31" s="770" t="n">
        <f aca="false">Breakout!$D$223/12</f>
        <v>0</v>
      </c>
      <c r="I31" s="769" t="n">
        <f aca="false">Breakout!$D$229/12</f>
        <v>0</v>
      </c>
      <c r="J31" s="770" t="n">
        <f aca="false">Breakout!$D$230/12</f>
        <v>0</v>
      </c>
      <c r="K31" s="774" t="n">
        <f aca="false">C31+E31+G31+I31</f>
        <v>29166.6666666667</v>
      </c>
      <c r="L31" s="771" t="n">
        <f aca="false">C31+E31+G31+I31</f>
        <v>29166.6666666667</v>
      </c>
      <c r="M31" s="774" t="n">
        <f aca="false">D31+F31+H31+J31</f>
        <v>0</v>
      </c>
      <c r="N31" s="775" t="n">
        <f aca="false">K31-M31-S31</f>
        <v>29166.6666666667</v>
      </c>
      <c r="P31" s="776" t="n">
        <f aca="false">L31-M31-S31</f>
        <v>29166.6666666667</v>
      </c>
      <c r="S31" s="772" t="n">
        <v>0</v>
      </c>
    </row>
    <row r="32" customFormat="false" ht="12.75" hidden="false" customHeight="false" outlineLevel="0" collapsed="false">
      <c r="A32" s="767" t="n">
        <v>22</v>
      </c>
      <c r="B32" s="768" t="n">
        <v>37165</v>
      </c>
      <c r="C32" s="769" t="n">
        <v>0</v>
      </c>
      <c r="D32" s="770" t="n">
        <v>0</v>
      </c>
      <c r="E32" s="769" t="n">
        <f aca="false">Breakout!$D$215/12</f>
        <v>0</v>
      </c>
      <c r="F32" s="770" t="n">
        <f aca="false">Breakout!$D$216/12</f>
        <v>0</v>
      </c>
      <c r="G32" s="769" t="n">
        <f aca="false">Breakout!$D$222/12</f>
        <v>29166.6666666667</v>
      </c>
      <c r="H32" s="770" t="n">
        <f aca="false">Breakout!$D$223/12</f>
        <v>0</v>
      </c>
      <c r="I32" s="769" t="n">
        <f aca="false">Breakout!$D$229/12</f>
        <v>0</v>
      </c>
      <c r="J32" s="770" t="n">
        <f aca="false">Breakout!$D$230/12</f>
        <v>0</v>
      </c>
      <c r="K32" s="774" t="n">
        <f aca="false">C32+E32+G32+I32</f>
        <v>29166.6666666667</v>
      </c>
      <c r="L32" s="771" t="n">
        <f aca="false">C32+E32+G32+I32</f>
        <v>29166.6666666667</v>
      </c>
      <c r="M32" s="774" t="n">
        <f aca="false">D32+F32+H32+J32</f>
        <v>0</v>
      </c>
      <c r="N32" s="775" t="n">
        <f aca="false">K32-M32-S32</f>
        <v>29166.6666666667</v>
      </c>
      <c r="P32" s="776" t="n">
        <f aca="false">L32-M32-S32</f>
        <v>29166.6666666667</v>
      </c>
      <c r="S32" s="772" t="n">
        <v>0</v>
      </c>
    </row>
    <row r="33" customFormat="false" ht="12.75" hidden="false" customHeight="false" outlineLevel="0" collapsed="false">
      <c r="A33" s="767" t="n">
        <v>23</v>
      </c>
      <c r="B33" s="768" t="n">
        <v>37196</v>
      </c>
      <c r="C33" s="769" t="n">
        <v>0</v>
      </c>
      <c r="D33" s="770" t="n">
        <v>0</v>
      </c>
      <c r="E33" s="769" t="n">
        <f aca="false">Breakout!$D$215/12</f>
        <v>0</v>
      </c>
      <c r="F33" s="770" t="n">
        <f aca="false">Breakout!$D$216/12</f>
        <v>0</v>
      </c>
      <c r="G33" s="769" t="n">
        <f aca="false">Breakout!$D$222/12</f>
        <v>29166.6666666667</v>
      </c>
      <c r="H33" s="770" t="n">
        <f aca="false">Breakout!$D$223/12</f>
        <v>0</v>
      </c>
      <c r="I33" s="769" t="n">
        <f aca="false">Breakout!$D$229/12</f>
        <v>0</v>
      </c>
      <c r="J33" s="770" t="n">
        <f aca="false">Breakout!$D$230/12</f>
        <v>0</v>
      </c>
      <c r="K33" s="774" t="n">
        <f aca="false">C33+E33+G33+I33</f>
        <v>29166.6666666667</v>
      </c>
      <c r="L33" s="771" t="n">
        <f aca="false">C33+E33+G33+I33</f>
        <v>29166.6666666667</v>
      </c>
      <c r="M33" s="774" t="n">
        <f aca="false">D33+F33+H33+J33</f>
        <v>0</v>
      </c>
      <c r="N33" s="775" t="n">
        <f aca="false">K33-M33-S33</f>
        <v>29166.6666666667</v>
      </c>
      <c r="P33" s="776" t="n">
        <f aca="false">L33-M33-S33</f>
        <v>29166.6666666667</v>
      </c>
      <c r="S33" s="772" t="n">
        <v>0</v>
      </c>
    </row>
    <row r="34" customFormat="false" ht="12.75" hidden="false" customHeight="false" outlineLevel="0" collapsed="false">
      <c r="A34" s="895" t="n">
        <v>24</v>
      </c>
      <c r="B34" s="896" t="n">
        <v>37226</v>
      </c>
      <c r="C34" s="769" t="n">
        <v>0</v>
      </c>
      <c r="D34" s="770" t="n">
        <v>0</v>
      </c>
      <c r="E34" s="769" t="n">
        <f aca="false">Breakout!$D$215/12</f>
        <v>0</v>
      </c>
      <c r="F34" s="770" t="n">
        <f aca="false">Breakout!$D$216/12</f>
        <v>0</v>
      </c>
      <c r="G34" s="769" t="n">
        <f aca="false">Breakout!$D$222/12</f>
        <v>29166.6666666667</v>
      </c>
      <c r="H34" s="770" t="n">
        <f aca="false">Breakout!$D$223/12</f>
        <v>0</v>
      </c>
      <c r="I34" s="769" t="n">
        <f aca="false">Breakout!$D$229/12</f>
        <v>0</v>
      </c>
      <c r="J34" s="770" t="n">
        <f aca="false">Breakout!$D$230/12</f>
        <v>0</v>
      </c>
      <c r="K34" s="774" t="n">
        <f aca="false">C34+E34+G34+I34</f>
        <v>29166.6666666667</v>
      </c>
      <c r="L34" s="771" t="n">
        <f aca="false">C34+E34+G34+I34</f>
        <v>29166.6666666667</v>
      </c>
      <c r="M34" s="774" t="n">
        <f aca="false">D34+F34+H34+J34</f>
        <v>0</v>
      </c>
      <c r="N34" s="775" t="n">
        <f aca="false">K34-M34-S34</f>
        <v>29166.6666666667</v>
      </c>
      <c r="O34" s="885" t="n">
        <f aca="false">SUM(N23:N34)</f>
        <v>350000</v>
      </c>
      <c r="P34" s="776" t="n">
        <f aca="false">L34-M34-S34</f>
        <v>29166.6666666667</v>
      </c>
      <c r="Q34" s="885" t="n">
        <f aca="false">SUM(P23:P34)</f>
        <v>350000</v>
      </c>
      <c r="S34" s="772" t="n">
        <v>0</v>
      </c>
      <c r="W34" s="431"/>
      <c r="X34" s="431"/>
      <c r="Y34" s="431"/>
      <c r="Z34" s="431"/>
      <c r="AA34" s="431"/>
      <c r="AB34" s="431"/>
      <c r="AC34" s="431"/>
      <c r="AD34" s="431"/>
      <c r="AE34" s="431"/>
      <c r="AF34" s="431"/>
      <c r="AG34" s="431"/>
      <c r="AH34" s="431"/>
      <c r="AI34" s="431"/>
      <c r="AJ34" s="431"/>
      <c r="AK34" s="431"/>
      <c r="AL34" s="431"/>
      <c r="AM34" s="431"/>
      <c r="AN34" s="431"/>
      <c r="AO34" s="431"/>
      <c r="AP34" s="431"/>
      <c r="AQ34" s="431"/>
      <c r="AR34" s="431"/>
      <c r="AS34" s="431"/>
      <c r="AT34" s="431"/>
      <c r="AU34" s="431"/>
      <c r="AV34" s="431"/>
      <c r="AW34" s="431"/>
      <c r="AX34" s="431"/>
      <c r="AY34" s="431"/>
      <c r="AZ34" s="431"/>
      <c r="BA34" s="431"/>
      <c r="BB34" s="431"/>
      <c r="BC34" s="431"/>
      <c r="BD34" s="431"/>
      <c r="BE34" s="431"/>
      <c r="BF34" s="431"/>
      <c r="BG34" s="431"/>
      <c r="BH34" s="431"/>
      <c r="BI34" s="431"/>
      <c r="BJ34" s="431"/>
      <c r="BK34" s="431"/>
      <c r="BL34" s="431"/>
      <c r="BM34" s="431"/>
      <c r="BN34" s="431"/>
      <c r="BO34" s="431"/>
      <c r="BP34" s="431"/>
    </row>
    <row r="35" customFormat="false" ht="12.75" hidden="false" customHeight="false" outlineLevel="0" collapsed="false">
      <c r="A35" s="866" t="n">
        <v>25</v>
      </c>
      <c r="B35" s="897" t="n">
        <v>37257</v>
      </c>
      <c r="C35" s="769" t="n">
        <v>0</v>
      </c>
      <c r="D35" s="770" t="n">
        <v>0</v>
      </c>
      <c r="E35" s="868" t="n">
        <f aca="false">Breakout!$E$215/12</f>
        <v>0</v>
      </c>
      <c r="F35" s="870" t="n">
        <f aca="false">Breakout!$E$216/12</f>
        <v>0</v>
      </c>
      <c r="G35" s="868" t="n">
        <f aca="false">Breakout!$E$222/12</f>
        <v>41666.6666666667</v>
      </c>
      <c r="H35" s="870" t="n">
        <f aca="false">Breakout!$E$223/12</f>
        <v>0</v>
      </c>
      <c r="I35" s="868" t="n">
        <f aca="false">Breakout!$E$229/12</f>
        <v>0</v>
      </c>
      <c r="J35" s="870" t="n">
        <f aca="false">Breakout!$E$230/12</f>
        <v>0</v>
      </c>
      <c r="K35" s="774" t="n">
        <f aca="false">C35+E35+G35+I35</f>
        <v>41666.6666666667</v>
      </c>
      <c r="L35" s="771" t="n">
        <f aca="false">C35+E35+G35+I35</f>
        <v>41666.6666666667</v>
      </c>
      <c r="M35" s="774" t="n">
        <f aca="false">D35+F35+H35+J35</f>
        <v>0</v>
      </c>
      <c r="N35" s="775" t="n">
        <f aca="false">K35-M35-S35</f>
        <v>41666.6666666667</v>
      </c>
      <c r="O35" s="869"/>
      <c r="P35" s="776" t="n">
        <f aca="false">L35-M35-S35</f>
        <v>41666.6666666667</v>
      </c>
      <c r="Q35" s="869"/>
      <c r="R35" s="869"/>
      <c r="S35" s="772" t="n">
        <v>0</v>
      </c>
      <c r="T35" s="869"/>
      <c r="U35" s="869"/>
      <c r="V35" s="869"/>
      <c r="W35" s="869"/>
      <c r="X35" s="869"/>
      <c r="Y35" s="869"/>
      <c r="Z35" s="869"/>
      <c r="AA35" s="869"/>
      <c r="AB35" s="869"/>
      <c r="AC35" s="869"/>
      <c r="AD35" s="869"/>
      <c r="AE35" s="869"/>
      <c r="AF35" s="869"/>
      <c r="AG35" s="869"/>
      <c r="AH35" s="869"/>
      <c r="AI35" s="869"/>
      <c r="AJ35" s="869"/>
      <c r="AK35" s="869"/>
      <c r="AL35" s="869"/>
      <c r="AM35" s="869"/>
      <c r="AN35" s="869"/>
      <c r="AO35" s="869"/>
      <c r="AP35" s="869"/>
      <c r="AQ35" s="869"/>
      <c r="AR35" s="869"/>
      <c r="AS35" s="869"/>
      <c r="AT35" s="869"/>
      <c r="AU35" s="869"/>
      <c r="AV35" s="869"/>
      <c r="AW35" s="869"/>
      <c r="AX35" s="869"/>
      <c r="AY35" s="869"/>
      <c r="AZ35" s="869"/>
      <c r="BA35" s="869"/>
      <c r="BB35" s="869"/>
      <c r="BC35" s="869"/>
      <c r="BD35" s="869"/>
      <c r="BE35" s="869"/>
      <c r="BF35" s="869"/>
      <c r="BG35" s="869"/>
      <c r="BH35" s="869"/>
      <c r="BI35" s="869"/>
      <c r="BJ35" s="869"/>
      <c r="BK35" s="869"/>
      <c r="BL35" s="869"/>
      <c r="BM35" s="869"/>
      <c r="BN35" s="869"/>
      <c r="BO35" s="869"/>
      <c r="BP35" s="869"/>
    </row>
    <row r="36" customFormat="false" ht="12.75" hidden="false" customHeight="false" outlineLevel="0" collapsed="false">
      <c r="A36" s="767" t="n">
        <v>26</v>
      </c>
      <c r="B36" s="768" t="n">
        <v>37288</v>
      </c>
      <c r="C36" s="769" t="n">
        <v>0</v>
      </c>
      <c r="D36" s="770" t="n">
        <v>0</v>
      </c>
      <c r="E36" s="872" t="n">
        <f aca="false">Breakout!$E$215/12</f>
        <v>0</v>
      </c>
      <c r="F36" s="873" t="n">
        <f aca="false">Breakout!$E$216/12</f>
        <v>0</v>
      </c>
      <c r="G36" s="872" t="n">
        <f aca="false">Breakout!$E$222/12</f>
        <v>41666.6666666667</v>
      </c>
      <c r="H36" s="873" t="n">
        <f aca="false">Breakout!$E$223/12</f>
        <v>0</v>
      </c>
      <c r="I36" s="872" t="n">
        <f aca="false">Breakout!$E$229/12</f>
        <v>0</v>
      </c>
      <c r="J36" s="873" t="n">
        <f aca="false">Breakout!$E$230/12</f>
        <v>0</v>
      </c>
      <c r="K36" s="774" t="n">
        <f aca="false">C36+E36+G36+I36</f>
        <v>41666.6666666667</v>
      </c>
      <c r="L36" s="771" t="n">
        <f aca="false">C36+E36+G36+I36</f>
        <v>41666.6666666667</v>
      </c>
      <c r="M36" s="774" t="n">
        <f aca="false">D36+F36+H36+J36</f>
        <v>0</v>
      </c>
      <c r="N36" s="775" t="n">
        <f aca="false">K36-M36-S36</f>
        <v>41666.6666666667</v>
      </c>
      <c r="O36" s="431"/>
      <c r="P36" s="776" t="n">
        <f aca="false">L36-M36-S36</f>
        <v>41666.6666666667</v>
      </c>
      <c r="Q36" s="431"/>
      <c r="R36" s="431"/>
      <c r="S36" s="772" t="n">
        <v>0</v>
      </c>
      <c r="T36" s="431"/>
      <c r="U36" s="431"/>
      <c r="V36" s="431"/>
    </row>
    <row r="37" customFormat="false" ht="12.75" hidden="false" customHeight="false" outlineLevel="0" collapsed="false">
      <c r="A37" s="767" t="n">
        <v>27</v>
      </c>
      <c r="B37" s="768" t="n">
        <v>37316</v>
      </c>
      <c r="C37" s="769" t="n">
        <v>0</v>
      </c>
      <c r="D37" s="770" t="n">
        <v>0</v>
      </c>
      <c r="E37" s="872" t="n">
        <f aca="false">Breakout!$E$215/12</f>
        <v>0</v>
      </c>
      <c r="F37" s="873" t="n">
        <f aca="false">Breakout!$E$216/12</f>
        <v>0</v>
      </c>
      <c r="G37" s="872" t="n">
        <f aca="false">Breakout!$E$222/12</f>
        <v>41666.6666666667</v>
      </c>
      <c r="H37" s="873" t="n">
        <f aca="false">Breakout!$E$223/12</f>
        <v>0</v>
      </c>
      <c r="I37" s="872" t="n">
        <f aca="false">Breakout!$E$229/12</f>
        <v>0</v>
      </c>
      <c r="J37" s="873" t="n">
        <f aca="false">Breakout!$E$230/12</f>
        <v>0</v>
      </c>
      <c r="K37" s="774" t="n">
        <f aca="false">C37+E37+G37+I37</f>
        <v>41666.6666666667</v>
      </c>
      <c r="L37" s="771" t="n">
        <f aca="false">C37+E37+G37+I37</f>
        <v>41666.6666666667</v>
      </c>
      <c r="M37" s="774" t="n">
        <f aca="false">D37+F37+H37+J37</f>
        <v>0</v>
      </c>
      <c r="N37" s="775" t="n">
        <f aca="false">K37-M37-S37</f>
        <v>41666.6666666667</v>
      </c>
      <c r="O37" s="431"/>
      <c r="P37" s="776" t="n">
        <f aca="false">L37-M37-S37</f>
        <v>41666.6666666667</v>
      </c>
      <c r="Q37" s="431"/>
      <c r="R37" s="431"/>
      <c r="S37" s="772" t="n">
        <v>0</v>
      </c>
      <c r="T37" s="431"/>
      <c r="U37" s="431"/>
      <c r="V37" s="431"/>
    </row>
    <row r="38" customFormat="false" ht="12.75" hidden="false" customHeight="false" outlineLevel="0" collapsed="false">
      <c r="A38" s="767" t="n">
        <v>28</v>
      </c>
      <c r="B38" s="768" t="n">
        <v>37347</v>
      </c>
      <c r="C38" s="769" t="n">
        <v>0</v>
      </c>
      <c r="D38" s="770" t="n">
        <v>0</v>
      </c>
      <c r="E38" s="872" t="n">
        <f aca="false">Breakout!$E$215/12</f>
        <v>0</v>
      </c>
      <c r="F38" s="873" t="n">
        <f aca="false">Breakout!$E$216/12</f>
        <v>0</v>
      </c>
      <c r="G38" s="872" t="n">
        <f aca="false">Breakout!$E$222/12</f>
        <v>41666.6666666667</v>
      </c>
      <c r="H38" s="873" t="n">
        <f aca="false">Breakout!$E$223/12</f>
        <v>0</v>
      </c>
      <c r="I38" s="872" t="n">
        <f aca="false">Breakout!$E$229/12</f>
        <v>0</v>
      </c>
      <c r="J38" s="873" t="n">
        <f aca="false">Breakout!$E$230/12</f>
        <v>0</v>
      </c>
      <c r="K38" s="774" t="n">
        <f aca="false">C38+E38+G38+I38</f>
        <v>41666.6666666667</v>
      </c>
      <c r="L38" s="771" t="n">
        <f aca="false">C38+E38+G38+I38</f>
        <v>41666.6666666667</v>
      </c>
      <c r="M38" s="774" t="n">
        <f aca="false">D38+F38+H38+J38</f>
        <v>0</v>
      </c>
      <c r="N38" s="775" t="n">
        <f aca="false">K38-M38-S38</f>
        <v>41666.6666666667</v>
      </c>
      <c r="O38" s="431"/>
      <c r="P38" s="776" t="n">
        <f aca="false">L38-M38-S38</f>
        <v>41666.6666666667</v>
      </c>
      <c r="Q38" s="431"/>
      <c r="R38" s="431"/>
      <c r="S38" s="772" t="n">
        <v>0</v>
      </c>
      <c r="T38" s="431"/>
      <c r="U38" s="431"/>
      <c r="V38" s="431"/>
    </row>
    <row r="39" customFormat="false" ht="12.75" hidden="false" customHeight="false" outlineLevel="0" collapsed="false">
      <c r="A39" s="767" t="n">
        <v>29</v>
      </c>
      <c r="B39" s="768" t="n">
        <v>37377</v>
      </c>
      <c r="C39" s="769" t="n">
        <v>0</v>
      </c>
      <c r="D39" s="770" t="n">
        <v>0</v>
      </c>
      <c r="E39" s="872" t="n">
        <f aca="false">Breakout!$E$215/12</f>
        <v>0</v>
      </c>
      <c r="F39" s="873" t="n">
        <f aca="false">Breakout!$E$216/12</f>
        <v>0</v>
      </c>
      <c r="G39" s="872" t="n">
        <f aca="false">Breakout!$E$222/12</f>
        <v>41666.6666666667</v>
      </c>
      <c r="H39" s="873" t="n">
        <f aca="false">Breakout!$E$223/12</f>
        <v>0</v>
      </c>
      <c r="I39" s="872" t="n">
        <f aca="false">Breakout!$E$229/12</f>
        <v>0</v>
      </c>
      <c r="J39" s="873" t="n">
        <f aca="false">Breakout!$E$230/12</f>
        <v>0</v>
      </c>
      <c r="K39" s="774" t="n">
        <f aca="false">C39+E39+G39+I39</f>
        <v>41666.6666666667</v>
      </c>
      <c r="L39" s="771" t="n">
        <f aca="false">C39+E39+G39+I39</f>
        <v>41666.6666666667</v>
      </c>
      <c r="M39" s="774" t="n">
        <f aca="false">D39+F39+H39+J39</f>
        <v>0</v>
      </c>
      <c r="N39" s="775" t="n">
        <f aca="false">K39-M39-S39</f>
        <v>41666.6666666667</v>
      </c>
      <c r="O39" s="431"/>
      <c r="P39" s="776" t="n">
        <f aca="false">L39-M39-S39</f>
        <v>41666.6666666667</v>
      </c>
      <c r="Q39" s="431"/>
      <c r="R39" s="431"/>
      <c r="S39" s="772" t="n">
        <v>0</v>
      </c>
      <c r="T39" s="431"/>
      <c r="U39" s="431"/>
      <c r="V39" s="431"/>
    </row>
    <row r="40" customFormat="false" ht="12.75" hidden="false" customHeight="false" outlineLevel="0" collapsed="false">
      <c r="A40" s="767" t="n">
        <v>30</v>
      </c>
      <c r="B40" s="768" t="n">
        <v>37408</v>
      </c>
      <c r="C40" s="769" t="n">
        <v>0</v>
      </c>
      <c r="D40" s="770" t="n">
        <v>0</v>
      </c>
      <c r="E40" s="872" t="n">
        <f aca="false">Breakout!$E$215/12</f>
        <v>0</v>
      </c>
      <c r="F40" s="873" t="n">
        <f aca="false">Breakout!$E$216/12</f>
        <v>0</v>
      </c>
      <c r="G40" s="872" t="n">
        <f aca="false">Breakout!$E$222/12</f>
        <v>41666.6666666667</v>
      </c>
      <c r="H40" s="873" t="n">
        <f aca="false">Breakout!$E$223/12</f>
        <v>0</v>
      </c>
      <c r="I40" s="872" t="n">
        <f aca="false">Breakout!$E$229/12</f>
        <v>0</v>
      </c>
      <c r="J40" s="873" t="n">
        <f aca="false">Breakout!$E$230/12</f>
        <v>0</v>
      </c>
      <c r="K40" s="774" t="n">
        <f aca="false">C40+E40+G40+I40</f>
        <v>41666.6666666667</v>
      </c>
      <c r="L40" s="771" t="n">
        <f aca="false">C40+E40+G40+I40</f>
        <v>41666.6666666667</v>
      </c>
      <c r="M40" s="774" t="n">
        <f aca="false">D40+F40+H40+J40</f>
        <v>0</v>
      </c>
      <c r="N40" s="775" t="n">
        <f aca="false">K40-M40-S40</f>
        <v>41666.6666666667</v>
      </c>
      <c r="O40" s="431"/>
      <c r="P40" s="776" t="n">
        <f aca="false">L40-M40-S40</f>
        <v>41666.6666666667</v>
      </c>
      <c r="Q40" s="431"/>
      <c r="R40" s="431"/>
      <c r="S40" s="772" t="n">
        <v>0</v>
      </c>
      <c r="T40" s="431"/>
      <c r="U40" s="431"/>
      <c r="V40" s="431"/>
    </row>
    <row r="41" customFormat="false" ht="12.75" hidden="false" customHeight="false" outlineLevel="0" collapsed="false">
      <c r="A41" s="767" t="n">
        <v>31</v>
      </c>
      <c r="B41" s="768" t="n">
        <v>37438</v>
      </c>
      <c r="C41" s="769" t="n">
        <v>0</v>
      </c>
      <c r="D41" s="770" t="n">
        <v>0</v>
      </c>
      <c r="E41" s="872" t="n">
        <f aca="false">Breakout!$E$215/12</f>
        <v>0</v>
      </c>
      <c r="F41" s="873" t="n">
        <f aca="false">Breakout!$E$216/12</f>
        <v>0</v>
      </c>
      <c r="G41" s="872" t="n">
        <f aca="false">Breakout!$E$222/12</f>
        <v>41666.6666666667</v>
      </c>
      <c r="H41" s="873" t="n">
        <f aca="false">Breakout!$E$223/12</f>
        <v>0</v>
      </c>
      <c r="I41" s="872" t="n">
        <f aca="false">Breakout!$E$229/12</f>
        <v>0</v>
      </c>
      <c r="J41" s="873" t="n">
        <f aca="false">Breakout!$E$230/12</f>
        <v>0</v>
      </c>
      <c r="K41" s="774" t="n">
        <f aca="false">C41+E41+G41+I41</f>
        <v>41666.6666666667</v>
      </c>
      <c r="L41" s="771" t="n">
        <f aca="false">C41+E41+G41+I41</f>
        <v>41666.6666666667</v>
      </c>
      <c r="M41" s="774" t="n">
        <f aca="false">D41+F41+H41+J41</f>
        <v>0</v>
      </c>
      <c r="N41" s="775" t="n">
        <f aca="false">K41-M41-S41</f>
        <v>41666.6666666667</v>
      </c>
      <c r="O41" s="431"/>
      <c r="P41" s="776" t="n">
        <f aca="false">L41-M41-S41</f>
        <v>41666.6666666667</v>
      </c>
      <c r="Q41" s="431"/>
      <c r="R41" s="431"/>
      <c r="S41" s="772" t="n">
        <v>0</v>
      </c>
      <c r="T41" s="431"/>
      <c r="U41" s="431"/>
      <c r="V41" s="431"/>
    </row>
    <row r="42" customFormat="false" ht="12.75" hidden="false" customHeight="false" outlineLevel="0" collapsed="false">
      <c r="A42" s="767" t="n">
        <v>32</v>
      </c>
      <c r="B42" s="768" t="n">
        <v>37469</v>
      </c>
      <c r="C42" s="769" t="n">
        <v>0</v>
      </c>
      <c r="D42" s="770" t="n">
        <v>0</v>
      </c>
      <c r="E42" s="872" t="n">
        <f aca="false">Breakout!$E$215/12</f>
        <v>0</v>
      </c>
      <c r="F42" s="873" t="n">
        <f aca="false">Breakout!$E$216/12</f>
        <v>0</v>
      </c>
      <c r="G42" s="872" t="n">
        <f aca="false">Breakout!$E$222/12</f>
        <v>41666.6666666667</v>
      </c>
      <c r="H42" s="873" t="n">
        <f aca="false">Breakout!$E$223/12</f>
        <v>0</v>
      </c>
      <c r="I42" s="872" t="n">
        <f aca="false">Breakout!$E$229/12</f>
        <v>0</v>
      </c>
      <c r="J42" s="873" t="n">
        <f aca="false">Breakout!$E$230/12</f>
        <v>0</v>
      </c>
      <c r="K42" s="774" t="n">
        <f aca="false">C42+E42+G42+I42</f>
        <v>41666.6666666667</v>
      </c>
      <c r="L42" s="771" t="n">
        <f aca="false">C42+E42+G42+I42</f>
        <v>41666.6666666667</v>
      </c>
      <c r="M42" s="774" t="n">
        <f aca="false">D42+F42+H42+J42</f>
        <v>0</v>
      </c>
      <c r="N42" s="775" t="n">
        <f aca="false">K42-M42-S42</f>
        <v>41666.6666666667</v>
      </c>
      <c r="O42" s="431"/>
      <c r="P42" s="776" t="n">
        <f aca="false">L42-M42-S42</f>
        <v>41666.6666666667</v>
      </c>
      <c r="Q42" s="431"/>
      <c r="R42" s="431"/>
      <c r="S42" s="772" t="n">
        <v>0</v>
      </c>
      <c r="T42" s="431"/>
      <c r="U42" s="431"/>
      <c r="V42" s="431"/>
    </row>
    <row r="43" customFormat="false" ht="12.75" hidden="false" customHeight="false" outlineLevel="0" collapsed="false">
      <c r="A43" s="767" t="n">
        <v>33</v>
      </c>
      <c r="B43" s="768" t="n">
        <v>37500</v>
      </c>
      <c r="C43" s="769" t="n">
        <v>0</v>
      </c>
      <c r="D43" s="770" t="n">
        <v>0</v>
      </c>
      <c r="E43" s="872" t="n">
        <f aca="false">Breakout!$E$215/12</f>
        <v>0</v>
      </c>
      <c r="F43" s="873" t="n">
        <f aca="false">Breakout!$E$216/12</f>
        <v>0</v>
      </c>
      <c r="G43" s="872" t="n">
        <f aca="false">Breakout!$E$222/12</f>
        <v>41666.6666666667</v>
      </c>
      <c r="H43" s="873" t="n">
        <f aca="false">Breakout!$E$223/12</f>
        <v>0</v>
      </c>
      <c r="I43" s="872" t="n">
        <f aca="false">Breakout!$E$229/12</f>
        <v>0</v>
      </c>
      <c r="J43" s="873" t="n">
        <f aca="false">Breakout!$E$230/12</f>
        <v>0</v>
      </c>
      <c r="K43" s="774" t="n">
        <f aca="false">C43+E43+G43+I43</f>
        <v>41666.6666666667</v>
      </c>
      <c r="L43" s="771" t="n">
        <f aca="false">C43+E43+G43+I43</f>
        <v>41666.6666666667</v>
      </c>
      <c r="M43" s="774" t="n">
        <f aca="false">D43+F43+H43+J43</f>
        <v>0</v>
      </c>
      <c r="N43" s="775" t="n">
        <f aca="false">K43-M43-S43</f>
        <v>41666.6666666667</v>
      </c>
      <c r="O43" s="431"/>
      <c r="P43" s="776" t="n">
        <f aca="false">L43-M43-S43</f>
        <v>41666.6666666667</v>
      </c>
      <c r="Q43" s="431"/>
      <c r="R43" s="431"/>
      <c r="S43" s="772" t="n">
        <v>0</v>
      </c>
      <c r="T43" s="431"/>
      <c r="U43" s="431"/>
      <c r="V43" s="431"/>
    </row>
    <row r="44" customFormat="false" ht="12.75" hidden="false" customHeight="false" outlineLevel="0" collapsed="false">
      <c r="A44" s="767" t="n">
        <v>34</v>
      </c>
      <c r="B44" s="768" t="n">
        <v>37530</v>
      </c>
      <c r="C44" s="769" t="n">
        <v>0</v>
      </c>
      <c r="D44" s="770" t="n">
        <v>0</v>
      </c>
      <c r="E44" s="872" t="n">
        <f aca="false">Breakout!$E$215/12</f>
        <v>0</v>
      </c>
      <c r="F44" s="873" t="n">
        <f aca="false">Breakout!$E$216/12</f>
        <v>0</v>
      </c>
      <c r="G44" s="872" t="n">
        <f aca="false">Breakout!$E$222/12</f>
        <v>41666.6666666667</v>
      </c>
      <c r="H44" s="873" t="n">
        <f aca="false">Breakout!$E$223/12</f>
        <v>0</v>
      </c>
      <c r="I44" s="872" t="n">
        <f aca="false">Breakout!$E$229/12</f>
        <v>0</v>
      </c>
      <c r="J44" s="873" t="n">
        <f aca="false">Breakout!$E$230/12</f>
        <v>0</v>
      </c>
      <c r="K44" s="774" t="n">
        <f aca="false">C44+E44+G44+I44</f>
        <v>41666.6666666667</v>
      </c>
      <c r="L44" s="771" t="n">
        <f aca="false">C44+E44+G44+I44</f>
        <v>41666.6666666667</v>
      </c>
      <c r="M44" s="774" t="n">
        <f aca="false">D44+F44+H44+J44</f>
        <v>0</v>
      </c>
      <c r="N44" s="775" t="n">
        <f aca="false">K44-M44-S44</f>
        <v>41666.6666666667</v>
      </c>
      <c r="O44" s="431"/>
      <c r="P44" s="776" t="n">
        <f aca="false">L44-M44-S44</f>
        <v>41666.6666666667</v>
      </c>
      <c r="Q44" s="431"/>
      <c r="R44" s="431"/>
      <c r="S44" s="772" t="n">
        <v>0</v>
      </c>
      <c r="T44" s="431"/>
      <c r="U44" s="431"/>
      <c r="V44" s="431"/>
    </row>
    <row r="45" customFormat="false" ht="12.75" hidden="false" customHeight="false" outlineLevel="0" collapsed="false">
      <c r="A45" s="767" t="n">
        <v>35</v>
      </c>
      <c r="B45" s="768" t="n">
        <v>37561</v>
      </c>
      <c r="C45" s="769" t="n">
        <v>0</v>
      </c>
      <c r="D45" s="770" t="n">
        <v>0</v>
      </c>
      <c r="E45" s="872" t="n">
        <f aca="false">Breakout!$E$215/12</f>
        <v>0</v>
      </c>
      <c r="F45" s="873" t="n">
        <f aca="false">Breakout!$E$216/12</f>
        <v>0</v>
      </c>
      <c r="G45" s="872" t="n">
        <f aca="false">Breakout!$E$222/12</f>
        <v>41666.6666666667</v>
      </c>
      <c r="H45" s="873" t="n">
        <f aca="false">Breakout!$E$223/12</f>
        <v>0</v>
      </c>
      <c r="I45" s="872" t="n">
        <f aca="false">Breakout!$E$229/12</f>
        <v>0</v>
      </c>
      <c r="J45" s="873" t="n">
        <f aca="false">Breakout!$E$230/12</f>
        <v>0</v>
      </c>
      <c r="K45" s="774" t="n">
        <f aca="false">C45+E45+G45+I45</f>
        <v>41666.6666666667</v>
      </c>
      <c r="L45" s="771" t="n">
        <f aca="false">C45+E45+G45+I45</f>
        <v>41666.6666666667</v>
      </c>
      <c r="M45" s="774" t="n">
        <f aca="false">D45+F45+H45+J45</f>
        <v>0</v>
      </c>
      <c r="N45" s="775" t="n">
        <f aca="false">K45-M45-S45</f>
        <v>41666.6666666667</v>
      </c>
      <c r="O45" s="431"/>
      <c r="P45" s="776" t="n">
        <f aca="false">L45-M45-S45</f>
        <v>41666.6666666667</v>
      </c>
      <c r="Q45" s="431"/>
      <c r="R45" s="431"/>
      <c r="S45" s="772" t="n">
        <v>0</v>
      </c>
      <c r="T45" s="431"/>
      <c r="U45" s="431"/>
      <c r="V45" s="431"/>
    </row>
    <row r="46" customFormat="false" ht="12.75" hidden="false" customHeight="false" outlineLevel="0" collapsed="false">
      <c r="A46" s="881" t="n">
        <v>36</v>
      </c>
      <c r="B46" s="894" t="n">
        <v>37591</v>
      </c>
      <c r="C46" s="769" t="n">
        <v>0</v>
      </c>
      <c r="D46" s="770" t="n">
        <v>0</v>
      </c>
      <c r="E46" s="886" t="n">
        <f aca="false">Breakout!$E$215/12</f>
        <v>0</v>
      </c>
      <c r="F46" s="883" t="n">
        <f aca="false">Breakout!$E$216/12</f>
        <v>0</v>
      </c>
      <c r="G46" s="886" t="n">
        <f aca="false">Breakout!$E$222/12</f>
        <v>41666.6666666667</v>
      </c>
      <c r="H46" s="883" t="n">
        <f aca="false">Breakout!$E$223/12</f>
        <v>0</v>
      </c>
      <c r="I46" s="886" t="n">
        <f aca="false">Breakout!$E$229/12</f>
        <v>0</v>
      </c>
      <c r="J46" s="883" t="n">
        <f aca="false">Breakout!$E$230/12</f>
        <v>0</v>
      </c>
      <c r="K46" s="774" t="n">
        <f aca="false">C46+E46+G46+I46</f>
        <v>41666.6666666667</v>
      </c>
      <c r="L46" s="771" t="n">
        <f aca="false">C46+E46+G46+I46</f>
        <v>41666.6666666667</v>
      </c>
      <c r="M46" s="774" t="n">
        <f aca="false">D46+F46+H46+J46</f>
        <v>0</v>
      </c>
      <c r="N46" s="775" t="n">
        <f aca="false">K46-M46-S46</f>
        <v>41666.6666666667</v>
      </c>
      <c r="O46" s="885" t="n">
        <f aca="false">SUM(N35:N46)</f>
        <v>500000</v>
      </c>
      <c r="P46" s="776" t="n">
        <f aca="false">L46-M46-S46</f>
        <v>41666.6666666667</v>
      </c>
      <c r="Q46" s="885" t="n">
        <f aca="false">SUM(P35:P46)</f>
        <v>500000</v>
      </c>
      <c r="R46" s="885"/>
      <c r="S46" s="772" t="n">
        <v>0</v>
      </c>
      <c r="T46" s="885"/>
      <c r="U46" s="885"/>
      <c r="V46" s="885"/>
      <c r="W46" s="885"/>
      <c r="X46" s="885"/>
      <c r="Y46" s="885"/>
      <c r="Z46" s="885"/>
      <c r="AA46" s="885"/>
      <c r="AB46" s="885"/>
      <c r="AC46" s="885"/>
      <c r="AD46" s="885"/>
      <c r="AE46" s="885"/>
      <c r="AF46" s="885"/>
      <c r="AG46" s="885"/>
      <c r="AH46" s="885"/>
      <c r="AI46" s="885"/>
      <c r="AJ46" s="885"/>
      <c r="AK46" s="885"/>
      <c r="AL46" s="885"/>
      <c r="AM46" s="885"/>
      <c r="AN46" s="885"/>
      <c r="AO46" s="885"/>
      <c r="AP46" s="885"/>
      <c r="AQ46" s="885"/>
      <c r="AR46" s="885"/>
      <c r="AS46" s="885"/>
      <c r="AT46" s="885"/>
      <c r="AU46" s="885"/>
      <c r="AV46" s="885"/>
      <c r="AW46" s="885"/>
      <c r="AX46" s="885"/>
      <c r="AY46" s="885"/>
      <c r="AZ46" s="885"/>
      <c r="BA46" s="885"/>
      <c r="BB46" s="885"/>
      <c r="BC46" s="885"/>
      <c r="BD46" s="885"/>
      <c r="BE46" s="885"/>
      <c r="BF46" s="885"/>
      <c r="BG46" s="885"/>
      <c r="BH46" s="885"/>
      <c r="BI46" s="885"/>
      <c r="BJ46" s="885"/>
      <c r="BK46" s="885"/>
      <c r="BL46" s="885"/>
      <c r="BM46" s="885"/>
      <c r="BN46" s="885"/>
      <c r="BO46" s="885"/>
      <c r="BP46" s="885"/>
    </row>
    <row r="47" customFormat="false" ht="12.75" hidden="false" customHeight="false" outlineLevel="0" collapsed="false">
      <c r="A47" s="866" t="n">
        <v>37</v>
      </c>
      <c r="B47" s="897" t="n">
        <v>37622</v>
      </c>
      <c r="C47" s="769" t="n">
        <v>0</v>
      </c>
      <c r="D47" s="770" t="n">
        <v>0</v>
      </c>
      <c r="E47" s="868" t="n">
        <f aca="false">Breakout!$F$215/12</f>
        <v>0</v>
      </c>
      <c r="F47" s="870" t="n">
        <f aca="false">Breakout!$F$216/12</f>
        <v>0</v>
      </c>
      <c r="G47" s="868" t="n">
        <f aca="false">Breakout!$F$222/12</f>
        <v>54166.6666666667</v>
      </c>
      <c r="H47" s="870" t="n">
        <f aca="false">Breakout!$F$223/12</f>
        <v>0</v>
      </c>
      <c r="I47" s="868" t="n">
        <f aca="false">Breakout!$F$229/12</f>
        <v>0</v>
      </c>
      <c r="J47" s="870" t="n">
        <f aca="false">Breakout!$F$230/12</f>
        <v>0</v>
      </c>
      <c r="K47" s="774" t="n">
        <f aca="false">C47+E47+G47+I47</f>
        <v>54166.6666666667</v>
      </c>
      <c r="L47" s="771" t="n">
        <f aca="false">C47+E47+G47+I47</f>
        <v>54166.6666666667</v>
      </c>
      <c r="M47" s="774" t="n">
        <f aca="false">D47+F47+H47+J47</f>
        <v>0</v>
      </c>
      <c r="N47" s="775" t="n">
        <f aca="false">K47-M47-S47</f>
        <v>54166.6666666667</v>
      </c>
      <c r="O47" s="869"/>
      <c r="P47" s="776" t="n">
        <f aca="false">L47-M47-S47</f>
        <v>54166.6666666667</v>
      </c>
      <c r="Q47" s="869"/>
      <c r="R47" s="869"/>
      <c r="S47" s="772" t="n">
        <v>0</v>
      </c>
      <c r="T47" s="869"/>
      <c r="U47" s="869"/>
      <c r="V47" s="869"/>
      <c r="W47" s="869"/>
      <c r="X47" s="869"/>
      <c r="Y47" s="869"/>
      <c r="Z47" s="869"/>
      <c r="AA47" s="869"/>
      <c r="AB47" s="869"/>
      <c r="AC47" s="869"/>
      <c r="AD47" s="869"/>
      <c r="AE47" s="869"/>
      <c r="AF47" s="869"/>
      <c r="AG47" s="869"/>
      <c r="AH47" s="869"/>
      <c r="AI47" s="869"/>
      <c r="AJ47" s="869"/>
      <c r="AK47" s="869"/>
      <c r="AL47" s="869"/>
      <c r="AM47" s="869"/>
      <c r="AN47" s="869"/>
      <c r="AO47" s="869"/>
      <c r="AP47" s="869"/>
      <c r="AQ47" s="869"/>
      <c r="AR47" s="869"/>
      <c r="AS47" s="869"/>
      <c r="AT47" s="869"/>
      <c r="AU47" s="869"/>
      <c r="AV47" s="869"/>
      <c r="AW47" s="869"/>
      <c r="AX47" s="869"/>
      <c r="AY47" s="869"/>
      <c r="AZ47" s="869"/>
      <c r="BA47" s="869"/>
      <c r="BB47" s="869"/>
      <c r="BC47" s="869"/>
      <c r="BD47" s="869"/>
      <c r="BE47" s="869"/>
      <c r="BF47" s="869"/>
      <c r="BG47" s="869"/>
      <c r="BH47" s="869"/>
      <c r="BI47" s="869"/>
      <c r="BJ47" s="869"/>
      <c r="BK47" s="869"/>
      <c r="BL47" s="869"/>
      <c r="BM47" s="869"/>
      <c r="BN47" s="869"/>
      <c r="BO47" s="869"/>
      <c r="BP47" s="869"/>
    </row>
    <row r="48" customFormat="false" ht="12.75" hidden="false" customHeight="false" outlineLevel="0" collapsed="false">
      <c r="A48" s="767" t="n">
        <v>38</v>
      </c>
      <c r="B48" s="768" t="n">
        <v>37653</v>
      </c>
      <c r="C48" s="769" t="n">
        <v>0</v>
      </c>
      <c r="D48" s="770" t="n">
        <v>0</v>
      </c>
      <c r="E48" s="872" t="n">
        <f aca="false">Breakout!$F$215/12</f>
        <v>0</v>
      </c>
      <c r="F48" s="873" t="n">
        <f aca="false">Breakout!$F$216/12</f>
        <v>0</v>
      </c>
      <c r="G48" s="872" t="n">
        <f aca="false">Breakout!$F$222/12</f>
        <v>54166.6666666667</v>
      </c>
      <c r="H48" s="873" t="n">
        <f aca="false">Breakout!$F$223/12</f>
        <v>0</v>
      </c>
      <c r="I48" s="872" t="n">
        <f aca="false">Breakout!$F$229/12</f>
        <v>0</v>
      </c>
      <c r="J48" s="873" t="n">
        <f aca="false">Breakout!$F$230/12</f>
        <v>0</v>
      </c>
      <c r="K48" s="774" t="n">
        <f aca="false">C48+E48+G48+I48</f>
        <v>54166.6666666667</v>
      </c>
      <c r="L48" s="771" t="n">
        <f aca="false">C48+E48+G48+I48</f>
        <v>54166.6666666667</v>
      </c>
      <c r="M48" s="774" t="n">
        <f aca="false">D48+F48+H48+J48</f>
        <v>0</v>
      </c>
      <c r="N48" s="775" t="n">
        <f aca="false">K48-M48-S48</f>
        <v>54166.6666666667</v>
      </c>
      <c r="O48" s="431"/>
      <c r="P48" s="776" t="n">
        <f aca="false">L48-M48-S48</f>
        <v>54166.6666666667</v>
      </c>
      <c r="Q48" s="431"/>
      <c r="R48" s="431"/>
      <c r="S48" s="772" t="n">
        <v>0</v>
      </c>
      <c r="T48" s="431"/>
      <c r="U48" s="431"/>
      <c r="V48" s="431"/>
    </row>
    <row r="49" customFormat="false" ht="12.75" hidden="false" customHeight="false" outlineLevel="0" collapsed="false">
      <c r="A49" s="767" t="n">
        <v>39</v>
      </c>
      <c r="B49" s="768" t="n">
        <v>37681</v>
      </c>
      <c r="C49" s="769" t="n">
        <v>0</v>
      </c>
      <c r="D49" s="770" t="n">
        <v>0</v>
      </c>
      <c r="E49" s="872" t="n">
        <f aca="false">Breakout!$F$215/12</f>
        <v>0</v>
      </c>
      <c r="F49" s="873" t="n">
        <f aca="false">Breakout!$F$216/12</f>
        <v>0</v>
      </c>
      <c r="G49" s="872" t="n">
        <f aca="false">Breakout!$F$222/12</f>
        <v>54166.6666666667</v>
      </c>
      <c r="H49" s="873" t="n">
        <f aca="false">Breakout!$F$223/12</f>
        <v>0</v>
      </c>
      <c r="I49" s="872" t="n">
        <f aca="false">Breakout!$F$229/12</f>
        <v>0</v>
      </c>
      <c r="J49" s="873" t="n">
        <f aca="false">Breakout!$F$230/12</f>
        <v>0</v>
      </c>
      <c r="K49" s="774" t="n">
        <f aca="false">C49+E49+G49+I49</f>
        <v>54166.6666666667</v>
      </c>
      <c r="L49" s="771" t="n">
        <f aca="false">C49+E49+G49+I49</f>
        <v>54166.6666666667</v>
      </c>
      <c r="M49" s="774" t="n">
        <f aca="false">D49+F49+H49+J49</f>
        <v>0</v>
      </c>
      <c r="N49" s="775" t="n">
        <f aca="false">K49-M49-S49</f>
        <v>54166.6666666667</v>
      </c>
      <c r="O49" s="431"/>
      <c r="P49" s="776" t="n">
        <f aca="false">L49-M49-S49</f>
        <v>54166.6666666667</v>
      </c>
      <c r="Q49" s="431"/>
      <c r="R49" s="431"/>
      <c r="S49" s="772" t="n">
        <v>0</v>
      </c>
      <c r="T49" s="431"/>
      <c r="U49" s="431"/>
      <c r="V49" s="431"/>
    </row>
    <row r="50" customFormat="false" ht="12.75" hidden="false" customHeight="false" outlineLevel="0" collapsed="false">
      <c r="A50" s="767" t="n">
        <v>40</v>
      </c>
      <c r="B50" s="768" t="n">
        <v>37712</v>
      </c>
      <c r="C50" s="769" t="n">
        <v>0</v>
      </c>
      <c r="D50" s="770" t="n">
        <v>0</v>
      </c>
      <c r="E50" s="872" t="n">
        <f aca="false">Breakout!$F$215/12</f>
        <v>0</v>
      </c>
      <c r="F50" s="873" t="n">
        <f aca="false">Breakout!$F$216/12</f>
        <v>0</v>
      </c>
      <c r="G50" s="872" t="n">
        <f aca="false">Breakout!$F$222/12</f>
        <v>54166.6666666667</v>
      </c>
      <c r="H50" s="873" t="n">
        <f aca="false">Breakout!$F$223/12</f>
        <v>0</v>
      </c>
      <c r="I50" s="872" t="n">
        <f aca="false">Breakout!$F$229/12</f>
        <v>0</v>
      </c>
      <c r="J50" s="873" t="n">
        <f aca="false">Breakout!$F$230/12</f>
        <v>0</v>
      </c>
      <c r="K50" s="774" t="n">
        <f aca="false">C50+E50+G50+I50</f>
        <v>54166.6666666667</v>
      </c>
      <c r="L50" s="771" t="n">
        <f aca="false">C50+E50+G50+I50</f>
        <v>54166.6666666667</v>
      </c>
      <c r="M50" s="774" t="n">
        <f aca="false">D50+F50+H50+J50</f>
        <v>0</v>
      </c>
      <c r="N50" s="775" t="n">
        <f aca="false">K50-M50-S50</f>
        <v>54166.6666666667</v>
      </c>
      <c r="O50" s="431"/>
      <c r="P50" s="776" t="n">
        <f aca="false">L50-M50-S50</f>
        <v>54166.6666666667</v>
      </c>
      <c r="Q50" s="431"/>
      <c r="R50" s="431"/>
      <c r="S50" s="772" t="n">
        <v>0</v>
      </c>
      <c r="T50" s="431"/>
      <c r="U50" s="431"/>
      <c r="V50" s="431"/>
    </row>
    <row r="51" customFormat="false" ht="12.75" hidden="false" customHeight="false" outlineLevel="0" collapsed="false">
      <c r="A51" s="767" t="n">
        <v>41</v>
      </c>
      <c r="B51" s="768" t="n">
        <v>37742</v>
      </c>
      <c r="C51" s="769" t="n">
        <v>0</v>
      </c>
      <c r="D51" s="770" t="n">
        <v>0</v>
      </c>
      <c r="E51" s="872" t="n">
        <f aca="false">Breakout!$F$215/12</f>
        <v>0</v>
      </c>
      <c r="F51" s="873" t="n">
        <f aca="false">Breakout!$F$216/12</f>
        <v>0</v>
      </c>
      <c r="G51" s="872" t="n">
        <f aca="false">Breakout!$F$222/12</f>
        <v>54166.6666666667</v>
      </c>
      <c r="H51" s="873" t="n">
        <f aca="false">Breakout!$F$223/12</f>
        <v>0</v>
      </c>
      <c r="I51" s="872" t="n">
        <f aca="false">Breakout!$F$229/12</f>
        <v>0</v>
      </c>
      <c r="J51" s="873" t="n">
        <f aca="false">Breakout!$F$230/12</f>
        <v>0</v>
      </c>
      <c r="K51" s="774" t="n">
        <f aca="false">C51+E51+G51+I51</f>
        <v>54166.6666666667</v>
      </c>
      <c r="L51" s="771" t="n">
        <f aca="false">C51+E51+G51+I51</f>
        <v>54166.6666666667</v>
      </c>
      <c r="M51" s="774" t="n">
        <f aca="false">D51+F51+H51+J51</f>
        <v>0</v>
      </c>
      <c r="N51" s="775" t="n">
        <f aca="false">K51-M51-S51</f>
        <v>54166.6666666667</v>
      </c>
      <c r="O51" s="431"/>
      <c r="P51" s="776" t="n">
        <f aca="false">L51-M51-S51</f>
        <v>54166.6666666667</v>
      </c>
      <c r="Q51" s="431"/>
      <c r="R51" s="431"/>
      <c r="S51" s="772" t="n">
        <v>0</v>
      </c>
      <c r="T51" s="431"/>
      <c r="U51" s="431"/>
      <c r="V51" s="431"/>
    </row>
    <row r="52" customFormat="false" ht="12.75" hidden="false" customHeight="false" outlineLevel="0" collapsed="false">
      <c r="A52" s="767" t="n">
        <v>42</v>
      </c>
      <c r="B52" s="768" t="n">
        <v>37773</v>
      </c>
      <c r="C52" s="769" t="n">
        <v>0</v>
      </c>
      <c r="D52" s="770" t="n">
        <v>0</v>
      </c>
      <c r="E52" s="872" t="n">
        <f aca="false">Breakout!$F$215/12</f>
        <v>0</v>
      </c>
      <c r="F52" s="873" t="n">
        <f aca="false">Breakout!$F$216/12</f>
        <v>0</v>
      </c>
      <c r="G52" s="872" t="n">
        <f aca="false">Breakout!$F$222/12</f>
        <v>54166.6666666667</v>
      </c>
      <c r="H52" s="873" t="n">
        <f aca="false">Breakout!$F$223/12</f>
        <v>0</v>
      </c>
      <c r="I52" s="872" t="n">
        <f aca="false">Breakout!$F$229/12</f>
        <v>0</v>
      </c>
      <c r="J52" s="873" t="n">
        <f aca="false">Breakout!$F$230/12</f>
        <v>0</v>
      </c>
      <c r="K52" s="774" t="n">
        <f aca="false">C52+E52+G52+I52</f>
        <v>54166.6666666667</v>
      </c>
      <c r="L52" s="771" t="n">
        <f aca="false">C52+E52+G52+I52</f>
        <v>54166.6666666667</v>
      </c>
      <c r="M52" s="774" t="n">
        <f aca="false">D52+F52+H52+J52</f>
        <v>0</v>
      </c>
      <c r="N52" s="775" t="n">
        <f aca="false">K52-M52-S52</f>
        <v>54166.6666666667</v>
      </c>
      <c r="O52" s="431"/>
      <c r="P52" s="776" t="n">
        <f aca="false">L52-M52-S52</f>
        <v>54166.6666666667</v>
      </c>
      <c r="Q52" s="431"/>
      <c r="R52" s="431"/>
      <c r="S52" s="772" t="n">
        <v>0</v>
      </c>
      <c r="T52" s="431"/>
      <c r="U52" s="431"/>
      <c r="V52" s="431"/>
    </row>
    <row r="53" customFormat="false" ht="12.75" hidden="false" customHeight="false" outlineLevel="0" collapsed="false">
      <c r="A53" s="767" t="n">
        <v>43</v>
      </c>
      <c r="B53" s="768" t="n">
        <v>37803</v>
      </c>
      <c r="C53" s="769" t="n">
        <v>0</v>
      </c>
      <c r="D53" s="770" t="n">
        <v>0</v>
      </c>
      <c r="E53" s="872" t="n">
        <f aca="false">Breakout!$F$215/12</f>
        <v>0</v>
      </c>
      <c r="F53" s="873" t="n">
        <f aca="false">Breakout!$F$216/12</f>
        <v>0</v>
      </c>
      <c r="G53" s="872" t="n">
        <f aca="false">Breakout!$F$222/12</f>
        <v>54166.6666666667</v>
      </c>
      <c r="H53" s="873" t="n">
        <f aca="false">Breakout!$F$223/12</f>
        <v>0</v>
      </c>
      <c r="I53" s="872" t="n">
        <f aca="false">Breakout!$F$229/12</f>
        <v>0</v>
      </c>
      <c r="J53" s="873" t="n">
        <f aca="false">Breakout!$F$230/12</f>
        <v>0</v>
      </c>
      <c r="K53" s="774" t="n">
        <f aca="false">C53+E53+G53+I53</f>
        <v>54166.6666666667</v>
      </c>
      <c r="L53" s="771" t="n">
        <f aca="false">C53+E53+G53+I53</f>
        <v>54166.6666666667</v>
      </c>
      <c r="M53" s="774" t="n">
        <f aca="false">D53+F53+H53+J53</f>
        <v>0</v>
      </c>
      <c r="N53" s="775" t="n">
        <f aca="false">K53-M53-S53</f>
        <v>54166.6666666667</v>
      </c>
      <c r="O53" s="431"/>
      <c r="P53" s="776" t="n">
        <f aca="false">L53-M53-S53</f>
        <v>54166.6666666667</v>
      </c>
      <c r="Q53" s="431"/>
      <c r="R53" s="431"/>
      <c r="S53" s="772" t="n">
        <v>0</v>
      </c>
      <c r="T53" s="431"/>
      <c r="U53" s="431"/>
      <c r="V53" s="431"/>
    </row>
    <row r="54" customFormat="false" ht="12.75" hidden="false" customHeight="false" outlineLevel="0" collapsed="false">
      <c r="A54" s="767" t="n">
        <v>44</v>
      </c>
      <c r="B54" s="768" t="n">
        <v>37834</v>
      </c>
      <c r="C54" s="769" t="n">
        <v>0</v>
      </c>
      <c r="D54" s="770" t="n">
        <v>0</v>
      </c>
      <c r="E54" s="872" t="n">
        <f aca="false">Breakout!$F$215/12</f>
        <v>0</v>
      </c>
      <c r="F54" s="873" t="n">
        <f aca="false">Breakout!$F$216/12</f>
        <v>0</v>
      </c>
      <c r="G54" s="872" t="n">
        <f aca="false">Breakout!$F$222/12</f>
        <v>54166.6666666667</v>
      </c>
      <c r="H54" s="873" t="n">
        <f aca="false">Breakout!$F$223/12</f>
        <v>0</v>
      </c>
      <c r="I54" s="872" t="n">
        <f aca="false">Breakout!$F$229/12</f>
        <v>0</v>
      </c>
      <c r="J54" s="873" t="n">
        <f aca="false">Breakout!$F$230/12</f>
        <v>0</v>
      </c>
      <c r="K54" s="774" t="n">
        <f aca="false">C54+E54+G54+I54</f>
        <v>54166.6666666667</v>
      </c>
      <c r="L54" s="771" t="n">
        <f aca="false">C54+E54+G54+I54</f>
        <v>54166.6666666667</v>
      </c>
      <c r="M54" s="774" t="n">
        <f aca="false">D54+F54+H54+J54</f>
        <v>0</v>
      </c>
      <c r="N54" s="775" t="n">
        <f aca="false">K54-M54-S54</f>
        <v>54166.6666666667</v>
      </c>
      <c r="O54" s="431"/>
      <c r="P54" s="776" t="n">
        <f aca="false">L54-M54-S54</f>
        <v>54166.6666666667</v>
      </c>
      <c r="Q54" s="431"/>
      <c r="R54" s="431"/>
      <c r="S54" s="772" t="n">
        <v>0</v>
      </c>
      <c r="T54" s="431"/>
      <c r="U54" s="431"/>
      <c r="V54" s="431"/>
    </row>
    <row r="55" customFormat="false" ht="12.75" hidden="false" customHeight="false" outlineLevel="0" collapsed="false">
      <c r="A55" s="767" t="n">
        <v>45</v>
      </c>
      <c r="B55" s="768" t="n">
        <v>37865</v>
      </c>
      <c r="C55" s="769" t="n">
        <v>0</v>
      </c>
      <c r="D55" s="770" t="n">
        <v>0</v>
      </c>
      <c r="E55" s="872" t="n">
        <f aca="false">Breakout!$F$215/12</f>
        <v>0</v>
      </c>
      <c r="F55" s="873" t="n">
        <f aca="false">Breakout!$F$216/12</f>
        <v>0</v>
      </c>
      <c r="G55" s="872" t="n">
        <f aca="false">Breakout!$F$222/12</f>
        <v>54166.6666666667</v>
      </c>
      <c r="H55" s="873" t="n">
        <f aca="false">Breakout!$F$223/12</f>
        <v>0</v>
      </c>
      <c r="I55" s="872" t="n">
        <f aca="false">Breakout!$F$229/12</f>
        <v>0</v>
      </c>
      <c r="J55" s="873" t="n">
        <f aca="false">Breakout!$F$230/12</f>
        <v>0</v>
      </c>
      <c r="K55" s="774" t="n">
        <f aca="false">C55+E55+G55+I55</f>
        <v>54166.6666666667</v>
      </c>
      <c r="L55" s="771" t="n">
        <f aca="false">C55+E55+G55+I55</f>
        <v>54166.6666666667</v>
      </c>
      <c r="M55" s="774" t="n">
        <f aca="false">D55+F55+H55+J55</f>
        <v>0</v>
      </c>
      <c r="N55" s="775" t="n">
        <f aca="false">K55-M55-S55</f>
        <v>54166.6666666667</v>
      </c>
      <c r="O55" s="431"/>
      <c r="P55" s="776" t="n">
        <f aca="false">L55-M55-S55</f>
        <v>54166.6666666667</v>
      </c>
      <c r="Q55" s="431"/>
      <c r="R55" s="431"/>
      <c r="S55" s="772" t="n">
        <v>0</v>
      </c>
      <c r="T55" s="431"/>
      <c r="U55" s="431"/>
      <c r="V55" s="431"/>
    </row>
    <row r="56" customFormat="false" ht="12.75" hidden="false" customHeight="false" outlineLevel="0" collapsed="false">
      <c r="A56" s="767" t="n">
        <v>46</v>
      </c>
      <c r="B56" s="768" t="n">
        <v>37895</v>
      </c>
      <c r="C56" s="769" t="n">
        <v>0</v>
      </c>
      <c r="D56" s="770" t="n">
        <v>0</v>
      </c>
      <c r="E56" s="872" t="n">
        <f aca="false">Breakout!$F$215/12</f>
        <v>0</v>
      </c>
      <c r="F56" s="873" t="n">
        <f aca="false">Breakout!$F$216/12</f>
        <v>0</v>
      </c>
      <c r="G56" s="872" t="n">
        <f aca="false">Breakout!$F$222/12</f>
        <v>54166.6666666667</v>
      </c>
      <c r="H56" s="873" t="n">
        <f aca="false">Breakout!$F$223/12</f>
        <v>0</v>
      </c>
      <c r="I56" s="872" t="n">
        <f aca="false">Breakout!$F$229/12</f>
        <v>0</v>
      </c>
      <c r="J56" s="873" t="n">
        <f aca="false">Breakout!$F$230/12</f>
        <v>0</v>
      </c>
      <c r="K56" s="774" t="n">
        <f aca="false">C56+E56+G56+I56</f>
        <v>54166.6666666667</v>
      </c>
      <c r="L56" s="771" t="n">
        <f aca="false">C56+E56+G56+I56</f>
        <v>54166.6666666667</v>
      </c>
      <c r="M56" s="774" t="n">
        <f aca="false">D56+F56+H56+J56</f>
        <v>0</v>
      </c>
      <c r="N56" s="775" t="n">
        <f aca="false">K56-M56-S56</f>
        <v>54166.6666666667</v>
      </c>
      <c r="O56" s="431"/>
      <c r="P56" s="776" t="n">
        <f aca="false">L56-M56-S56</f>
        <v>54166.6666666667</v>
      </c>
      <c r="Q56" s="431"/>
      <c r="R56" s="431"/>
      <c r="S56" s="772" t="n">
        <v>0</v>
      </c>
      <c r="T56" s="431"/>
      <c r="U56" s="431"/>
      <c r="V56" s="431"/>
    </row>
    <row r="57" customFormat="false" ht="12.75" hidden="false" customHeight="false" outlineLevel="0" collapsed="false">
      <c r="A57" s="767" t="n">
        <v>47</v>
      </c>
      <c r="B57" s="768" t="n">
        <v>37926</v>
      </c>
      <c r="C57" s="769" t="n">
        <v>0</v>
      </c>
      <c r="D57" s="770" t="n">
        <v>0</v>
      </c>
      <c r="E57" s="872" t="n">
        <f aca="false">Breakout!$F$215/12</f>
        <v>0</v>
      </c>
      <c r="F57" s="873" t="n">
        <f aca="false">Breakout!$F$216/12</f>
        <v>0</v>
      </c>
      <c r="G57" s="872" t="n">
        <f aca="false">Breakout!$F$222/12</f>
        <v>54166.6666666667</v>
      </c>
      <c r="H57" s="873" t="n">
        <f aca="false">Breakout!$F$223/12</f>
        <v>0</v>
      </c>
      <c r="I57" s="872" t="n">
        <f aca="false">Breakout!$F$229/12</f>
        <v>0</v>
      </c>
      <c r="J57" s="873" t="n">
        <f aca="false">Breakout!$F$230/12</f>
        <v>0</v>
      </c>
      <c r="K57" s="774" t="n">
        <f aca="false">C57+E57+G57+I57</f>
        <v>54166.6666666667</v>
      </c>
      <c r="L57" s="771" t="n">
        <f aca="false">C57+E57+G57+I57</f>
        <v>54166.6666666667</v>
      </c>
      <c r="M57" s="774" t="n">
        <f aca="false">D57+F57+H57+J57</f>
        <v>0</v>
      </c>
      <c r="N57" s="775" t="n">
        <f aca="false">K57-M57-S57</f>
        <v>54166.6666666667</v>
      </c>
      <c r="O57" s="431"/>
      <c r="P57" s="776" t="n">
        <f aca="false">L57-M57-S57</f>
        <v>54166.6666666667</v>
      </c>
      <c r="Q57" s="431"/>
      <c r="R57" s="431"/>
      <c r="S57" s="772" t="n">
        <v>0</v>
      </c>
      <c r="T57" s="431"/>
      <c r="U57" s="431"/>
      <c r="V57" s="431"/>
    </row>
    <row r="58" customFormat="false" ht="12.75" hidden="false" customHeight="false" outlineLevel="0" collapsed="false">
      <c r="A58" s="881" t="n">
        <v>48</v>
      </c>
      <c r="B58" s="894" t="n">
        <v>37956</v>
      </c>
      <c r="C58" s="769" t="n">
        <v>0</v>
      </c>
      <c r="D58" s="770" t="n">
        <v>0</v>
      </c>
      <c r="E58" s="886" t="n">
        <f aca="false">Breakout!$F$215/12</f>
        <v>0</v>
      </c>
      <c r="F58" s="883" t="n">
        <f aca="false">Breakout!$F$216/12</f>
        <v>0</v>
      </c>
      <c r="G58" s="886" t="n">
        <f aca="false">Breakout!$F$222/12</f>
        <v>54166.6666666667</v>
      </c>
      <c r="H58" s="883" t="n">
        <f aca="false">Breakout!$F$223/12</f>
        <v>0</v>
      </c>
      <c r="I58" s="886" t="n">
        <f aca="false">Breakout!$F$229/12</f>
        <v>0</v>
      </c>
      <c r="J58" s="883" t="n">
        <f aca="false">Breakout!$F$230/12</f>
        <v>0</v>
      </c>
      <c r="K58" s="774" t="n">
        <f aca="false">C58+E58+G58+I58</f>
        <v>54166.6666666667</v>
      </c>
      <c r="L58" s="771" t="n">
        <f aca="false">C58+E58+G58+I58</f>
        <v>54166.6666666667</v>
      </c>
      <c r="M58" s="774" t="n">
        <f aca="false">D58+F58+H58+J58</f>
        <v>0</v>
      </c>
      <c r="N58" s="775" t="n">
        <f aca="false">K58-M58-S58</f>
        <v>54166.6666666667</v>
      </c>
      <c r="O58" s="885" t="n">
        <f aca="false">SUM(N47:N58)</f>
        <v>650000</v>
      </c>
      <c r="P58" s="776" t="n">
        <f aca="false">L58-M58-S58</f>
        <v>54166.6666666667</v>
      </c>
      <c r="Q58" s="885" t="n">
        <f aca="false">SUM(P47:P58)</f>
        <v>650000</v>
      </c>
      <c r="R58" s="885"/>
      <c r="S58" s="772" t="n">
        <v>0</v>
      </c>
      <c r="T58" s="885"/>
      <c r="U58" s="885"/>
      <c r="V58" s="885"/>
      <c r="W58" s="885"/>
      <c r="X58" s="885"/>
      <c r="Y58" s="885"/>
      <c r="Z58" s="885"/>
      <c r="AA58" s="885"/>
      <c r="AB58" s="885"/>
      <c r="AC58" s="885"/>
      <c r="AD58" s="885"/>
      <c r="AE58" s="885"/>
      <c r="AF58" s="885"/>
      <c r="AG58" s="885"/>
      <c r="AH58" s="885"/>
      <c r="AI58" s="885"/>
      <c r="AJ58" s="885"/>
      <c r="AK58" s="885"/>
      <c r="AL58" s="885"/>
      <c r="AM58" s="885"/>
      <c r="AN58" s="885"/>
      <c r="AO58" s="885"/>
      <c r="AP58" s="885"/>
      <c r="AQ58" s="885"/>
      <c r="AR58" s="885"/>
      <c r="AS58" s="885"/>
      <c r="AT58" s="885"/>
      <c r="AU58" s="885"/>
      <c r="AV58" s="885"/>
      <c r="AW58" s="885"/>
      <c r="AX58" s="885"/>
      <c r="AY58" s="885"/>
      <c r="AZ58" s="885"/>
      <c r="BA58" s="885"/>
      <c r="BB58" s="885"/>
      <c r="BC58" s="885"/>
      <c r="BD58" s="885"/>
      <c r="BE58" s="885"/>
      <c r="BF58" s="885"/>
      <c r="BG58" s="885"/>
      <c r="BH58" s="885"/>
      <c r="BI58" s="885"/>
      <c r="BJ58" s="885"/>
      <c r="BK58" s="885"/>
      <c r="BL58" s="885"/>
      <c r="BM58" s="885"/>
      <c r="BN58" s="885"/>
      <c r="BO58" s="885"/>
      <c r="BP58" s="885"/>
    </row>
    <row r="59" customFormat="false" ht="12.75" hidden="false" customHeight="false" outlineLevel="0" collapsed="false">
      <c r="A59" s="866" t="n">
        <v>49</v>
      </c>
      <c r="B59" s="897" t="n">
        <v>37987</v>
      </c>
      <c r="C59" s="769" t="n">
        <v>0</v>
      </c>
      <c r="D59" s="770" t="n">
        <v>0</v>
      </c>
      <c r="E59" s="868" t="n">
        <f aca="false">Breakout!$G$215/12</f>
        <v>0</v>
      </c>
      <c r="F59" s="870" t="n">
        <f aca="false">Breakout!$G$216/12</f>
        <v>0</v>
      </c>
      <c r="G59" s="868" t="n">
        <f aca="false">Breakout!$G$222/12</f>
        <v>66666.6666666667</v>
      </c>
      <c r="H59" s="870" t="n">
        <f aca="false">Breakout!$G$223/12</f>
        <v>0</v>
      </c>
      <c r="I59" s="868" t="n">
        <f aca="false">Breakout!$G$229/12</f>
        <v>0</v>
      </c>
      <c r="J59" s="870" t="n">
        <f aca="false">Breakout!$G$230/12</f>
        <v>0</v>
      </c>
      <c r="K59" s="774" t="n">
        <f aca="false">C59+E59+G59+I59</f>
        <v>66666.6666666667</v>
      </c>
      <c r="L59" s="771" t="n">
        <f aca="false">C59+E59+G59+I59</f>
        <v>66666.6666666667</v>
      </c>
      <c r="M59" s="774" t="n">
        <f aca="false">D59+F59+H59+J59</f>
        <v>0</v>
      </c>
      <c r="N59" s="775" t="n">
        <f aca="false">K59-M59-S59</f>
        <v>66666.6666666667</v>
      </c>
      <c r="O59" s="869"/>
      <c r="P59" s="776" t="n">
        <f aca="false">L59-M59-S59</f>
        <v>66666.6666666667</v>
      </c>
      <c r="Q59" s="869"/>
      <c r="R59" s="869"/>
      <c r="S59" s="772" t="n">
        <v>0</v>
      </c>
      <c r="T59" s="869"/>
      <c r="U59" s="869"/>
      <c r="V59" s="869"/>
      <c r="W59" s="869"/>
      <c r="X59" s="869"/>
      <c r="Y59" s="869"/>
      <c r="Z59" s="869"/>
      <c r="AA59" s="869"/>
      <c r="AB59" s="869"/>
      <c r="AC59" s="869"/>
      <c r="AD59" s="869"/>
      <c r="AE59" s="869"/>
      <c r="AF59" s="869"/>
      <c r="AG59" s="869"/>
      <c r="AH59" s="869"/>
      <c r="AI59" s="869"/>
      <c r="AJ59" s="869"/>
      <c r="AK59" s="869"/>
      <c r="AL59" s="869"/>
      <c r="AM59" s="869"/>
      <c r="AN59" s="869"/>
      <c r="AO59" s="869"/>
      <c r="AP59" s="869"/>
      <c r="AQ59" s="869"/>
      <c r="AR59" s="869"/>
      <c r="AS59" s="869"/>
      <c r="AT59" s="869"/>
      <c r="AU59" s="869"/>
      <c r="AV59" s="869"/>
      <c r="AW59" s="869"/>
      <c r="AX59" s="869"/>
      <c r="AY59" s="869"/>
      <c r="AZ59" s="869"/>
      <c r="BA59" s="869"/>
      <c r="BB59" s="869"/>
      <c r="BC59" s="869"/>
      <c r="BD59" s="869"/>
      <c r="BE59" s="869"/>
      <c r="BF59" s="869"/>
      <c r="BG59" s="869"/>
      <c r="BH59" s="869"/>
      <c r="BI59" s="869"/>
      <c r="BJ59" s="869"/>
      <c r="BK59" s="869"/>
      <c r="BL59" s="869"/>
      <c r="BM59" s="869"/>
      <c r="BN59" s="869"/>
      <c r="BO59" s="869"/>
      <c r="BP59" s="869"/>
    </row>
    <row r="60" customFormat="false" ht="12.75" hidden="false" customHeight="false" outlineLevel="0" collapsed="false">
      <c r="A60" s="767" t="n">
        <v>50</v>
      </c>
      <c r="B60" s="768" t="n">
        <v>38018</v>
      </c>
      <c r="C60" s="769" t="n">
        <v>0</v>
      </c>
      <c r="D60" s="770" t="n">
        <v>0</v>
      </c>
      <c r="E60" s="872" t="n">
        <f aca="false">Breakout!$G$215/12</f>
        <v>0</v>
      </c>
      <c r="F60" s="873" t="n">
        <f aca="false">Breakout!$G$216/12</f>
        <v>0</v>
      </c>
      <c r="G60" s="872" t="n">
        <f aca="false">Breakout!$G$222/12</f>
        <v>66666.6666666667</v>
      </c>
      <c r="H60" s="873" t="n">
        <f aca="false">Breakout!$G$223/12</f>
        <v>0</v>
      </c>
      <c r="I60" s="872" t="n">
        <f aca="false">Breakout!$G$229/12</f>
        <v>0</v>
      </c>
      <c r="J60" s="873" t="n">
        <f aca="false">Breakout!$G$230/12</f>
        <v>0</v>
      </c>
      <c r="K60" s="774" t="n">
        <f aca="false">C60+E60+G60+I60</f>
        <v>66666.6666666667</v>
      </c>
      <c r="L60" s="771" t="n">
        <f aca="false">C60+E60+G60+I60</f>
        <v>66666.6666666667</v>
      </c>
      <c r="M60" s="774" t="n">
        <f aca="false">D60+F60+H60+J60</f>
        <v>0</v>
      </c>
      <c r="N60" s="775" t="n">
        <f aca="false">K60-M60-S60</f>
        <v>66666.6666666667</v>
      </c>
      <c r="O60" s="431"/>
      <c r="P60" s="776" t="n">
        <f aca="false">L60-M60-S60</f>
        <v>66666.6666666667</v>
      </c>
      <c r="Q60" s="431"/>
      <c r="R60" s="431"/>
      <c r="S60" s="772" t="n">
        <v>0</v>
      </c>
      <c r="T60" s="431"/>
      <c r="U60" s="431"/>
      <c r="V60" s="431"/>
    </row>
    <row r="61" customFormat="false" ht="12.75" hidden="false" customHeight="false" outlineLevel="0" collapsed="false">
      <c r="A61" s="767" t="n">
        <v>51</v>
      </c>
      <c r="B61" s="768" t="n">
        <v>38047</v>
      </c>
      <c r="C61" s="769" t="n">
        <v>0</v>
      </c>
      <c r="D61" s="770" t="n">
        <v>0</v>
      </c>
      <c r="E61" s="872" t="n">
        <f aca="false">Breakout!$G$215/12</f>
        <v>0</v>
      </c>
      <c r="F61" s="873" t="n">
        <f aca="false">Breakout!$G$216/12</f>
        <v>0</v>
      </c>
      <c r="G61" s="872" t="n">
        <f aca="false">Breakout!$G$222/12</f>
        <v>66666.6666666667</v>
      </c>
      <c r="H61" s="873" t="n">
        <f aca="false">Breakout!$G$223/12</f>
        <v>0</v>
      </c>
      <c r="I61" s="872" t="n">
        <f aca="false">Breakout!$G$229/12</f>
        <v>0</v>
      </c>
      <c r="J61" s="873" t="n">
        <f aca="false">Breakout!$G$230/12</f>
        <v>0</v>
      </c>
      <c r="K61" s="774" t="n">
        <f aca="false">C61+E61+G61+I61</f>
        <v>66666.6666666667</v>
      </c>
      <c r="L61" s="771" t="n">
        <f aca="false">C61+E61+G61+I61</f>
        <v>66666.6666666667</v>
      </c>
      <c r="M61" s="774" t="n">
        <f aca="false">D61+F61+H61+J61</f>
        <v>0</v>
      </c>
      <c r="N61" s="775" t="n">
        <f aca="false">K61-M61-S61</f>
        <v>66666.6666666667</v>
      </c>
      <c r="O61" s="431"/>
      <c r="P61" s="776" t="n">
        <f aca="false">L61-M61-S61</f>
        <v>66666.6666666667</v>
      </c>
      <c r="Q61" s="431"/>
      <c r="R61" s="431"/>
      <c r="S61" s="772" t="n">
        <v>0</v>
      </c>
      <c r="T61" s="431"/>
      <c r="U61" s="431"/>
      <c r="V61" s="431"/>
    </row>
    <row r="62" customFormat="false" ht="12.75" hidden="false" customHeight="false" outlineLevel="0" collapsed="false">
      <c r="A62" s="767" t="n">
        <v>52</v>
      </c>
      <c r="B62" s="768" t="n">
        <v>38078</v>
      </c>
      <c r="C62" s="769" t="n">
        <v>0</v>
      </c>
      <c r="D62" s="770" t="n">
        <v>0</v>
      </c>
      <c r="E62" s="872" t="n">
        <f aca="false">Breakout!$G$215/12</f>
        <v>0</v>
      </c>
      <c r="F62" s="873" t="n">
        <f aca="false">Breakout!$G$216/12</f>
        <v>0</v>
      </c>
      <c r="G62" s="872" t="n">
        <f aca="false">Breakout!$G$222/12</f>
        <v>66666.6666666667</v>
      </c>
      <c r="H62" s="873" t="n">
        <f aca="false">Breakout!$G$223/12</f>
        <v>0</v>
      </c>
      <c r="I62" s="872" t="n">
        <f aca="false">Breakout!$G$229/12</f>
        <v>0</v>
      </c>
      <c r="J62" s="873" t="n">
        <f aca="false">Breakout!$G$230/12</f>
        <v>0</v>
      </c>
      <c r="K62" s="774" t="n">
        <f aca="false">C62+E62+G62+I62</f>
        <v>66666.6666666667</v>
      </c>
      <c r="L62" s="771" t="n">
        <f aca="false">C62+E62+G62+I62</f>
        <v>66666.6666666667</v>
      </c>
      <c r="M62" s="774" t="n">
        <f aca="false">D62+F62+H62+J62</f>
        <v>0</v>
      </c>
      <c r="N62" s="775" t="n">
        <f aca="false">K62-M62-S62</f>
        <v>66666.6666666667</v>
      </c>
      <c r="O62" s="431"/>
      <c r="P62" s="776" t="n">
        <f aca="false">L62-M62-S62</f>
        <v>66666.6666666667</v>
      </c>
      <c r="Q62" s="431"/>
      <c r="R62" s="431"/>
      <c r="S62" s="772" t="n">
        <v>0</v>
      </c>
      <c r="T62" s="431"/>
      <c r="U62" s="431"/>
      <c r="V62" s="431"/>
    </row>
    <row r="63" customFormat="false" ht="12.75" hidden="false" customHeight="false" outlineLevel="0" collapsed="false">
      <c r="A63" s="767" t="n">
        <v>53</v>
      </c>
      <c r="B63" s="768" t="n">
        <v>38108</v>
      </c>
      <c r="C63" s="769" t="n">
        <v>0</v>
      </c>
      <c r="D63" s="770" t="n">
        <v>0</v>
      </c>
      <c r="E63" s="872" t="n">
        <f aca="false">Breakout!$G$215/12</f>
        <v>0</v>
      </c>
      <c r="F63" s="873" t="n">
        <f aca="false">Breakout!$G$216/12</f>
        <v>0</v>
      </c>
      <c r="G63" s="872" t="n">
        <f aca="false">Breakout!$G$222/12</f>
        <v>66666.6666666667</v>
      </c>
      <c r="H63" s="873" t="n">
        <f aca="false">Breakout!$G$223/12</f>
        <v>0</v>
      </c>
      <c r="I63" s="872" t="n">
        <f aca="false">Breakout!$G$229/12</f>
        <v>0</v>
      </c>
      <c r="J63" s="873" t="n">
        <f aca="false">Breakout!$G$230/12</f>
        <v>0</v>
      </c>
      <c r="K63" s="774" t="n">
        <f aca="false">C63+E63+G63+I63</f>
        <v>66666.6666666667</v>
      </c>
      <c r="L63" s="771" t="n">
        <f aca="false">C63+E63+G63+I63</f>
        <v>66666.6666666667</v>
      </c>
      <c r="M63" s="774" t="n">
        <f aca="false">D63+F63+H63+J63</f>
        <v>0</v>
      </c>
      <c r="N63" s="775" t="n">
        <f aca="false">K63-M63-S63</f>
        <v>66666.6666666667</v>
      </c>
      <c r="O63" s="431"/>
      <c r="P63" s="776" t="n">
        <f aca="false">L63-M63-S63</f>
        <v>66666.6666666667</v>
      </c>
      <c r="Q63" s="431"/>
      <c r="R63" s="431"/>
      <c r="S63" s="772" t="n">
        <v>0</v>
      </c>
      <c r="T63" s="431"/>
      <c r="U63" s="431"/>
      <c r="V63" s="431"/>
    </row>
    <row r="64" customFormat="false" ht="12.75" hidden="false" customHeight="false" outlineLevel="0" collapsed="false">
      <c r="A64" s="767" t="n">
        <v>54</v>
      </c>
      <c r="B64" s="768" t="n">
        <v>38139</v>
      </c>
      <c r="C64" s="769" t="n">
        <v>0</v>
      </c>
      <c r="D64" s="770" t="n">
        <v>0</v>
      </c>
      <c r="E64" s="872" t="n">
        <f aca="false">Breakout!$G$215/12</f>
        <v>0</v>
      </c>
      <c r="F64" s="873" t="n">
        <f aca="false">Breakout!$G$216/12</f>
        <v>0</v>
      </c>
      <c r="G64" s="872" t="n">
        <f aca="false">Breakout!$G$222/12</f>
        <v>66666.6666666667</v>
      </c>
      <c r="H64" s="873" t="n">
        <f aca="false">Breakout!$G$223/12</f>
        <v>0</v>
      </c>
      <c r="I64" s="872" t="n">
        <f aca="false">Breakout!$G$229/12</f>
        <v>0</v>
      </c>
      <c r="J64" s="873" t="n">
        <f aca="false">Breakout!$G$230/12</f>
        <v>0</v>
      </c>
      <c r="K64" s="774" t="n">
        <f aca="false">C64+E64+G64+I64</f>
        <v>66666.6666666667</v>
      </c>
      <c r="L64" s="771" t="n">
        <f aca="false">C64+E64+G64+I64</f>
        <v>66666.6666666667</v>
      </c>
      <c r="M64" s="774" t="n">
        <f aca="false">D64+F64+H64+J64</f>
        <v>0</v>
      </c>
      <c r="N64" s="775" t="n">
        <f aca="false">K64-M64-S64</f>
        <v>66666.6666666667</v>
      </c>
      <c r="O64" s="431"/>
      <c r="P64" s="776" t="n">
        <f aca="false">L64-M64-S64</f>
        <v>66666.6666666667</v>
      </c>
      <c r="Q64" s="431"/>
      <c r="R64" s="431"/>
      <c r="S64" s="772" t="n">
        <v>0</v>
      </c>
      <c r="T64" s="431"/>
      <c r="U64" s="431"/>
      <c r="V64" s="431"/>
    </row>
    <row r="65" customFormat="false" ht="12.75" hidden="false" customHeight="false" outlineLevel="0" collapsed="false">
      <c r="A65" s="767" t="n">
        <v>55</v>
      </c>
      <c r="B65" s="768" t="n">
        <v>38169</v>
      </c>
      <c r="C65" s="769" t="n">
        <v>0</v>
      </c>
      <c r="D65" s="770" t="n">
        <v>0</v>
      </c>
      <c r="E65" s="872" t="n">
        <f aca="false">Breakout!$G$215/12</f>
        <v>0</v>
      </c>
      <c r="F65" s="873" t="n">
        <f aca="false">Breakout!$G$216/12</f>
        <v>0</v>
      </c>
      <c r="G65" s="872" t="n">
        <f aca="false">Breakout!$G$222/12</f>
        <v>66666.6666666667</v>
      </c>
      <c r="H65" s="873" t="n">
        <f aca="false">Breakout!$G$223/12</f>
        <v>0</v>
      </c>
      <c r="I65" s="872" t="n">
        <f aca="false">Breakout!$G$229/12</f>
        <v>0</v>
      </c>
      <c r="J65" s="873" t="n">
        <f aca="false">Breakout!$G$230/12</f>
        <v>0</v>
      </c>
      <c r="K65" s="774" t="n">
        <f aca="false">C65+E65+G65+I65</f>
        <v>66666.6666666667</v>
      </c>
      <c r="L65" s="771" t="n">
        <f aca="false">C65+E65+G65+I65</f>
        <v>66666.6666666667</v>
      </c>
      <c r="M65" s="774" t="n">
        <f aca="false">D65+F65+H65+J65</f>
        <v>0</v>
      </c>
      <c r="N65" s="775" t="n">
        <f aca="false">K65-M65-S65</f>
        <v>66666.6666666667</v>
      </c>
      <c r="O65" s="431"/>
      <c r="P65" s="776" t="n">
        <f aca="false">L65-M65-S65</f>
        <v>66666.6666666667</v>
      </c>
      <c r="Q65" s="431"/>
      <c r="R65" s="431"/>
      <c r="S65" s="772" t="n">
        <v>0</v>
      </c>
      <c r="T65" s="431"/>
      <c r="U65" s="431"/>
      <c r="V65" s="431"/>
    </row>
    <row r="66" customFormat="false" ht="12.75" hidden="false" customHeight="false" outlineLevel="0" collapsed="false">
      <c r="A66" s="767" t="n">
        <v>56</v>
      </c>
      <c r="B66" s="768" t="n">
        <v>38200</v>
      </c>
      <c r="C66" s="769" t="n">
        <v>0</v>
      </c>
      <c r="D66" s="770" t="n">
        <v>0</v>
      </c>
      <c r="E66" s="872" t="n">
        <f aca="false">Breakout!$G$215/12</f>
        <v>0</v>
      </c>
      <c r="F66" s="873" t="n">
        <f aca="false">Breakout!$G$216/12</f>
        <v>0</v>
      </c>
      <c r="G66" s="872" t="n">
        <f aca="false">Breakout!$G$222/12</f>
        <v>66666.6666666667</v>
      </c>
      <c r="H66" s="873" t="n">
        <f aca="false">Breakout!$G$223/12</f>
        <v>0</v>
      </c>
      <c r="I66" s="872" t="n">
        <f aca="false">Breakout!$G$229/12</f>
        <v>0</v>
      </c>
      <c r="J66" s="873" t="n">
        <f aca="false">Breakout!$G$230/12</f>
        <v>0</v>
      </c>
      <c r="K66" s="774" t="n">
        <f aca="false">C66+E66+G66+I66</f>
        <v>66666.6666666667</v>
      </c>
      <c r="L66" s="771" t="n">
        <f aca="false">C66+E66+G66+I66</f>
        <v>66666.6666666667</v>
      </c>
      <c r="M66" s="774" t="n">
        <f aca="false">D66+F66+H66+J66</f>
        <v>0</v>
      </c>
      <c r="N66" s="775" t="n">
        <f aca="false">K66-M66-S66</f>
        <v>66666.6666666667</v>
      </c>
      <c r="O66" s="431"/>
      <c r="P66" s="776" t="n">
        <f aca="false">L66-M66-S66</f>
        <v>66666.6666666667</v>
      </c>
      <c r="Q66" s="431"/>
      <c r="R66" s="431"/>
      <c r="S66" s="772" t="n">
        <v>0</v>
      </c>
      <c r="T66" s="431"/>
      <c r="U66" s="431"/>
      <c r="V66" s="431"/>
    </row>
    <row r="67" customFormat="false" ht="12.75" hidden="false" customHeight="false" outlineLevel="0" collapsed="false">
      <c r="A67" s="767" t="n">
        <v>57</v>
      </c>
      <c r="B67" s="768" t="n">
        <v>38231</v>
      </c>
      <c r="C67" s="769" t="n">
        <v>0</v>
      </c>
      <c r="D67" s="770" t="n">
        <v>0</v>
      </c>
      <c r="E67" s="872" t="n">
        <f aca="false">Breakout!$G$215/12</f>
        <v>0</v>
      </c>
      <c r="F67" s="873" t="n">
        <f aca="false">Breakout!$G$216/12</f>
        <v>0</v>
      </c>
      <c r="G67" s="872" t="n">
        <f aca="false">Breakout!$G$222/12</f>
        <v>66666.6666666667</v>
      </c>
      <c r="H67" s="873" t="n">
        <f aca="false">Breakout!$G$223/12</f>
        <v>0</v>
      </c>
      <c r="I67" s="872" t="n">
        <f aca="false">Breakout!$G$229/12</f>
        <v>0</v>
      </c>
      <c r="J67" s="873" t="n">
        <f aca="false">Breakout!$G$230/12</f>
        <v>0</v>
      </c>
      <c r="K67" s="774" t="n">
        <f aca="false">C67+E67+G67+I67</f>
        <v>66666.6666666667</v>
      </c>
      <c r="L67" s="771" t="n">
        <f aca="false">C67+E67+G67+I67</f>
        <v>66666.6666666667</v>
      </c>
      <c r="M67" s="774" t="n">
        <f aca="false">D67+F67+H67+J67</f>
        <v>0</v>
      </c>
      <c r="N67" s="775" t="n">
        <f aca="false">K67-M67-S67</f>
        <v>66666.6666666667</v>
      </c>
      <c r="O67" s="431"/>
      <c r="P67" s="776" t="n">
        <f aca="false">L67-M67-S67</f>
        <v>66666.6666666667</v>
      </c>
      <c r="Q67" s="431"/>
      <c r="R67" s="431"/>
      <c r="S67" s="772" t="n">
        <v>0</v>
      </c>
      <c r="T67" s="431"/>
      <c r="U67" s="431"/>
      <c r="V67" s="431"/>
    </row>
    <row r="68" customFormat="false" ht="12.75" hidden="false" customHeight="false" outlineLevel="0" collapsed="false">
      <c r="A68" s="767" t="n">
        <v>58</v>
      </c>
      <c r="B68" s="768" t="n">
        <v>38261</v>
      </c>
      <c r="C68" s="769" t="n">
        <v>0</v>
      </c>
      <c r="D68" s="770" t="n">
        <v>0</v>
      </c>
      <c r="E68" s="872" t="n">
        <f aca="false">Breakout!$G$215/12</f>
        <v>0</v>
      </c>
      <c r="F68" s="873" t="n">
        <f aca="false">Breakout!$G$216/12</f>
        <v>0</v>
      </c>
      <c r="G68" s="872" t="n">
        <f aca="false">Breakout!$G$222/12</f>
        <v>66666.6666666667</v>
      </c>
      <c r="H68" s="873" t="n">
        <f aca="false">Breakout!$G$223/12</f>
        <v>0</v>
      </c>
      <c r="I68" s="872" t="n">
        <f aca="false">Breakout!$G$229/12</f>
        <v>0</v>
      </c>
      <c r="J68" s="873" t="n">
        <f aca="false">Breakout!$G$230/12</f>
        <v>0</v>
      </c>
      <c r="K68" s="774" t="n">
        <f aca="false">C68+E68+G68+I68</f>
        <v>66666.6666666667</v>
      </c>
      <c r="L68" s="771" t="n">
        <f aca="false">C68+E68+G68+I68</f>
        <v>66666.6666666667</v>
      </c>
      <c r="M68" s="774" t="n">
        <f aca="false">D68+F68+H68+J68</f>
        <v>0</v>
      </c>
      <c r="N68" s="775" t="n">
        <f aca="false">K68-M68-S68</f>
        <v>66666.6666666667</v>
      </c>
      <c r="O68" s="431"/>
      <c r="P68" s="776" t="n">
        <f aca="false">L68-M68-S68</f>
        <v>66666.6666666667</v>
      </c>
      <c r="Q68" s="431"/>
      <c r="R68" s="431"/>
      <c r="S68" s="772" t="n">
        <v>0</v>
      </c>
      <c r="T68" s="431"/>
      <c r="U68" s="431"/>
      <c r="V68" s="431"/>
    </row>
    <row r="69" customFormat="false" ht="12.75" hidden="false" customHeight="false" outlineLevel="0" collapsed="false">
      <c r="A69" s="767" t="n">
        <v>59</v>
      </c>
      <c r="B69" s="768" t="n">
        <v>38292</v>
      </c>
      <c r="C69" s="769" t="n">
        <v>0</v>
      </c>
      <c r="D69" s="770" t="n">
        <v>0</v>
      </c>
      <c r="E69" s="872" t="n">
        <f aca="false">Breakout!$G$215/12</f>
        <v>0</v>
      </c>
      <c r="F69" s="873" t="n">
        <f aca="false">Breakout!$G$216/12</f>
        <v>0</v>
      </c>
      <c r="G69" s="872" t="n">
        <f aca="false">Breakout!$G$222/12</f>
        <v>66666.6666666667</v>
      </c>
      <c r="H69" s="873" t="n">
        <f aca="false">Breakout!$G$223/12</f>
        <v>0</v>
      </c>
      <c r="I69" s="872" t="n">
        <f aca="false">Breakout!$G$229/12</f>
        <v>0</v>
      </c>
      <c r="J69" s="873" t="n">
        <f aca="false">Breakout!$G$230/12</f>
        <v>0</v>
      </c>
      <c r="K69" s="774" t="n">
        <f aca="false">C69+E69+G69+I69</f>
        <v>66666.6666666667</v>
      </c>
      <c r="L69" s="771" t="n">
        <f aca="false">C69+E69+G69+I69</f>
        <v>66666.6666666667</v>
      </c>
      <c r="M69" s="774" t="n">
        <f aca="false">D69+F69+H69+J69</f>
        <v>0</v>
      </c>
      <c r="N69" s="775" t="n">
        <f aca="false">K69-M69-S69</f>
        <v>66666.6666666667</v>
      </c>
      <c r="O69" s="431"/>
      <c r="P69" s="776" t="n">
        <f aca="false">L69-M69-S69</f>
        <v>66666.6666666667</v>
      </c>
      <c r="Q69" s="431"/>
      <c r="R69" s="431"/>
      <c r="S69" s="772" t="n">
        <v>0</v>
      </c>
      <c r="T69" s="431"/>
      <c r="U69" s="431"/>
      <c r="V69" s="431"/>
    </row>
    <row r="70" customFormat="false" ht="12.75" hidden="false" customHeight="false" outlineLevel="0" collapsed="false">
      <c r="A70" s="881" t="n">
        <v>60</v>
      </c>
      <c r="B70" s="768" t="n">
        <v>38322</v>
      </c>
      <c r="C70" s="769" t="n">
        <v>0</v>
      </c>
      <c r="D70" s="770" t="n">
        <v>0</v>
      </c>
      <c r="E70" s="886" t="n">
        <f aca="false">Breakout!$G$215/12</f>
        <v>0</v>
      </c>
      <c r="F70" s="883" t="n">
        <f aca="false">Breakout!$G$216/12</f>
        <v>0</v>
      </c>
      <c r="G70" s="886" t="n">
        <f aca="false">Breakout!$G$222/12</f>
        <v>66666.6666666667</v>
      </c>
      <c r="H70" s="883" t="n">
        <f aca="false">Breakout!$G$223/12</f>
        <v>0</v>
      </c>
      <c r="I70" s="886" t="n">
        <f aca="false">Breakout!$G$229/12</f>
        <v>0</v>
      </c>
      <c r="J70" s="883" t="n">
        <f aca="false">Breakout!$G$230/12</f>
        <v>0</v>
      </c>
      <c r="K70" s="774" t="n">
        <f aca="false">C70+E70+G70+I70</f>
        <v>66666.6666666667</v>
      </c>
      <c r="L70" s="771" t="n">
        <f aca="false">C70+E70+G70+I70</f>
        <v>66666.6666666667</v>
      </c>
      <c r="M70" s="774" t="n">
        <f aca="false">D70+F70+H70+J70</f>
        <v>0</v>
      </c>
      <c r="N70" s="775" t="n">
        <f aca="false">K70-M70-S70</f>
        <v>66666.6666666667</v>
      </c>
      <c r="O70" s="885" t="n">
        <f aca="false">SUM(N59:N70)</f>
        <v>800000</v>
      </c>
      <c r="P70" s="776" t="n">
        <f aca="false">L70-M70-S70</f>
        <v>66666.6666666667</v>
      </c>
      <c r="Q70" s="885" t="n">
        <f aca="false">SUM(P59:P70)</f>
        <v>800000</v>
      </c>
      <c r="R70" s="885"/>
      <c r="S70" s="772" t="n">
        <v>0</v>
      </c>
      <c r="T70" s="885"/>
      <c r="U70" s="885"/>
      <c r="V70" s="885"/>
      <c r="W70" s="885"/>
      <c r="X70" s="885"/>
      <c r="Y70" s="885"/>
      <c r="Z70" s="885"/>
      <c r="AA70" s="885"/>
      <c r="AB70" s="885"/>
      <c r="AC70" s="885"/>
      <c r="AD70" s="885"/>
      <c r="AE70" s="885"/>
      <c r="AF70" s="885"/>
      <c r="AG70" s="885"/>
      <c r="AH70" s="885"/>
      <c r="AI70" s="885"/>
      <c r="AJ70" s="885"/>
      <c r="AK70" s="885"/>
      <c r="AL70" s="885"/>
      <c r="AM70" s="885"/>
      <c r="AN70" s="885"/>
      <c r="AO70" s="885"/>
      <c r="AP70" s="885"/>
      <c r="AQ70" s="885"/>
      <c r="AR70" s="885"/>
      <c r="AS70" s="885"/>
      <c r="AT70" s="885"/>
      <c r="AU70" s="885"/>
      <c r="AV70" s="885"/>
      <c r="AW70" s="885"/>
      <c r="AX70" s="885"/>
      <c r="AY70" s="885"/>
      <c r="AZ70" s="885"/>
      <c r="BA70" s="885"/>
      <c r="BB70" s="885"/>
      <c r="BC70" s="885"/>
      <c r="BD70" s="885"/>
      <c r="BE70" s="885"/>
      <c r="BF70" s="885"/>
      <c r="BG70" s="885"/>
      <c r="BH70" s="885"/>
      <c r="BI70" s="885"/>
      <c r="BJ70" s="885"/>
      <c r="BK70" s="885"/>
      <c r="BL70" s="885"/>
      <c r="BM70" s="885"/>
      <c r="BN70" s="885"/>
      <c r="BO70" s="885"/>
      <c r="BP70" s="885"/>
    </row>
    <row r="71" customFormat="false" ht="12.75" hidden="false" customHeight="false" outlineLevel="0" collapsed="false">
      <c r="A71" s="866" t="n">
        <v>61</v>
      </c>
      <c r="B71" s="768" t="n">
        <v>38353</v>
      </c>
      <c r="C71" s="769" t="n">
        <v>0</v>
      </c>
      <c r="D71" s="770" t="n">
        <v>0</v>
      </c>
      <c r="E71" s="868" t="n">
        <f aca="false">Breakout!$H$215/12</f>
        <v>0</v>
      </c>
      <c r="F71" s="870" t="n">
        <f aca="false">Breakout!$H$216/12</f>
        <v>0</v>
      </c>
      <c r="G71" s="868" t="n">
        <f aca="false">Breakout!$H$222/12</f>
        <v>79166.6666666667</v>
      </c>
      <c r="H71" s="870" t="n">
        <f aca="false">Breakout!$H$223/12</f>
        <v>0</v>
      </c>
      <c r="I71" s="868" t="n">
        <f aca="false">Breakout!$H$229/12</f>
        <v>0</v>
      </c>
      <c r="J71" s="870" t="n">
        <f aca="false">Breakout!$H$230/12</f>
        <v>0</v>
      </c>
      <c r="K71" s="774" t="n">
        <f aca="false">C71+E71+G71+I71</f>
        <v>79166.6666666667</v>
      </c>
      <c r="L71" s="771" t="n">
        <f aca="false">C71+E71+G71+I71</f>
        <v>79166.6666666667</v>
      </c>
      <c r="M71" s="774" t="n">
        <f aca="false">D71+F71+H71+J71</f>
        <v>0</v>
      </c>
      <c r="N71" s="775" t="n">
        <f aca="false">K71-M71-S71</f>
        <v>79166.6666666667</v>
      </c>
      <c r="O71" s="869"/>
      <c r="P71" s="776" t="n">
        <f aca="false">L71-M71-S71</f>
        <v>79166.6666666667</v>
      </c>
      <c r="Q71" s="869"/>
      <c r="R71" s="869"/>
      <c r="S71" s="772" t="n">
        <v>0</v>
      </c>
      <c r="T71" s="869"/>
      <c r="U71" s="869"/>
      <c r="V71" s="869"/>
      <c r="W71" s="869"/>
      <c r="X71" s="869"/>
      <c r="Y71" s="869"/>
      <c r="Z71" s="869"/>
      <c r="AA71" s="869"/>
      <c r="AB71" s="869"/>
      <c r="AC71" s="869"/>
      <c r="AD71" s="869"/>
      <c r="AE71" s="869"/>
      <c r="AF71" s="869"/>
      <c r="AG71" s="869"/>
      <c r="AH71" s="869"/>
      <c r="AI71" s="869"/>
      <c r="AJ71" s="869"/>
      <c r="AK71" s="869"/>
      <c r="AL71" s="869"/>
      <c r="AM71" s="869"/>
      <c r="AN71" s="869"/>
      <c r="AO71" s="869"/>
      <c r="AP71" s="869"/>
      <c r="AQ71" s="869"/>
      <c r="AR71" s="869"/>
      <c r="AS71" s="869"/>
      <c r="AT71" s="869"/>
      <c r="AU71" s="869"/>
      <c r="AV71" s="869"/>
      <c r="AW71" s="869"/>
      <c r="AX71" s="869"/>
      <c r="AY71" s="869"/>
      <c r="AZ71" s="869"/>
      <c r="BA71" s="869"/>
      <c r="BB71" s="869"/>
      <c r="BC71" s="869"/>
      <c r="BD71" s="869"/>
      <c r="BE71" s="869"/>
      <c r="BF71" s="869"/>
      <c r="BG71" s="869"/>
      <c r="BH71" s="869"/>
      <c r="BI71" s="869"/>
      <c r="BJ71" s="869"/>
      <c r="BK71" s="869"/>
      <c r="BL71" s="869"/>
      <c r="BM71" s="869"/>
      <c r="BN71" s="869"/>
      <c r="BO71" s="869"/>
      <c r="BP71" s="869"/>
    </row>
    <row r="72" customFormat="false" ht="12.75" hidden="false" customHeight="false" outlineLevel="0" collapsed="false">
      <c r="A72" s="767" t="n">
        <v>62</v>
      </c>
      <c r="B72" s="768" t="n">
        <v>38384</v>
      </c>
      <c r="C72" s="769" t="n">
        <v>0</v>
      </c>
      <c r="D72" s="770" t="n">
        <v>0</v>
      </c>
      <c r="E72" s="872" t="n">
        <f aca="false">Breakout!$H$215/12</f>
        <v>0</v>
      </c>
      <c r="F72" s="873" t="n">
        <f aca="false">Breakout!$H$216/12</f>
        <v>0</v>
      </c>
      <c r="G72" s="872" t="n">
        <f aca="false">Breakout!$H$222/12</f>
        <v>79166.6666666667</v>
      </c>
      <c r="H72" s="873" t="n">
        <f aca="false">Breakout!$H$223/12</f>
        <v>0</v>
      </c>
      <c r="I72" s="872" t="n">
        <f aca="false">Breakout!$H$229/12</f>
        <v>0</v>
      </c>
      <c r="J72" s="873" t="n">
        <f aca="false">Breakout!$H$230/12</f>
        <v>0</v>
      </c>
      <c r="K72" s="774" t="n">
        <f aca="false">C72+E72+G72+I72</f>
        <v>79166.6666666667</v>
      </c>
      <c r="L72" s="771" t="n">
        <f aca="false">C72+E72+G72+I72</f>
        <v>79166.6666666667</v>
      </c>
      <c r="M72" s="774" t="n">
        <f aca="false">D72+F72+H72+J72</f>
        <v>0</v>
      </c>
      <c r="N72" s="775" t="n">
        <f aca="false">K72-M72-S72</f>
        <v>79166.6666666667</v>
      </c>
      <c r="O72" s="431"/>
      <c r="P72" s="776" t="n">
        <f aca="false">L72-M72-S72</f>
        <v>79166.6666666667</v>
      </c>
      <c r="Q72" s="431"/>
      <c r="R72" s="431"/>
      <c r="S72" s="772" t="n">
        <v>0</v>
      </c>
      <c r="T72" s="431"/>
      <c r="U72" s="431"/>
      <c r="V72" s="431"/>
    </row>
    <row r="73" customFormat="false" ht="12.75" hidden="false" customHeight="false" outlineLevel="0" collapsed="false">
      <c r="A73" s="767" t="n">
        <v>63</v>
      </c>
      <c r="B73" s="768" t="n">
        <v>38412</v>
      </c>
      <c r="C73" s="769" t="n">
        <v>0</v>
      </c>
      <c r="D73" s="770" t="n">
        <v>0</v>
      </c>
      <c r="E73" s="872" t="n">
        <f aca="false">Breakout!$H$215/12</f>
        <v>0</v>
      </c>
      <c r="F73" s="873" t="n">
        <f aca="false">Breakout!$H$216/12</f>
        <v>0</v>
      </c>
      <c r="G73" s="872" t="n">
        <f aca="false">Breakout!$H$222/12</f>
        <v>79166.6666666667</v>
      </c>
      <c r="H73" s="873" t="n">
        <f aca="false">Breakout!$H$223/12</f>
        <v>0</v>
      </c>
      <c r="I73" s="872" t="n">
        <f aca="false">Breakout!$H$229/12</f>
        <v>0</v>
      </c>
      <c r="J73" s="873" t="n">
        <f aca="false">Breakout!$H$230/12</f>
        <v>0</v>
      </c>
      <c r="K73" s="774" t="n">
        <f aca="false">C73+E73+G73+I73</f>
        <v>79166.6666666667</v>
      </c>
      <c r="L73" s="771" t="n">
        <f aca="false">C73+E73+G73+I73</f>
        <v>79166.6666666667</v>
      </c>
      <c r="M73" s="774" t="n">
        <f aca="false">D73+F73+H73+J73</f>
        <v>0</v>
      </c>
      <c r="N73" s="775" t="n">
        <f aca="false">K73-M73-S73</f>
        <v>79166.6666666667</v>
      </c>
      <c r="O73" s="431"/>
      <c r="P73" s="776" t="n">
        <f aca="false">L73-M73-S73</f>
        <v>79166.6666666667</v>
      </c>
      <c r="Q73" s="431"/>
      <c r="R73" s="431"/>
      <c r="S73" s="772" t="n">
        <v>0</v>
      </c>
      <c r="T73" s="431"/>
      <c r="U73" s="431"/>
      <c r="V73" s="431"/>
    </row>
    <row r="74" customFormat="false" ht="12.75" hidden="false" customHeight="false" outlineLevel="0" collapsed="false">
      <c r="A74" s="767" t="n">
        <v>64</v>
      </c>
      <c r="B74" s="768" t="n">
        <v>38443</v>
      </c>
      <c r="C74" s="769" t="n">
        <v>0</v>
      </c>
      <c r="D74" s="770" t="n">
        <v>0</v>
      </c>
      <c r="E74" s="872" t="n">
        <f aca="false">Breakout!$H$215/12</f>
        <v>0</v>
      </c>
      <c r="F74" s="873" t="n">
        <f aca="false">Breakout!$H$216/12</f>
        <v>0</v>
      </c>
      <c r="G74" s="872" t="n">
        <f aca="false">Breakout!$H$222/12</f>
        <v>79166.6666666667</v>
      </c>
      <c r="H74" s="873" t="n">
        <f aca="false">Breakout!$H$223/12</f>
        <v>0</v>
      </c>
      <c r="I74" s="872" t="n">
        <f aca="false">Breakout!$H$229/12</f>
        <v>0</v>
      </c>
      <c r="J74" s="873" t="n">
        <f aca="false">Breakout!$H$230/12</f>
        <v>0</v>
      </c>
      <c r="K74" s="774" t="n">
        <f aca="false">C74+E74+G74+I74</f>
        <v>79166.6666666667</v>
      </c>
      <c r="L74" s="771" t="n">
        <f aca="false">C74+E74+G74+I74</f>
        <v>79166.6666666667</v>
      </c>
      <c r="M74" s="774" t="n">
        <f aca="false">D74+F74+H74+J74</f>
        <v>0</v>
      </c>
      <c r="N74" s="775" t="n">
        <f aca="false">K74-M74-S74</f>
        <v>79166.6666666667</v>
      </c>
      <c r="O74" s="431"/>
      <c r="P74" s="776" t="n">
        <f aca="false">L74-M74-S74</f>
        <v>79166.6666666667</v>
      </c>
      <c r="Q74" s="431"/>
      <c r="R74" s="431"/>
      <c r="S74" s="772" t="n">
        <v>0</v>
      </c>
      <c r="T74" s="431"/>
      <c r="U74" s="431"/>
      <c r="V74" s="431"/>
    </row>
    <row r="75" customFormat="false" ht="12.75" hidden="false" customHeight="false" outlineLevel="0" collapsed="false">
      <c r="A75" s="767" t="n">
        <v>65</v>
      </c>
      <c r="B75" s="768" t="n">
        <v>38473</v>
      </c>
      <c r="C75" s="769" t="n">
        <v>0</v>
      </c>
      <c r="D75" s="770" t="n">
        <v>0</v>
      </c>
      <c r="E75" s="872" t="n">
        <f aca="false">Breakout!$H$215/12</f>
        <v>0</v>
      </c>
      <c r="F75" s="873" t="n">
        <f aca="false">Breakout!$H$216/12</f>
        <v>0</v>
      </c>
      <c r="G75" s="872" t="n">
        <f aca="false">Breakout!$H$222/12</f>
        <v>79166.6666666667</v>
      </c>
      <c r="H75" s="873" t="n">
        <f aca="false">Breakout!$H$223/12</f>
        <v>0</v>
      </c>
      <c r="I75" s="872" t="n">
        <f aca="false">Breakout!$H$229/12</f>
        <v>0</v>
      </c>
      <c r="J75" s="873" t="n">
        <f aca="false">Breakout!$H$230/12</f>
        <v>0</v>
      </c>
      <c r="K75" s="774" t="n">
        <f aca="false">C75+E75+G75+I75</f>
        <v>79166.6666666667</v>
      </c>
      <c r="L75" s="771" t="n">
        <f aca="false">C75+E75+G75+I75</f>
        <v>79166.6666666667</v>
      </c>
      <c r="M75" s="774" t="n">
        <f aca="false">D75+F75+H75+J75</f>
        <v>0</v>
      </c>
      <c r="N75" s="775" t="n">
        <f aca="false">K75-M75-S75</f>
        <v>79166.6666666667</v>
      </c>
      <c r="O75" s="431"/>
      <c r="P75" s="776" t="n">
        <f aca="false">L75-M75-S75</f>
        <v>79166.6666666667</v>
      </c>
      <c r="Q75" s="431"/>
      <c r="R75" s="431"/>
      <c r="S75" s="772" t="n">
        <v>0</v>
      </c>
      <c r="T75" s="431"/>
      <c r="U75" s="431"/>
      <c r="V75" s="431"/>
    </row>
    <row r="76" customFormat="false" ht="12.75" hidden="false" customHeight="false" outlineLevel="0" collapsed="false">
      <c r="A76" s="767" t="n">
        <v>66</v>
      </c>
      <c r="B76" s="768" t="n">
        <v>38504</v>
      </c>
      <c r="C76" s="769" t="n">
        <v>0</v>
      </c>
      <c r="D76" s="770" t="n">
        <v>0</v>
      </c>
      <c r="E76" s="872" t="n">
        <f aca="false">Breakout!$H$215/12</f>
        <v>0</v>
      </c>
      <c r="F76" s="873" t="n">
        <f aca="false">Breakout!$H$216/12</f>
        <v>0</v>
      </c>
      <c r="G76" s="872" t="n">
        <f aca="false">Breakout!$H$222/12</f>
        <v>79166.6666666667</v>
      </c>
      <c r="H76" s="873" t="n">
        <f aca="false">Breakout!$H$223/12</f>
        <v>0</v>
      </c>
      <c r="I76" s="872" t="n">
        <f aca="false">Breakout!$H$229/12</f>
        <v>0</v>
      </c>
      <c r="J76" s="873" t="n">
        <f aca="false">Breakout!$H$230/12</f>
        <v>0</v>
      </c>
      <c r="K76" s="774" t="n">
        <f aca="false">C76+E76+G76+I76</f>
        <v>79166.6666666667</v>
      </c>
      <c r="L76" s="771" t="n">
        <f aca="false">C76+E76+G76+I76</f>
        <v>79166.6666666667</v>
      </c>
      <c r="M76" s="774" t="n">
        <f aca="false">D76+F76+H76+J76</f>
        <v>0</v>
      </c>
      <c r="N76" s="775" t="n">
        <f aca="false">K76-M76-S76</f>
        <v>79166.6666666667</v>
      </c>
      <c r="O76" s="431"/>
      <c r="P76" s="776" t="n">
        <f aca="false">L76-M76-S76</f>
        <v>79166.6666666667</v>
      </c>
      <c r="Q76" s="431"/>
      <c r="R76" s="431"/>
      <c r="S76" s="772" t="n">
        <v>0</v>
      </c>
      <c r="T76" s="431"/>
      <c r="U76" s="431"/>
      <c r="V76" s="431"/>
    </row>
    <row r="77" customFormat="false" ht="12.75" hidden="false" customHeight="false" outlineLevel="0" collapsed="false">
      <c r="A77" s="767" t="n">
        <v>67</v>
      </c>
      <c r="B77" s="768" t="n">
        <v>38534</v>
      </c>
      <c r="C77" s="769" t="n">
        <v>0</v>
      </c>
      <c r="D77" s="770" t="n">
        <v>0</v>
      </c>
      <c r="E77" s="872" t="n">
        <f aca="false">Breakout!$H$215/12</f>
        <v>0</v>
      </c>
      <c r="F77" s="873" t="n">
        <f aca="false">Breakout!$H$216/12</f>
        <v>0</v>
      </c>
      <c r="G77" s="872" t="n">
        <f aca="false">Breakout!$H$222/12</f>
        <v>79166.6666666667</v>
      </c>
      <c r="H77" s="873" t="n">
        <f aca="false">Breakout!$H$223/12</f>
        <v>0</v>
      </c>
      <c r="I77" s="872" t="n">
        <f aca="false">Breakout!$H$229/12</f>
        <v>0</v>
      </c>
      <c r="J77" s="873" t="n">
        <f aca="false">Breakout!$H$230/12</f>
        <v>0</v>
      </c>
      <c r="K77" s="774" t="n">
        <f aca="false">C77+E77+G77+I77</f>
        <v>79166.6666666667</v>
      </c>
      <c r="L77" s="771" t="n">
        <f aca="false">C77+E77+G77+I77</f>
        <v>79166.6666666667</v>
      </c>
      <c r="M77" s="774" t="n">
        <f aca="false">D77+F77+H77+J77</f>
        <v>0</v>
      </c>
      <c r="N77" s="775" t="n">
        <f aca="false">K77-M77-S77</f>
        <v>79166.6666666667</v>
      </c>
      <c r="O77" s="431"/>
      <c r="P77" s="776" t="n">
        <f aca="false">L77-M77-S77</f>
        <v>79166.6666666667</v>
      </c>
      <c r="Q77" s="431"/>
      <c r="R77" s="431"/>
      <c r="S77" s="772" t="n">
        <v>0</v>
      </c>
      <c r="T77" s="431"/>
      <c r="U77" s="431"/>
      <c r="V77" s="431"/>
    </row>
    <row r="78" customFormat="false" ht="12.75" hidden="false" customHeight="false" outlineLevel="0" collapsed="false">
      <c r="A78" s="767" t="n">
        <v>68</v>
      </c>
      <c r="B78" s="768" t="n">
        <v>38565</v>
      </c>
      <c r="C78" s="769" t="n">
        <v>0</v>
      </c>
      <c r="D78" s="770" t="n">
        <v>0</v>
      </c>
      <c r="E78" s="872" t="n">
        <f aca="false">Breakout!$H$215/12</f>
        <v>0</v>
      </c>
      <c r="F78" s="873" t="n">
        <f aca="false">Breakout!$H$216/12</f>
        <v>0</v>
      </c>
      <c r="G78" s="872" t="n">
        <f aca="false">Breakout!$H$222/12</f>
        <v>79166.6666666667</v>
      </c>
      <c r="H78" s="873" t="n">
        <f aca="false">Breakout!$H$223/12</f>
        <v>0</v>
      </c>
      <c r="I78" s="872" t="n">
        <f aca="false">Breakout!$H$229/12</f>
        <v>0</v>
      </c>
      <c r="J78" s="873" t="n">
        <f aca="false">Breakout!$H$230/12</f>
        <v>0</v>
      </c>
      <c r="K78" s="774" t="n">
        <f aca="false">C78+E78+G78+I78</f>
        <v>79166.6666666667</v>
      </c>
      <c r="L78" s="771" t="n">
        <f aca="false">C78+E78+G78+I78</f>
        <v>79166.6666666667</v>
      </c>
      <c r="M78" s="774" t="n">
        <f aca="false">D78+F78+H78+J78</f>
        <v>0</v>
      </c>
      <c r="N78" s="775" t="n">
        <f aca="false">K78-M78-S78</f>
        <v>79166.6666666667</v>
      </c>
      <c r="O78" s="431"/>
      <c r="P78" s="776" t="n">
        <f aca="false">L78-M78-S78</f>
        <v>79166.6666666667</v>
      </c>
      <c r="Q78" s="431"/>
      <c r="R78" s="431"/>
      <c r="S78" s="772" t="n">
        <v>0</v>
      </c>
      <c r="T78" s="431"/>
      <c r="U78" s="431"/>
      <c r="V78" s="431"/>
    </row>
    <row r="79" customFormat="false" ht="12.75" hidden="false" customHeight="false" outlineLevel="0" collapsed="false">
      <c r="A79" s="767" t="n">
        <v>69</v>
      </c>
      <c r="B79" s="768" t="n">
        <v>38596</v>
      </c>
      <c r="C79" s="769" t="n">
        <v>0</v>
      </c>
      <c r="D79" s="770" t="n">
        <v>0</v>
      </c>
      <c r="E79" s="872" t="n">
        <f aca="false">Breakout!$H$215/12</f>
        <v>0</v>
      </c>
      <c r="F79" s="873" t="n">
        <f aca="false">Breakout!$H$216/12</f>
        <v>0</v>
      </c>
      <c r="G79" s="872" t="n">
        <f aca="false">Breakout!$H$222/12</f>
        <v>79166.6666666667</v>
      </c>
      <c r="H79" s="873" t="n">
        <f aca="false">Breakout!$H$223/12</f>
        <v>0</v>
      </c>
      <c r="I79" s="872" t="n">
        <f aca="false">Breakout!$H$229/12</f>
        <v>0</v>
      </c>
      <c r="J79" s="873" t="n">
        <f aca="false">Breakout!$H$230/12</f>
        <v>0</v>
      </c>
      <c r="K79" s="774" t="n">
        <f aca="false">C79+E79+G79+I79</f>
        <v>79166.6666666667</v>
      </c>
      <c r="L79" s="771" t="n">
        <f aca="false">C79+E79+G79+I79</f>
        <v>79166.6666666667</v>
      </c>
      <c r="M79" s="774" t="n">
        <f aca="false">D79+F79+H79+J79</f>
        <v>0</v>
      </c>
      <c r="N79" s="775" t="n">
        <f aca="false">K79-M79-S79</f>
        <v>79166.6666666667</v>
      </c>
      <c r="O79" s="431"/>
      <c r="P79" s="776" t="n">
        <f aca="false">L79-M79-S79</f>
        <v>79166.6666666667</v>
      </c>
      <c r="Q79" s="431"/>
      <c r="R79" s="431"/>
      <c r="S79" s="772" t="n">
        <v>0</v>
      </c>
      <c r="T79" s="431"/>
      <c r="U79" s="431"/>
      <c r="V79" s="431"/>
    </row>
    <row r="80" customFormat="false" ht="12.75" hidden="false" customHeight="false" outlineLevel="0" collapsed="false">
      <c r="A80" s="767" t="n">
        <v>70</v>
      </c>
      <c r="B80" s="768" t="n">
        <v>38626</v>
      </c>
      <c r="C80" s="769" t="n">
        <v>0</v>
      </c>
      <c r="D80" s="770" t="n">
        <v>0</v>
      </c>
      <c r="E80" s="872" t="n">
        <f aca="false">Breakout!$H$215/12</f>
        <v>0</v>
      </c>
      <c r="F80" s="873" t="n">
        <f aca="false">Breakout!$H$216/12</f>
        <v>0</v>
      </c>
      <c r="G80" s="872" t="n">
        <f aca="false">Breakout!$H$222/12</f>
        <v>79166.6666666667</v>
      </c>
      <c r="H80" s="873" t="n">
        <f aca="false">Breakout!$H$223/12</f>
        <v>0</v>
      </c>
      <c r="I80" s="872" t="n">
        <f aca="false">Breakout!$H$229/12</f>
        <v>0</v>
      </c>
      <c r="J80" s="873" t="n">
        <f aca="false">Breakout!$H$230/12</f>
        <v>0</v>
      </c>
      <c r="K80" s="774" t="n">
        <f aca="false">C80+E80+G80+I80</f>
        <v>79166.6666666667</v>
      </c>
      <c r="L80" s="771" t="n">
        <f aca="false">C80+E80+G80+I80</f>
        <v>79166.6666666667</v>
      </c>
      <c r="M80" s="774" t="n">
        <f aca="false">D80+F80+H80+J80</f>
        <v>0</v>
      </c>
      <c r="N80" s="775" t="n">
        <f aca="false">K80-M80-S80</f>
        <v>79166.6666666667</v>
      </c>
      <c r="O80" s="431"/>
      <c r="P80" s="776" t="n">
        <f aca="false">L80-M80-S80</f>
        <v>79166.6666666667</v>
      </c>
      <c r="Q80" s="431"/>
      <c r="R80" s="431"/>
      <c r="S80" s="772" t="n">
        <v>0</v>
      </c>
      <c r="T80" s="431"/>
      <c r="U80" s="431"/>
      <c r="V80" s="431"/>
    </row>
    <row r="81" customFormat="false" ht="12.75" hidden="false" customHeight="false" outlineLevel="0" collapsed="false">
      <c r="A81" s="767" t="n">
        <v>71</v>
      </c>
      <c r="B81" s="768" t="n">
        <v>38657</v>
      </c>
      <c r="C81" s="769" t="n">
        <v>0</v>
      </c>
      <c r="D81" s="770" t="n">
        <v>0</v>
      </c>
      <c r="E81" s="872" t="n">
        <f aca="false">Breakout!$H$215/12</f>
        <v>0</v>
      </c>
      <c r="F81" s="873" t="n">
        <f aca="false">Breakout!$H$216/12</f>
        <v>0</v>
      </c>
      <c r="G81" s="872" t="n">
        <f aca="false">Breakout!$H$222/12</f>
        <v>79166.6666666667</v>
      </c>
      <c r="H81" s="873" t="n">
        <f aca="false">Breakout!$H$223/12</f>
        <v>0</v>
      </c>
      <c r="I81" s="872" t="n">
        <f aca="false">Breakout!$H$229/12</f>
        <v>0</v>
      </c>
      <c r="J81" s="873" t="n">
        <f aca="false">Breakout!$H$230/12</f>
        <v>0</v>
      </c>
      <c r="K81" s="774" t="n">
        <f aca="false">C81+E81+G81+I81</f>
        <v>79166.6666666667</v>
      </c>
      <c r="L81" s="771" t="n">
        <f aca="false">C81+E81+G81+I81</f>
        <v>79166.6666666667</v>
      </c>
      <c r="M81" s="774" t="n">
        <f aca="false">D81+F81+H81+J81</f>
        <v>0</v>
      </c>
      <c r="N81" s="775" t="n">
        <f aca="false">K81-M81-S81</f>
        <v>79166.6666666667</v>
      </c>
      <c r="O81" s="431"/>
      <c r="P81" s="776" t="n">
        <f aca="false">L81-M81-S81</f>
        <v>79166.6666666667</v>
      </c>
      <c r="Q81" s="431"/>
      <c r="R81" s="431"/>
      <c r="S81" s="772" t="n">
        <v>0</v>
      </c>
      <c r="T81" s="431"/>
      <c r="U81" s="431"/>
      <c r="V81" s="431"/>
    </row>
    <row r="82" customFormat="false" ht="12.75" hidden="false" customHeight="false" outlineLevel="0" collapsed="false">
      <c r="A82" s="881" t="n">
        <v>72</v>
      </c>
      <c r="B82" s="894" t="n">
        <v>38687</v>
      </c>
      <c r="C82" s="769" t="n">
        <v>0</v>
      </c>
      <c r="D82" s="770" t="n">
        <v>0</v>
      </c>
      <c r="E82" s="886" t="n">
        <f aca="false">Breakout!$H$215/12</f>
        <v>0</v>
      </c>
      <c r="F82" s="883" t="n">
        <f aca="false">Breakout!$H$216/12</f>
        <v>0</v>
      </c>
      <c r="G82" s="886" t="n">
        <f aca="false">Breakout!$H$222/12</f>
        <v>79166.6666666667</v>
      </c>
      <c r="H82" s="883" t="n">
        <f aca="false">Breakout!$H$223/12</f>
        <v>0</v>
      </c>
      <c r="I82" s="886" t="n">
        <f aca="false">Breakout!$H$229/12</f>
        <v>0</v>
      </c>
      <c r="J82" s="883" t="n">
        <f aca="false">Breakout!$H$230/12</f>
        <v>0</v>
      </c>
      <c r="K82" s="774" t="n">
        <f aca="false">C82+E82+G82+I82</f>
        <v>79166.6666666667</v>
      </c>
      <c r="L82" s="771" t="n">
        <f aca="false">C82+E82+G82+I82</f>
        <v>79166.6666666667</v>
      </c>
      <c r="M82" s="774" t="n">
        <f aca="false">D82+F82+H82+J82</f>
        <v>0</v>
      </c>
      <c r="N82" s="775" t="n">
        <f aca="false">K82-M82-S82</f>
        <v>79166.6666666667</v>
      </c>
      <c r="O82" s="885" t="n">
        <f aca="false">SUM(N71:N82)</f>
        <v>950000</v>
      </c>
      <c r="P82" s="776" t="n">
        <f aca="false">L82-M82-S82</f>
        <v>79166.6666666667</v>
      </c>
      <c r="Q82" s="885" t="n">
        <f aca="false">SUM(P71:P82)</f>
        <v>950000</v>
      </c>
      <c r="R82" s="885"/>
      <c r="S82" s="772" t="n">
        <v>0</v>
      </c>
      <c r="T82" s="885"/>
      <c r="U82" s="885"/>
      <c r="V82" s="885"/>
      <c r="W82" s="885"/>
      <c r="X82" s="885"/>
      <c r="Y82" s="885"/>
      <c r="Z82" s="885"/>
      <c r="AA82" s="885"/>
      <c r="AB82" s="885"/>
      <c r="AC82" s="885"/>
      <c r="AD82" s="885"/>
      <c r="AE82" s="885"/>
      <c r="AF82" s="885"/>
      <c r="AG82" s="885"/>
      <c r="AH82" s="885"/>
      <c r="AI82" s="885"/>
      <c r="AJ82" s="885"/>
      <c r="AK82" s="885"/>
      <c r="AL82" s="885"/>
      <c r="AM82" s="885"/>
      <c r="AN82" s="885"/>
      <c r="AO82" s="885"/>
      <c r="AP82" s="885"/>
      <c r="AQ82" s="885"/>
      <c r="AR82" s="885"/>
      <c r="AS82" s="885"/>
      <c r="AT82" s="885"/>
      <c r="AU82" s="885"/>
      <c r="AV82" s="885"/>
      <c r="AW82" s="885"/>
      <c r="AX82" s="885"/>
      <c r="AY82" s="885"/>
      <c r="AZ82" s="885"/>
      <c r="BA82" s="885"/>
      <c r="BB82" s="885"/>
      <c r="BC82" s="885"/>
      <c r="BD82" s="885"/>
      <c r="BE82" s="885"/>
      <c r="BF82" s="885"/>
      <c r="BG82" s="885"/>
      <c r="BH82" s="885"/>
      <c r="BI82" s="885"/>
      <c r="BJ82" s="885"/>
      <c r="BK82" s="885"/>
      <c r="BL82" s="885"/>
      <c r="BM82" s="885"/>
      <c r="BN82" s="885"/>
      <c r="BO82" s="885"/>
      <c r="BP82" s="885"/>
    </row>
    <row r="83" customFormat="false" ht="12.75" hidden="false" customHeight="false" outlineLevel="0" collapsed="false">
      <c r="A83" s="866" t="n">
        <v>73</v>
      </c>
      <c r="B83" s="897" t="n">
        <v>38718</v>
      </c>
      <c r="C83" s="769" t="n">
        <v>0</v>
      </c>
      <c r="D83" s="770" t="n">
        <v>0</v>
      </c>
      <c r="E83" s="868" t="n">
        <f aca="false">Breakout!$I$215/12</f>
        <v>0</v>
      </c>
      <c r="F83" s="870" t="n">
        <f aca="false">Breakout!$I$216/12</f>
        <v>0</v>
      </c>
      <c r="G83" s="868" t="n">
        <f aca="false">Breakout!$I$222/12</f>
        <v>91666.6666666667</v>
      </c>
      <c r="H83" s="870" t="n">
        <f aca="false">Breakout!$I$223/12</f>
        <v>0</v>
      </c>
      <c r="I83" s="868" t="n">
        <f aca="false">Breakout!$I$229/12</f>
        <v>0</v>
      </c>
      <c r="J83" s="870" t="n">
        <f aca="false">Breakout!$I$230/12</f>
        <v>0</v>
      </c>
      <c r="K83" s="774" t="n">
        <f aca="false">C83+E83+G83+I83</f>
        <v>91666.6666666667</v>
      </c>
      <c r="L83" s="771" t="n">
        <f aca="false">C83+E83+G83+I83</f>
        <v>91666.6666666667</v>
      </c>
      <c r="M83" s="774" t="n">
        <f aca="false">D83+F83+H83+J83</f>
        <v>0</v>
      </c>
      <c r="N83" s="775" t="n">
        <f aca="false">K83-M83-S83</f>
        <v>91666.6666666667</v>
      </c>
      <c r="O83" s="869"/>
      <c r="P83" s="776" t="n">
        <f aca="false">L83-M83-S83</f>
        <v>91666.6666666667</v>
      </c>
      <c r="Q83" s="869"/>
      <c r="R83" s="869"/>
      <c r="S83" s="772" t="n">
        <v>0</v>
      </c>
      <c r="T83" s="869"/>
      <c r="U83" s="869"/>
      <c r="V83" s="869"/>
      <c r="W83" s="869"/>
      <c r="X83" s="869"/>
      <c r="Y83" s="869"/>
      <c r="Z83" s="869"/>
      <c r="AA83" s="869"/>
      <c r="AB83" s="869"/>
      <c r="AC83" s="869"/>
      <c r="AD83" s="869"/>
      <c r="AE83" s="869"/>
      <c r="AF83" s="869"/>
      <c r="AG83" s="869"/>
      <c r="AH83" s="869"/>
      <c r="AI83" s="869"/>
      <c r="AJ83" s="869"/>
      <c r="AK83" s="869"/>
      <c r="AL83" s="869"/>
      <c r="AM83" s="869"/>
      <c r="AN83" s="869"/>
      <c r="AO83" s="869"/>
      <c r="AP83" s="869"/>
      <c r="AQ83" s="869"/>
      <c r="AR83" s="869"/>
      <c r="AS83" s="869"/>
      <c r="AT83" s="869"/>
      <c r="AU83" s="869"/>
      <c r="AV83" s="869"/>
      <c r="AW83" s="869"/>
      <c r="AX83" s="869"/>
      <c r="AY83" s="869"/>
      <c r="AZ83" s="869"/>
      <c r="BA83" s="869"/>
      <c r="BB83" s="869"/>
      <c r="BC83" s="869"/>
      <c r="BD83" s="869"/>
      <c r="BE83" s="869"/>
      <c r="BF83" s="869"/>
      <c r="BG83" s="869"/>
      <c r="BH83" s="869"/>
      <c r="BI83" s="869"/>
      <c r="BJ83" s="869"/>
      <c r="BK83" s="869"/>
      <c r="BL83" s="869"/>
      <c r="BM83" s="869"/>
      <c r="BN83" s="869"/>
      <c r="BO83" s="869"/>
      <c r="BP83" s="869"/>
    </row>
    <row r="84" customFormat="false" ht="12.75" hidden="false" customHeight="false" outlineLevel="0" collapsed="false">
      <c r="A84" s="767" t="n">
        <v>74</v>
      </c>
      <c r="B84" s="894" t="n">
        <v>38749</v>
      </c>
      <c r="C84" s="769" t="n">
        <v>0</v>
      </c>
      <c r="D84" s="770" t="n">
        <v>0</v>
      </c>
      <c r="E84" s="872" t="n">
        <f aca="false">Breakout!$I$215/12</f>
        <v>0</v>
      </c>
      <c r="F84" s="873" t="n">
        <f aca="false">Breakout!$I$216/12</f>
        <v>0</v>
      </c>
      <c r="G84" s="872" t="n">
        <f aca="false">Breakout!$I$222/12</f>
        <v>91666.6666666667</v>
      </c>
      <c r="H84" s="873" t="n">
        <f aca="false">Breakout!$I$223/12</f>
        <v>0</v>
      </c>
      <c r="I84" s="872" t="n">
        <f aca="false">Breakout!$I$229/12</f>
        <v>0</v>
      </c>
      <c r="J84" s="873" t="n">
        <f aca="false">Breakout!$I$230/12</f>
        <v>0</v>
      </c>
      <c r="K84" s="774" t="n">
        <f aca="false">C84+E84+G84+I84</f>
        <v>91666.6666666667</v>
      </c>
      <c r="L84" s="771" t="n">
        <f aca="false">C84+E84+G84+I84</f>
        <v>91666.6666666667</v>
      </c>
      <c r="M84" s="774" t="n">
        <f aca="false">D84+F84+H84+J84</f>
        <v>0</v>
      </c>
      <c r="N84" s="775" t="n">
        <f aca="false">K84-M84-S84</f>
        <v>91666.6666666667</v>
      </c>
      <c r="O84" s="431"/>
      <c r="P84" s="776" t="n">
        <f aca="false">L84-M84-S84</f>
        <v>91666.6666666667</v>
      </c>
      <c r="Q84" s="431"/>
      <c r="R84" s="431"/>
      <c r="S84" s="772" t="n">
        <v>0</v>
      </c>
      <c r="T84" s="431"/>
      <c r="U84" s="431"/>
      <c r="V84" s="431"/>
    </row>
    <row r="85" customFormat="false" ht="12.75" hidden="false" customHeight="false" outlineLevel="0" collapsed="false">
      <c r="A85" s="767" t="n">
        <v>75</v>
      </c>
      <c r="B85" s="897" t="n">
        <v>38777</v>
      </c>
      <c r="C85" s="769" t="n">
        <v>0</v>
      </c>
      <c r="D85" s="770" t="n">
        <v>0</v>
      </c>
      <c r="E85" s="872" t="n">
        <f aca="false">Breakout!$I$215/12</f>
        <v>0</v>
      </c>
      <c r="F85" s="873" t="n">
        <f aca="false">Breakout!$I$216/12</f>
        <v>0</v>
      </c>
      <c r="G85" s="872" t="n">
        <f aca="false">Breakout!$I$222/12</f>
        <v>91666.6666666667</v>
      </c>
      <c r="H85" s="873" t="n">
        <f aca="false">Breakout!$I$223/12</f>
        <v>0</v>
      </c>
      <c r="I85" s="872" t="n">
        <f aca="false">Breakout!$I$229/12</f>
        <v>0</v>
      </c>
      <c r="J85" s="873" t="n">
        <f aca="false">Breakout!$I$230/12</f>
        <v>0</v>
      </c>
      <c r="K85" s="774" t="n">
        <f aca="false">C85+E85+G85+I85</f>
        <v>91666.6666666667</v>
      </c>
      <c r="L85" s="771" t="n">
        <f aca="false">C85+E85+G85+I85</f>
        <v>91666.6666666667</v>
      </c>
      <c r="M85" s="774" t="n">
        <f aca="false">D85+F85+H85+J85</f>
        <v>0</v>
      </c>
      <c r="N85" s="775" t="n">
        <f aca="false">K85-M85-S85</f>
        <v>91666.6666666667</v>
      </c>
      <c r="O85" s="431"/>
      <c r="P85" s="776" t="n">
        <f aca="false">L85-M85-S85</f>
        <v>91666.6666666667</v>
      </c>
      <c r="Q85" s="431"/>
      <c r="R85" s="431"/>
      <c r="S85" s="772" t="n">
        <v>0</v>
      </c>
      <c r="T85" s="431"/>
      <c r="U85" s="431"/>
      <c r="V85" s="431"/>
    </row>
    <row r="86" customFormat="false" ht="12.75" hidden="false" customHeight="false" outlineLevel="0" collapsed="false">
      <c r="A86" s="767" t="n">
        <v>76</v>
      </c>
      <c r="B86" s="768" t="n">
        <v>38808</v>
      </c>
      <c r="C86" s="769" t="n">
        <v>0</v>
      </c>
      <c r="D86" s="770" t="n">
        <v>0</v>
      </c>
      <c r="E86" s="872" t="n">
        <f aca="false">Breakout!$I$215/12</f>
        <v>0</v>
      </c>
      <c r="F86" s="873" t="n">
        <f aca="false">Breakout!$I$216/12</f>
        <v>0</v>
      </c>
      <c r="G86" s="872" t="n">
        <f aca="false">Breakout!$I$222/12</f>
        <v>91666.6666666667</v>
      </c>
      <c r="H86" s="873" t="n">
        <f aca="false">Breakout!$I$223/12</f>
        <v>0</v>
      </c>
      <c r="I86" s="872" t="n">
        <f aca="false">Breakout!$I$229/12</f>
        <v>0</v>
      </c>
      <c r="J86" s="873" t="n">
        <f aca="false">Breakout!$I$230/12</f>
        <v>0</v>
      </c>
      <c r="K86" s="774" t="n">
        <f aca="false">C86+E86+G86+I86</f>
        <v>91666.6666666667</v>
      </c>
      <c r="L86" s="771" t="n">
        <f aca="false">C86+E86+G86+I86</f>
        <v>91666.6666666667</v>
      </c>
      <c r="M86" s="774" t="n">
        <f aca="false">D86+F86+H86+J86</f>
        <v>0</v>
      </c>
      <c r="N86" s="775" t="n">
        <f aca="false">K86-M86-S86</f>
        <v>91666.6666666667</v>
      </c>
      <c r="O86" s="431"/>
      <c r="P86" s="776" t="n">
        <f aca="false">L86-M86-S86</f>
        <v>91666.6666666667</v>
      </c>
      <c r="Q86" s="431"/>
      <c r="R86" s="431"/>
      <c r="S86" s="772" t="n">
        <v>0</v>
      </c>
      <c r="T86" s="431"/>
      <c r="U86" s="431"/>
      <c r="V86" s="431"/>
    </row>
    <row r="87" customFormat="false" ht="12.75" hidden="false" customHeight="false" outlineLevel="0" collapsed="false">
      <c r="A87" s="767" t="n">
        <v>77</v>
      </c>
      <c r="B87" s="768" t="n">
        <v>38838</v>
      </c>
      <c r="C87" s="769" t="n">
        <v>0</v>
      </c>
      <c r="D87" s="770" t="n">
        <v>0</v>
      </c>
      <c r="E87" s="872" t="n">
        <f aca="false">Breakout!$I$215/12</f>
        <v>0</v>
      </c>
      <c r="F87" s="873" t="n">
        <f aca="false">Breakout!$I$216/12</f>
        <v>0</v>
      </c>
      <c r="G87" s="872" t="n">
        <f aca="false">Breakout!$I$222/12</f>
        <v>91666.6666666667</v>
      </c>
      <c r="H87" s="873" t="n">
        <f aca="false">Breakout!$I$223/12</f>
        <v>0</v>
      </c>
      <c r="I87" s="872" t="n">
        <f aca="false">Breakout!$I$229/12</f>
        <v>0</v>
      </c>
      <c r="J87" s="873" t="n">
        <f aca="false">Breakout!$I$230/12</f>
        <v>0</v>
      </c>
      <c r="K87" s="774" t="n">
        <f aca="false">C87+E87+G87+I87</f>
        <v>91666.6666666667</v>
      </c>
      <c r="L87" s="771" t="n">
        <f aca="false">C87+E87+G87+I87</f>
        <v>91666.6666666667</v>
      </c>
      <c r="M87" s="774" t="n">
        <f aca="false">D87+F87+H87+J87</f>
        <v>0</v>
      </c>
      <c r="N87" s="775" t="n">
        <f aca="false">K87-M87-S87</f>
        <v>91666.6666666667</v>
      </c>
      <c r="O87" s="431"/>
      <c r="P87" s="776" t="n">
        <f aca="false">L87-M87-S87</f>
        <v>91666.6666666667</v>
      </c>
      <c r="Q87" s="431"/>
      <c r="R87" s="431"/>
      <c r="S87" s="772" t="n">
        <v>0</v>
      </c>
      <c r="T87" s="431"/>
      <c r="U87" s="431"/>
      <c r="V87" s="431"/>
    </row>
    <row r="88" customFormat="false" ht="12.75" hidden="false" customHeight="false" outlineLevel="0" collapsed="false">
      <c r="A88" s="767" t="n">
        <v>78</v>
      </c>
      <c r="B88" s="768" t="n">
        <v>38869</v>
      </c>
      <c r="C88" s="769" t="n">
        <v>0</v>
      </c>
      <c r="D88" s="770" t="n">
        <v>0</v>
      </c>
      <c r="E88" s="872" t="n">
        <f aca="false">Breakout!$I$215/12</f>
        <v>0</v>
      </c>
      <c r="F88" s="873" t="n">
        <f aca="false">Breakout!$I$216/12</f>
        <v>0</v>
      </c>
      <c r="G88" s="872" t="n">
        <f aca="false">Breakout!$I$222/12</f>
        <v>91666.6666666667</v>
      </c>
      <c r="H88" s="873" t="n">
        <f aca="false">Breakout!$I$223/12</f>
        <v>0</v>
      </c>
      <c r="I88" s="872" t="n">
        <f aca="false">Breakout!$I$229/12</f>
        <v>0</v>
      </c>
      <c r="J88" s="873" t="n">
        <f aca="false">Breakout!$I$230/12</f>
        <v>0</v>
      </c>
      <c r="K88" s="774" t="n">
        <f aca="false">C88+E88+G88+I88</f>
        <v>91666.6666666667</v>
      </c>
      <c r="L88" s="771" t="n">
        <f aca="false">C88+E88+G88+I88</f>
        <v>91666.6666666667</v>
      </c>
      <c r="M88" s="774" t="n">
        <f aca="false">D88+F88+H88+J88</f>
        <v>0</v>
      </c>
      <c r="N88" s="775" t="n">
        <f aca="false">K88-M88-S88</f>
        <v>91666.6666666667</v>
      </c>
      <c r="O88" s="431"/>
      <c r="P88" s="776" t="n">
        <f aca="false">L88-M88-S88</f>
        <v>91666.6666666667</v>
      </c>
      <c r="Q88" s="431"/>
      <c r="R88" s="431"/>
      <c r="S88" s="772" t="n">
        <v>0</v>
      </c>
      <c r="T88" s="431"/>
      <c r="U88" s="431"/>
      <c r="V88" s="431"/>
    </row>
    <row r="89" customFormat="false" ht="12.75" hidden="false" customHeight="false" outlineLevel="0" collapsed="false">
      <c r="A89" s="767" t="n">
        <v>79</v>
      </c>
      <c r="B89" s="768" t="n">
        <v>38899</v>
      </c>
      <c r="C89" s="769" t="n">
        <v>0</v>
      </c>
      <c r="D89" s="770" t="n">
        <v>0</v>
      </c>
      <c r="E89" s="872" t="n">
        <f aca="false">Breakout!$I$215/12</f>
        <v>0</v>
      </c>
      <c r="F89" s="873" t="n">
        <f aca="false">Breakout!$I$216/12</f>
        <v>0</v>
      </c>
      <c r="G89" s="872" t="n">
        <f aca="false">Breakout!$I$222/12</f>
        <v>91666.6666666667</v>
      </c>
      <c r="H89" s="873" t="n">
        <f aca="false">Breakout!$I$223/12</f>
        <v>0</v>
      </c>
      <c r="I89" s="872" t="n">
        <f aca="false">Breakout!$I$229/12</f>
        <v>0</v>
      </c>
      <c r="J89" s="873" t="n">
        <f aca="false">Breakout!$I$230/12</f>
        <v>0</v>
      </c>
      <c r="K89" s="774" t="n">
        <f aca="false">C89+E89+G89+I89</f>
        <v>91666.6666666667</v>
      </c>
      <c r="L89" s="771" t="n">
        <f aca="false">C89+E89+G89+I89</f>
        <v>91666.6666666667</v>
      </c>
      <c r="M89" s="774" t="n">
        <f aca="false">D89+F89+H89+J89</f>
        <v>0</v>
      </c>
      <c r="N89" s="775" t="n">
        <f aca="false">K89-M89-S89</f>
        <v>91666.6666666667</v>
      </c>
      <c r="O89" s="431"/>
      <c r="P89" s="776" t="n">
        <f aca="false">L89-M89-S89</f>
        <v>91666.6666666667</v>
      </c>
      <c r="Q89" s="431"/>
      <c r="R89" s="431"/>
      <c r="S89" s="772" t="n">
        <v>0</v>
      </c>
      <c r="T89" s="431"/>
      <c r="U89" s="431"/>
      <c r="V89" s="431"/>
    </row>
    <row r="90" customFormat="false" ht="12.75" hidden="false" customHeight="false" outlineLevel="0" collapsed="false">
      <c r="A90" s="767" t="n">
        <v>80</v>
      </c>
      <c r="B90" s="768" t="n">
        <v>38930</v>
      </c>
      <c r="C90" s="769" t="n">
        <v>0</v>
      </c>
      <c r="D90" s="770" t="n">
        <v>0</v>
      </c>
      <c r="E90" s="872" t="n">
        <f aca="false">Breakout!$I$215/12</f>
        <v>0</v>
      </c>
      <c r="F90" s="873" t="n">
        <f aca="false">Breakout!$I$216/12</f>
        <v>0</v>
      </c>
      <c r="G90" s="872" t="n">
        <f aca="false">Breakout!$I$222/12</f>
        <v>91666.6666666667</v>
      </c>
      <c r="H90" s="873" t="n">
        <f aca="false">Breakout!$I$223/12</f>
        <v>0</v>
      </c>
      <c r="I90" s="872" t="n">
        <f aca="false">Breakout!$I$229/12</f>
        <v>0</v>
      </c>
      <c r="J90" s="873" t="n">
        <f aca="false">Breakout!$I$230/12</f>
        <v>0</v>
      </c>
      <c r="K90" s="774" t="n">
        <f aca="false">C90+E90+G90+I90</f>
        <v>91666.6666666667</v>
      </c>
      <c r="L90" s="771" t="n">
        <f aca="false">C90+E90+G90+I90</f>
        <v>91666.6666666667</v>
      </c>
      <c r="M90" s="774" t="n">
        <f aca="false">D90+F90+H90+J90</f>
        <v>0</v>
      </c>
      <c r="N90" s="775" t="n">
        <f aca="false">K90-M90-S90</f>
        <v>91666.6666666667</v>
      </c>
      <c r="O90" s="431"/>
      <c r="P90" s="776" t="n">
        <f aca="false">L90-M90-S90</f>
        <v>91666.6666666667</v>
      </c>
      <c r="Q90" s="431"/>
      <c r="R90" s="431"/>
      <c r="S90" s="772" t="n">
        <v>0</v>
      </c>
      <c r="T90" s="431"/>
      <c r="U90" s="431"/>
      <c r="V90" s="431"/>
    </row>
    <row r="91" customFormat="false" ht="12.75" hidden="false" customHeight="false" outlineLevel="0" collapsed="false">
      <c r="A91" s="767" t="n">
        <v>81</v>
      </c>
      <c r="B91" s="768" t="n">
        <v>38961</v>
      </c>
      <c r="C91" s="769" t="n">
        <v>0</v>
      </c>
      <c r="D91" s="770" t="n">
        <v>0</v>
      </c>
      <c r="E91" s="872" t="n">
        <f aca="false">Breakout!$I$215/12</f>
        <v>0</v>
      </c>
      <c r="F91" s="873" t="n">
        <f aca="false">Breakout!$I$216/12</f>
        <v>0</v>
      </c>
      <c r="G91" s="872" t="n">
        <f aca="false">Breakout!$I$222/12</f>
        <v>91666.6666666667</v>
      </c>
      <c r="H91" s="873" t="n">
        <f aca="false">Breakout!$I$223/12</f>
        <v>0</v>
      </c>
      <c r="I91" s="872" t="n">
        <f aca="false">Breakout!$I$229/12</f>
        <v>0</v>
      </c>
      <c r="J91" s="873" t="n">
        <f aca="false">Breakout!$I$230/12</f>
        <v>0</v>
      </c>
      <c r="K91" s="774" t="n">
        <f aca="false">C91+E91+G91+I91</f>
        <v>91666.6666666667</v>
      </c>
      <c r="L91" s="771" t="n">
        <f aca="false">C91+E91+G91+I91</f>
        <v>91666.6666666667</v>
      </c>
      <c r="M91" s="774" t="n">
        <f aca="false">D91+F91+H91+J91</f>
        <v>0</v>
      </c>
      <c r="N91" s="775" t="n">
        <f aca="false">K91-M91-S91</f>
        <v>91666.6666666667</v>
      </c>
      <c r="O91" s="431"/>
      <c r="P91" s="776" t="n">
        <f aca="false">L91-M91-S91</f>
        <v>91666.6666666667</v>
      </c>
      <c r="Q91" s="431"/>
      <c r="R91" s="431"/>
      <c r="S91" s="772" t="n">
        <v>0</v>
      </c>
      <c r="T91" s="431"/>
      <c r="U91" s="431"/>
      <c r="V91" s="431"/>
    </row>
    <row r="92" customFormat="false" ht="12.75" hidden="false" customHeight="false" outlineLevel="0" collapsed="false">
      <c r="A92" s="767" t="n">
        <v>82</v>
      </c>
      <c r="B92" s="768" t="n">
        <v>38991</v>
      </c>
      <c r="C92" s="769" t="n">
        <v>0</v>
      </c>
      <c r="D92" s="770" t="n">
        <v>0</v>
      </c>
      <c r="E92" s="872" t="n">
        <f aca="false">Breakout!$I$215/12</f>
        <v>0</v>
      </c>
      <c r="F92" s="873" t="n">
        <f aca="false">Breakout!$I$216/12</f>
        <v>0</v>
      </c>
      <c r="G92" s="872" t="n">
        <f aca="false">Breakout!$I$222/12</f>
        <v>91666.6666666667</v>
      </c>
      <c r="H92" s="873" t="n">
        <f aca="false">Breakout!$I$223/12</f>
        <v>0</v>
      </c>
      <c r="I92" s="872" t="n">
        <f aca="false">Breakout!$I$229/12</f>
        <v>0</v>
      </c>
      <c r="J92" s="873" t="n">
        <f aca="false">Breakout!$I$230/12</f>
        <v>0</v>
      </c>
      <c r="K92" s="774" t="n">
        <f aca="false">C92+E92+G92+I92</f>
        <v>91666.6666666667</v>
      </c>
      <c r="L92" s="771" t="n">
        <f aca="false">C92+E92+G92+I92</f>
        <v>91666.6666666667</v>
      </c>
      <c r="M92" s="774" t="n">
        <f aca="false">D92+F92+H92+J92</f>
        <v>0</v>
      </c>
      <c r="N92" s="775" t="n">
        <f aca="false">K92-M92-S92</f>
        <v>91666.6666666667</v>
      </c>
      <c r="O92" s="431"/>
      <c r="P92" s="776" t="n">
        <f aca="false">L92-M92-S92</f>
        <v>91666.6666666667</v>
      </c>
      <c r="Q92" s="431"/>
      <c r="R92" s="431"/>
      <c r="S92" s="772" t="n">
        <v>0</v>
      </c>
      <c r="T92" s="431"/>
      <c r="U92" s="431"/>
      <c r="V92" s="431"/>
    </row>
    <row r="93" customFormat="false" ht="12.75" hidden="false" customHeight="false" outlineLevel="0" collapsed="false">
      <c r="A93" s="767" t="n">
        <v>83</v>
      </c>
      <c r="B93" s="768" t="n">
        <v>39022</v>
      </c>
      <c r="C93" s="769" t="n">
        <v>0</v>
      </c>
      <c r="D93" s="770" t="n">
        <v>0</v>
      </c>
      <c r="E93" s="872" t="n">
        <f aca="false">Breakout!$I$215/12</f>
        <v>0</v>
      </c>
      <c r="F93" s="873" t="n">
        <f aca="false">Breakout!$I$216/12</f>
        <v>0</v>
      </c>
      <c r="G93" s="872" t="n">
        <f aca="false">Breakout!$I$222/12</f>
        <v>91666.6666666667</v>
      </c>
      <c r="H93" s="873" t="n">
        <f aca="false">Breakout!$I$223/12</f>
        <v>0</v>
      </c>
      <c r="I93" s="872" t="n">
        <f aca="false">Breakout!$I$229/12</f>
        <v>0</v>
      </c>
      <c r="J93" s="873" t="n">
        <f aca="false">Breakout!$I$230/12</f>
        <v>0</v>
      </c>
      <c r="K93" s="774" t="n">
        <f aca="false">C93+E93+G93+I93</f>
        <v>91666.6666666667</v>
      </c>
      <c r="L93" s="771" t="n">
        <f aca="false">C93+E93+G93+I93</f>
        <v>91666.6666666667</v>
      </c>
      <c r="M93" s="774" t="n">
        <f aca="false">D93+F93+H93+J93</f>
        <v>0</v>
      </c>
      <c r="N93" s="775" t="n">
        <f aca="false">K93-M93-S93</f>
        <v>91666.6666666667</v>
      </c>
      <c r="O93" s="431"/>
      <c r="P93" s="776" t="n">
        <f aca="false">L93-M93-S93</f>
        <v>91666.6666666667</v>
      </c>
      <c r="Q93" s="431"/>
      <c r="R93" s="431"/>
      <c r="S93" s="772" t="n">
        <v>0</v>
      </c>
      <c r="T93" s="431"/>
      <c r="U93" s="431"/>
      <c r="V93" s="431"/>
    </row>
    <row r="94" customFormat="false" ht="12.75" hidden="false" customHeight="false" outlineLevel="0" collapsed="false">
      <c r="A94" s="881" t="n">
        <v>84</v>
      </c>
      <c r="B94" s="894" t="n">
        <v>39052</v>
      </c>
      <c r="C94" s="769" t="n">
        <v>0</v>
      </c>
      <c r="D94" s="770" t="n">
        <v>0</v>
      </c>
      <c r="E94" s="886" t="n">
        <f aca="false">Breakout!$I$215/12</f>
        <v>0</v>
      </c>
      <c r="F94" s="883" t="n">
        <f aca="false">Breakout!$I$216/12</f>
        <v>0</v>
      </c>
      <c r="G94" s="886" t="n">
        <f aca="false">Breakout!$I$222/12</f>
        <v>91666.6666666667</v>
      </c>
      <c r="H94" s="883" t="n">
        <f aca="false">Breakout!$I$223/12</f>
        <v>0</v>
      </c>
      <c r="I94" s="886" t="n">
        <f aca="false">Breakout!$I$229/12</f>
        <v>0</v>
      </c>
      <c r="J94" s="883" t="n">
        <f aca="false">Breakout!$I$230/12</f>
        <v>0</v>
      </c>
      <c r="K94" s="774" t="n">
        <f aca="false">C94+E94+G94+I94</f>
        <v>91666.6666666667</v>
      </c>
      <c r="L94" s="771" t="n">
        <f aca="false">C94+E94+G94+I94</f>
        <v>91666.6666666667</v>
      </c>
      <c r="M94" s="774" t="n">
        <f aca="false">D94+F94+H94+J94</f>
        <v>0</v>
      </c>
      <c r="N94" s="775" t="n">
        <f aca="false">K94-M94-S94</f>
        <v>91666.6666666667</v>
      </c>
      <c r="O94" s="885" t="n">
        <f aca="false">SUM(N83:N94)</f>
        <v>1100000</v>
      </c>
      <c r="P94" s="776" t="n">
        <f aca="false">L94-M94-S94</f>
        <v>91666.6666666667</v>
      </c>
      <c r="Q94" s="885" t="n">
        <f aca="false">SUM(P83:P94)</f>
        <v>1100000</v>
      </c>
      <c r="R94" s="885"/>
      <c r="S94" s="772" t="n">
        <v>0</v>
      </c>
      <c r="T94" s="885"/>
      <c r="U94" s="885"/>
      <c r="V94" s="885"/>
      <c r="W94" s="885"/>
      <c r="X94" s="885"/>
      <c r="Y94" s="885"/>
      <c r="Z94" s="885"/>
      <c r="AA94" s="885"/>
      <c r="AB94" s="885"/>
      <c r="AC94" s="885"/>
      <c r="AD94" s="885"/>
      <c r="AE94" s="885"/>
      <c r="AF94" s="885"/>
      <c r="AG94" s="885"/>
      <c r="AH94" s="885"/>
      <c r="AI94" s="885"/>
      <c r="AJ94" s="885"/>
      <c r="AK94" s="885"/>
      <c r="AL94" s="885"/>
      <c r="AM94" s="885"/>
      <c r="AN94" s="885"/>
      <c r="AO94" s="885"/>
      <c r="AP94" s="885"/>
      <c r="AQ94" s="885"/>
      <c r="AR94" s="885"/>
      <c r="AS94" s="885"/>
      <c r="AT94" s="885"/>
      <c r="AU94" s="885"/>
      <c r="AV94" s="885"/>
      <c r="AW94" s="885"/>
      <c r="AX94" s="885"/>
      <c r="AY94" s="885"/>
      <c r="AZ94" s="885"/>
      <c r="BA94" s="885"/>
      <c r="BB94" s="885"/>
      <c r="BC94" s="885"/>
      <c r="BD94" s="885"/>
      <c r="BE94" s="885"/>
      <c r="BF94" s="885"/>
      <c r="BG94" s="885"/>
      <c r="BH94" s="885"/>
      <c r="BI94" s="885"/>
      <c r="BJ94" s="885"/>
      <c r="BK94" s="885"/>
      <c r="BL94" s="885"/>
      <c r="BM94" s="885"/>
      <c r="BN94" s="885"/>
      <c r="BO94" s="885"/>
      <c r="BP94" s="885"/>
    </row>
    <row r="95" customFormat="false" ht="12.75" hidden="false" customHeight="false" outlineLevel="0" collapsed="false">
      <c r="A95" s="866" t="n">
        <v>85</v>
      </c>
      <c r="B95" s="897" t="n">
        <v>39083</v>
      </c>
      <c r="C95" s="769" t="n">
        <v>0</v>
      </c>
      <c r="D95" s="770" t="n">
        <v>0</v>
      </c>
      <c r="E95" s="868" t="n">
        <f aca="false">Breakout!$J$215/12</f>
        <v>0</v>
      </c>
      <c r="F95" s="870" t="n">
        <f aca="false">Breakout!$J$216/12</f>
        <v>0</v>
      </c>
      <c r="G95" s="868" t="n">
        <f aca="false">Breakout!$J$222/12</f>
        <v>104166.666666667</v>
      </c>
      <c r="H95" s="870" t="n">
        <f aca="false">Breakout!$J$223/12</f>
        <v>0</v>
      </c>
      <c r="I95" s="868" t="n">
        <f aca="false">Breakout!$J$229/12</f>
        <v>0</v>
      </c>
      <c r="J95" s="870" t="n">
        <f aca="false">Breakout!$J$230/12</f>
        <v>0</v>
      </c>
      <c r="K95" s="774" t="n">
        <f aca="false">C95+E95+G95+I95</f>
        <v>104166.666666667</v>
      </c>
      <c r="L95" s="771" t="n">
        <f aca="false">C95+E95+G95+I95</f>
        <v>104166.666666667</v>
      </c>
      <c r="M95" s="774" t="n">
        <f aca="false">D95+F95+H95+J95</f>
        <v>0</v>
      </c>
      <c r="N95" s="775" t="n">
        <f aca="false">K95-M95-S95</f>
        <v>104166.666666667</v>
      </c>
      <c r="O95" s="869"/>
      <c r="P95" s="776" t="n">
        <f aca="false">L95-M95-S95</f>
        <v>104166.666666667</v>
      </c>
      <c r="Q95" s="869"/>
      <c r="R95" s="869"/>
      <c r="S95" s="772" t="n">
        <v>0</v>
      </c>
      <c r="T95" s="869"/>
      <c r="U95" s="869"/>
      <c r="V95" s="869"/>
      <c r="W95" s="869"/>
      <c r="X95" s="869"/>
      <c r="Y95" s="869"/>
      <c r="Z95" s="869"/>
      <c r="AA95" s="869"/>
      <c r="AB95" s="869"/>
      <c r="AC95" s="869"/>
      <c r="AD95" s="869"/>
      <c r="AE95" s="869"/>
      <c r="AF95" s="869"/>
      <c r="AG95" s="869"/>
      <c r="AH95" s="869"/>
      <c r="AI95" s="869"/>
      <c r="AJ95" s="869"/>
      <c r="AK95" s="869"/>
      <c r="AL95" s="869"/>
      <c r="AM95" s="869"/>
      <c r="AN95" s="869"/>
      <c r="AO95" s="869"/>
      <c r="AP95" s="869"/>
      <c r="AQ95" s="869"/>
      <c r="AR95" s="869"/>
      <c r="AS95" s="869"/>
      <c r="AT95" s="869"/>
      <c r="AU95" s="869"/>
      <c r="AV95" s="869"/>
      <c r="AW95" s="869"/>
      <c r="AX95" s="869"/>
      <c r="AY95" s="869"/>
      <c r="AZ95" s="869"/>
      <c r="BA95" s="869"/>
      <c r="BB95" s="869"/>
      <c r="BC95" s="869"/>
      <c r="BD95" s="869"/>
      <c r="BE95" s="869"/>
      <c r="BF95" s="869"/>
      <c r="BG95" s="869"/>
      <c r="BH95" s="869"/>
      <c r="BI95" s="869"/>
      <c r="BJ95" s="869"/>
      <c r="BK95" s="869"/>
      <c r="BL95" s="869"/>
      <c r="BM95" s="869"/>
      <c r="BN95" s="869"/>
      <c r="BO95" s="869"/>
      <c r="BP95" s="869"/>
    </row>
    <row r="96" customFormat="false" ht="12.75" hidden="false" customHeight="false" outlineLevel="0" collapsed="false">
      <c r="A96" s="767" t="n">
        <v>86</v>
      </c>
      <c r="B96" s="768" t="n">
        <v>39114</v>
      </c>
      <c r="C96" s="769" t="n">
        <v>0</v>
      </c>
      <c r="D96" s="770" t="n">
        <v>0</v>
      </c>
      <c r="E96" s="872" t="n">
        <f aca="false">Breakout!$J$215/12</f>
        <v>0</v>
      </c>
      <c r="F96" s="873" t="n">
        <f aca="false">Breakout!$J$216/12</f>
        <v>0</v>
      </c>
      <c r="G96" s="872" t="n">
        <f aca="false">Breakout!$J$222/12</f>
        <v>104166.666666667</v>
      </c>
      <c r="H96" s="873" t="n">
        <f aca="false">Breakout!$J$223/12</f>
        <v>0</v>
      </c>
      <c r="I96" s="872" t="n">
        <f aca="false">Breakout!$J$229/12</f>
        <v>0</v>
      </c>
      <c r="J96" s="873" t="n">
        <f aca="false">Breakout!$J$230/12</f>
        <v>0</v>
      </c>
      <c r="K96" s="774" t="n">
        <f aca="false">C96+E96+G96+I96</f>
        <v>104166.666666667</v>
      </c>
      <c r="L96" s="771" t="n">
        <f aca="false">C96+E96+G96+I96</f>
        <v>104166.666666667</v>
      </c>
      <c r="M96" s="774" t="n">
        <f aca="false">D96+F96+H96+J96</f>
        <v>0</v>
      </c>
      <c r="N96" s="775" t="n">
        <f aca="false">K96-M96-S96</f>
        <v>104166.666666667</v>
      </c>
      <c r="O96" s="431"/>
      <c r="P96" s="776" t="n">
        <f aca="false">L96-M96-S96</f>
        <v>104166.666666667</v>
      </c>
      <c r="Q96" s="431"/>
      <c r="R96" s="431"/>
      <c r="S96" s="772" t="n">
        <v>0</v>
      </c>
      <c r="T96" s="431"/>
      <c r="U96" s="431"/>
      <c r="V96" s="431"/>
    </row>
    <row r="97" customFormat="false" ht="12.75" hidden="false" customHeight="false" outlineLevel="0" collapsed="false">
      <c r="A97" s="767" t="n">
        <v>87</v>
      </c>
      <c r="B97" s="768" t="n">
        <v>39142</v>
      </c>
      <c r="C97" s="769" t="n">
        <v>0</v>
      </c>
      <c r="D97" s="770" t="n">
        <v>0</v>
      </c>
      <c r="E97" s="872" t="n">
        <f aca="false">Breakout!$J$215/12</f>
        <v>0</v>
      </c>
      <c r="F97" s="873" t="n">
        <f aca="false">Breakout!$J$216/12</f>
        <v>0</v>
      </c>
      <c r="G97" s="872" t="n">
        <f aca="false">Breakout!$J$222/12</f>
        <v>104166.666666667</v>
      </c>
      <c r="H97" s="873" t="n">
        <f aca="false">Breakout!$J$223/12</f>
        <v>0</v>
      </c>
      <c r="I97" s="872" t="n">
        <f aca="false">Breakout!$J$229/12</f>
        <v>0</v>
      </c>
      <c r="J97" s="873" t="n">
        <f aca="false">Breakout!$J$230/12</f>
        <v>0</v>
      </c>
      <c r="K97" s="774" t="n">
        <f aca="false">C97+E97+G97+I97</f>
        <v>104166.666666667</v>
      </c>
      <c r="L97" s="771" t="n">
        <f aca="false">C97+E97+G97+I97</f>
        <v>104166.666666667</v>
      </c>
      <c r="M97" s="774" t="n">
        <f aca="false">D97+F97+H97+J97</f>
        <v>0</v>
      </c>
      <c r="N97" s="775" t="n">
        <f aca="false">K97-M97-S97</f>
        <v>104166.666666667</v>
      </c>
      <c r="O97" s="431"/>
      <c r="P97" s="776" t="n">
        <f aca="false">L97-M97-S97</f>
        <v>104166.666666667</v>
      </c>
      <c r="Q97" s="431"/>
      <c r="R97" s="431"/>
      <c r="S97" s="772" t="n">
        <v>0</v>
      </c>
      <c r="T97" s="431"/>
      <c r="U97" s="431"/>
      <c r="V97" s="431"/>
    </row>
    <row r="98" customFormat="false" ht="12.75" hidden="false" customHeight="false" outlineLevel="0" collapsed="false">
      <c r="A98" s="767" t="n">
        <v>88</v>
      </c>
      <c r="B98" s="768" t="n">
        <v>39173</v>
      </c>
      <c r="C98" s="769" t="n">
        <v>0</v>
      </c>
      <c r="D98" s="770" t="n">
        <v>0</v>
      </c>
      <c r="E98" s="872" t="n">
        <f aca="false">Breakout!$J$215/12</f>
        <v>0</v>
      </c>
      <c r="F98" s="873" t="n">
        <f aca="false">Breakout!$J$216/12</f>
        <v>0</v>
      </c>
      <c r="G98" s="872" t="n">
        <f aca="false">Breakout!$J$222/12</f>
        <v>104166.666666667</v>
      </c>
      <c r="H98" s="873" t="n">
        <f aca="false">Breakout!$J$223/12</f>
        <v>0</v>
      </c>
      <c r="I98" s="872" t="n">
        <f aca="false">Breakout!$J$229/12</f>
        <v>0</v>
      </c>
      <c r="J98" s="873" t="n">
        <f aca="false">Breakout!$J$230/12</f>
        <v>0</v>
      </c>
      <c r="K98" s="774" t="n">
        <f aca="false">C98+E98+G98+I98</f>
        <v>104166.666666667</v>
      </c>
      <c r="L98" s="771" t="n">
        <f aca="false">C98+E98+G98+I98</f>
        <v>104166.666666667</v>
      </c>
      <c r="M98" s="774" t="n">
        <f aca="false">D98+F98+H98+J98</f>
        <v>0</v>
      </c>
      <c r="N98" s="775" t="n">
        <f aca="false">K98-M98-S98</f>
        <v>104166.666666667</v>
      </c>
      <c r="O98" s="431"/>
      <c r="P98" s="776" t="n">
        <f aca="false">L98-M98-S98</f>
        <v>104166.666666667</v>
      </c>
      <c r="Q98" s="431"/>
      <c r="R98" s="431"/>
      <c r="S98" s="772" t="n">
        <v>0</v>
      </c>
      <c r="T98" s="431"/>
      <c r="U98" s="431"/>
      <c r="V98" s="431"/>
    </row>
    <row r="99" customFormat="false" ht="12.75" hidden="false" customHeight="false" outlineLevel="0" collapsed="false">
      <c r="A99" s="767" t="n">
        <v>89</v>
      </c>
      <c r="B99" s="768" t="n">
        <v>39203</v>
      </c>
      <c r="C99" s="769" t="n">
        <v>0</v>
      </c>
      <c r="D99" s="770" t="n">
        <v>0</v>
      </c>
      <c r="E99" s="872" t="n">
        <f aca="false">Breakout!$J$215/12</f>
        <v>0</v>
      </c>
      <c r="F99" s="873" t="n">
        <f aca="false">Breakout!$J$216/12</f>
        <v>0</v>
      </c>
      <c r="G99" s="872" t="n">
        <f aca="false">Breakout!$J$222/12</f>
        <v>104166.666666667</v>
      </c>
      <c r="H99" s="873" t="n">
        <f aca="false">Breakout!$J$223/12</f>
        <v>0</v>
      </c>
      <c r="I99" s="872" t="n">
        <f aca="false">Breakout!$J$229/12</f>
        <v>0</v>
      </c>
      <c r="J99" s="873" t="n">
        <f aca="false">Breakout!$J$230/12</f>
        <v>0</v>
      </c>
      <c r="K99" s="774" t="n">
        <f aca="false">C99+E99+G99+I99</f>
        <v>104166.666666667</v>
      </c>
      <c r="L99" s="771" t="n">
        <f aca="false">C99+E99+G99+I99</f>
        <v>104166.666666667</v>
      </c>
      <c r="M99" s="774" t="n">
        <f aca="false">D99+F99+H99+J99</f>
        <v>0</v>
      </c>
      <c r="N99" s="775" t="n">
        <f aca="false">K99-M99-S99</f>
        <v>104166.666666667</v>
      </c>
      <c r="O99" s="431"/>
      <c r="P99" s="776" t="n">
        <f aca="false">L99-M99-S99</f>
        <v>104166.666666667</v>
      </c>
      <c r="Q99" s="431"/>
      <c r="R99" s="431"/>
      <c r="S99" s="772" t="n">
        <v>0</v>
      </c>
      <c r="T99" s="431"/>
      <c r="U99" s="431"/>
      <c r="V99" s="431"/>
    </row>
    <row r="100" customFormat="false" ht="12.75" hidden="false" customHeight="false" outlineLevel="0" collapsed="false">
      <c r="A100" s="767" t="n">
        <v>90</v>
      </c>
      <c r="B100" s="768" t="n">
        <v>39234</v>
      </c>
      <c r="C100" s="769" t="n">
        <v>0</v>
      </c>
      <c r="D100" s="770" t="n">
        <v>0</v>
      </c>
      <c r="E100" s="872" t="n">
        <f aca="false">Breakout!$J$215/12</f>
        <v>0</v>
      </c>
      <c r="F100" s="873" t="n">
        <f aca="false">Breakout!$J$216/12</f>
        <v>0</v>
      </c>
      <c r="G100" s="872" t="n">
        <f aca="false">Breakout!$J$222/12</f>
        <v>104166.666666667</v>
      </c>
      <c r="H100" s="873" t="n">
        <f aca="false">Breakout!$J$223/12</f>
        <v>0</v>
      </c>
      <c r="I100" s="872" t="n">
        <f aca="false">Breakout!$J$229/12</f>
        <v>0</v>
      </c>
      <c r="J100" s="873" t="n">
        <f aca="false">Breakout!$J$230/12</f>
        <v>0</v>
      </c>
      <c r="K100" s="774" t="n">
        <f aca="false">C100+E100+G100+I100</f>
        <v>104166.666666667</v>
      </c>
      <c r="L100" s="771" t="n">
        <f aca="false">C100+E100+G100+I100</f>
        <v>104166.666666667</v>
      </c>
      <c r="M100" s="774" t="n">
        <f aca="false">D100+F100+H100+J100</f>
        <v>0</v>
      </c>
      <c r="N100" s="775" t="n">
        <f aca="false">K100-M100-S100</f>
        <v>104166.666666667</v>
      </c>
      <c r="O100" s="431"/>
      <c r="P100" s="776" t="n">
        <f aca="false">L100-M100-S100</f>
        <v>104166.666666667</v>
      </c>
      <c r="Q100" s="431"/>
      <c r="R100" s="431"/>
      <c r="S100" s="772" t="n">
        <v>0</v>
      </c>
      <c r="T100" s="431"/>
      <c r="U100" s="431"/>
      <c r="V100" s="431"/>
    </row>
    <row r="101" customFormat="false" ht="12.75" hidden="false" customHeight="false" outlineLevel="0" collapsed="false">
      <c r="A101" s="767" t="n">
        <v>91</v>
      </c>
      <c r="B101" s="768" t="n">
        <v>39264</v>
      </c>
      <c r="C101" s="769" t="n">
        <v>0</v>
      </c>
      <c r="D101" s="770" t="n">
        <v>0</v>
      </c>
      <c r="E101" s="872" t="n">
        <f aca="false">Breakout!$J$215/12</f>
        <v>0</v>
      </c>
      <c r="F101" s="873" t="n">
        <f aca="false">Breakout!$J$216/12</f>
        <v>0</v>
      </c>
      <c r="G101" s="872" t="n">
        <f aca="false">Breakout!$J$222/12</f>
        <v>104166.666666667</v>
      </c>
      <c r="H101" s="873" t="n">
        <f aca="false">Breakout!$J$223/12</f>
        <v>0</v>
      </c>
      <c r="I101" s="872" t="n">
        <f aca="false">Breakout!$J$229/12</f>
        <v>0</v>
      </c>
      <c r="J101" s="873" t="n">
        <f aca="false">Breakout!$J$230/12</f>
        <v>0</v>
      </c>
      <c r="K101" s="774" t="n">
        <f aca="false">C101+E101+G101+I101</f>
        <v>104166.666666667</v>
      </c>
      <c r="L101" s="771" t="n">
        <f aca="false">C101+E101+G101+I101</f>
        <v>104166.666666667</v>
      </c>
      <c r="M101" s="774" t="n">
        <f aca="false">D101+F101+H101+J101</f>
        <v>0</v>
      </c>
      <c r="N101" s="775" t="n">
        <f aca="false">K101-M101-S101</f>
        <v>104166.666666667</v>
      </c>
      <c r="O101" s="431"/>
      <c r="P101" s="776" t="n">
        <f aca="false">L101-M101-S101</f>
        <v>104166.666666667</v>
      </c>
      <c r="Q101" s="431"/>
      <c r="R101" s="431"/>
      <c r="S101" s="772" t="n">
        <v>0</v>
      </c>
      <c r="T101" s="431"/>
      <c r="U101" s="431"/>
      <c r="V101" s="431"/>
    </row>
    <row r="102" customFormat="false" ht="12.75" hidden="false" customHeight="false" outlineLevel="0" collapsed="false">
      <c r="A102" s="767" t="n">
        <v>92</v>
      </c>
      <c r="B102" s="768" t="n">
        <v>39295</v>
      </c>
      <c r="C102" s="769" t="n">
        <v>0</v>
      </c>
      <c r="D102" s="770" t="n">
        <v>0</v>
      </c>
      <c r="E102" s="872" t="n">
        <f aca="false">Breakout!$J$215/12</f>
        <v>0</v>
      </c>
      <c r="F102" s="873" t="n">
        <f aca="false">Breakout!$J$216/12</f>
        <v>0</v>
      </c>
      <c r="G102" s="872" t="n">
        <f aca="false">Breakout!$J$222/12</f>
        <v>104166.666666667</v>
      </c>
      <c r="H102" s="873" t="n">
        <f aca="false">Breakout!$J$223/12</f>
        <v>0</v>
      </c>
      <c r="I102" s="872" t="n">
        <f aca="false">Breakout!$J$229/12</f>
        <v>0</v>
      </c>
      <c r="J102" s="873" t="n">
        <f aca="false">Breakout!$J$230/12</f>
        <v>0</v>
      </c>
      <c r="K102" s="774" t="n">
        <f aca="false">C102+E102+G102+I102</f>
        <v>104166.666666667</v>
      </c>
      <c r="L102" s="771" t="n">
        <f aca="false">C102+E102+G102+I102</f>
        <v>104166.666666667</v>
      </c>
      <c r="M102" s="774" t="n">
        <f aca="false">D102+F102+H102+J102</f>
        <v>0</v>
      </c>
      <c r="N102" s="775" t="n">
        <f aca="false">K102-M102-S102</f>
        <v>104166.666666667</v>
      </c>
      <c r="O102" s="431"/>
      <c r="P102" s="776" t="n">
        <f aca="false">L102-M102-S102</f>
        <v>104166.666666667</v>
      </c>
      <c r="Q102" s="431"/>
      <c r="R102" s="431"/>
      <c r="S102" s="772" t="n">
        <v>0</v>
      </c>
      <c r="T102" s="431"/>
      <c r="U102" s="431"/>
      <c r="V102" s="431"/>
    </row>
    <row r="103" customFormat="false" ht="12.75" hidden="false" customHeight="false" outlineLevel="0" collapsed="false">
      <c r="A103" s="767" t="n">
        <v>93</v>
      </c>
      <c r="B103" s="768" t="n">
        <v>39326</v>
      </c>
      <c r="C103" s="769" t="n">
        <v>0</v>
      </c>
      <c r="D103" s="770" t="n">
        <v>0</v>
      </c>
      <c r="E103" s="872" t="n">
        <f aca="false">Breakout!$J$215/12</f>
        <v>0</v>
      </c>
      <c r="F103" s="873" t="n">
        <f aca="false">Breakout!$J$216/12</f>
        <v>0</v>
      </c>
      <c r="G103" s="872" t="n">
        <f aca="false">Breakout!$J$222/12</f>
        <v>104166.666666667</v>
      </c>
      <c r="H103" s="873" t="n">
        <f aca="false">Breakout!$J$223/12</f>
        <v>0</v>
      </c>
      <c r="I103" s="872" t="n">
        <f aca="false">Breakout!$J$229/12</f>
        <v>0</v>
      </c>
      <c r="J103" s="873" t="n">
        <f aca="false">Breakout!$J$230/12</f>
        <v>0</v>
      </c>
      <c r="K103" s="774" t="n">
        <f aca="false">C103+E103+G103+I103</f>
        <v>104166.666666667</v>
      </c>
      <c r="L103" s="771" t="n">
        <f aca="false">C103+E103+G103+I103</f>
        <v>104166.666666667</v>
      </c>
      <c r="M103" s="774" t="n">
        <f aca="false">D103+F103+H103+J103</f>
        <v>0</v>
      </c>
      <c r="N103" s="775" t="n">
        <f aca="false">K103-M103-S103</f>
        <v>104166.666666667</v>
      </c>
      <c r="O103" s="431"/>
      <c r="P103" s="776" t="n">
        <f aca="false">L103-M103-S103</f>
        <v>104166.666666667</v>
      </c>
      <c r="Q103" s="431"/>
      <c r="R103" s="431"/>
      <c r="S103" s="772" t="n">
        <v>0</v>
      </c>
      <c r="T103" s="431"/>
      <c r="U103" s="431"/>
      <c r="V103" s="431"/>
    </row>
    <row r="104" customFormat="false" ht="12.75" hidden="false" customHeight="false" outlineLevel="0" collapsed="false">
      <c r="A104" s="767" t="n">
        <v>94</v>
      </c>
      <c r="B104" s="768" t="n">
        <v>39356</v>
      </c>
      <c r="C104" s="769" t="n">
        <v>0</v>
      </c>
      <c r="D104" s="770" t="n">
        <v>0</v>
      </c>
      <c r="E104" s="872" t="n">
        <f aca="false">Breakout!$J$215/12</f>
        <v>0</v>
      </c>
      <c r="F104" s="873" t="n">
        <f aca="false">Breakout!$J$216/12</f>
        <v>0</v>
      </c>
      <c r="G104" s="872" t="n">
        <f aca="false">Breakout!$J$222/12</f>
        <v>104166.666666667</v>
      </c>
      <c r="H104" s="873" t="n">
        <f aca="false">Breakout!$J$223/12</f>
        <v>0</v>
      </c>
      <c r="I104" s="872" t="n">
        <f aca="false">Breakout!$J$229/12</f>
        <v>0</v>
      </c>
      <c r="J104" s="873" t="n">
        <f aca="false">Breakout!$J$230/12</f>
        <v>0</v>
      </c>
      <c r="K104" s="774" t="n">
        <f aca="false">C104+E104+G104+I104</f>
        <v>104166.666666667</v>
      </c>
      <c r="L104" s="771" t="n">
        <f aca="false">C104+E104+G104+I104</f>
        <v>104166.666666667</v>
      </c>
      <c r="M104" s="774" t="n">
        <f aca="false">D104+F104+H104+J104</f>
        <v>0</v>
      </c>
      <c r="N104" s="775" t="n">
        <f aca="false">K104-M104-S104</f>
        <v>104166.666666667</v>
      </c>
      <c r="O104" s="431"/>
      <c r="P104" s="776" t="n">
        <f aca="false">L104-M104-S104</f>
        <v>104166.666666667</v>
      </c>
      <c r="Q104" s="431"/>
      <c r="R104" s="431"/>
      <c r="S104" s="772" t="n">
        <v>0</v>
      </c>
      <c r="T104" s="431"/>
      <c r="U104" s="431"/>
      <c r="V104" s="431"/>
    </row>
    <row r="105" customFormat="false" ht="12.75" hidden="false" customHeight="false" outlineLevel="0" collapsed="false">
      <c r="A105" s="767" t="n">
        <v>95</v>
      </c>
      <c r="B105" s="768" t="n">
        <v>39387</v>
      </c>
      <c r="C105" s="769" t="n">
        <v>0</v>
      </c>
      <c r="D105" s="770" t="n">
        <v>0</v>
      </c>
      <c r="E105" s="872" t="n">
        <f aca="false">Breakout!$J$215/12</f>
        <v>0</v>
      </c>
      <c r="F105" s="873" t="n">
        <f aca="false">Breakout!$J$216/12</f>
        <v>0</v>
      </c>
      <c r="G105" s="872" t="n">
        <f aca="false">Breakout!$J$222/12</f>
        <v>104166.666666667</v>
      </c>
      <c r="H105" s="873" t="n">
        <f aca="false">Breakout!$J$223/12</f>
        <v>0</v>
      </c>
      <c r="I105" s="872" t="n">
        <f aca="false">Breakout!$J$229/12</f>
        <v>0</v>
      </c>
      <c r="J105" s="873" t="n">
        <f aca="false">Breakout!$J$230/12</f>
        <v>0</v>
      </c>
      <c r="K105" s="774" t="n">
        <f aca="false">C105+E105+G105+I105</f>
        <v>104166.666666667</v>
      </c>
      <c r="L105" s="771" t="n">
        <f aca="false">C105+E105+G105+I105</f>
        <v>104166.666666667</v>
      </c>
      <c r="M105" s="774" t="n">
        <f aca="false">D105+F105+H105+J105</f>
        <v>0</v>
      </c>
      <c r="N105" s="775" t="n">
        <f aca="false">K105-M105-S105</f>
        <v>104166.666666667</v>
      </c>
      <c r="O105" s="431"/>
      <c r="P105" s="776" t="n">
        <f aca="false">L105-M105-S105</f>
        <v>104166.666666667</v>
      </c>
      <c r="Q105" s="431"/>
      <c r="R105" s="431"/>
      <c r="S105" s="772" t="n">
        <v>0</v>
      </c>
      <c r="T105" s="431"/>
      <c r="U105" s="431"/>
      <c r="V105" s="431"/>
    </row>
    <row r="106" customFormat="false" ht="12.75" hidden="false" customHeight="false" outlineLevel="0" collapsed="false">
      <c r="A106" s="881" t="n">
        <v>96</v>
      </c>
      <c r="B106" s="894" t="n">
        <v>39417</v>
      </c>
      <c r="C106" s="769" t="n">
        <v>0</v>
      </c>
      <c r="D106" s="770" t="n">
        <v>0</v>
      </c>
      <c r="E106" s="886" t="n">
        <f aca="false">Breakout!$J$215/12</f>
        <v>0</v>
      </c>
      <c r="F106" s="883" t="n">
        <f aca="false">Breakout!$J$216/12</f>
        <v>0</v>
      </c>
      <c r="G106" s="886" t="n">
        <f aca="false">Breakout!$J$222/12</f>
        <v>104166.666666667</v>
      </c>
      <c r="H106" s="883" t="n">
        <f aca="false">Breakout!$J$223/12</f>
        <v>0</v>
      </c>
      <c r="I106" s="886" t="n">
        <f aca="false">Breakout!$J$229/12</f>
        <v>0</v>
      </c>
      <c r="J106" s="883" t="n">
        <f aca="false">Breakout!$J$230/12</f>
        <v>0</v>
      </c>
      <c r="K106" s="774" t="n">
        <f aca="false">C106+E106+G106+I106</f>
        <v>104166.666666667</v>
      </c>
      <c r="L106" s="771" t="n">
        <f aca="false">C106+E106+G106+I106</f>
        <v>104166.666666667</v>
      </c>
      <c r="M106" s="774" t="n">
        <f aca="false">D106+F106+H106+J106</f>
        <v>0</v>
      </c>
      <c r="N106" s="775" t="n">
        <f aca="false">K106-M106-S106</f>
        <v>104166.666666667</v>
      </c>
      <c r="O106" s="885" t="n">
        <f aca="false">SUM(N95:N106)</f>
        <v>1250000</v>
      </c>
      <c r="P106" s="776" t="n">
        <f aca="false">L106-M106-S106</f>
        <v>104166.666666667</v>
      </c>
      <c r="Q106" s="885" t="n">
        <f aca="false">SUM(P95:P106)</f>
        <v>1250000</v>
      </c>
      <c r="R106" s="885"/>
      <c r="S106" s="772" t="n">
        <v>0</v>
      </c>
      <c r="T106" s="885"/>
      <c r="U106" s="885"/>
      <c r="V106" s="885"/>
      <c r="W106" s="885"/>
      <c r="X106" s="885"/>
      <c r="Y106" s="885"/>
      <c r="Z106" s="885"/>
      <c r="AA106" s="885"/>
      <c r="AB106" s="885"/>
      <c r="AC106" s="885"/>
      <c r="AD106" s="885"/>
      <c r="AE106" s="885"/>
      <c r="AF106" s="885"/>
      <c r="AG106" s="885"/>
      <c r="AH106" s="885"/>
      <c r="AI106" s="885"/>
      <c r="AJ106" s="885"/>
      <c r="AK106" s="885"/>
      <c r="AL106" s="885"/>
      <c r="AM106" s="885"/>
      <c r="AN106" s="885"/>
      <c r="AO106" s="885"/>
      <c r="AP106" s="885"/>
      <c r="AQ106" s="885"/>
      <c r="AR106" s="885"/>
      <c r="AS106" s="885"/>
      <c r="AT106" s="885"/>
      <c r="AU106" s="885"/>
      <c r="AV106" s="885"/>
      <c r="AW106" s="885"/>
      <c r="AX106" s="885"/>
      <c r="AY106" s="885"/>
      <c r="AZ106" s="885"/>
      <c r="BA106" s="885"/>
      <c r="BB106" s="885"/>
      <c r="BC106" s="885"/>
      <c r="BD106" s="885"/>
      <c r="BE106" s="885"/>
      <c r="BF106" s="885"/>
      <c r="BG106" s="885"/>
      <c r="BH106" s="885"/>
      <c r="BI106" s="885"/>
      <c r="BJ106" s="885"/>
      <c r="BK106" s="885"/>
      <c r="BL106" s="885"/>
      <c r="BM106" s="885"/>
      <c r="BN106" s="885"/>
      <c r="BO106" s="885"/>
      <c r="BP106" s="885"/>
    </row>
    <row r="107" customFormat="false" ht="12.75" hidden="false" customHeight="false" outlineLevel="0" collapsed="false">
      <c r="A107" s="866" t="n">
        <v>97</v>
      </c>
      <c r="B107" s="897" t="n">
        <v>39448</v>
      </c>
      <c r="C107" s="769" t="n">
        <v>0</v>
      </c>
      <c r="D107" s="770" t="n">
        <v>0</v>
      </c>
      <c r="E107" s="868" t="n">
        <f aca="false">Breakout!$K$215/12</f>
        <v>0</v>
      </c>
      <c r="F107" s="870" t="n">
        <f aca="false">Breakout!$K$216/12</f>
        <v>0</v>
      </c>
      <c r="G107" s="868" t="n">
        <f aca="false">Breakout!$K$222/12</f>
        <v>116666.666666667</v>
      </c>
      <c r="H107" s="870" t="n">
        <f aca="false">Breakout!$K$223/12</f>
        <v>0</v>
      </c>
      <c r="I107" s="868" t="n">
        <f aca="false">Breakout!$K$229/12</f>
        <v>0</v>
      </c>
      <c r="J107" s="870" t="n">
        <f aca="false">Breakout!$K$230/12</f>
        <v>0</v>
      </c>
      <c r="K107" s="774" t="n">
        <f aca="false">C107+E107+G107+I107</f>
        <v>116666.666666667</v>
      </c>
      <c r="L107" s="771" t="n">
        <f aca="false">C107+E107+G107+I107</f>
        <v>116666.666666667</v>
      </c>
      <c r="M107" s="774" t="n">
        <f aca="false">D107+F107+H107+J107</f>
        <v>0</v>
      </c>
      <c r="N107" s="775" t="n">
        <f aca="false">K107-M107-S107</f>
        <v>116666.666666667</v>
      </c>
      <c r="O107" s="869"/>
      <c r="P107" s="776" t="n">
        <f aca="false">L107-M107-S107</f>
        <v>116666.666666667</v>
      </c>
      <c r="Q107" s="869"/>
      <c r="R107" s="869"/>
      <c r="S107" s="772" t="n">
        <v>0</v>
      </c>
      <c r="T107" s="869"/>
      <c r="U107" s="869"/>
      <c r="V107" s="869"/>
      <c r="W107" s="869"/>
      <c r="X107" s="869"/>
      <c r="Y107" s="869"/>
      <c r="Z107" s="869"/>
      <c r="AA107" s="869"/>
      <c r="AB107" s="869"/>
      <c r="AC107" s="869"/>
      <c r="AD107" s="869"/>
      <c r="AE107" s="869"/>
      <c r="AF107" s="869"/>
      <c r="AG107" s="869"/>
      <c r="AH107" s="869"/>
      <c r="AI107" s="869"/>
      <c r="AJ107" s="869"/>
      <c r="AK107" s="869"/>
      <c r="AL107" s="869"/>
      <c r="AM107" s="869"/>
      <c r="AN107" s="869"/>
      <c r="AO107" s="869"/>
      <c r="AP107" s="869"/>
      <c r="AQ107" s="869"/>
      <c r="AR107" s="869"/>
      <c r="AS107" s="869"/>
      <c r="AT107" s="869"/>
      <c r="AU107" s="869"/>
      <c r="AV107" s="869"/>
      <c r="AW107" s="869"/>
      <c r="AX107" s="869"/>
      <c r="AY107" s="869"/>
      <c r="AZ107" s="869"/>
      <c r="BA107" s="869"/>
      <c r="BB107" s="869"/>
      <c r="BC107" s="869"/>
      <c r="BD107" s="869"/>
      <c r="BE107" s="869"/>
      <c r="BF107" s="869"/>
      <c r="BG107" s="869"/>
      <c r="BH107" s="869"/>
      <c r="BI107" s="869"/>
      <c r="BJ107" s="869"/>
      <c r="BK107" s="869"/>
      <c r="BL107" s="869"/>
      <c r="BM107" s="869"/>
      <c r="BN107" s="869"/>
      <c r="BO107" s="869"/>
      <c r="BP107" s="869"/>
    </row>
    <row r="108" customFormat="false" ht="12.75" hidden="false" customHeight="false" outlineLevel="0" collapsed="false">
      <c r="A108" s="767" t="n">
        <v>98</v>
      </c>
      <c r="B108" s="768" t="n">
        <v>39479</v>
      </c>
      <c r="C108" s="769" t="n">
        <v>0</v>
      </c>
      <c r="D108" s="770" t="n">
        <v>0</v>
      </c>
      <c r="E108" s="872" t="n">
        <f aca="false">Breakout!$K$215/12</f>
        <v>0</v>
      </c>
      <c r="F108" s="873" t="n">
        <f aca="false">Breakout!$K$216/12</f>
        <v>0</v>
      </c>
      <c r="G108" s="872" t="n">
        <f aca="false">Breakout!$K$222/12</f>
        <v>116666.666666667</v>
      </c>
      <c r="H108" s="873" t="n">
        <f aca="false">Breakout!$K$223/12</f>
        <v>0</v>
      </c>
      <c r="I108" s="872" t="n">
        <f aca="false">Breakout!$K$229/12</f>
        <v>0</v>
      </c>
      <c r="J108" s="873" t="n">
        <f aca="false">Breakout!$K$230/12</f>
        <v>0</v>
      </c>
      <c r="K108" s="774" t="n">
        <f aca="false">C108+E108+G108+I108</f>
        <v>116666.666666667</v>
      </c>
      <c r="L108" s="771" t="n">
        <f aca="false">C108+E108+G108+I108</f>
        <v>116666.666666667</v>
      </c>
      <c r="M108" s="774" t="n">
        <f aca="false">D108+F108+H108+J108</f>
        <v>0</v>
      </c>
      <c r="N108" s="775" t="n">
        <f aca="false">K108-M108-S108</f>
        <v>116666.666666667</v>
      </c>
      <c r="O108" s="431"/>
      <c r="P108" s="776" t="n">
        <f aca="false">L108-M108-S108</f>
        <v>116666.666666667</v>
      </c>
      <c r="Q108" s="431"/>
      <c r="R108" s="431"/>
      <c r="S108" s="772" t="n">
        <v>0</v>
      </c>
      <c r="T108" s="431"/>
      <c r="U108" s="431"/>
      <c r="V108" s="431"/>
    </row>
    <row r="109" customFormat="false" ht="12.75" hidden="false" customHeight="false" outlineLevel="0" collapsed="false">
      <c r="A109" s="767" t="n">
        <v>99</v>
      </c>
      <c r="B109" s="768" t="n">
        <v>39508</v>
      </c>
      <c r="C109" s="769" t="n">
        <v>0</v>
      </c>
      <c r="D109" s="770" t="n">
        <v>0</v>
      </c>
      <c r="E109" s="872" t="n">
        <f aca="false">Breakout!$K$215/12</f>
        <v>0</v>
      </c>
      <c r="F109" s="873" t="n">
        <f aca="false">Breakout!$K$216/12</f>
        <v>0</v>
      </c>
      <c r="G109" s="872" t="n">
        <f aca="false">Breakout!$K$222/12</f>
        <v>116666.666666667</v>
      </c>
      <c r="H109" s="873" t="n">
        <f aca="false">Breakout!$K$223/12</f>
        <v>0</v>
      </c>
      <c r="I109" s="872" t="n">
        <f aca="false">Breakout!$K$229/12</f>
        <v>0</v>
      </c>
      <c r="J109" s="873" t="n">
        <f aca="false">Breakout!$K$230/12</f>
        <v>0</v>
      </c>
      <c r="K109" s="774" t="n">
        <f aca="false">C109+E109+G109+I109</f>
        <v>116666.666666667</v>
      </c>
      <c r="L109" s="771" t="n">
        <f aca="false">C109+E109+G109+I109</f>
        <v>116666.666666667</v>
      </c>
      <c r="M109" s="774" t="n">
        <f aca="false">D109+F109+H109+J109</f>
        <v>0</v>
      </c>
      <c r="N109" s="775" t="n">
        <f aca="false">K109-M109-S109</f>
        <v>116666.666666667</v>
      </c>
      <c r="O109" s="431"/>
      <c r="P109" s="776" t="n">
        <f aca="false">L109-M109-S109</f>
        <v>116666.666666667</v>
      </c>
      <c r="Q109" s="431"/>
      <c r="R109" s="431"/>
      <c r="S109" s="772" t="n">
        <v>0</v>
      </c>
      <c r="T109" s="431"/>
      <c r="U109" s="431"/>
      <c r="V109" s="431"/>
    </row>
    <row r="110" customFormat="false" ht="12.75" hidden="false" customHeight="false" outlineLevel="0" collapsed="false">
      <c r="A110" s="767" t="n">
        <v>100</v>
      </c>
      <c r="B110" s="768" t="n">
        <v>39539</v>
      </c>
      <c r="C110" s="769" t="n">
        <v>0</v>
      </c>
      <c r="D110" s="770" t="n">
        <v>0</v>
      </c>
      <c r="E110" s="872" t="n">
        <f aca="false">Breakout!$K$215/12</f>
        <v>0</v>
      </c>
      <c r="F110" s="873" t="n">
        <f aca="false">Breakout!$K$216/12</f>
        <v>0</v>
      </c>
      <c r="G110" s="872" t="n">
        <f aca="false">Breakout!$K$222/12</f>
        <v>116666.666666667</v>
      </c>
      <c r="H110" s="873" t="n">
        <f aca="false">Breakout!$K$223/12</f>
        <v>0</v>
      </c>
      <c r="I110" s="872" t="n">
        <f aca="false">Breakout!$K$229/12</f>
        <v>0</v>
      </c>
      <c r="J110" s="873" t="n">
        <f aca="false">Breakout!$K$230/12</f>
        <v>0</v>
      </c>
      <c r="K110" s="774" t="n">
        <f aca="false">C110+E110+G110+I110</f>
        <v>116666.666666667</v>
      </c>
      <c r="L110" s="771" t="n">
        <f aca="false">C110+E110+G110+I110</f>
        <v>116666.666666667</v>
      </c>
      <c r="M110" s="774" t="n">
        <f aca="false">D110+F110+H110+J110</f>
        <v>0</v>
      </c>
      <c r="N110" s="775" t="n">
        <f aca="false">K110-M110-S110</f>
        <v>116666.666666667</v>
      </c>
      <c r="O110" s="431"/>
      <c r="P110" s="776" t="n">
        <f aca="false">L110-M110-S110</f>
        <v>116666.666666667</v>
      </c>
      <c r="Q110" s="431"/>
      <c r="R110" s="431"/>
      <c r="S110" s="772" t="n">
        <v>0</v>
      </c>
      <c r="T110" s="431"/>
      <c r="U110" s="431"/>
      <c r="V110" s="431"/>
    </row>
    <row r="111" customFormat="false" ht="12.75" hidden="false" customHeight="false" outlineLevel="0" collapsed="false">
      <c r="A111" s="767" t="n">
        <v>101</v>
      </c>
      <c r="B111" s="768" t="n">
        <v>39569</v>
      </c>
      <c r="C111" s="769" t="n">
        <v>0</v>
      </c>
      <c r="D111" s="770" t="n">
        <v>0</v>
      </c>
      <c r="E111" s="872" t="n">
        <f aca="false">Breakout!$K$215/12</f>
        <v>0</v>
      </c>
      <c r="F111" s="873" t="n">
        <f aca="false">Breakout!$K$216/12</f>
        <v>0</v>
      </c>
      <c r="G111" s="872" t="n">
        <f aca="false">Breakout!$K$222/12</f>
        <v>116666.666666667</v>
      </c>
      <c r="H111" s="873" t="n">
        <f aca="false">Breakout!$K$223/12</f>
        <v>0</v>
      </c>
      <c r="I111" s="872" t="n">
        <f aca="false">Breakout!$K$229/12</f>
        <v>0</v>
      </c>
      <c r="J111" s="873" t="n">
        <f aca="false">Breakout!$K$230/12</f>
        <v>0</v>
      </c>
      <c r="K111" s="774" t="n">
        <f aca="false">C111+E111+G111+I111</f>
        <v>116666.666666667</v>
      </c>
      <c r="L111" s="771" t="n">
        <f aca="false">C111+E111+G111+I111</f>
        <v>116666.666666667</v>
      </c>
      <c r="M111" s="774" t="n">
        <f aca="false">D111+F111+H111+J111</f>
        <v>0</v>
      </c>
      <c r="N111" s="775" t="n">
        <f aca="false">K111-M111-S111</f>
        <v>116666.666666667</v>
      </c>
      <c r="O111" s="431"/>
      <c r="P111" s="776" t="n">
        <f aca="false">L111-M111-S111</f>
        <v>116666.666666667</v>
      </c>
      <c r="Q111" s="431"/>
      <c r="R111" s="431"/>
      <c r="S111" s="772" t="n">
        <v>0</v>
      </c>
      <c r="T111" s="431"/>
      <c r="U111" s="431"/>
      <c r="V111" s="431"/>
    </row>
    <row r="112" customFormat="false" ht="12.75" hidden="false" customHeight="false" outlineLevel="0" collapsed="false">
      <c r="A112" s="767" t="n">
        <v>102</v>
      </c>
      <c r="B112" s="768" t="n">
        <v>39600</v>
      </c>
      <c r="C112" s="769" t="n">
        <v>0</v>
      </c>
      <c r="D112" s="770" t="n">
        <v>0</v>
      </c>
      <c r="E112" s="872" t="n">
        <f aca="false">Breakout!$K$215/12</f>
        <v>0</v>
      </c>
      <c r="F112" s="873" t="n">
        <f aca="false">Breakout!$K$216/12</f>
        <v>0</v>
      </c>
      <c r="G112" s="872" t="n">
        <f aca="false">Breakout!$K$222/12</f>
        <v>116666.666666667</v>
      </c>
      <c r="H112" s="873" t="n">
        <f aca="false">Breakout!$K$223/12</f>
        <v>0</v>
      </c>
      <c r="I112" s="872" t="n">
        <f aca="false">Breakout!$K$229/12</f>
        <v>0</v>
      </c>
      <c r="J112" s="873" t="n">
        <f aca="false">Breakout!$K$230/12</f>
        <v>0</v>
      </c>
      <c r="K112" s="774" t="n">
        <f aca="false">C112+E112+G112+I112</f>
        <v>116666.666666667</v>
      </c>
      <c r="L112" s="771" t="n">
        <f aca="false">C112+E112+G112+I112</f>
        <v>116666.666666667</v>
      </c>
      <c r="M112" s="774" t="n">
        <f aca="false">D112+F112+H112+J112</f>
        <v>0</v>
      </c>
      <c r="N112" s="775" t="n">
        <f aca="false">K112-M112-S112</f>
        <v>116666.666666667</v>
      </c>
      <c r="O112" s="431"/>
      <c r="P112" s="776" t="n">
        <f aca="false">L112-M112-S112</f>
        <v>116666.666666667</v>
      </c>
      <c r="Q112" s="431"/>
      <c r="R112" s="431"/>
      <c r="S112" s="772" t="n">
        <v>0</v>
      </c>
      <c r="T112" s="431"/>
      <c r="U112" s="431"/>
      <c r="V112" s="431"/>
    </row>
    <row r="113" customFormat="false" ht="12.75" hidden="false" customHeight="false" outlineLevel="0" collapsed="false">
      <c r="A113" s="767" t="n">
        <v>103</v>
      </c>
      <c r="B113" s="768" t="n">
        <v>39630</v>
      </c>
      <c r="C113" s="769" t="n">
        <v>0</v>
      </c>
      <c r="D113" s="770" t="n">
        <v>0</v>
      </c>
      <c r="E113" s="872" t="n">
        <f aca="false">Breakout!$K$215/12</f>
        <v>0</v>
      </c>
      <c r="F113" s="873" t="n">
        <f aca="false">Breakout!$K$216/12</f>
        <v>0</v>
      </c>
      <c r="G113" s="872" t="n">
        <f aca="false">Breakout!$K$222/12</f>
        <v>116666.666666667</v>
      </c>
      <c r="H113" s="873" t="n">
        <f aca="false">Breakout!$K$223/12</f>
        <v>0</v>
      </c>
      <c r="I113" s="872" t="n">
        <f aca="false">Breakout!$K$229/12</f>
        <v>0</v>
      </c>
      <c r="J113" s="873" t="n">
        <f aca="false">Breakout!$K$230/12</f>
        <v>0</v>
      </c>
      <c r="K113" s="774" t="n">
        <f aca="false">C113+E113+G113+I113</f>
        <v>116666.666666667</v>
      </c>
      <c r="L113" s="771" t="n">
        <f aca="false">C113+E113+G113+I113</f>
        <v>116666.666666667</v>
      </c>
      <c r="M113" s="774" t="n">
        <f aca="false">D113+F113+H113+J113</f>
        <v>0</v>
      </c>
      <c r="N113" s="775" t="n">
        <f aca="false">K113-M113-S113</f>
        <v>116666.666666667</v>
      </c>
      <c r="O113" s="431"/>
      <c r="P113" s="776" t="n">
        <f aca="false">L113-M113-S113</f>
        <v>116666.666666667</v>
      </c>
      <c r="Q113" s="431"/>
      <c r="R113" s="431"/>
      <c r="S113" s="772" t="n">
        <v>0</v>
      </c>
      <c r="T113" s="431"/>
      <c r="U113" s="431"/>
      <c r="V113" s="431"/>
    </row>
    <row r="114" customFormat="false" ht="12.75" hidden="false" customHeight="false" outlineLevel="0" collapsed="false">
      <c r="A114" s="767" t="n">
        <v>104</v>
      </c>
      <c r="B114" s="768" t="n">
        <v>39661</v>
      </c>
      <c r="C114" s="769" t="n">
        <v>0</v>
      </c>
      <c r="D114" s="770" t="n">
        <v>0</v>
      </c>
      <c r="E114" s="872" t="n">
        <f aca="false">Breakout!$K$215/12</f>
        <v>0</v>
      </c>
      <c r="F114" s="873" t="n">
        <f aca="false">Breakout!$K$216/12</f>
        <v>0</v>
      </c>
      <c r="G114" s="872" t="n">
        <f aca="false">Breakout!$K$222/12</f>
        <v>116666.666666667</v>
      </c>
      <c r="H114" s="873" t="n">
        <f aca="false">Breakout!$K$223/12</f>
        <v>0</v>
      </c>
      <c r="I114" s="872" t="n">
        <f aca="false">Breakout!$K$229/12</f>
        <v>0</v>
      </c>
      <c r="J114" s="873" t="n">
        <f aca="false">Breakout!$K$230/12</f>
        <v>0</v>
      </c>
      <c r="K114" s="774" t="n">
        <f aca="false">C114+E114+G114+I114</f>
        <v>116666.666666667</v>
      </c>
      <c r="L114" s="771" t="n">
        <f aca="false">C114+E114+G114+I114</f>
        <v>116666.666666667</v>
      </c>
      <c r="M114" s="774" t="n">
        <f aca="false">D114+F114+H114+J114</f>
        <v>0</v>
      </c>
      <c r="N114" s="775" t="n">
        <f aca="false">K114-M114-S114</f>
        <v>116666.666666667</v>
      </c>
      <c r="O114" s="431"/>
      <c r="P114" s="776" t="n">
        <f aca="false">L114-M114-S114</f>
        <v>116666.666666667</v>
      </c>
      <c r="Q114" s="431"/>
      <c r="R114" s="431"/>
      <c r="S114" s="772" t="n">
        <v>0</v>
      </c>
      <c r="T114" s="431"/>
      <c r="U114" s="431"/>
      <c r="V114" s="431"/>
    </row>
    <row r="115" customFormat="false" ht="12.75" hidden="false" customHeight="false" outlineLevel="0" collapsed="false">
      <c r="A115" s="767" t="n">
        <v>105</v>
      </c>
      <c r="B115" s="768" t="n">
        <v>39692</v>
      </c>
      <c r="C115" s="769" t="n">
        <v>0</v>
      </c>
      <c r="D115" s="770" t="n">
        <v>0</v>
      </c>
      <c r="E115" s="872" t="n">
        <f aca="false">Breakout!$K$215/12</f>
        <v>0</v>
      </c>
      <c r="F115" s="873" t="n">
        <f aca="false">Breakout!$K$216/12</f>
        <v>0</v>
      </c>
      <c r="G115" s="872" t="n">
        <f aca="false">Breakout!$K$222/12</f>
        <v>116666.666666667</v>
      </c>
      <c r="H115" s="873" t="n">
        <f aca="false">Breakout!$K$223/12</f>
        <v>0</v>
      </c>
      <c r="I115" s="872" t="n">
        <f aca="false">Breakout!$K$229/12</f>
        <v>0</v>
      </c>
      <c r="J115" s="873" t="n">
        <f aca="false">Breakout!$K$230/12</f>
        <v>0</v>
      </c>
      <c r="K115" s="774" t="n">
        <f aca="false">C115+E115+G115+I115</f>
        <v>116666.666666667</v>
      </c>
      <c r="L115" s="771" t="n">
        <f aca="false">C115+E115+G115+I115</f>
        <v>116666.666666667</v>
      </c>
      <c r="M115" s="774" t="n">
        <f aca="false">D115+F115+H115+J115</f>
        <v>0</v>
      </c>
      <c r="N115" s="775" t="n">
        <f aca="false">K115-M115-S115</f>
        <v>116666.666666667</v>
      </c>
      <c r="O115" s="431"/>
      <c r="P115" s="776" t="n">
        <f aca="false">L115-M115-S115</f>
        <v>116666.666666667</v>
      </c>
      <c r="Q115" s="431"/>
      <c r="R115" s="431"/>
      <c r="S115" s="772" t="n">
        <v>0</v>
      </c>
      <c r="T115" s="431"/>
      <c r="U115" s="431"/>
      <c r="V115" s="431"/>
    </row>
    <row r="116" customFormat="false" ht="12.75" hidden="false" customHeight="false" outlineLevel="0" collapsed="false">
      <c r="A116" s="767" t="n">
        <v>106</v>
      </c>
      <c r="B116" s="768" t="n">
        <v>39722</v>
      </c>
      <c r="C116" s="769" t="n">
        <v>0</v>
      </c>
      <c r="D116" s="770" t="n">
        <v>0</v>
      </c>
      <c r="E116" s="872" t="n">
        <f aca="false">Breakout!$K$215/12</f>
        <v>0</v>
      </c>
      <c r="F116" s="873" t="n">
        <f aca="false">Breakout!$K$216/12</f>
        <v>0</v>
      </c>
      <c r="G116" s="872" t="n">
        <f aca="false">Breakout!$K$222/12</f>
        <v>116666.666666667</v>
      </c>
      <c r="H116" s="873" t="n">
        <f aca="false">Breakout!$K$223/12</f>
        <v>0</v>
      </c>
      <c r="I116" s="872" t="n">
        <f aca="false">Breakout!$K$229/12</f>
        <v>0</v>
      </c>
      <c r="J116" s="873" t="n">
        <f aca="false">Breakout!$K$230/12</f>
        <v>0</v>
      </c>
      <c r="K116" s="774" t="n">
        <f aca="false">C116+E116+G116+I116</f>
        <v>116666.666666667</v>
      </c>
      <c r="L116" s="771" t="n">
        <f aca="false">C116+E116+G116+I116</f>
        <v>116666.666666667</v>
      </c>
      <c r="M116" s="774" t="n">
        <f aca="false">D116+F116+H116+J116</f>
        <v>0</v>
      </c>
      <c r="N116" s="775" t="n">
        <f aca="false">K116-M116-S116</f>
        <v>116666.666666667</v>
      </c>
      <c r="O116" s="431"/>
      <c r="P116" s="776" t="n">
        <f aca="false">L116-M116-S116</f>
        <v>116666.666666667</v>
      </c>
      <c r="Q116" s="431"/>
      <c r="R116" s="431"/>
      <c r="S116" s="772" t="n">
        <v>0</v>
      </c>
      <c r="T116" s="431"/>
      <c r="U116" s="431"/>
      <c r="V116" s="431"/>
    </row>
    <row r="117" customFormat="false" ht="12.75" hidden="false" customHeight="false" outlineLevel="0" collapsed="false">
      <c r="A117" s="767" t="n">
        <v>107</v>
      </c>
      <c r="B117" s="768" t="n">
        <v>39753</v>
      </c>
      <c r="C117" s="769" t="n">
        <v>0</v>
      </c>
      <c r="D117" s="770" t="n">
        <v>0</v>
      </c>
      <c r="E117" s="872" t="n">
        <f aca="false">Breakout!$K$215/12</f>
        <v>0</v>
      </c>
      <c r="F117" s="873" t="n">
        <f aca="false">Breakout!$K$216/12</f>
        <v>0</v>
      </c>
      <c r="G117" s="872" t="n">
        <f aca="false">Breakout!$K$222/12</f>
        <v>116666.666666667</v>
      </c>
      <c r="H117" s="873" t="n">
        <f aca="false">Breakout!$K$223/12</f>
        <v>0</v>
      </c>
      <c r="I117" s="872" t="n">
        <f aca="false">Breakout!$K$229/12</f>
        <v>0</v>
      </c>
      <c r="J117" s="873" t="n">
        <f aca="false">Breakout!$K$230/12</f>
        <v>0</v>
      </c>
      <c r="K117" s="774" t="n">
        <f aca="false">C117+E117+G117+I117</f>
        <v>116666.666666667</v>
      </c>
      <c r="L117" s="771" t="n">
        <f aca="false">C117+E117+G117+I117</f>
        <v>116666.666666667</v>
      </c>
      <c r="M117" s="774" t="n">
        <f aca="false">D117+F117+H117+J117</f>
        <v>0</v>
      </c>
      <c r="N117" s="775" t="n">
        <f aca="false">K117-M117-S117</f>
        <v>116666.666666667</v>
      </c>
      <c r="O117" s="431"/>
      <c r="P117" s="776" t="n">
        <f aca="false">L117-M117-S117</f>
        <v>116666.666666667</v>
      </c>
      <c r="Q117" s="431"/>
      <c r="R117" s="431"/>
      <c r="S117" s="772" t="n">
        <v>0</v>
      </c>
      <c r="T117" s="431"/>
      <c r="U117" s="431"/>
      <c r="V117" s="431"/>
    </row>
    <row r="118" customFormat="false" ht="12.75" hidden="false" customHeight="false" outlineLevel="0" collapsed="false">
      <c r="A118" s="881" t="n">
        <v>108</v>
      </c>
      <c r="B118" s="894" t="n">
        <v>39783</v>
      </c>
      <c r="C118" s="769" t="n">
        <v>0</v>
      </c>
      <c r="D118" s="770" t="n">
        <v>0</v>
      </c>
      <c r="E118" s="886" t="n">
        <f aca="false">Breakout!$K$215/12</f>
        <v>0</v>
      </c>
      <c r="F118" s="883" t="n">
        <f aca="false">Breakout!$K$216/12</f>
        <v>0</v>
      </c>
      <c r="G118" s="886" t="n">
        <f aca="false">Breakout!$K$222/12</f>
        <v>116666.666666667</v>
      </c>
      <c r="H118" s="883" t="n">
        <f aca="false">Breakout!$K$223/12</f>
        <v>0</v>
      </c>
      <c r="I118" s="886" t="n">
        <f aca="false">Breakout!$K$229/12</f>
        <v>0</v>
      </c>
      <c r="J118" s="883" t="n">
        <f aca="false">Breakout!$K$230/12</f>
        <v>0</v>
      </c>
      <c r="K118" s="774" t="n">
        <f aca="false">C118+E118+G118+I118</f>
        <v>116666.666666667</v>
      </c>
      <c r="L118" s="771" t="n">
        <f aca="false">C118+E118+G118+I118</f>
        <v>116666.666666667</v>
      </c>
      <c r="M118" s="774" t="n">
        <f aca="false">D118+F118+H118+J118</f>
        <v>0</v>
      </c>
      <c r="N118" s="775" t="n">
        <f aca="false">K118-M118-S118</f>
        <v>116666.666666667</v>
      </c>
      <c r="O118" s="885" t="n">
        <f aca="false">SUM(N107:N118)</f>
        <v>1400000</v>
      </c>
      <c r="P118" s="776" t="n">
        <f aca="false">L118-M118-S118</f>
        <v>116666.666666667</v>
      </c>
      <c r="Q118" s="885" t="n">
        <f aca="false">SUM(P107:P118)</f>
        <v>1400000</v>
      </c>
      <c r="R118" s="885"/>
      <c r="S118" s="772" t="n">
        <v>0</v>
      </c>
      <c r="T118" s="885"/>
      <c r="U118" s="885"/>
      <c r="V118" s="885"/>
      <c r="W118" s="885"/>
      <c r="X118" s="885"/>
      <c r="Y118" s="885"/>
      <c r="Z118" s="885"/>
      <c r="AA118" s="885"/>
      <c r="AB118" s="885"/>
      <c r="AC118" s="885"/>
      <c r="AD118" s="885"/>
      <c r="AE118" s="885"/>
      <c r="AF118" s="885"/>
      <c r="AG118" s="885"/>
      <c r="AH118" s="885"/>
      <c r="AI118" s="885"/>
      <c r="AJ118" s="885"/>
      <c r="AK118" s="885"/>
      <c r="AL118" s="885"/>
      <c r="AM118" s="885"/>
      <c r="AN118" s="885"/>
      <c r="AO118" s="885"/>
      <c r="AP118" s="885"/>
      <c r="AQ118" s="885"/>
      <c r="AR118" s="885"/>
      <c r="AS118" s="885"/>
      <c r="AT118" s="885"/>
      <c r="AU118" s="885"/>
      <c r="AV118" s="885"/>
      <c r="AW118" s="885"/>
      <c r="AX118" s="885"/>
      <c r="AY118" s="885"/>
      <c r="AZ118" s="885"/>
      <c r="BA118" s="885"/>
      <c r="BB118" s="885"/>
      <c r="BC118" s="885"/>
      <c r="BD118" s="885"/>
      <c r="BE118" s="885"/>
      <c r="BF118" s="885"/>
      <c r="BG118" s="885"/>
      <c r="BH118" s="885"/>
      <c r="BI118" s="885"/>
      <c r="BJ118" s="885"/>
      <c r="BK118" s="885"/>
      <c r="BL118" s="885"/>
      <c r="BM118" s="885"/>
      <c r="BN118" s="885"/>
      <c r="BO118" s="885"/>
      <c r="BP118" s="885"/>
    </row>
    <row r="119" customFormat="false" ht="12.75" hidden="false" customHeight="false" outlineLevel="0" collapsed="false">
      <c r="A119" s="866" t="n">
        <v>109</v>
      </c>
      <c r="B119" s="897" t="n">
        <v>39814</v>
      </c>
      <c r="C119" s="769" t="n">
        <v>0</v>
      </c>
      <c r="D119" s="770" t="n">
        <v>0</v>
      </c>
      <c r="E119" s="868" t="n">
        <f aca="false">Breakout!$L$215/12</f>
        <v>0</v>
      </c>
      <c r="F119" s="870" t="n">
        <f aca="false">Breakout!$L$216/12</f>
        <v>0</v>
      </c>
      <c r="G119" s="868" t="n">
        <f aca="false">Breakout!$L$222/12</f>
        <v>129166.666666667</v>
      </c>
      <c r="H119" s="870" t="n">
        <f aca="false">Breakout!$L$223/12</f>
        <v>0</v>
      </c>
      <c r="I119" s="868" t="n">
        <f aca="false">Breakout!$L$229/12</f>
        <v>0</v>
      </c>
      <c r="J119" s="870" t="n">
        <f aca="false">Breakout!$L$230/12</f>
        <v>0</v>
      </c>
      <c r="K119" s="774" t="n">
        <f aca="false">C119+E119+G119+I119</f>
        <v>129166.666666667</v>
      </c>
      <c r="L119" s="771" t="n">
        <f aca="false">C119+E119+G119+I119</f>
        <v>129166.666666667</v>
      </c>
      <c r="M119" s="774" t="n">
        <f aca="false">D119+F119+H119+J119</f>
        <v>0</v>
      </c>
      <c r="N119" s="775" t="n">
        <f aca="false">K119-M119-S119</f>
        <v>129166.666666667</v>
      </c>
      <c r="O119" s="869"/>
      <c r="P119" s="776" t="n">
        <f aca="false">L119-M119-S119</f>
        <v>129166.666666667</v>
      </c>
      <c r="Q119" s="869"/>
      <c r="R119" s="869"/>
      <c r="S119" s="772" t="n">
        <v>0</v>
      </c>
      <c r="T119" s="869"/>
      <c r="U119" s="869"/>
      <c r="V119" s="869"/>
      <c r="W119" s="869"/>
      <c r="X119" s="869"/>
      <c r="Y119" s="869"/>
      <c r="Z119" s="869"/>
      <c r="AA119" s="869"/>
      <c r="AB119" s="869"/>
      <c r="AC119" s="869"/>
      <c r="AD119" s="869"/>
      <c r="AE119" s="869"/>
      <c r="AF119" s="869"/>
      <c r="AG119" s="869"/>
      <c r="AH119" s="869"/>
      <c r="AI119" s="869"/>
      <c r="AJ119" s="869"/>
      <c r="AK119" s="869"/>
      <c r="AL119" s="869"/>
      <c r="AM119" s="869"/>
      <c r="AN119" s="869"/>
      <c r="AO119" s="869"/>
      <c r="AP119" s="869"/>
      <c r="AQ119" s="869"/>
      <c r="AR119" s="869"/>
      <c r="AS119" s="869"/>
      <c r="AT119" s="869"/>
      <c r="AU119" s="869"/>
      <c r="AV119" s="869"/>
      <c r="AW119" s="869"/>
      <c r="AX119" s="869"/>
      <c r="AY119" s="869"/>
      <c r="AZ119" s="869"/>
      <c r="BA119" s="869"/>
      <c r="BB119" s="869"/>
      <c r="BC119" s="869"/>
      <c r="BD119" s="869"/>
      <c r="BE119" s="869"/>
      <c r="BF119" s="869"/>
      <c r="BG119" s="869"/>
      <c r="BH119" s="869"/>
      <c r="BI119" s="869"/>
      <c r="BJ119" s="869"/>
      <c r="BK119" s="869"/>
      <c r="BL119" s="869"/>
      <c r="BM119" s="869"/>
      <c r="BN119" s="869"/>
      <c r="BO119" s="869"/>
      <c r="BP119" s="869"/>
    </row>
    <row r="120" customFormat="false" ht="12.75" hidden="false" customHeight="false" outlineLevel="0" collapsed="false">
      <c r="A120" s="767" t="n">
        <v>110</v>
      </c>
      <c r="B120" s="768" t="n">
        <v>39845</v>
      </c>
      <c r="C120" s="769" t="n">
        <v>0</v>
      </c>
      <c r="D120" s="770" t="n">
        <v>0</v>
      </c>
      <c r="E120" s="872" t="n">
        <f aca="false">Breakout!$L$215/12</f>
        <v>0</v>
      </c>
      <c r="F120" s="873" t="n">
        <f aca="false">Breakout!$L$216/12</f>
        <v>0</v>
      </c>
      <c r="G120" s="872" t="n">
        <f aca="false">Breakout!$L$222/12</f>
        <v>129166.666666667</v>
      </c>
      <c r="H120" s="873" t="n">
        <f aca="false">Breakout!$L$223/12</f>
        <v>0</v>
      </c>
      <c r="I120" s="872" t="n">
        <f aca="false">Breakout!$L$229/12</f>
        <v>0</v>
      </c>
      <c r="J120" s="873" t="n">
        <f aca="false">Breakout!$L$230/12</f>
        <v>0</v>
      </c>
      <c r="K120" s="774" t="n">
        <f aca="false">C120+E120+G120+I120</f>
        <v>129166.666666667</v>
      </c>
      <c r="L120" s="771" t="n">
        <f aca="false">C120+E120+G120+I120</f>
        <v>129166.666666667</v>
      </c>
      <c r="M120" s="774" t="n">
        <f aca="false">D120+F120+H120+J120</f>
        <v>0</v>
      </c>
      <c r="N120" s="775" t="n">
        <f aca="false">K120-M120-S120</f>
        <v>129166.666666667</v>
      </c>
      <c r="O120" s="431"/>
      <c r="P120" s="776" t="n">
        <f aca="false">L120-M120-S120</f>
        <v>129166.666666667</v>
      </c>
      <c r="Q120" s="431"/>
      <c r="R120" s="431"/>
      <c r="S120" s="772" t="n">
        <v>0</v>
      </c>
      <c r="T120" s="431"/>
      <c r="U120" s="431"/>
      <c r="V120" s="431"/>
    </row>
    <row r="121" customFormat="false" ht="12.75" hidden="false" customHeight="false" outlineLevel="0" collapsed="false">
      <c r="A121" s="767" t="n">
        <v>111</v>
      </c>
      <c r="B121" s="768" t="n">
        <v>39873</v>
      </c>
      <c r="C121" s="769" t="n">
        <v>0</v>
      </c>
      <c r="D121" s="770" t="n">
        <v>0</v>
      </c>
      <c r="E121" s="872" t="n">
        <f aca="false">Breakout!$L$215/12</f>
        <v>0</v>
      </c>
      <c r="F121" s="873" t="n">
        <f aca="false">Breakout!$L$216/12</f>
        <v>0</v>
      </c>
      <c r="G121" s="872" t="n">
        <f aca="false">Breakout!$L$222/12</f>
        <v>129166.666666667</v>
      </c>
      <c r="H121" s="873" t="n">
        <f aca="false">Breakout!$L$223/12</f>
        <v>0</v>
      </c>
      <c r="I121" s="872" t="n">
        <f aca="false">Breakout!$L$229/12</f>
        <v>0</v>
      </c>
      <c r="J121" s="873" t="n">
        <f aca="false">Breakout!$L$230/12</f>
        <v>0</v>
      </c>
      <c r="K121" s="774" t="n">
        <f aca="false">C121+E121+G121+I121</f>
        <v>129166.666666667</v>
      </c>
      <c r="L121" s="771" t="n">
        <f aca="false">C121+E121+G121+I121</f>
        <v>129166.666666667</v>
      </c>
      <c r="M121" s="774" t="n">
        <f aca="false">D121+F121+H121+J121</f>
        <v>0</v>
      </c>
      <c r="N121" s="775" t="n">
        <f aca="false">K121-M121-S121</f>
        <v>129166.666666667</v>
      </c>
      <c r="O121" s="431"/>
      <c r="P121" s="776" t="n">
        <f aca="false">L121-M121-S121</f>
        <v>129166.666666667</v>
      </c>
      <c r="Q121" s="431"/>
      <c r="R121" s="431"/>
      <c r="S121" s="772" t="n">
        <v>0</v>
      </c>
      <c r="T121" s="431"/>
      <c r="U121" s="431"/>
      <c r="V121" s="431"/>
    </row>
    <row r="122" customFormat="false" ht="12.75" hidden="false" customHeight="false" outlineLevel="0" collapsed="false">
      <c r="A122" s="767" t="n">
        <v>112</v>
      </c>
      <c r="B122" s="768" t="n">
        <v>39904</v>
      </c>
      <c r="C122" s="769" t="n">
        <v>0</v>
      </c>
      <c r="D122" s="770" t="n">
        <v>0</v>
      </c>
      <c r="E122" s="872" t="n">
        <f aca="false">Breakout!$L$215/12</f>
        <v>0</v>
      </c>
      <c r="F122" s="873" t="n">
        <f aca="false">Breakout!$L$216/12</f>
        <v>0</v>
      </c>
      <c r="G122" s="872" t="n">
        <f aca="false">Breakout!$L$222/12</f>
        <v>129166.666666667</v>
      </c>
      <c r="H122" s="873" t="n">
        <f aca="false">Breakout!$L$223/12</f>
        <v>0</v>
      </c>
      <c r="I122" s="872" t="n">
        <f aca="false">Breakout!$L$229/12</f>
        <v>0</v>
      </c>
      <c r="J122" s="873" t="n">
        <f aca="false">Breakout!$L$230/12</f>
        <v>0</v>
      </c>
      <c r="K122" s="774" t="n">
        <f aca="false">C122+E122+G122+I122</f>
        <v>129166.666666667</v>
      </c>
      <c r="L122" s="771" t="n">
        <f aca="false">C122+E122+G122+I122</f>
        <v>129166.666666667</v>
      </c>
      <c r="M122" s="774" t="n">
        <f aca="false">D122+F122+H122+J122</f>
        <v>0</v>
      </c>
      <c r="N122" s="775" t="n">
        <f aca="false">K122-M122-S122</f>
        <v>129166.666666667</v>
      </c>
      <c r="O122" s="431"/>
      <c r="P122" s="776" t="n">
        <f aca="false">L122-M122-S122</f>
        <v>129166.666666667</v>
      </c>
      <c r="Q122" s="431"/>
      <c r="R122" s="431"/>
      <c r="S122" s="772" t="n">
        <v>0</v>
      </c>
      <c r="T122" s="431"/>
      <c r="U122" s="431"/>
      <c r="V122" s="431"/>
    </row>
    <row r="123" customFormat="false" ht="12.75" hidden="false" customHeight="false" outlineLevel="0" collapsed="false">
      <c r="A123" s="767" t="n">
        <v>113</v>
      </c>
      <c r="B123" s="768" t="n">
        <v>39934</v>
      </c>
      <c r="C123" s="769" t="n">
        <v>0</v>
      </c>
      <c r="D123" s="770" t="n">
        <v>0</v>
      </c>
      <c r="E123" s="872" t="n">
        <f aca="false">Breakout!$L$215/12</f>
        <v>0</v>
      </c>
      <c r="F123" s="873" t="n">
        <f aca="false">Breakout!$L$216/12</f>
        <v>0</v>
      </c>
      <c r="G123" s="872" t="n">
        <f aca="false">Breakout!$L$222/12</f>
        <v>129166.666666667</v>
      </c>
      <c r="H123" s="873" t="n">
        <f aca="false">Breakout!$L$223/12</f>
        <v>0</v>
      </c>
      <c r="I123" s="872" t="n">
        <f aca="false">Breakout!$L$229/12</f>
        <v>0</v>
      </c>
      <c r="J123" s="873" t="n">
        <f aca="false">Breakout!$L$230/12</f>
        <v>0</v>
      </c>
      <c r="K123" s="774" t="n">
        <f aca="false">C123+E123+G123+I123</f>
        <v>129166.666666667</v>
      </c>
      <c r="L123" s="771" t="n">
        <f aca="false">C123+E123+G123+I123</f>
        <v>129166.666666667</v>
      </c>
      <c r="M123" s="774" t="n">
        <f aca="false">D123+F123+H123+J123</f>
        <v>0</v>
      </c>
      <c r="N123" s="775" t="n">
        <f aca="false">K123-M123-S123</f>
        <v>129166.666666667</v>
      </c>
      <c r="O123" s="431"/>
      <c r="P123" s="776" t="n">
        <f aca="false">L123-M123-S123</f>
        <v>129166.666666667</v>
      </c>
      <c r="Q123" s="431"/>
      <c r="R123" s="431"/>
      <c r="S123" s="772" t="n">
        <v>0</v>
      </c>
      <c r="T123" s="431"/>
      <c r="U123" s="431"/>
      <c r="V123" s="431"/>
    </row>
    <row r="124" customFormat="false" ht="12.75" hidden="false" customHeight="false" outlineLevel="0" collapsed="false">
      <c r="A124" s="767" t="n">
        <v>114</v>
      </c>
      <c r="B124" s="768" t="n">
        <v>39965</v>
      </c>
      <c r="C124" s="769" t="n">
        <v>0</v>
      </c>
      <c r="D124" s="770" t="n">
        <v>0</v>
      </c>
      <c r="E124" s="872" t="n">
        <f aca="false">Breakout!$L$215/12</f>
        <v>0</v>
      </c>
      <c r="F124" s="873" t="n">
        <f aca="false">Breakout!$L$216/12</f>
        <v>0</v>
      </c>
      <c r="G124" s="872" t="n">
        <f aca="false">Breakout!$L$222/12</f>
        <v>129166.666666667</v>
      </c>
      <c r="H124" s="873" t="n">
        <f aca="false">Breakout!$L$223/12</f>
        <v>0</v>
      </c>
      <c r="I124" s="872" t="n">
        <f aca="false">Breakout!$L$229/12</f>
        <v>0</v>
      </c>
      <c r="J124" s="873" t="n">
        <f aca="false">Breakout!$L$230/12</f>
        <v>0</v>
      </c>
      <c r="K124" s="774" t="n">
        <f aca="false">C124+E124+G124+I124</f>
        <v>129166.666666667</v>
      </c>
      <c r="L124" s="771" t="n">
        <f aca="false">C124+E124+G124+I124</f>
        <v>129166.666666667</v>
      </c>
      <c r="M124" s="774" t="n">
        <f aca="false">D124+F124+H124+J124</f>
        <v>0</v>
      </c>
      <c r="N124" s="775" t="n">
        <f aca="false">K124-M124-S124</f>
        <v>129166.666666667</v>
      </c>
      <c r="O124" s="431"/>
      <c r="P124" s="776" t="n">
        <f aca="false">L124-M124-S124</f>
        <v>129166.666666667</v>
      </c>
      <c r="Q124" s="431"/>
      <c r="R124" s="431"/>
      <c r="S124" s="772" t="n">
        <v>0</v>
      </c>
      <c r="T124" s="431"/>
      <c r="U124" s="431"/>
      <c r="V124" s="431"/>
    </row>
    <row r="125" customFormat="false" ht="12.75" hidden="false" customHeight="false" outlineLevel="0" collapsed="false">
      <c r="A125" s="767" t="n">
        <v>115</v>
      </c>
      <c r="B125" s="768" t="n">
        <v>39995</v>
      </c>
      <c r="C125" s="769" t="n">
        <v>0</v>
      </c>
      <c r="D125" s="770" t="n">
        <v>0</v>
      </c>
      <c r="E125" s="872" t="n">
        <f aca="false">Breakout!$L$215/12</f>
        <v>0</v>
      </c>
      <c r="F125" s="873" t="n">
        <f aca="false">Breakout!$L$216/12</f>
        <v>0</v>
      </c>
      <c r="G125" s="872" t="n">
        <f aca="false">Breakout!$L$222/12</f>
        <v>129166.666666667</v>
      </c>
      <c r="H125" s="873" t="n">
        <f aca="false">Breakout!$L$223/12</f>
        <v>0</v>
      </c>
      <c r="I125" s="872" t="n">
        <f aca="false">Breakout!$L$229/12</f>
        <v>0</v>
      </c>
      <c r="J125" s="873" t="n">
        <f aca="false">Breakout!$L$230/12</f>
        <v>0</v>
      </c>
      <c r="K125" s="774" t="n">
        <f aca="false">C125+E125+G125+I125</f>
        <v>129166.666666667</v>
      </c>
      <c r="L125" s="771" t="n">
        <f aca="false">C125+E125+G125+I125</f>
        <v>129166.666666667</v>
      </c>
      <c r="M125" s="774" t="n">
        <f aca="false">D125+F125+H125+J125</f>
        <v>0</v>
      </c>
      <c r="N125" s="775" t="n">
        <f aca="false">K125-M125-S125</f>
        <v>129166.666666667</v>
      </c>
      <c r="O125" s="431"/>
      <c r="P125" s="776" t="n">
        <f aca="false">L125-M125-S125</f>
        <v>129166.666666667</v>
      </c>
      <c r="Q125" s="431"/>
      <c r="R125" s="431"/>
      <c r="S125" s="772" t="n">
        <v>0</v>
      </c>
      <c r="T125" s="431"/>
      <c r="U125" s="431"/>
      <c r="V125" s="431"/>
    </row>
    <row r="126" customFormat="false" ht="12.75" hidden="false" customHeight="false" outlineLevel="0" collapsed="false">
      <c r="A126" s="767" t="n">
        <v>116</v>
      </c>
      <c r="B126" s="768" t="n">
        <v>40026</v>
      </c>
      <c r="C126" s="769" t="n">
        <v>0</v>
      </c>
      <c r="D126" s="770" t="n">
        <v>0</v>
      </c>
      <c r="E126" s="872" t="n">
        <f aca="false">Breakout!$L$215/12</f>
        <v>0</v>
      </c>
      <c r="F126" s="873" t="n">
        <f aca="false">Breakout!$L$216/12</f>
        <v>0</v>
      </c>
      <c r="G126" s="872" t="n">
        <f aca="false">Breakout!$L$222/12</f>
        <v>129166.666666667</v>
      </c>
      <c r="H126" s="873" t="n">
        <f aca="false">Breakout!$L$223/12</f>
        <v>0</v>
      </c>
      <c r="I126" s="872" t="n">
        <f aca="false">Breakout!$L$229/12</f>
        <v>0</v>
      </c>
      <c r="J126" s="873" t="n">
        <f aca="false">Breakout!$L$230/12</f>
        <v>0</v>
      </c>
      <c r="K126" s="774" t="n">
        <f aca="false">C126+E126+G126+I126</f>
        <v>129166.666666667</v>
      </c>
      <c r="L126" s="771" t="n">
        <f aca="false">C126+E126+G126+I126</f>
        <v>129166.666666667</v>
      </c>
      <c r="M126" s="774" t="n">
        <f aca="false">D126+F126+H126+J126</f>
        <v>0</v>
      </c>
      <c r="N126" s="775" t="n">
        <f aca="false">K126-M126-S126</f>
        <v>129166.666666667</v>
      </c>
      <c r="O126" s="431"/>
      <c r="P126" s="776" t="n">
        <f aca="false">L126-M126-S126</f>
        <v>129166.666666667</v>
      </c>
      <c r="Q126" s="431"/>
      <c r="R126" s="431"/>
      <c r="S126" s="772" t="n">
        <v>0</v>
      </c>
      <c r="T126" s="431"/>
      <c r="U126" s="431"/>
      <c r="V126" s="431"/>
    </row>
    <row r="127" customFormat="false" ht="12.75" hidden="false" customHeight="false" outlineLevel="0" collapsed="false">
      <c r="A127" s="767" t="n">
        <v>117</v>
      </c>
      <c r="B127" s="768" t="n">
        <v>40057</v>
      </c>
      <c r="C127" s="769" t="n">
        <v>0</v>
      </c>
      <c r="D127" s="770" t="n">
        <v>0</v>
      </c>
      <c r="E127" s="872" t="n">
        <f aca="false">Breakout!$L$215/12</f>
        <v>0</v>
      </c>
      <c r="F127" s="873" t="n">
        <f aca="false">Breakout!$L$216/12</f>
        <v>0</v>
      </c>
      <c r="G127" s="872" t="n">
        <f aca="false">Breakout!$L$222/12</f>
        <v>129166.666666667</v>
      </c>
      <c r="H127" s="873" t="n">
        <f aca="false">Breakout!$L$223/12</f>
        <v>0</v>
      </c>
      <c r="I127" s="872" t="n">
        <f aca="false">Breakout!$L$229/12</f>
        <v>0</v>
      </c>
      <c r="J127" s="873" t="n">
        <f aca="false">Breakout!$L$230/12</f>
        <v>0</v>
      </c>
      <c r="K127" s="774" t="n">
        <f aca="false">C127+E127+G127+I127</f>
        <v>129166.666666667</v>
      </c>
      <c r="L127" s="771" t="n">
        <f aca="false">C127+E127+G127+I127</f>
        <v>129166.666666667</v>
      </c>
      <c r="M127" s="774" t="n">
        <f aca="false">D127+F127+H127+J127</f>
        <v>0</v>
      </c>
      <c r="N127" s="775" t="n">
        <f aca="false">K127-M127-S127</f>
        <v>129166.666666667</v>
      </c>
      <c r="O127" s="431"/>
      <c r="P127" s="776" t="n">
        <f aca="false">L127-M127-S127</f>
        <v>129166.666666667</v>
      </c>
      <c r="Q127" s="431"/>
      <c r="R127" s="431"/>
      <c r="S127" s="772" t="n">
        <v>0</v>
      </c>
      <c r="T127" s="431"/>
      <c r="U127" s="431"/>
      <c r="V127" s="431"/>
    </row>
    <row r="128" customFormat="false" ht="12.75" hidden="false" customHeight="false" outlineLevel="0" collapsed="false">
      <c r="A128" s="767" t="n">
        <v>118</v>
      </c>
      <c r="B128" s="768" t="n">
        <v>40087</v>
      </c>
      <c r="C128" s="769" t="n">
        <v>0</v>
      </c>
      <c r="D128" s="770" t="n">
        <v>0</v>
      </c>
      <c r="E128" s="872" t="n">
        <f aca="false">Breakout!$L$215/12</f>
        <v>0</v>
      </c>
      <c r="F128" s="873" t="n">
        <f aca="false">Breakout!$L$216/12</f>
        <v>0</v>
      </c>
      <c r="G128" s="872" t="n">
        <f aca="false">Breakout!$L$222/12</f>
        <v>129166.666666667</v>
      </c>
      <c r="H128" s="873" t="n">
        <f aca="false">Breakout!$L$223/12</f>
        <v>0</v>
      </c>
      <c r="I128" s="872" t="n">
        <f aca="false">Breakout!$L$229/12</f>
        <v>0</v>
      </c>
      <c r="J128" s="873" t="n">
        <f aca="false">Breakout!$L$230/12</f>
        <v>0</v>
      </c>
      <c r="K128" s="774" t="n">
        <f aca="false">C128+E128+G128+I128</f>
        <v>129166.666666667</v>
      </c>
      <c r="L128" s="771" t="n">
        <f aca="false">C128+E128+G128+I128</f>
        <v>129166.666666667</v>
      </c>
      <c r="M128" s="774" t="n">
        <f aca="false">D128+F128+H128+J128</f>
        <v>0</v>
      </c>
      <c r="N128" s="775" t="n">
        <f aca="false">K128-M128-S128</f>
        <v>129166.666666667</v>
      </c>
      <c r="O128" s="431"/>
      <c r="P128" s="776" t="n">
        <f aca="false">L128-M128-S128</f>
        <v>129166.666666667</v>
      </c>
      <c r="Q128" s="431"/>
      <c r="R128" s="431"/>
      <c r="S128" s="772" t="n">
        <v>0</v>
      </c>
      <c r="T128" s="431"/>
      <c r="U128" s="431"/>
      <c r="V128" s="431"/>
    </row>
    <row r="129" customFormat="false" ht="12.75" hidden="false" customHeight="false" outlineLevel="0" collapsed="false">
      <c r="A129" s="767" t="n">
        <v>119</v>
      </c>
      <c r="B129" s="768" t="n">
        <v>40118</v>
      </c>
      <c r="C129" s="769" t="n">
        <v>0</v>
      </c>
      <c r="D129" s="770" t="n">
        <v>0</v>
      </c>
      <c r="E129" s="872" t="n">
        <f aca="false">Breakout!$L$215/12</f>
        <v>0</v>
      </c>
      <c r="F129" s="873" t="n">
        <f aca="false">Breakout!$L$216/12</f>
        <v>0</v>
      </c>
      <c r="G129" s="872" t="n">
        <f aca="false">Breakout!$L$222/12</f>
        <v>129166.666666667</v>
      </c>
      <c r="H129" s="873" t="n">
        <f aca="false">Breakout!$L$223/12</f>
        <v>0</v>
      </c>
      <c r="I129" s="872" t="n">
        <f aca="false">Breakout!$L$229/12</f>
        <v>0</v>
      </c>
      <c r="J129" s="873" t="n">
        <f aca="false">Breakout!$L$230/12</f>
        <v>0</v>
      </c>
      <c r="K129" s="774" t="n">
        <f aca="false">C129+E129+G129+I129</f>
        <v>129166.666666667</v>
      </c>
      <c r="L129" s="771" t="n">
        <f aca="false">C129+E129+G129+I129</f>
        <v>129166.666666667</v>
      </c>
      <c r="M129" s="774" t="n">
        <f aca="false">D129+F129+H129+J129</f>
        <v>0</v>
      </c>
      <c r="N129" s="775" t="n">
        <f aca="false">K129-M129-S129</f>
        <v>129166.666666667</v>
      </c>
      <c r="O129" s="431"/>
      <c r="P129" s="776" t="n">
        <f aca="false">L129-M129-S129</f>
        <v>129166.666666667</v>
      </c>
      <c r="Q129" s="431"/>
      <c r="R129" s="431"/>
      <c r="S129" s="772" t="n">
        <v>0</v>
      </c>
      <c r="T129" s="431"/>
      <c r="U129" s="431"/>
      <c r="V129" s="431"/>
    </row>
    <row r="130" customFormat="false" ht="12.75" hidden="false" customHeight="false" outlineLevel="0" collapsed="false">
      <c r="A130" s="881" t="n">
        <v>120</v>
      </c>
      <c r="B130" s="894" t="n">
        <v>40148</v>
      </c>
      <c r="C130" s="769" t="n">
        <v>0</v>
      </c>
      <c r="D130" s="770" t="n">
        <v>0</v>
      </c>
      <c r="E130" s="886" t="n">
        <f aca="false">Breakout!$L$215/12</f>
        <v>0</v>
      </c>
      <c r="F130" s="883" t="n">
        <f aca="false">Breakout!$L$216/12</f>
        <v>0</v>
      </c>
      <c r="G130" s="886" t="n">
        <f aca="false">Breakout!$L$222/12</f>
        <v>129166.666666667</v>
      </c>
      <c r="H130" s="883" t="n">
        <f aca="false">Breakout!$L$223/12</f>
        <v>0</v>
      </c>
      <c r="I130" s="886" t="n">
        <f aca="false">Breakout!$L$229/12</f>
        <v>0</v>
      </c>
      <c r="J130" s="883" t="n">
        <f aca="false">Breakout!$L$230/12</f>
        <v>0</v>
      </c>
      <c r="K130" s="774" t="n">
        <f aca="false">C130+E130+G130+I130</f>
        <v>129166.666666667</v>
      </c>
      <c r="L130" s="771" t="n">
        <f aca="false">C130+E130+G130+I130</f>
        <v>129166.666666667</v>
      </c>
      <c r="M130" s="774" t="n">
        <f aca="false">D130+F130+H130+J130</f>
        <v>0</v>
      </c>
      <c r="N130" s="775" t="n">
        <f aca="false">K130-M130-S130</f>
        <v>129166.666666667</v>
      </c>
      <c r="O130" s="885" t="n">
        <f aca="false">SUM(N119:N130)</f>
        <v>1550000</v>
      </c>
      <c r="P130" s="776" t="n">
        <f aca="false">L130-M130-S130</f>
        <v>129166.666666667</v>
      </c>
      <c r="Q130" s="885" t="n">
        <f aca="false">SUM(P119:P130)</f>
        <v>1550000</v>
      </c>
      <c r="R130" s="885"/>
      <c r="S130" s="772" t="n">
        <v>0</v>
      </c>
      <c r="T130" s="885"/>
      <c r="U130" s="885"/>
      <c r="V130" s="885"/>
      <c r="W130" s="885"/>
      <c r="X130" s="885"/>
      <c r="Y130" s="885"/>
      <c r="Z130" s="885"/>
      <c r="AA130" s="885"/>
      <c r="AB130" s="885"/>
      <c r="AC130" s="885"/>
      <c r="AD130" s="885"/>
      <c r="AE130" s="885"/>
      <c r="AF130" s="885"/>
      <c r="AG130" s="885"/>
      <c r="AH130" s="885"/>
      <c r="AI130" s="885"/>
      <c r="AJ130" s="885"/>
      <c r="AK130" s="885"/>
      <c r="AL130" s="885"/>
      <c r="AM130" s="885"/>
      <c r="AN130" s="885"/>
      <c r="AO130" s="885"/>
      <c r="AP130" s="885"/>
      <c r="AQ130" s="885"/>
      <c r="AR130" s="885"/>
      <c r="AS130" s="885"/>
      <c r="AT130" s="885"/>
      <c r="AU130" s="885"/>
      <c r="AV130" s="885"/>
      <c r="AW130" s="885"/>
      <c r="AX130" s="885"/>
      <c r="AY130" s="885"/>
      <c r="AZ130" s="885"/>
      <c r="BA130" s="885"/>
      <c r="BB130" s="885"/>
      <c r="BC130" s="885"/>
      <c r="BD130" s="885"/>
      <c r="BE130" s="885"/>
      <c r="BF130" s="885"/>
      <c r="BG130" s="885"/>
      <c r="BH130" s="885"/>
      <c r="BI130" s="885"/>
      <c r="BJ130" s="885"/>
      <c r="BK130" s="885"/>
      <c r="BL130" s="885"/>
      <c r="BM130" s="885"/>
      <c r="BN130" s="885"/>
      <c r="BO130" s="885"/>
      <c r="BP130" s="885"/>
    </row>
    <row r="131" customFormat="false" ht="12.75" hidden="false" customHeight="false" outlineLevel="0" collapsed="false">
      <c r="A131" s="866" t="n">
        <v>121</v>
      </c>
      <c r="B131" s="897" t="n">
        <v>40179</v>
      </c>
      <c r="C131" s="868"/>
      <c r="D131" s="870"/>
      <c r="E131" s="868"/>
      <c r="F131" s="870"/>
      <c r="G131" s="868"/>
      <c r="H131" s="870"/>
      <c r="I131" s="868"/>
      <c r="J131" s="870"/>
      <c r="K131" s="878"/>
      <c r="L131" s="878"/>
      <c r="M131" s="878"/>
      <c r="N131" s="879"/>
      <c r="O131" s="869"/>
      <c r="P131" s="880"/>
      <c r="Q131" s="869"/>
      <c r="R131" s="869"/>
      <c r="S131" s="869"/>
      <c r="T131" s="869"/>
      <c r="U131" s="869"/>
      <c r="V131" s="869"/>
      <c r="W131" s="869"/>
      <c r="X131" s="869"/>
      <c r="Y131" s="869"/>
      <c r="Z131" s="869"/>
      <c r="AA131" s="869"/>
      <c r="AB131" s="869"/>
      <c r="AC131" s="869"/>
      <c r="AD131" s="869"/>
      <c r="AE131" s="869"/>
      <c r="AF131" s="869"/>
      <c r="AG131" s="869"/>
      <c r="AH131" s="869"/>
      <c r="AI131" s="869"/>
      <c r="AJ131" s="869"/>
      <c r="AK131" s="869"/>
      <c r="AL131" s="869"/>
      <c r="AM131" s="869"/>
      <c r="AN131" s="869"/>
      <c r="AO131" s="869"/>
      <c r="AP131" s="869"/>
      <c r="AQ131" s="869"/>
      <c r="AR131" s="869"/>
      <c r="AS131" s="869"/>
      <c r="AT131" s="869"/>
      <c r="AU131" s="869"/>
      <c r="AV131" s="869"/>
      <c r="AW131" s="869"/>
      <c r="AX131" s="869"/>
      <c r="AY131" s="869"/>
      <c r="AZ131" s="869"/>
      <c r="BA131" s="869"/>
      <c r="BB131" s="869"/>
      <c r="BC131" s="869"/>
      <c r="BD131" s="869"/>
      <c r="BE131" s="869"/>
      <c r="BF131" s="869"/>
      <c r="BG131" s="869"/>
      <c r="BH131" s="869"/>
      <c r="BI131" s="869"/>
      <c r="BJ131" s="869"/>
      <c r="BK131" s="869"/>
      <c r="BL131" s="869"/>
      <c r="BM131" s="869"/>
      <c r="BN131" s="869"/>
      <c r="BO131" s="869"/>
      <c r="BP131" s="869"/>
    </row>
    <row r="132" customFormat="false" ht="12.75" hidden="false" customHeight="false" outlineLevel="0" collapsed="false">
      <c r="A132" s="767" t="n">
        <v>122</v>
      </c>
      <c r="B132" s="768" t="n">
        <v>40210</v>
      </c>
    </row>
    <row r="133" customFormat="false" ht="12.75" hidden="false" customHeight="false" outlineLevel="0" collapsed="false">
      <c r="A133" s="767" t="n">
        <v>123</v>
      </c>
      <c r="B133" s="768" t="n">
        <v>40238</v>
      </c>
    </row>
    <row r="134" customFormat="false" ht="12.75" hidden="false" customHeight="false" outlineLevel="0" collapsed="false">
      <c r="A134" s="767" t="n">
        <v>124</v>
      </c>
      <c r="B134" s="768" t="n">
        <v>40269</v>
      </c>
    </row>
    <row r="135" customFormat="false" ht="12.75" hidden="false" customHeight="false" outlineLevel="0" collapsed="false">
      <c r="A135" s="767" t="n">
        <v>125</v>
      </c>
      <c r="B135" s="768" t="n">
        <v>40299</v>
      </c>
    </row>
    <row r="136" customFormat="false" ht="12.75" hidden="false" customHeight="false" outlineLevel="0" collapsed="false">
      <c r="A136" s="767" t="n">
        <v>126</v>
      </c>
      <c r="B136" s="768" t="n">
        <v>40330</v>
      </c>
    </row>
    <row r="137" customFormat="false" ht="12.75" hidden="false" customHeight="false" outlineLevel="0" collapsed="false">
      <c r="A137" s="767" t="n">
        <v>127</v>
      </c>
      <c r="B137" s="768" t="n">
        <v>40360</v>
      </c>
    </row>
    <row r="138" customFormat="false" ht="12.75" hidden="false" customHeight="false" outlineLevel="0" collapsed="false">
      <c r="A138" s="767" t="n">
        <v>128</v>
      </c>
      <c r="B138" s="768" t="n">
        <v>40391</v>
      </c>
    </row>
    <row r="139" customFormat="false" ht="12.75" hidden="false" customHeight="false" outlineLevel="0" collapsed="false">
      <c r="A139" s="767" t="n">
        <v>129</v>
      </c>
      <c r="B139" s="768" t="n">
        <v>40422</v>
      </c>
    </row>
    <row r="140" customFormat="false" ht="12.75" hidden="false" customHeight="false" outlineLevel="0" collapsed="false">
      <c r="A140" s="767" t="n">
        <v>130</v>
      </c>
      <c r="B140" s="768" t="n">
        <v>40452</v>
      </c>
    </row>
    <row r="141" customFormat="false" ht="12.75" hidden="false" customHeight="false" outlineLevel="0" collapsed="false">
      <c r="A141" s="767" t="n">
        <v>131</v>
      </c>
      <c r="B141" s="768" t="n">
        <v>40483</v>
      </c>
    </row>
    <row r="142" customFormat="false" ht="12.75" hidden="false" customHeight="false" outlineLevel="0" collapsed="false">
      <c r="A142" s="881" t="n">
        <v>132</v>
      </c>
      <c r="B142" s="894" t="n">
        <v>40513</v>
      </c>
      <c r="C142" s="886"/>
      <c r="D142" s="883"/>
      <c r="E142" s="886"/>
      <c r="F142" s="883"/>
      <c r="G142" s="886"/>
      <c r="H142" s="883"/>
      <c r="I142" s="886"/>
      <c r="J142" s="883"/>
      <c r="K142" s="888"/>
      <c r="L142" s="888"/>
      <c r="M142" s="888"/>
      <c r="N142" s="889"/>
      <c r="O142" s="885"/>
      <c r="P142" s="890"/>
      <c r="Q142" s="885"/>
      <c r="R142" s="885"/>
      <c r="S142" s="885"/>
      <c r="T142" s="885"/>
      <c r="U142" s="885"/>
      <c r="V142" s="885"/>
      <c r="W142" s="885"/>
      <c r="X142" s="885"/>
      <c r="Y142" s="885"/>
      <c r="Z142" s="885"/>
      <c r="AA142" s="885"/>
      <c r="AB142" s="885"/>
      <c r="AC142" s="885"/>
      <c r="AD142" s="885"/>
      <c r="AE142" s="885"/>
      <c r="AF142" s="885"/>
      <c r="AG142" s="885"/>
      <c r="AH142" s="885"/>
      <c r="AI142" s="885"/>
      <c r="AJ142" s="885"/>
      <c r="AK142" s="885"/>
      <c r="AL142" s="885"/>
      <c r="AM142" s="885"/>
      <c r="AN142" s="885"/>
      <c r="AO142" s="885"/>
      <c r="AP142" s="885"/>
      <c r="AQ142" s="885"/>
      <c r="AR142" s="885"/>
      <c r="AS142" s="885"/>
      <c r="AT142" s="885"/>
      <c r="AU142" s="885"/>
      <c r="AV142" s="885"/>
      <c r="AW142" s="885"/>
      <c r="AX142" s="885"/>
      <c r="AY142" s="885"/>
      <c r="AZ142" s="885"/>
      <c r="BA142" s="885"/>
      <c r="BB142" s="885"/>
      <c r="BC142" s="885"/>
      <c r="BD142" s="885"/>
      <c r="BE142" s="885"/>
      <c r="BF142" s="885"/>
      <c r="BG142" s="885"/>
      <c r="BH142" s="885"/>
      <c r="BI142" s="885"/>
      <c r="BJ142" s="885"/>
      <c r="BK142" s="885"/>
      <c r="BL142" s="885"/>
      <c r="BM142" s="885"/>
      <c r="BN142" s="885"/>
      <c r="BO142" s="885"/>
      <c r="BP142" s="885"/>
    </row>
    <row r="143" customFormat="false" ht="12.75" hidden="false" customHeight="false" outlineLevel="0" collapsed="false">
      <c r="A143" s="866" t="n">
        <v>133</v>
      </c>
      <c r="B143" s="897" t="n">
        <v>40544</v>
      </c>
      <c r="C143" s="868"/>
      <c r="D143" s="870"/>
      <c r="E143" s="868"/>
      <c r="F143" s="870"/>
      <c r="G143" s="868"/>
      <c r="H143" s="870"/>
      <c r="I143" s="868"/>
      <c r="J143" s="870"/>
      <c r="K143" s="878"/>
      <c r="L143" s="878"/>
      <c r="M143" s="878"/>
      <c r="N143" s="879"/>
      <c r="O143" s="869"/>
      <c r="P143" s="880"/>
      <c r="Q143" s="869"/>
      <c r="R143" s="869"/>
      <c r="S143" s="869"/>
      <c r="T143" s="869"/>
      <c r="U143" s="869"/>
      <c r="V143" s="869"/>
      <c r="W143" s="869"/>
      <c r="X143" s="869"/>
      <c r="Y143" s="869"/>
      <c r="Z143" s="869"/>
      <c r="AA143" s="869"/>
      <c r="AB143" s="869"/>
      <c r="AC143" s="869"/>
      <c r="AD143" s="869"/>
      <c r="AE143" s="869"/>
      <c r="AF143" s="869"/>
      <c r="AG143" s="869"/>
      <c r="AH143" s="869"/>
      <c r="AI143" s="869"/>
      <c r="AJ143" s="869"/>
      <c r="AK143" s="869"/>
      <c r="AL143" s="869"/>
      <c r="AM143" s="869"/>
      <c r="AN143" s="869"/>
      <c r="AO143" s="869"/>
      <c r="AP143" s="869"/>
      <c r="AQ143" s="869"/>
      <c r="AR143" s="869"/>
      <c r="AS143" s="869"/>
      <c r="AT143" s="869"/>
      <c r="AU143" s="869"/>
      <c r="AV143" s="869"/>
      <c r="AW143" s="869"/>
      <c r="AX143" s="869"/>
      <c r="AY143" s="869"/>
      <c r="AZ143" s="869"/>
      <c r="BA143" s="869"/>
      <c r="BB143" s="869"/>
      <c r="BC143" s="869"/>
      <c r="BD143" s="869"/>
      <c r="BE143" s="869"/>
      <c r="BF143" s="869"/>
      <c r="BG143" s="869"/>
      <c r="BH143" s="869"/>
      <c r="BI143" s="869"/>
      <c r="BJ143" s="869"/>
      <c r="BK143" s="869"/>
      <c r="BL143" s="869"/>
      <c r="BM143" s="869"/>
      <c r="BN143" s="869"/>
      <c r="BO143" s="869"/>
      <c r="BP143" s="869"/>
    </row>
    <row r="144" customFormat="false" ht="12.75" hidden="false" customHeight="false" outlineLevel="0" collapsed="false">
      <c r="A144" s="767" t="n">
        <v>134</v>
      </c>
      <c r="B144" s="768" t="n">
        <v>40575</v>
      </c>
    </row>
    <row r="145" customFormat="false" ht="12.75" hidden="false" customHeight="false" outlineLevel="0" collapsed="false">
      <c r="A145" s="767" t="n">
        <v>135</v>
      </c>
      <c r="B145" s="768" t="n">
        <v>40603</v>
      </c>
    </row>
    <row r="146" customFormat="false" ht="12.75" hidden="false" customHeight="false" outlineLevel="0" collapsed="false">
      <c r="A146" s="767" t="n">
        <v>136</v>
      </c>
      <c r="B146" s="768" t="n">
        <v>40634</v>
      </c>
    </row>
    <row r="147" customFormat="false" ht="12.75" hidden="false" customHeight="false" outlineLevel="0" collapsed="false">
      <c r="A147" s="767" t="n">
        <v>137</v>
      </c>
      <c r="B147" s="768" t="n">
        <v>40664</v>
      </c>
    </row>
    <row r="148" customFormat="false" ht="12.75" hidden="false" customHeight="false" outlineLevel="0" collapsed="false">
      <c r="A148" s="767" t="n">
        <v>138</v>
      </c>
      <c r="B148" s="768" t="n">
        <v>40695</v>
      </c>
    </row>
    <row r="149" customFormat="false" ht="12.75" hidden="false" customHeight="false" outlineLevel="0" collapsed="false">
      <c r="A149" s="767" t="n">
        <v>139</v>
      </c>
      <c r="B149" s="768" t="n">
        <v>40725</v>
      </c>
    </row>
    <row r="150" customFormat="false" ht="12.75" hidden="false" customHeight="false" outlineLevel="0" collapsed="false">
      <c r="A150" s="767" t="n">
        <v>140</v>
      </c>
      <c r="B150" s="768" t="n">
        <v>40756</v>
      </c>
    </row>
    <row r="151" customFormat="false" ht="12.75" hidden="false" customHeight="false" outlineLevel="0" collapsed="false">
      <c r="A151" s="767" t="n">
        <v>141</v>
      </c>
      <c r="B151" s="768" t="n">
        <v>40787</v>
      </c>
    </row>
    <row r="152" customFormat="false" ht="12.75" hidden="false" customHeight="false" outlineLevel="0" collapsed="false">
      <c r="A152" s="767" t="n">
        <v>142</v>
      </c>
      <c r="B152" s="768" t="n">
        <v>40817</v>
      </c>
    </row>
    <row r="153" customFormat="false" ht="12.75" hidden="false" customHeight="false" outlineLevel="0" collapsed="false">
      <c r="A153" s="767" t="n">
        <v>143</v>
      </c>
      <c r="B153" s="768" t="n">
        <v>40848</v>
      </c>
    </row>
    <row r="154" customFormat="false" ht="12.75" hidden="false" customHeight="false" outlineLevel="0" collapsed="false">
      <c r="A154" s="881" t="n">
        <v>144</v>
      </c>
      <c r="B154" s="894" t="n">
        <v>40878</v>
      </c>
      <c r="C154" s="886"/>
      <c r="D154" s="883"/>
      <c r="E154" s="886"/>
      <c r="F154" s="883"/>
      <c r="G154" s="886"/>
      <c r="H154" s="883"/>
      <c r="I154" s="886"/>
      <c r="J154" s="883"/>
      <c r="K154" s="888"/>
      <c r="L154" s="888"/>
      <c r="M154" s="888"/>
      <c r="N154" s="889"/>
      <c r="O154" s="885"/>
      <c r="P154" s="890"/>
      <c r="Q154" s="885"/>
      <c r="R154" s="885"/>
      <c r="S154" s="885"/>
      <c r="T154" s="885"/>
      <c r="U154" s="885"/>
      <c r="V154" s="885"/>
      <c r="W154" s="885"/>
      <c r="X154" s="885"/>
      <c r="Y154" s="885"/>
      <c r="Z154" s="885"/>
      <c r="AA154" s="885"/>
      <c r="AB154" s="885"/>
      <c r="AC154" s="885"/>
      <c r="AD154" s="885"/>
      <c r="AE154" s="885"/>
      <c r="AF154" s="885"/>
      <c r="AG154" s="885"/>
      <c r="AH154" s="885"/>
      <c r="AI154" s="885"/>
      <c r="AJ154" s="885"/>
      <c r="AK154" s="885"/>
      <c r="AL154" s="885"/>
      <c r="AM154" s="885"/>
      <c r="AN154" s="885"/>
      <c r="AO154" s="885"/>
      <c r="AP154" s="885"/>
      <c r="AQ154" s="885"/>
      <c r="AR154" s="885"/>
      <c r="AS154" s="885"/>
      <c r="AT154" s="885"/>
      <c r="AU154" s="885"/>
      <c r="AV154" s="885"/>
      <c r="AW154" s="885"/>
      <c r="AX154" s="885"/>
      <c r="AY154" s="885"/>
      <c r="AZ154" s="885"/>
      <c r="BA154" s="885"/>
      <c r="BB154" s="885"/>
      <c r="BC154" s="885"/>
      <c r="BD154" s="885"/>
      <c r="BE154" s="885"/>
      <c r="BF154" s="885"/>
      <c r="BG154" s="885"/>
      <c r="BH154" s="885"/>
      <c r="BI154" s="885"/>
      <c r="BJ154" s="885"/>
      <c r="BK154" s="885"/>
      <c r="BL154" s="885"/>
      <c r="BM154" s="885"/>
      <c r="BN154" s="885"/>
      <c r="BO154" s="885"/>
      <c r="BP154" s="885"/>
    </row>
    <row r="155" customFormat="false" ht="12.75" hidden="false" customHeight="false" outlineLevel="0" collapsed="false">
      <c r="A155" s="866" t="n">
        <v>145</v>
      </c>
      <c r="B155" s="897" t="n">
        <v>40909</v>
      </c>
      <c r="C155" s="868"/>
      <c r="D155" s="870"/>
      <c r="E155" s="868"/>
      <c r="F155" s="870"/>
      <c r="G155" s="868"/>
      <c r="H155" s="870"/>
      <c r="I155" s="868"/>
      <c r="J155" s="870"/>
      <c r="K155" s="878"/>
      <c r="L155" s="878"/>
      <c r="M155" s="878"/>
      <c r="N155" s="879"/>
      <c r="O155" s="869"/>
      <c r="P155" s="880"/>
      <c r="Q155" s="869"/>
      <c r="R155" s="869"/>
      <c r="S155" s="869"/>
      <c r="T155" s="869"/>
      <c r="U155" s="869"/>
      <c r="V155" s="869"/>
      <c r="W155" s="869"/>
      <c r="X155" s="869"/>
      <c r="Y155" s="869"/>
      <c r="Z155" s="869"/>
      <c r="AA155" s="869"/>
      <c r="AB155" s="869"/>
      <c r="AC155" s="869"/>
      <c r="AD155" s="869"/>
      <c r="AE155" s="869"/>
      <c r="AF155" s="869"/>
      <c r="AG155" s="869"/>
      <c r="AH155" s="869"/>
      <c r="AI155" s="869"/>
      <c r="AJ155" s="869"/>
      <c r="AK155" s="869"/>
      <c r="AL155" s="869"/>
      <c r="AM155" s="869"/>
      <c r="AN155" s="869"/>
      <c r="AO155" s="869"/>
      <c r="AP155" s="869"/>
      <c r="AQ155" s="869"/>
      <c r="AR155" s="869"/>
      <c r="AS155" s="869"/>
      <c r="AT155" s="869"/>
      <c r="AU155" s="869"/>
      <c r="AV155" s="869"/>
      <c r="AW155" s="869"/>
      <c r="AX155" s="869"/>
      <c r="AY155" s="869"/>
      <c r="AZ155" s="869"/>
      <c r="BA155" s="869"/>
      <c r="BB155" s="869"/>
      <c r="BC155" s="869"/>
      <c r="BD155" s="869"/>
      <c r="BE155" s="869"/>
      <c r="BF155" s="869"/>
      <c r="BG155" s="869"/>
      <c r="BH155" s="869"/>
      <c r="BI155" s="869"/>
      <c r="BJ155" s="869"/>
      <c r="BK155" s="869"/>
      <c r="BL155" s="869"/>
      <c r="BM155" s="869"/>
      <c r="BN155" s="869"/>
      <c r="BO155" s="869"/>
      <c r="BP155" s="869"/>
    </row>
    <row r="156" customFormat="false" ht="12.75" hidden="false" customHeight="false" outlineLevel="0" collapsed="false">
      <c r="A156" s="767" t="n">
        <v>146</v>
      </c>
      <c r="B156" s="768" t="n">
        <v>40940</v>
      </c>
    </row>
    <row r="157" customFormat="false" ht="12.75" hidden="false" customHeight="false" outlineLevel="0" collapsed="false">
      <c r="A157" s="767" t="n">
        <v>147</v>
      </c>
      <c r="B157" s="768" t="n">
        <v>40969</v>
      </c>
    </row>
    <row r="158" customFormat="false" ht="12.75" hidden="false" customHeight="false" outlineLevel="0" collapsed="false">
      <c r="A158" s="767" t="n">
        <v>148</v>
      </c>
      <c r="B158" s="768" t="n">
        <v>41000</v>
      </c>
    </row>
    <row r="159" customFormat="false" ht="12.75" hidden="false" customHeight="false" outlineLevel="0" collapsed="false">
      <c r="A159" s="767" t="n">
        <v>149</v>
      </c>
      <c r="B159" s="768" t="n">
        <v>41030</v>
      </c>
    </row>
    <row r="160" customFormat="false" ht="12.75" hidden="false" customHeight="false" outlineLevel="0" collapsed="false">
      <c r="A160" s="767" t="n">
        <v>150</v>
      </c>
      <c r="B160" s="768" t="n">
        <v>41061</v>
      </c>
    </row>
    <row r="161" customFormat="false" ht="12.75" hidden="false" customHeight="false" outlineLevel="0" collapsed="false">
      <c r="A161" s="767" t="n">
        <v>151</v>
      </c>
      <c r="B161" s="768" t="n">
        <v>41091</v>
      </c>
    </row>
    <row r="162" customFormat="false" ht="12.75" hidden="false" customHeight="false" outlineLevel="0" collapsed="false">
      <c r="A162" s="767" t="n">
        <v>152</v>
      </c>
      <c r="B162" s="768" t="n">
        <v>41122</v>
      </c>
    </row>
    <row r="163" customFormat="false" ht="12.75" hidden="false" customHeight="false" outlineLevel="0" collapsed="false">
      <c r="A163" s="767" t="n">
        <v>153</v>
      </c>
      <c r="B163" s="768" t="n">
        <v>41153</v>
      </c>
    </row>
    <row r="164" customFormat="false" ht="12.75" hidden="false" customHeight="false" outlineLevel="0" collapsed="false">
      <c r="A164" s="767" t="n">
        <v>154</v>
      </c>
      <c r="B164" s="768" t="n">
        <v>41183</v>
      </c>
    </row>
    <row r="165" customFormat="false" ht="12.75" hidden="false" customHeight="false" outlineLevel="0" collapsed="false">
      <c r="A165" s="767" t="n">
        <v>155</v>
      </c>
      <c r="B165" s="768" t="n">
        <v>41214</v>
      </c>
    </row>
    <row r="166" customFormat="false" ht="12.75" hidden="false" customHeight="false" outlineLevel="0" collapsed="false">
      <c r="A166" s="881" t="n">
        <v>156</v>
      </c>
      <c r="B166" s="894" t="n">
        <v>41244</v>
      </c>
      <c r="C166" s="886"/>
      <c r="D166" s="883"/>
      <c r="E166" s="886"/>
      <c r="F166" s="883"/>
      <c r="G166" s="886"/>
      <c r="H166" s="883"/>
      <c r="I166" s="886"/>
      <c r="J166" s="883"/>
      <c r="K166" s="888"/>
      <c r="L166" s="888"/>
      <c r="M166" s="888"/>
      <c r="N166" s="889"/>
      <c r="O166" s="885"/>
      <c r="P166" s="890"/>
      <c r="Q166" s="885"/>
      <c r="R166" s="885"/>
      <c r="S166" s="885"/>
      <c r="T166" s="885"/>
      <c r="U166" s="885"/>
      <c r="V166" s="885"/>
      <c r="W166" s="885"/>
      <c r="X166" s="885"/>
      <c r="Y166" s="885"/>
      <c r="Z166" s="885"/>
      <c r="AA166" s="885"/>
      <c r="AB166" s="885"/>
      <c r="AC166" s="885"/>
      <c r="AD166" s="885"/>
      <c r="AE166" s="885"/>
      <c r="AF166" s="885"/>
      <c r="AG166" s="885"/>
      <c r="AH166" s="885"/>
      <c r="AI166" s="885"/>
      <c r="AJ166" s="885"/>
      <c r="AK166" s="885"/>
      <c r="AL166" s="885"/>
      <c r="AM166" s="885"/>
      <c r="AN166" s="885"/>
      <c r="AO166" s="885"/>
      <c r="AP166" s="885"/>
      <c r="AQ166" s="885"/>
      <c r="AR166" s="885"/>
      <c r="AS166" s="885"/>
      <c r="AT166" s="885"/>
      <c r="AU166" s="885"/>
      <c r="AV166" s="885"/>
      <c r="AW166" s="885"/>
      <c r="AX166" s="885"/>
      <c r="AY166" s="885"/>
      <c r="AZ166" s="885"/>
      <c r="BA166" s="885"/>
      <c r="BB166" s="885"/>
      <c r="BC166" s="885"/>
      <c r="BD166" s="885"/>
      <c r="BE166" s="885"/>
      <c r="BF166" s="885"/>
      <c r="BG166" s="885"/>
      <c r="BH166" s="885"/>
      <c r="BI166" s="885"/>
      <c r="BJ166" s="885"/>
      <c r="BK166" s="885"/>
      <c r="BL166" s="885"/>
      <c r="BM166" s="885"/>
      <c r="BN166" s="885"/>
      <c r="BO166" s="885"/>
      <c r="BP166" s="885"/>
    </row>
    <row r="167" customFormat="false" ht="12.75" hidden="false" customHeight="false" outlineLevel="0" collapsed="false">
      <c r="A167" s="767" t="n">
        <v>157</v>
      </c>
      <c r="B167" s="768" t="n">
        <v>41275</v>
      </c>
    </row>
    <row r="168" customFormat="false" ht="12.75" hidden="false" customHeight="false" outlineLevel="0" collapsed="false">
      <c r="A168" s="767" t="n">
        <v>158</v>
      </c>
      <c r="B168" s="768" t="n">
        <v>41306</v>
      </c>
    </row>
    <row r="169" customFormat="false" ht="12.75" hidden="false" customHeight="false" outlineLevel="0" collapsed="false">
      <c r="A169" s="767" t="n">
        <v>159</v>
      </c>
      <c r="B169" s="768" t="n">
        <v>41334</v>
      </c>
    </row>
    <row r="170" customFormat="false" ht="12.75" hidden="false" customHeight="false" outlineLevel="0" collapsed="false">
      <c r="A170" s="767" t="n">
        <v>160</v>
      </c>
      <c r="B170" s="768" t="n">
        <v>41365</v>
      </c>
    </row>
    <row r="171" customFormat="false" ht="12.75" hidden="false" customHeight="false" outlineLevel="0" collapsed="false">
      <c r="A171" s="767" t="n">
        <v>161</v>
      </c>
      <c r="B171" s="768" t="n">
        <v>41395</v>
      </c>
    </row>
    <row r="172" customFormat="false" ht="12.75" hidden="false" customHeight="false" outlineLevel="0" collapsed="false">
      <c r="A172" s="767" t="n">
        <v>162</v>
      </c>
      <c r="B172" s="768" t="n">
        <v>41426</v>
      </c>
    </row>
    <row r="173" customFormat="false" ht="12.75" hidden="false" customHeight="false" outlineLevel="0" collapsed="false">
      <c r="A173" s="767" t="n">
        <v>163</v>
      </c>
      <c r="B173" s="768" t="n">
        <v>41456</v>
      </c>
    </row>
    <row r="174" customFormat="false" ht="12.75" hidden="false" customHeight="false" outlineLevel="0" collapsed="false">
      <c r="A174" s="767" t="n">
        <v>164</v>
      </c>
      <c r="B174" s="768" t="n">
        <v>41487</v>
      </c>
    </row>
    <row r="175" customFormat="false" ht="12.75" hidden="false" customHeight="false" outlineLevel="0" collapsed="false">
      <c r="A175" s="767" t="n">
        <v>165</v>
      </c>
      <c r="B175" s="768" t="n">
        <v>41518</v>
      </c>
    </row>
    <row r="176" customFormat="false" ht="12.75" hidden="false" customHeight="false" outlineLevel="0" collapsed="false">
      <c r="A176" s="767" t="n">
        <v>166</v>
      </c>
      <c r="B176" s="768" t="n">
        <v>41548</v>
      </c>
    </row>
    <row r="177" customFormat="false" ht="12.75" hidden="false" customHeight="false" outlineLevel="0" collapsed="false">
      <c r="A177" s="767" t="n">
        <v>167</v>
      </c>
      <c r="B177" s="768" t="n">
        <v>41579</v>
      </c>
    </row>
    <row r="178" customFormat="false" ht="12.75" hidden="false" customHeight="false" outlineLevel="0" collapsed="false">
      <c r="A178" s="881" t="n">
        <v>168</v>
      </c>
      <c r="B178" s="894" t="n">
        <v>41609</v>
      </c>
      <c r="C178" s="886"/>
      <c r="D178" s="883"/>
      <c r="E178" s="886"/>
      <c r="F178" s="883"/>
      <c r="G178" s="886"/>
      <c r="H178" s="883"/>
      <c r="I178" s="886"/>
      <c r="J178" s="883"/>
      <c r="K178" s="888"/>
      <c r="L178" s="888"/>
      <c r="M178" s="888"/>
      <c r="N178" s="889"/>
      <c r="O178" s="885"/>
      <c r="P178" s="890"/>
      <c r="Q178" s="885"/>
      <c r="R178" s="885"/>
      <c r="S178" s="885"/>
      <c r="T178" s="885"/>
      <c r="U178" s="885"/>
      <c r="V178" s="885"/>
      <c r="W178" s="885"/>
      <c r="X178" s="885"/>
      <c r="Y178" s="885"/>
      <c r="Z178" s="885"/>
      <c r="AA178" s="885"/>
      <c r="AB178" s="885"/>
      <c r="AC178" s="885"/>
      <c r="AD178" s="885"/>
      <c r="AE178" s="885"/>
      <c r="AF178" s="885"/>
      <c r="AG178" s="885"/>
      <c r="AH178" s="885"/>
      <c r="AI178" s="885"/>
      <c r="AJ178" s="885"/>
      <c r="AK178" s="885"/>
      <c r="AL178" s="885"/>
      <c r="AM178" s="885"/>
      <c r="AN178" s="885"/>
      <c r="AO178" s="885"/>
      <c r="AP178" s="885"/>
      <c r="AQ178" s="885"/>
      <c r="AR178" s="885"/>
      <c r="AS178" s="885"/>
      <c r="AT178" s="885"/>
      <c r="AU178" s="885"/>
      <c r="AV178" s="885"/>
      <c r="AW178" s="885"/>
      <c r="AX178" s="885"/>
      <c r="AY178" s="885"/>
      <c r="AZ178" s="885"/>
      <c r="BA178" s="885"/>
      <c r="BB178" s="885"/>
      <c r="BC178" s="885"/>
      <c r="BD178" s="885"/>
      <c r="BE178" s="885"/>
      <c r="BF178" s="885"/>
      <c r="BG178" s="885"/>
      <c r="BH178" s="885"/>
      <c r="BI178" s="885"/>
      <c r="BJ178" s="885"/>
      <c r="BK178" s="885"/>
      <c r="BL178" s="885"/>
      <c r="BM178" s="885"/>
      <c r="BN178" s="885"/>
      <c r="BO178" s="885"/>
      <c r="BP178" s="885"/>
    </row>
    <row r="179" customFormat="false" ht="12.75" hidden="false" customHeight="false" outlineLevel="0" collapsed="false">
      <c r="A179" s="767" t="n">
        <v>169</v>
      </c>
      <c r="B179" s="768" t="n">
        <v>41640</v>
      </c>
    </row>
    <row r="180" customFormat="false" ht="12.75" hidden="false" customHeight="false" outlineLevel="0" collapsed="false">
      <c r="A180" s="767" t="n">
        <v>170</v>
      </c>
      <c r="B180" s="768" t="n">
        <v>41671</v>
      </c>
    </row>
    <row r="181" customFormat="false" ht="12.75" hidden="false" customHeight="false" outlineLevel="0" collapsed="false">
      <c r="A181" s="767" t="n">
        <v>171</v>
      </c>
      <c r="B181" s="768" t="n">
        <v>41699</v>
      </c>
    </row>
    <row r="182" customFormat="false" ht="12.75" hidden="false" customHeight="false" outlineLevel="0" collapsed="false">
      <c r="A182" s="767" t="n">
        <v>172</v>
      </c>
      <c r="B182" s="768" t="n">
        <v>41730</v>
      </c>
    </row>
    <row r="183" customFormat="false" ht="12.75" hidden="false" customHeight="false" outlineLevel="0" collapsed="false">
      <c r="A183" s="767" t="n">
        <v>173</v>
      </c>
      <c r="B183" s="768" t="n">
        <v>41760</v>
      </c>
    </row>
    <row r="184" customFormat="false" ht="12.75" hidden="false" customHeight="false" outlineLevel="0" collapsed="false">
      <c r="A184" s="767" t="n">
        <v>174</v>
      </c>
      <c r="B184" s="768" t="n">
        <v>41791</v>
      </c>
    </row>
    <row r="185" customFormat="false" ht="12.75" hidden="false" customHeight="false" outlineLevel="0" collapsed="false">
      <c r="A185" s="767" t="n">
        <v>175</v>
      </c>
      <c r="B185" s="768" t="n">
        <v>41821</v>
      </c>
    </row>
    <row r="186" customFormat="false" ht="12.75" hidden="false" customHeight="false" outlineLevel="0" collapsed="false">
      <c r="A186" s="767" t="n">
        <v>176</v>
      </c>
      <c r="B186" s="768" t="n">
        <v>41852</v>
      </c>
    </row>
    <row r="187" customFormat="false" ht="12.75" hidden="false" customHeight="false" outlineLevel="0" collapsed="false">
      <c r="A187" s="767" t="n">
        <v>177</v>
      </c>
      <c r="B187" s="768" t="n">
        <v>41883</v>
      </c>
    </row>
    <row r="188" customFormat="false" ht="12.75" hidden="false" customHeight="false" outlineLevel="0" collapsed="false">
      <c r="A188" s="767" t="n">
        <v>178</v>
      </c>
      <c r="B188" s="768" t="n">
        <v>41913</v>
      </c>
    </row>
    <row r="189" customFormat="false" ht="12.75" hidden="false" customHeight="false" outlineLevel="0" collapsed="false">
      <c r="A189" s="767" t="n">
        <v>179</v>
      </c>
      <c r="B189" s="768" t="n">
        <v>41944</v>
      </c>
    </row>
    <row r="190" customFormat="false" ht="12.75" hidden="false" customHeight="false" outlineLevel="0" collapsed="false">
      <c r="A190" s="767" t="n">
        <v>180</v>
      </c>
      <c r="B190" s="768" t="n">
        <v>41974</v>
      </c>
    </row>
    <row r="191" customFormat="false" ht="12.75" hidden="false" customHeight="false" outlineLevel="0" collapsed="false">
      <c r="A191" s="767" t="n">
        <v>181</v>
      </c>
      <c r="B191" s="768" t="n">
        <v>42005</v>
      </c>
    </row>
    <row r="192" customFormat="false" ht="12.75" hidden="false" customHeight="false" outlineLevel="0" collapsed="false">
      <c r="A192" s="767" t="n">
        <v>182</v>
      </c>
      <c r="B192" s="768" t="n">
        <v>42036</v>
      </c>
    </row>
    <row r="193" customFormat="false" ht="12.75" hidden="false" customHeight="false" outlineLevel="0" collapsed="false">
      <c r="A193" s="767" t="n">
        <v>183</v>
      </c>
      <c r="B193" s="768" t="n">
        <v>42064</v>
      </c>
    </row>
    <row r="194" customFormat="false" ht="12.75" hidden="false" customHeight="false" outlineLevel="0" collapsed="false">
      <c r="A194" s="767" t="n">
        <v>184</v>
      </c>
      <c r="B194" s="768" t="n">
        <v>42095</v>
      </c>
    </row>
    <row r="195" customFormat="false" ht="12.75" hidden="false" customHeight="false" outlineLevel="0" collapsed="false">
      <c r="A195" s="767" t="n">
        <v>185</v>
      </c>
      <c r="B195" s="768" t="n">
        <v>42125</v>
      </c>
    </row>
    <row r="196" customFormat="false" ht="12.75" hidden="false" customHeight="false" outlineLevel="0" collapsed="false">
      <c r="A196" s="767" t="n">
        <v>186</v>
      </c>
      <c r="B196" s="768" t="n">
        <v>42156</v>
      </c>
    </row>
    <row r="197" customFormat="false" ht="12.75" hidden="false" customHeight="false" outlineLevel="0" collapsed="false">
      <c r="A197" s="767" t="n">
        <v>187</v>
      </c>
      <c r="B197" s="768" t="n">
        <v>42186</v>
      </c>
    </row>
    <row r="198" customFormat="false" ht="12.75" hidden="false" customHeight="false" outlineLevel="0" collapsed="false">
      <c r="A198" s="767" t="n">
        <v>188</v>
      </c>
      <c r="B198" s="768" t="n">
        <v>42217</v>
      </c>
    </row>
    <row r="199" customFormat="false" ht="12.75" hidden="false" customHeight="false" outlineLevel="0" collapsed="false">
      <c r="A199" s="767" t="n">
        <v>189</v>
      </c>
      <c r="B199" s="768" t="n">
        <v>42248</v>
      </c>
    </row>
    <row r="200" customFormat="false" ht="12.75" hidden="false" customHeight="false" outlineLevel="0" collapsed="false">
      <c r="A200" s="767" t="n">
        <v>190</v>
      </c>
      <c r="B200" s="768" t="n">
        <v>42278</v>
      </c>
    </row>
    <row r="201" customFormat="false" ht="12.75" hidden="false" customHeight="false" outlineLevel="0" collapsed="false">
      <c r="A201" s="767" t="n">
        <v>191</v>
      </c>
      <c r="B201" s="768" t="n">
        <v>42309</v>
      </c>
    </row>
    <row r="202" customFormat="false" ht="12.75" hidden="false" customHeight="false" outlineLevel="0" collapsed="false">
      <c r="A202" s="767" t="n">
        <v>192</v>
      </c>
      <c r="B202" s="768" t="n">
        <v>42339</v>
      </c>
    </row>
    <row r="203" customFormat="false" ht="12.75" hidden="false" customHeight="false" outlineLevel="0" collapsed="false">
      <c r="A203" s="767" t="n">
        <v>193</v>
      </c>
      <c r="B203" s="768" t="n">
        <v>42370</v>
      </c>
    </row>
    <row r="204" customFormat="false" ht="12.75" hidden="false" customHeight="false" outlineLevel="0" collapsed="false">
      <c r="A204" s="767" t="n">
        <v>194</v>
      </c>
      <c r="B204" s="768" t="n">
        <v>42401</v>
      </c>
    </row>
    <row r="205" customFormat="false" ht="12.75" hidden="false" customHeight="false" outlineLevel="0" collapsed="false">
      <c r="A205" s="767" t="n">
        <v>195</v>
      </c>
      <c r="B205" s="768" t="n">
        <v>42430</v>
      </c>
    </row>
    <row r="206" customFormat="false" ht="12.75" hidden="false" customHeight="false" outlineLevel="0" collapsed="false">
      <c r="A206" s="767" t="n">
        <v>196</v>
      </c>
      <c r="B206" s="768" t="n">
        <v>42461</v>
      </c>
    </row>
    <row r="207" customFormat="false" ht="12.75" hidden="false" customHeight="false" outlineLevel="0" collapsed="false">
      <c r="A207" s="767" t="n">
        <v>197</v>
      </c>
      <c r="B207" s="768" t="n">
        <v>42491</v>
      </c>
    </row>
    <row r="208" customFormat="false" ht="12.75" hidden="false" customHeight="false" outlineLevel="0" collapsed="false">
      <c r="A208" s="767" t="n">
        <v>198</v>
      </c>
      <c r="B208" s="768" t="n">
        <v>42522</v>
      </c>
    </row>
    <row r="209" customFormat="false" ht="12.75" hidden="false" customHeight="false" outlineLevel="0" collapsed="false">
      <c r="A209" s="767" t="n">
        <v>199</v>
      </c>
      <c r="B209" s="768" t="n">
        <v>42552</v>
      </c>
    </row>
    <row r="210" customFormat="false" ht="12.75" hidden="false" customHeight="false" outlineLevel="0" collapsed="false">
      <c r="A210" s="767" t="n">
        <v>200</v>
      </c>
      <c r="B210" s="768" t="n">
        <v>42583</v>
      </c>
    </row>
    <row r="211" customFormat="false" ht="12.75" hidden="false" customHeight="false" outlineLevel="0" collapsed="false">
      <c r="A211" s="767" t="n">
        <v>201</v>
      </c>
      <c r="B211" s="768" t="n">
        <v>42614</v>
      </c>
    </row>
    <row r="212" customFormat="false" ht="12.75" hidden="false" customHeight="false" outlineLevel="0" collapsed="false">
      <c r="A212" s="767" t="n">
        <v>202</v>
      </c>
      <c r="B212" s="768" t="n">
        <v>42644</v>
      </c>
    </row>
    <row r="213" customFormat="false" ht="12.75" hidden="false" customHeight="false" outlineLevel="0" collapsed="false">
      <c r="A213" s="767" t="n">
        <v>203</v>
      </c>
      <c r="B213" s="768" t="n">
        <v>42675</v>
      </c>
    </row>
    <row r="214" customFormat="false" ht="12.75" hidden="false" customHeight="false" outlineLevel="0" collapsed="false">
      <c r="A214" s="767" t="n">
        <v>204</v>
      </c>
      <c r="B214" s="768" t="n">
        <v>42705</v>
      </c>
    </row>
    <row r="215" customFormat="false" ht="12.75" hidden="false" customHeight="false" outlineLevel="0" collapsed="false">
      <c r="A215" s="767" t="n">
        <v>205</v>
      </c>
      <c r="B215" s="768" t="n">
        <v>42736</v>
      </c>
    </row>
    <row r="216" customFormat="false" ht="12.75" hidden="false" customHeight="false" outlineLevel="0" collapsed="false">
      <c r="A216" s="767" t="n">
        <v>206</v>
      </c>
      <c r="B216" s="768" t="n">
        <v>42767</v>
      </c>
    </row>
    <row r="217" customFormat="false" ht="12.75" hidden="false" customHeight="false" outlineLevel="0" collapsed="false">
      <c r="A217" s="767" t="n">
        <v>207</v>
      </c>
      <c r="B217" s="768" t="n">
        <v>42795</v>
      </c>
    </row>
    <row r="218" customFormat="false" ht="12.75" hidden="false" customHeight="false" outlineLevel="0" collapsed="false">
      <c r="A218" s="767" t="n">
        <v>208</v>
      </c>
      <c r="B218" s="768" t="n">
        <v>42826</v>
      </c>
    </row>
    <row r="219" customFormat="false" ht="12.75" hidden="false" customHeight="false" outlineLevel="0" collapsed="false">
      <c r="A219" s="767" t="n">
        <v>209</v>
      </c>
      <c r="B219" s="768" t="n">
        <v>42856</v>
      </c>
    </row>
    <row r="220" customFormat="false" ht="12.75" hidden="false" customHeight="false" outlineLevel="0" collapsed="false">
      <c r="A220" s="767" t="n">
        <v>210</v>
      </c>
      <c r="B220" s="768" t="n">
        <v>42887</v>
      </c>
    </row>
    <row r="221" customFormat="false" ht="12.75" hidden="false" customHeight="false" outlineLevel="0" collapsed="false">
      <c r="A221" s="767" t="n">
        <v>211</v>
      </c>
      <c r="B221" s="768" t="n">
        <v>42917</v>
      </c>
    </row>
    <row r="222" customFormat="false" ht="12.75" hidden="false" customHeight="false" outlineLevel="0" collapsed="false">
      <c r="A222" s="767" t="n">
        <v>212</v>
      </c>
      <c r="B222" s="768" t="n">
        <v>42948</v>
      </c>
    </row>
    <row r="223" customFormat="false" ht="12.75" hidden="false" customHeight="false" outlineLevel="0" collapsed="false">
      <c r="A223" s="767" t="n">
        <v>213</v>
      </c>
      <c r="B223" s="768" t="n">
        <v>42979</v>
      </c>
    </row>
    <row r="224" customFormat="false" ht="12.75" hidden="false" customHeight="false" outlineLevel="0" collapsed="false">
      <c r="A224" s="767" t="n">
        <v>214</v>
      </c>
      <c r="B224" s="768" t="n">
        <v>43009</v>
      </c>
    </row>
    <row r="225" customFormat="false" ht="12.75" hidden="false" customHeight="false" outlineLevel="0" collapsed="false">
      <c r="A225" s="767" t="n">
        <v>215</v>
      </c>
      <c r="B225" s="768" t="n">
        <v>43040</v>
      </c>
    </row>
    <row r="226" customFormat="false" ht="12.75" hidden="false" customHeight="false" outlineLevel="0" collapsed="false">
      <c r="A226" s="767" t="n">
        <v>216</v>
      </c>
      <c r="B226" s="768" t="n">
        <v>43070</v>
      </c>
    </row>
    <row r="227" customFormat="false" ht="12.75" hidden="false" customHeight="false" outlineLevel="0" collapsed="false">
      <c r="A227" s="767" t="n">
        <v>217</v>
      </c>
      <c r="B227" s="768" t="n">
        <v>43101</v>
      </c>
    </row>
    <row r="228" customFormat="false" ht="12.75" hidden="false" customHeight="false" outlineLevel="0" collapsed="false">
      <c r="A228" s="767" t="n">
        <v>218</v>
      </c>
      <c r="B228" s="768" t="n">
        <v>43132</v>
      </c>
    </row>
    <row r="229" customFormat="false" ht="12.75" hidden="false" customHeight="false" outlineLevel="0" collapsed="false">
      <c r="A229" s="767" t="n">
        <v>219</v>
      </c>
      <c r="B229" s="768" t="n">
        <v>43160</v>
      </c>
    </row>
    <row r="230" customFormat="false" ht="12.75" hidden="false" customHeight="false" outlineLevel="0" collapsed="false">
      <c r="A230" s="767" t="n">
        <v>220</v>
      </c>
      <c r="B230" s="768" t="n">
        <v>43191</v>
      </c>
    </row>
    <row r="231" customFormat="false" ht="12.75" hidden="false" customHeight="false" outlineLevel="0" collapsed="false">
      <c r="A231" s="767" t="n">
        <v>221</v>
      </c>
      <c r="B231" s="768" t="n">
        <v>43221</v>
      </c>
    </row>
    <row r="232" customFormat="false" ht="12.75" hidden="false" customHeight="false" outlineLevel="0" collapsed="false">
      <c r="A232" s="767" t="n">
        <v>222</v>
      </c>
      <c r="B232" s="768" t="n">
        <v>43252</v>
      </c>
    </row>
    <row r="233" customFormat="false" ht="12.75" hidden="false" customHeight="false" outlineLevel="0" collapsed="false">
      <c r="A233" s="767" t="n">
        <v>223</v>
      </c>
      <c r="B233" s="768" t="n">
        <v>43282</v>
      </c>
    </row>
    <row r="234" customFormat="false" ht="12.75" hidden="false" customHeight="false" outlineLevel="0" collapsed="false">
      <c r="A234" s="767" t="n">
        <v>224</v>
      </c>
      <c r="B234" s="768" t="n">
        <v>43313</v>
      </c>
    </row>
    <row r="235" customFormat="false" ht="12.75" hidden="false" customHeight="false" outlineLevel="0" collapsed="false">
      <c r="A235" s="767" t="n">
        <v>225</v>
      </c>
      <c r="B235" s="768" t="n">
        <v>43344</v>
      </c>
    </row>
    <row r="236" customFormat="false" ht="12.75" hidden="false" customHeight="false" outlineLevel="0" collapsed="false">
      <c r="A236" s="767" t="n">
        <v>226</v>
      </c>
      <c r="B236" s="768" t="n">
        <v>43374</v>
      </c>
    </row>
    <row r="237" customFormat="false" ht="12.75" hidden="false" customHeight="false" outlineLevel="0" collapsed="false">
      <c r="A237" s="767" t="n">
        <v>227</v>
      </c>
      <c r="B237" s="768" t="n">
        <v>43405</v>
      </c>
    </row>
    <row r="238" customFormat="false" ht="12.75" hidden="false" customHeight="false" outlineLevel="0" collapsed="false">
      <c r="A238" s="767" t="n">
        <v>228</v>
      </c>
      <c r="B238" s="768" t="n">
        <v>43435</v>
      </c>
    </row>
    <row r="239" customFormat="false" ht="12.75" hidden="false" customHeight="false" outlineLevel="0" collapsed="false">
      <c r="A239" s="767" t="n">
        <v>229</v>
      </c>
      <c r="B239" s="768" t="n">
        <v>43466</v>
      </c>
    </row>
    <row r="240" customFormat="false" ht="12.75" hidden="false" customHeight="false" outlineLevel="0" collapsed="false">
      <c r="A240" s="767" t="n">
        <v>230</v>
      </c>
      <c r="B240" s="768" t="n">
        <v>43497</v>
      </c>
    </row>
    <row r="241" customFormat="false" ht="12.75" hidden="false" customHeight="false" outlineLevel="0" collapsed="false">
      <c r="A241" s="767" t="n">
        <v>231</v>
      </c>
      <c r="B241" s="768" t="n">
        <v>43525</v>
      </c>
    </row>
    <row r="242" customFormat="false" ht="12.75" hidden="false" customHeight="false" outlineLevel="0" collapsed="false">
      <c r="A242" s="767" t="n">
        <v>232</v>
      </c>
      <c r="B242" s="768" t="n">
        <v>43556</v>
      </c>
    </row>
    <row r="243" customFormat="false" ht="12.75" hidden="false" customHeight="false" outlineLevel="0" collapsed="false">
      <c r="A243" s="767" t="n">
        <v>233</v>
      </c>
      <c r="B243" s="768" t="n">
        <v>43586</v>
      </c>
    </row>
    <row r="244" customFormat="false" ht="12.75" hidden="false" customHeight="false" outlineLevel="0" collapsed="false">
      <c r="A244" s="767" t="n">
        <v>234</v>
      </c>
      <c r="B244" s="768" t="n">
        <v>43617</v>
      </c>
    </row>
    <row r="245" customFormat="false" ht="12.75" hidden="false" customHeight="false" outlineLevel="0" collapsed="false">
      <c r="A245" s="767" t="n">
        <v>235</v>
      </c>
      <c r="B245" s="768" t="n">
        <v>43647</v>
      </c>
    </row>
    <row r="246" customFormat="false" ht="12.75" hidden="false" customHeight="false" outlineLevel="0" collapsed="false">
      <c r="A246" s="767" t="n">
        <v>236</v>
      </c>
      <c r="B246" s="768" t="n">
        <v>43678</v>
      </c>
    </row>
    <row r="247" customFormat="false" ht="12.75" hidden="false" customHeight="false" outlineLevel="0" collapsed="false">
      <c r="A247" s="767" t="n">
        <v>237</v>
      </c>
      <c r="B247" s="768" t="n">
        <v>43709</v>
      </c>
    </row>
    <row r="248" customFormat="false" ht="12.75" hidden="false" customHeight="false" outlineLevel="0" collapsed="false">
      <c r="A248" s="767" t="n">
        <v>238</v>
      </c>
      <c r="B248" s="768" t="n">
        <v>43739</v>
      </c>
    </row>
    <row r="249" customFormat="false" ht="12.75" hidden="false" customHeight="false" outlineLevel="0" collapsed="false">
      <c r="A249" s="767" t="n">
        <v>239</v>
      </c>
      <c r="B249" s="768" t="n">
        <v>43770</v>
      </c>
    </row>
    <row r="250" customFormat="false" ht="12.75" hidden="false" customHeight="false" outlineLevel="0" collapsed="false">
      <c r="A250" s="767" t="n">
        <v>240</v>
      </c>
      <c r="B250" s="768" t="n">
        <v>43800</v>
      </c>
    </row>
    <row r="251" customFormat="false" ht="12.75" hidden="false" customHeight="false" outlineLevel="0" collapsed="false">
      <c r="A251" s="767" t="n">
        <v>241</v>
      </c>
      <c r="B251" s="768" t="n">
        <v>43831</v>
      </c>
    </row>
    <row r="252" customFormat="false" ht="12.75" hidden="false" customHeight="false" outlineLevel="0" collapsed="false">
      <c r="A252" s="767" t="n">
        <v>242</v>
      </c>
      <c r="B252" s="768" t="n">
        <v>43862</v>
      </c>
    </row>
    <row r="253" customFormat="false" ht="12.75" hidden="false" customHeight="false" outlineLevel="0" collapsed="false">
      <c r="A253" s="767" t="n">
        <v>243</v>
      </c>
      <c r="B253" s="768" t="n">
        <v>43891</v>
      </c>
    </row>
    <row r="254" customFormat="false" ht="12.75" hidden="false" customHeight="false" outlineLevel="0" collapsed="false">
      <c r="A254" s="767" t="n">
        <v>244</v>
      </c>
      <c r="B254" s="768" t="n">
        <v>43922</v>
      </c>
    </row>
    <row r="255" customFormat="false" ht="12.75" hidden="false" customHeight="false" outlineLevel="0" collapsed="false">
      <c r="A255" s="767" t="n">
        <v>245</v>
      </c>
      <c r="B255" s="768" t="n">
        <v>43952</v>
      </c>
    </row>
    <row r="256" customFormat="false" ht="12.75" hidden="false" customHeight="false" outlineLevel="0" collapsed="false">
      <c r="A256" s="767" t="n">
        <v>246</v>
      </c>
      <c r="B256" s="768" t="n">
        <v>43983</v>
      </c>
    </row>
    <row r="257" customFormat="false" ht="12.75" hidden="false" customHeight="false" outlineLevel="0" collapsed="false">
      <c r="A257" s="767" t="n">
        <v>247</v>
      </c>
      <c r="B257" s="768" t="n">
        <v>44013</v>
      </c>
    </row>
    <row r="258" customFormat="false" ht="12.75" hidden="false" customHeight="false" outlineLevel="0" collapsed="false">
      <c r="A258" s="767" t="n">
        <v>248</v>
      </c>
      <c r="B258" s="768" t="n">
        <v>44044</v>
      </c>
    </row>
    <row r="259" customFormat="false" ht="12.75" hidden="false" customHeight="false" outlineLevel="0" collapsed="false">
      <c r="A259" s="767" t="n">
        <v>249</v>
      </c>
      <c r="B259" s="768" t="n">
        <v>44075</v>
      </c>
    </row>
    <row r="260" customFormat="false" ht="12.75" hidden="false" customHeight="false" outlineLevel="0" collapsed="false">
      <c r="A260" s="767" t="n">
        <v>250</v>
      </c>
      <c r="B260" s="768" t="n">
        <v>44105</v>
      </c>
    </row>
    <row r="261" customFormat="false" ht="12.75" hidden="false" customHeight="false" outlineLevel="0" collapsed="false">
      <c r="A261" s="767" t="n">
        <v>251</v>
      </c>
      <c r="B261" s="768" t="n">
        <v>44136</v>
      </c>
    </row>
    <row r="262" customFormat="false" ht="12.75" hidden="false" customHeight="false" outlineLevel="0" collapsed="false">
      <c r="A262" s="767" t="n">
        <v>252</v>
      </c>
      <c r="B262" s="768" t="n">
        <v>44166</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248"/>
  <sheetViews>
    <sheetView showFormulas="false" showGridLines="true" showRowColHeaders="true" showZeros="true" rightToLeft="false" tabSelected="false" showOutlineSymbols="true" defaultGridColor="true" view="normal" topLeftCell="A1" colorId="64" zoomScale="92" zoomScaleNormal="92" zoomScalePageLayoutView="100" workbookViewId="0">
      <pane xSplit="0" ySplit="12" topLeftCell="BM13" activePane="bottomLeft" state="frozen"/>
      <selection pane="topLeft" activeCell="A1" activeCellId="0" sqref="A1"/>
      <selection pane="bottomLeft" activeCell="C5" activeCellId="0" sqref="C5"/>
    </sheetView>
  </sheetViews>
  <sheetFormatPr defaultColWidth="9.0546875" defaultRowHeight="12.75" customHeight="true" zeroHeight="false" outlineLevelRow="0" outlineLevelCol="0"/>
  <cols>
    <col collapsed="false" customWidth="true" hidden="false" outlineLevel="0" max="1" min="1" style="0" width="19.56"/>
    <col collapsed="false" customWidth="true" hidden="false" outlineLevel="0" max="2" min="2" style="0" width="14.41"/>
    <col collapsed="false" customWidth="true" hidden="false" outlineLevel="0" max="12" min="3" style="417" width="12.42"/>
  </cols>
  <sheetData>
    <row r="1" customFormat="false" ht="12.75" hidden="false" customHeight="false" outlineLevel="0" collapsed="false">
      <c r="F1" s="417" t="s">
        <v>1434</v>
      </c>
    </row>
    <row r="2" customFormat="false" ht="12.75" hidden="false" customHeight="false" outlineLevel="0" collapsed="false">
      <c r="A2" s="781" t="s">
        <v>1435</v>
      </c>
      <c r="C2" s="781" t="str">
        <f aca="false">'wholesale services'!C10</f>
        <v>mid</v>
      </c>
      <c r="F2" s="417" t="s">
        <v>1358</v>
      </c>
      <c r="G2" s="421" t="n">
        <f aca="false">'wholesale services'!G54</f>
        <v>0.714867877279003</v>
      </c>
    </row>
    <row r="3" customFormat="false" ht="12.75" hidden="false" customHeight="false" outlineLevel="0" collapsed="false">
      <c r="A3" s="781" t="s">
        <v>950</v>
      </c>
      <c r="C3" s="898" t="n">
        <f aca="false">'wholesale services'!C9</f>
        <v>0.04</v>
      </c>
      <c r="F3" s="417" t="s">
        <v>1359</v>
      </c>
      <c r="G3" s="421" t="n">
        <f aca="false">'wholesale services'!G55</f>
        <v>0.0253270787887514</v>
      </c>
    </row>
    <row r="4" customFormat="false" ht="12.75" hidden="false" customHeight="false" outlineLevel="0" collapsed="false">
      <c r="A4" s="767" t="s">
        <v>1051</v>
      </c>
      <c r="B4" s="781"/>
      <c r="C4" s="421" t="n">
        <f aca="false">'wholesale services'!C8</f>
        <v>0.055</v>
      </c>
      <c r="F4" s="417" t="s">
        <v>1360</v>
      </c>
      <c r="G4" s="421" t="n">
        <f aca="false">'wholesale services'!G56</f>
        <v>0.0127487583674199</v>
      </c>
    </row>
    <row r="5" customFormat="false" ht="12.75" hidden="false" customHeight="false" outlineLevel="0" collapsed="false">
      <c r="A5" s="767" t="s">
        <v>1272</v>
      </c>
      <c r="B5" s="781"/>
      <c r="C5" s="421" t="n">
        <f aca="false">'general info'!B45</f>
        <v>0.135</v>
      </c>
      <c r="F5" s="417" t="s">
        <v>992</v>
      </c>
      <c r="G5" s="421" t="n">
        <f aca="false">'wholesale services'!G57</f>
        <v>0.0927352864667538</v>
      </c>
    </row>
    <row r="6" customFormat="false" ht="12.75" hidden="false" customHeight="false" outlineLevel="0" collapsed="false">
      <c r="A6" s="767" t="s">
        <v>948</v>
      </c>
      <c r="B6" s="781"/>
      <c r="C6" s="421" t="n">
        <v>0.006</v>
      </c>
      <c r="F6" s="417" t="s">
        <v>894</v>
      </c>
      <c r="G6" s="421" t="n">
        <f aca="false">'wholesale services'!G58</f>
        <v>0.0853234916603833</v>
      </c>
    </row>
    <row r="7" customFormat="false" ht="12.75" hidden="false" customHeight="false" outlineLevel="0" collapsed="false">
      <c r="F7" s="417" t="s">
        <v>1362</v>
      </c>
      <c r="G7" s="421" t="n">
        <f aca="false">'wholesale services'!G59</f>
        <v>0.064736558785476</v>
      </c>
    </row>
    <row r="8" customFormat="false" ht="12.75" hidden="false" customHeight="false" outlineLevel="0" collapsed="false">
      <c r="F8" s="417" t="s">
        <v>1436</v>
      </c>
      <c r="G8" s="421" t="n">
        <f aca="false">'wholesale services'!G61</f>
        <v>0.00426094865221255</v>
      </c>
    </row>
    <row r="9" customFormat="false" ht="12.75" hidden="false" customHeight="false" outlineLevel="0" collapsed="false">
      <c r="G9" s="421" t="n">
        <f aca="false">SUM(G2:G8)</f>
        <v>1</v>
      </c>
    </row>
    <row r="10" customFormat="false" ht="15.75" hidden="false" customHeight="false" outlineLevel="0" collapsed="false">
      <c r="A10" s="899" t="s">
        <v>1437</v>
      </c>
    </row>
    <row r="11" customFormat="false" ht="12.75" hidden="false" customHeight="false" outlineLevel="0" collapsed="false">
      <c r="C11" s="417" t="n">
        <v>1</v>
      </c>
      <c r="D11" s="417" t="n">
        <v>2</v>
      </c>
      <c r="E11" s="417" t="n">
        <v>3</v>
      </c>
      <c r="F11" s="417" t="n">
        <v>4</v>
      </c>
      <c r="G11" s="417" t="n">
        <v>5</v>
      </c>
      <c r="H11" s="417" t="n">
        <v>6</v>
      </c>
      <c r="I11" s="417" t="n">
        <v>7</v>
      </c>
      <c r="J11" s="417" t="n">
        <v>8</v>
      </c>
      <c r="K11" s="417" t="n">
        <v>9</v>
      </c>
      <c r="L11" s="417" t="n">
        <v>10</v>
      </c>
    </row>
    <row r="12" customFormat="false" ht="12.75" hidden="false" customHeight="false" outlineLevel="0" collapsed="false">
      <c r="B12" s="0" t="s">
        <v>1438</v>
      </c>
    </row>
    <row r="13" customFormat="false" ht="12.75" hidden="false" customHeight="false" outlineLevel="0" collapsed="false">
      <c r="A13" s="439" t="s">
        <v>1358</v>
      </c>
    </row>
    <row r="14" customFormat="false" ht="12.75" hidden="false" customHeight="false" outlineLevel="0" collapsed="false">
      <c r="A14" s="0" t="s">
        <v>857</v>
      </c>
      <c r="C14" s="417" t="n">
        <f aca="false">'wholesale services'!$F$54*(1+$C$6)</f>
        <v>42194658</v>
      </c>
    </row>
    <row r="15" customFormat="false" ht="12.75" hidden="false" customHeight="false" outlineLevel="0" collapsed="false">
      <c r="A15" s="0" t="s">
        <v>1439</v>
      </c>
      <c r="C15" s="417" t="n">
        <f aca="false">C14</f>
        <v>42194658</v>
      </c>
      <c r="D15" s="417" t="n">
        <f aca="false">C15*(1+$B$16)+$G$2*$B$16*D97</f>
        <v>42639488.8717527</v>
      </c>
      <c r="E15" s="417" t="n">
        <f aca="false">D15*(1+$B$16)+$G$2*$B$16*E97</f>
        <v>43081353.7594811</v>
      </c>
      <c r="F15" s="417" t="n">
        <f aca="false">E15*(1+$B$16)+$G$2*$B$16*F97</f>
        <v>43528300.0934184</v>
      </c>
      <c r="G15" s="417" t="n">
        <f aca="false">F15*(1+$B$16)+$G$2*$B$16*G97</f>
        <v>43980386.3101959</v>
      </c>
      <c r="H15" s="417" t="n">
        <f aca="false">G15*(1+$B$16)+$G$2*$B$16*H97</f>
        <v>44437671.5184664</v>
      </c>
      <c r="I15" s="417" t="n">
        <f aca="false">H15*(1+$B$16)+$G$2*$B$16*I97</f>
        <v>44900215.506632</v>
      </c>
      <c r="J15" s="417" t="n">
        <f aca="false">I15*(1+$B$16)+$G$2*$B$16*J97</f>
        <v>45368078.7506615</v>
      </c>
      <c r="K15" s="417" t="n">
        <f aca="false">J15*(1+$B$16)+$G$2*$B$16*K97</f>
        <v>45841322.4219974</v>
      </c>
      <c r="L15" s="417" t="n">
        <f aca="false">K15*(1+$B$16)+$G$2*$B$16*L97</f>
        <v>46320008.3955536</v>
      </c>
    </row>
    <row r="16" customFormat="false" ht="12.75" hidden="false" customHeight="false" outlineLevel="0" collapsed="false">
      <c r="A16" s="0" t="s">
        <v>1440</v>
      </c>
      <c r="B16" s="413" t="n">
        <f aca="false">'wholesale services'!D104</f>
        <v>0.0115</v>
      </c>
      <c r="C16" s="417" t="n">
        <f aca="false">C14*(1-$C$3)</f>
        <v>40506871.68</v>
      </c>
      <c r="D16" s="417" t="n">
        <f aca="false">C16*(1+$B$16)+$G$2*$B$16*D97</f>
        <v>40932293.0090727</v>
      </c>
      <c r="E16" s="417" t="n">
        <f aca="false">D16*(1+$B$16)+$G$2*$B$16*E97</f>
        <v>41354525.1443803</v>
      </c>
      <c r="F16" s="417" t="n">
        <f aca="false">E16*(1+$B$16)+$G$2*$B$16*F97</f>
        <v>41781612.9492439</v>
      </c>
      <c r="G16" s="417" t="n">
        <f aca="false">F16*(1+$B$16)+$G$2*$B$16*G97</f>
        <v>42213612.2638635</v>
      </c>
      <c r="H16" s="417" t="n">
        <f aca="false">G16*(1+$B$16)+$G$2*$B$16*H97</f>
        <v>42650579.5706011</v>
      </c>
      <c r="I16" s="417" t="n">
        <f aca="false">H16*(1+$B$16)+$G$2*$B$16*I97</f>
        <v>43092572.0013663</v>
      </c>
      <c r="J16" s="417" t="n">
        <f aca="false">I16*(1+$B$16)+$G$2*$B$16*J97</f>
        <v>43539647.3450852</v>
      </c>
      <c r="K16" s="417" t="n">
        <f aca="false">J16*(1+$B$16)+$G$2*$B$16*K97</f>
        <v>43991864.055257</v>
      </c>
      <c r="L16" s="417" t="n">
        <f aca="false">K16*(1+$B$16)+$G$2*$B$16*L97</f>
        <v>44449281.2575956</v>
      </c>
    </row>
    <row r="17" customFormat="false" ht="13.5" hidden="false" customHeight="false" outlineLevel="0" collapsed="false">
      <c r="A17" s="0" t="s">
        <v>887</v>
      </c>
      <c r="C17" s="417" t="n">
        <f aca="false">'wholesale services'!D112</f>
        <v>39006990</v>
      </c>
      <c r="D17" s="417" t="n">
        <f aca="false">'wholesale services'!E112</f>
        <v>32686951.52875</v>
      </c>
      <c r="E17" s="417" t="n">
        <f aca="false">'wholesale services'!F112</f>
        <v>31422943.8345</v>
      </c>
      <c r="F17" s="417" t="n">
        <f aca="false">'wholesale services'!G112</f>
        <v>31422943.8345</v>
      </c>
      <c r="G17" s="417" t="n">
        <f aca="false">'wholesale services'!H112</f>
        <v>31422943.8345</v>
      </c>
      <c r="H17" s="417" t="n">
        <f aca="false">'wholesale services'!I112</f>
        <v>31422943.8345</v>
      </c>
      <c r="I17" s="417" t="n">
        <f aca="false">'wholesale services'!J112</f>
        <v>31422943.8345</v>
      </c>
      <c r="J17" s="417" t="n">
        <f aca="false">'wholesale services'!K112</f>
        <v>31422943.8345</v>
      </c>
      <c r="K17" s="417" t="n">
        <f aca="false">'wholesale services'!L112</f>
        <v>31422943.8345</v>
      </c>
      <c r="L17" s="417" t="n">
        <f aca="false">'wholesale services'!M112</f>
        <v>31422943.8345</v>
      </c>
    </row>
    <row r="18" customFormat="false" ht="13.5" hidden="false" customHeight="false" outlineLevel="0" collapsed="false">
      <c r="A18" s="900" t="s">
        <v>1441</v>
      </c>
      <c r="B18" s="900"/>
      <c r="C18" s="901" t="n">
        <f aca="false">C15-C17</f>
        <v>3187668.00000001</v>
      </c>
      <c r="D18" s="901" t="n">
        <f aca="false">D15-D17</f>
        <v>9952537.34300271</v>
      </c>
      <c r="E18" s="901" t="n">
        <f aca="false">E15-E17</f>
        <v>11658409.9249811</v>
      </c>
      <c r="F18" s="901" t="n">
        <f aca="false">F15-F17</f>
        <v>12105356.2589184</v>
      </c>
      <c r="G18" s="901" t="n">
        <f aca="false">G15-G17</f>
        <v>12557442.4756959</v>
      </c>
      <c r="H18" s="901" t="n">
        <f aca="false">H15-H17</f>
        <v>13014727.6839664</v>
      </c>
      <c r="I18" s="901" t="n">
        <f aca="false">I15-I17</f>
        <v>13477271.672132</v>
      </c>
      <c r="J18" s="901" t="n">
        <f aca="false">J15-J17</f>
        <v>13945134.9161615</v>
      </c>
      <c r="K18" s="901" t="n">
        <f aca="false">K15-K17</f>
        <v>14418378.5874974</v>
      </c>
      <c r="L18" s="901" t="n">
        <f aca="false">L15-L17</f>
        <v>14897064.5610536</v>
      </c>
    </row>
    <row r="19" customFormat="false" ht="12.75" hidden="false" customHeight="false" outlineLevel="0" collapsed="false">
      <c r="A19" s="902" t="s">
        <v>1442</v>
      </c>
      <c r="B19" s="902"/>
      <c r="C19" s="903" t="n">
        <f aca="false">C16-C17</f>
        <v>1499881.68000001</v>
      </c>
      <c r="D19" s="903" t="n">
        <f aca="false">D16-D17</f>
        <v>8245341.48032271</v>
      </c>
      <c r="E19" s="903" t="n">
        <f aca="false">E16-E17</f>
        <v>9931581.30988029</v>
      </c>
      <c r="F19" s="903" t="n">
        <f aca="false">F16-F17</f>
        <v>10358669.1147439</v>
      </c>
      <c r="G19" s="903" t="n">
        <f aca="false">G16-G17</f>
        <v>10790668.4293635</v>
      </c>
      <c r="H19" s="903" t="n">
        <f aca="false">H16-H17</f>
        <v>11227635.7361011</v>
      </c>
      <c r="I19" s="903" t="n">
        <f aca="false">I16-I17</f>
        <v>11669628.1668663</v>
      </c>
      <c r="J19" s="903" t="n">
        <f aca="false">J16-J17</f>
        <v>12116703.5105852</v>
      </c>
      <c r="K19" s="903" t="n">
        <f aca="false">K16-K17</f>
        <v>12568920.220757</v>
      </c>
      <c r="L19" s="903" t="n">
        <f aca="false">L16-L17</f>
        <v>13026337.4230956</v>
      </c>
    </row>
    <row r="20" customFormat="false" ht="12.75" hidden="false" customHeight="false" outlineLevel="0" collapsed="false">
      <c r="A20" s="904" t="s">
        <v>1443</v>
      </c>
      <c r="B20" s="905" t="n">
        <f aca="false">NPV($C$5,C18:L18)</f>
        <v>57986508.722272</v>
      </c>
      <c r="C20" s="906" t="n">
        <f aca="false">B20/$B$120</f>
        <v>0.185506369243594</v>
      </c>
      <c r="D20" s="906"/>
      <c r="E20" s="906"/>
      <c r="F20" s="906"/>
      <c r="G20" s="906"/>
      <c r="H20" s="906"/>
      <c r="I20" s="906"/>
      <c r="J20" s="906"/>
      <c r="K20" s="906"/>
      <c r="L20" s="906"/>
    </row>
    <row r="21" customFormat="false" ht="12.75" hidden="false" customHeight="false" outlineLevel="0" collapsed="false">
      <c r="A21" s="904" t="s">
        <v>1444</v>
      </c>
      <c r="B21" s="905" t="n">
        <f aca="false">NPV($C$5,C19:L19)</f>
        <v>48638900.0973199</v>
      </c>
      <c r="C21" s="906" t="n">
        <f aca="false">B21/$B$120</f>
        <v>0.155602155740584</v>
      </c>
      <c r="D21" s="907"/>
      <c r="E21" s="907"/>
      <c r="F21" s="907"/>
      <c r="G21" s="907"/>
      <c r="H21" s="907"/>
      <c r="I21" s="907"/>
      <c r="J21" s="907"/>
      <c r="K21" s="907"/>
      <c r="L21" s="907"/>
    </row>
    <row r="22" customFormat="false" ht="12.75" hidden="false" customHeight="false" outlineLevel="0" collapsed="false">
      <c r="A22" s="904" t="s">
        <v>1445</v>
      </c>
      <c r="B22" s="905" t="n">
        <f aca="false">B20-B21</f>
        <v>9347608.62495212</v>
      </c>
      <c r="C22" s="906"/>
      <c r="D22" s="907"/>
      <c r="E22" s="907"/>
      <c r="F22" s="907"/>
      <c r="G22" s="907"/>
      <c r="H22" s="907"/>
      <c r="I22" s="907"/>
      <c r="J22" s="907"/>
      <c r="K22" s="907"/>
      <c r="L22" s="907"/>
    </row>
    <row r="24" customFormat="false" ht="12.75" hidden="false" customHeight="false" outlineLevel="0" collapsed="false">
      <c r="A24" s="439" t="s">
        <v>1359</v>
      </c>
    </row>
    <row r="25" customFormat="false" ht="12.75" hidden="false" customHeight="false" outlineLevel="0" collapsed="false">
      <c r="A25" s="0" t="s">
        <v>857</v>
      </c>
      <c r="C25" s="417" t="n">
        <f aca="false">'wholesale services'!F55*(1+$C$6)</f>
        <v>1494916</v>
      </c>
    </row>
    <row r="26" customFormat="false" ht="12.75" hidden="false" customHeight="false" outlineLevel="0" collapsed="false">
      <c r="A26" s="0" t="s">
        <v>1439</v>
      </c>
      <c r="C26" s="417" t="n">
        <f aca="false">C25</f>
        <v>1494916</v>
      </c>
      <c r="D26" s="417" t="n">
        <f aca="false">C26*(1+$B$27)+$B$27*$G$3*D97</f>
        <v>1510675.92836527</v>
      </c>
      <c r="E26" s="417" t="n">
        <f aca="false">D26*(1+$B$27)+$B$27*$G$3*E97</f>
        <v>1526330.77477979</v>
      </c>
      <c r="F26" s="417" t="n">
        <f aca="false">E26*(1+$B$27)+$B$27*$G$3*F97</f>
        <v>1542165.65192809</v>
      </c>
      <c r="G26" s="417" t="n">
        <f aca="false">F26*(1+$B$27)+$B$27*$G$3*G97</f>
        <v>1558182.63016358</v>
      </c>
      <c r="H26" s="417" t="n">
        <f aca="false">G26*(1+$B$27)+$B$27*$G$3*H97</f>
        <v>1574383.80364879</v>
      </c>
      <c r="I26" s="417" t="n">
        <f aca="false">H26*(1+$B$27)+$B$27*$G$3*I97</f>
        <v>1590771.29062907</v>
      </c>
      <c r="J26" s="417" t="n">
        <f aca="false">I26*(1+$B$27)+$B$27*$G$3*J97</f>
        <v>1607347.23370963</v>
      </c>
      <c r="K26" s="417" t="n">
        <f aca="false">J26*(1+$B$27)+$B$27*$G$3*K97</f>
        <v>1624113.80013562</v>
      </c>
      <c r="L26" s="417" t="n">
        <f aca="false">K26*(1+$B$27)+$B$27*$G$3*L97</f>
        <v>1641073.1820755</v>
      </c>
    </row>
    <row r="27" customFormat="false" ht="12.75" hidden="false" customHeight="false" outlineLevel="0" collapsed="false">
      <c r="A27" s="0" t="s">
        <v>1440</v>
      </c>
      <c r="B27" s="413" t="n">
        <f aca="false">B16</f>
        <v>0.0115</v>
      </c>
      <c r="C27" s="417" t="n">
        <f aca="false">C25*(1-$C$3)</f>
        <v>1435119.36</v>
      </c>
      <c r="D27" s="417" t="n">
        <f aca="false">C27*(1+$B$27)+$B$27*$G$3*D97</f>
        <v>1450191.62700527</v>
      </c>
      <c r="E27" s="417" t="n">
        <f aca="false">D27*(1+$B$27)+$B$27*$G$3*E97</f>
        <v>1465150.90395415</v>
      </c>
      <c r="F27" s="417" t="n">
        <f aca="false">E27*(1+$B$27)+$B$27*$G$3*F97</f>
        <v>1480282.21258795</v>
      </c>
      <c r="G27" s="417" t="n">
        <f aca="false">F27*(1+$B$27)+$B$27*$G$3*G97</f>
        <v>1495587.53127104</v>
      </c>
      <c r="H27" s="417" t="n">
        <f aca="false">G27*(1+$B$27)+$B$27*$G$3*H97</f>
        <v>1511068.86111898</v>
      </c>
      <c r="I27" s="417" t="n">
        <f aca="false">H27*(1+$B$27)+$B$27*$G$3*I97</f>
        <v>1526728.22626017</v>
      </c>
      <c r="J27" s="417" t="n">
        <f aca="false">I27*(1+$B$27)+$B$27*$G$3*J97</f>
        <v>1542567.67410049</v>
      </c>
      <c r="K27" s="417" t="n">
        <f aca="false">J27*(1+$B$27)+$B$27*$G$3*K97</f>
        <v>1558589.27559097</v>
      </c>
      <c r="L27" s="417" t="n">
        <f aca="false">K27*(1+$B$27)+$B$27*$G$3*L97</f>
        <v>1574795.12549859</v>
      </c>
    </row>
    <row r="28" customFormat="false" ht="13.5" hidden="false" customHeight="false" outlineLevel="0" collapsed="false">
      <c r="A28" s="0" t="s">
        <v>887</v>
      </c>
      <c r="C28" s="417" t="n">
        <f aca="false">'wholesale services'!D115</f>
        <v>1708211.51070845</v>
      </c>
      <c r="D28" s="417" t="n">
        <f aca="false">'wholesale services'!E115</f>
        <v>1301250.12609073</v>
      </c>
      <c r="E28" s="417" t="n">
        <f aca="false">'wholesale services'!F115</f>
        <v>1232294.17505978</v>
      </c>
      <c r="F28" s="417" t="n">
        <f aca="false">'wholesale services'!G115</f>
        <v>1253412.83819212</v>
      </c>
      <c r="G28" s="417" t="n">
        <f aca="false">'wholesale services'!H115</f>
        <v>1279128.253755</v>
      </c>
      <c r="H28" s="417" t="n">
        <f aca="false">'wholesale services'!I115</f>
        <v>1309408.51756753</v>
      </c>
      <c r="I28" s="417" t="n">
        <f aca="false">'wholesale services'!J115</f>
        <v>1344223.42200262</v>
      </c>
      <c r="J28" s="417" t="n">
        <f aca="false">'wholesale services'!K115</f>
        <v>1383544.52669487</v>
      </c>
      <c r="K28" s="417" t="n">
        <f aca="false">'wholesale services'!L115</f>
        <v>1427345.19202602</v>
      </c>
      <c r="L28" s="417" t="n">
        <f aca="false">'wholesale services'!M115</f>
        <v>1475600.57963107</v>
      </c>
    </row>
    <row r="29" customFormat="false" ht="13.5" hidden="false" customHeight="false" outlineLevel="0" collapsed="false">
      <c r="A29" s="900" t="s">
        <v>1441</v>
      </c>
      <c r="B29" s="900"/>
      <c r="C29" s="901" t="n">
        <f aca="false">C26-C28</f>
        <v>-213295.510708447</v>
      </c>
      <c r="D29" s="901" t="n">
        <f aca="false">D26-D28</f>
        <v>209425.802274538</v>
      </c>
      <c r="E29" s="901" t="n">
        <f aca="false">E26-E28</f>
        <v>294036.599720011</v>
      </c>
      <c r="F29" s="901" t="n">
        <f aca="false">F26-F28</f>
        <v>288752.813735963</v>
      </c>
      <c r="G29" s="901" t="n">
        <f aca="false">G26-G28</f>
        <v>279054.376408578</v>
      </c>
      <c r="H29" s="901" t="n">
        <f aca="false">H26-H28</f>
        <v>264975.286081256</v>
      </c>
      <c r="I29" s="901" t="n">
        <f aca="false">I26-I28</f>
        <v>246547.86862645</v>
      </c>
      <c r="J29" s="901" t="n">
        <f aca="false">J26-J28</f>
        <v>223802.707014758</v>
      </c>
      <c r="K29" s="901" t="n">
        <f aca="false">K26-K28</f>
        <v>196768.608109599</v>
      </c>
      <c r="L29" s="901" t="n">
        <f aca="false">L26-L28</f>
        <v>165472.602444429</v>
      </c>
    </row>
    <row r="30" customFormat="false" ht="12.75" hidden="false" customHeight="false" outlineLevel="0" collapsed="false">
      <c r="A30" s="902" t="s">
        <v>1442</v>
      </c>
      <c r="B30" s="902"/>
      <c r="C30" s="903" t="n">
        <f aca="false">C27-C28</f>
        <v>-273092.150708447</v>
      </c>
      <c r="D30" s="903" t="n">
        <f aca="false">D27-D28</f>
        <v>148941.500914539</v>
      </c>
      <c r="E30" s="903" t="n">
        <f aca="false">E27-E28</f>
        <v>232856.728894371</v>
      </c>
      <c r="F30" s="903" t="n">
        <f aca="false">F27-F28</f>
        <v>226869.374395828</v>
      </c>
      <c r="G30" s="903" t="n">
        <f aca="false">G27-G28</f>
        <v>216459.277516032</v>
      </c>
      <c r="H30" s="903" t="n">
        <f aca="false">H27-H28</f>
        <v>201660.343551446</v>
      </c>
      <c r="I30" s="903" t="n">
        <f aca="false">I27-I28</f>
        <v>182504.804257546</v>
      </c>
      <c r="J30" s="903" t="n">
        <f aca="false">J27-J28</f>
        <v>159023.147405612</v>
      </c>
      <c r="K30" s="903" t="n">
        <f aca="false">K27-K28</f>
        <v>131244.083564949</v>
      </c>
      <c r="L30" s="903" t="n">
        <f aca="false">L27-L28</f>
        <v>99194.5458675148</v>
      </c>
    </row>
    <row r="31" customFormat="false" ht="12.75" hidden="false" customHeight="false" outlineLevel="0" collapsed="false">
      <c r="A31" s="904" t="s">
        <v>1443</v>
      </c>
      <c r="B31" s="905" t="n">
        <f aca="false">NPV($C$5,C29:L29)</f>
        <v>914303.112260157</v>
      </c>
      <c r="C31" s="906" t="n">
        <f aca="false">B31/$B$120</f>
        <v>0.00292497435146246</v>
      </c>
      <c r="D31" s="908"/>
      <c r="E31" s="908"/>
      <c r="F31" s="908"/>
      <c r="G31" s="908"/>
      <c r="H31" s="908"/>
      <c r="I31" s="908"/>
      <c r="J31" s="908"/>
      <c r="K31" s="908"/>
      <c r="L31" s="908"/>
    </row>
    <row r="32" customFormat="false" ht="12.75" hidden="false" customHeight="false" outlineLevel="0" collapsed="false">
      <c r="A32" s="904" t="s">
        <v>1444</v>
      </c>
      <c r="B32" s="905" t="n">
        <f aca="false">NPV($C$5,C30:L30)</f>
        <v>583126.36246451</v>
      </c>
      <c r="C32" s="906" t="n">
        <f aca="false">B32/$B$120</f>
        <v>0.001865496935315</v>
      </c>
      <c r="D32" s="907"/>
      <c r="E32" s="907"/>
      <c r="F32" s="907"/>
      <c r="G32" s="907"/>
      <c r="H32" s="907"/>
      <c r="I32" s="907"/>
      <c r="J32" s="907"/>
      <c r="K32" s="907"/>
      <c r="L32" s="907"/>
    </row>
    <row r="33" customFormat="false" ht="12.75" hidden="false" customHeight="false" outlineLevel="0" collapsed="false">
      <c r="A33" s="904" t="s">
        <v>1445</v>
      </c>
      <c r="B33" s="905" t="n">
        <f aca="false">B31-B32</f>
        <v>331176.749795647</v>
      </c>
      <c r="C33" s="906"/>
      <c r="D33" s="907"/>
      <c r="E33" s="907"/>
      <c r="F33" s="907"/>
      <c r="G33" s="907"/>
      <c r="H33" s="907"/>
      <c r="I33" s="907"/>
      <c r="J33" s="907"/>
      <c r="K33" s="907"/>
      <c r="L33" s="907"/>
    </row>
    <row r="35" customFormat="false" ht="12.75" hidden="false" customHeight="false" outlineLevel="0" collapsed="false">
      <c r="A35" s="439" t="s">
        <v>1360</v>
      </c>
    </row>
    <row r="36" customFormat="false" ht="12.75" hidden="false" customHeight="false" outlineLevel="0" collapsed="false">
      <c r="A36" s="0" t="s">
        <v>857</v>
      </c>
      <c r="C36" s="417" t="n">
        <f aca="false">'wholesale services'!F56*(1+$C$6)</f>
        <v>752488</v>
      </c>
    </row>
    <row r="37" customFormat="false" ht="12.75" hidden="false" customHeight="false" outlineLevel="0" collapsed="false">
      <c r="A37" s="0" t="s">
        <v>1439</v>
      </c>
      <c r="C37" s="417" t="n">
        <f aca="false">C36</f>
        <v>752488</v>
      </c>
      <c r="D37" s="417" t="n">
        <f aca="false">C37*(1+$B$38)+$B$38*$G$4*D97</f>
        <v>760420.992205398</v>
      </c>
      <c r="E37" s="417" t="n">
        <f aca="false">D37*(1+$B$38)+$B$38*$G$4*E97</f>
        <v>768301.089862239</v>
      </c>
      <c r="F37" s="417" t="n">
        <f aca="false">E37*(1+$B$38)+$B$38*$G$4*F97</f>
        <v>776271.808642132</v>
      </c>
      <c r="G37" s="417" t="n">
        <f aca="false">F37*(1+$B$38)+$B$38*$G$4*G97</f>
        <v>784334.190687995</v>
      </c>
      <c r="H37" s="417" t="n">
        <f aca="false">G37*(1+$B$38)+$B$38*$G$4*H97</f>
        <v>792489.290127385</v>
      </c>
      <c r="I37" s="417" t="n">
        <f aca="false">H37*(1+$B$38)+$B$38*$G$4*I97</f>
        <v>800738.173210328</v>
      </c>
      <c r="J37" s="417" t="n">
        <f aca="false">I37*(1+$B$38)+$B$38*$G$4*J97</f>
        <v>809081.918448724</v>
      </c>
      <c r="K37" s="417" t="n">
        <f aca="false">J37*(1+$B$38)+$B$38*$G$4*K97</f>
        <v>817521.616757363</v>
      </c>
      <c r="L37" s="417" t="n">
        <f aca="false">K37*(1+$B$38)+$B$38*$G$4*L97</f>
        <v>826058.37159655</v>
      </c>
    </row>
    <row r="38" customFormat="false" ht="12.75" hidden="false" customHeight="false" outlineLevel="0" collapsed="false">
      <c r="A38" s="0" t="s">
        <v>1440</v>
      </c>
      <c r="B38" s="413" t="n">
        <f aca="false">B27</f>
        <v>0.0115</v>
      </c>
      <c r="C38" s="417" t="n">
        <f aca="false">C36*(1-$C$3)</f>
        <v>722388.48</v>
      </c>
      <c r="D38" s="417" t="n">
        <f aca="false">C38*(1+$B$38)+$B$38*$G$4*D97</f>
        <v>729975.327725398</v>
      </c>
      <c r="E38" s="417" t="n">
        <f aca="false">D38*(1+$B$38)+$B$38*$G$4*E97</f>
        <v>737505.300240718</v>
      </c>
      <c r="F38" s="417" t="n">
        <f aca="false">E38*(1+$B$38)+$B$38*$G$4*F97</f>
        <v>745121.867439965</v>
      </c>
      <c r="G38" s="417" t="n">
        <f aca="false">F38*(1+$B$38)+$B$38*$G$4*G97</f>
        <v>752826.025162002</v>
      </c>
      <c r="H38" s="417" t="n">
        <f aca="false">G38*(1+$B$38)+$B$38*$G$4*H97</f>
        <v>760618.780697843</v>
      </c>
      <c r="I38" s="417" t="n">
        <f aca="false">H38*(1+$B$38)+$B$38*$G$4*I97</f>
        <v>768501.152922347</v>
      </c>
      <c r="J38" s="417" t="n">
        <f aca="false">I38*(1+$B$38)+$B$38*$G$4*J97</f>
        <v>776474.172427431</v>
      </c>
      <c r="K38" s="417" t="n">
        <f aca="false">J38*(1+$B$38)+$B$38*$G$4*K97</f>
        <v>784538.881656825</v>
      </c>
      <c r="L38" s="417" t="n">
        <f aca="false">K38*(1+$B$38)+$B$38*$G$4*L97</f>
        <v>792696.335042356</v>
      </c>
    </row>
    <row r="39" customFormat="false" ht="13.5" hidden="false" customHeight="false" outlineLevel="0" collapsed="false">
      <c r="A39" s="0" t="s">
        <v>887</v>
      </c>
      <c r="C39" s="417" t="n">
        <f aca="false">'wholesale services'!D116</f>
        <v>695640</v>
      </c>
      <c r="D39" s="417" t="n">
        <f aca="false">'wholesale services'!E116</f>
        <v>716509.2</v>
      </c>
      <c r="E39" s="417" t="n">
        <f aca="false">'wholesale services'!F116</f>
        <v>738004.476</v>
      </c>
      <c r="F39" s="417" t="n">
        <f aca="false">'wholesale services'!G116</f>
        <v>760144.61028</v>
      </c>
      <c r="G39" s="417" t="n">
        <f aca="false">'wholesale services'!H116</f>
        <v>782948.9485884</v>
      </c>
      <c r="H39" s="417" t="n">
        <f aca="false">'wholesale services'!I116</f>
        <v>806437.417046052</v>
      </c>
      <c r="I39" s="417" t="n">
        <f aca="false">'wholesale services'!J116</f>
        <v>830630.539557434</v>
      </c>
      <c r="J39" s="417" t="n">
        <f aca="false">'wholesale services'!K116</f>
        <v>855549.455744157</v>
      </c>
      <c r="K39" s="417" t="n">
        <f aca="false">'wholesale services'!L116</f>
        <v>881215.939416482</v>
      </c>
      <c r="L39" s="417" t="n">
        <f aca="false">'wholesale services'!M116</f>
        <v>907652.417598976</v>
      </c>
    </row>
    <row r="40" customFormat="false" ht="13.5" hidden="false" customHeight="false" outlineLevel="0" collapsed="false">
      <c r="A40" s="900" t="s">
        <v>1441</v>
      </c>
      <c r="B40" s="900"/>
      <c r="C40" s="901" t="n">
        <f aca="false">C37-C39</f>
        <v>56848</v>
      </c>
      <c r="D40" s="901" t="n">
        <f aca="false">D37-D39</f>
        <v>43911.7922053983</v>
      </c>
      <c r="E40" s="901" t="n">
        <f aca="false">E37-E39</f>
        <v>30296.6138622385</v>
      </c>
      <c r="F40" s="901" t="n">
        <f aca="false">F37-F39</f>
        <v>16127.1983621321</v>
      </c>
      <c r="G40" s="901" t="n">
        <f aca="false">G37-G39</f>
        <v>1385.24209959467</v>
      </c>
      <c r="H40" s="901" t="n">
        <f aca="false">H37-H39</f>
        <v>-13948.1269186675</v>
      </c>
      <c r="I40" s="901" t="n">
        <f aca="false">I37-I39</f>
        <v>-29892.3663471062</v>
      </c>
      <c r="J40" s="901" t="n">
        <f aca="false">J37-J39</f>
        <v>-46467.5372954324</v>
      </c>
      <c r="K40" s="901" t="n">
        <f aca="false">K37-K39</f>
        <v>-63694.3226591189</v>
      </c>
      <c r="L40" s="901" t="n">
        <f aca="false">L37-L39</f>
        <v>-81594.0460024256</v>
      </c>
    </row>
    <row r="41" customFormat="false" ht="12.75" hidden="false" customHeight="false" outlineLevel="0" collapsed="false">
      <c r="A41" s="902" t="s">
        <v>1442</v>
      </c>
      <c r="B41" s="902"/>
      <c r="C41" s="903" t="n">
        <f aca="false">C38-C39</f>
        <v>26748.48</v>
      </c>
      <c r="D41" s="903" t="n">
        <f aca="false">D38-D39</f>
        <v>13466.1277253983</v>
      </c>
      <c r="E41" s="903" t="n">
        <f aca="false">E38-E39</f>
        <v>-499.175759281614</v>
      </c>
      <c r="F41" s="903" t="n">
        <f aca="false">F38-F39</f>
        <v>-15022.7428400355</v>
      </c>
      <c r="G41" s="903" t="n">
        <f aca="false">G38-G39</f>
        <v>-30122.9234263977</v>
      </c>
      <c r="H41" s="903" t="n">
        <f aca="false">H38-H39</f>
        <v>-45818.6363482088</v>
      </c>
      <c r="I41" s="903" t="n">
        <f aca="false">I38-I39</f>
        <v>-62129.3866350872</v>
      </c>
      <c r="J41" s="903" t="n">
        <f aca="false">J38-J39</f>
        <v>-79075.2833167253</v>
      </c>
      <c r="K41" s="903" t="n">
        <f aca="false">K38-K39</f>
        <v>-96677.0577596566</v>
      </c>
      <c r="L41" s="903" t="n">
        <f aca="false">L38-L39</f>
        <v>-114956.08255662</v>
      </c>
    </row>
    <row r="42" customFormat="false" ht="12.75" hidden="false" customHeight="false" outlineLevel="0" collapsed="false">
      <c r="A42" s="904" t="s">
        <v>1443</v>
      </c>
      <c r="B42" s="905" t="n">
        <f aca="false">NPV($C$5,C40:L40)</f>
        <v>36255.7671911371</v>
      </c>
      <c r="C42" s="906" t="n">
        <f aca="false">B42/$B$120</f>
        <v>0.000115986905988454</v>
      </c>
      <c r="D42" s="908"/>
      <c r="E42" s="908"/>
      <c r="F42" s="908"/>
      <c r="G42" s="908"/>
      <c r="H42" s="908"/>
      <c r="I42" s="908"/>
      <c r="J42" s="908"/>
      <c r="K42" s="908"/>
      <c r="L42" s="908"/>
    </row>
    <row r="43" customFormat="false" ht="12.75" hidden="false" customHeight="false" outlineLevel="0" collapsed="false">
      <c r="A43" s="904" t="s">
        <v>1444</v>
      </c>
      <c r="B43" s="905" t="n">
        <f aca="false">NPV($C$5,C41:L41)</f>
        <v>-130446.930552568</v>
      </c>
      <c r="C43" s="906" t="n">
        <f aca="false">B43/$B$120</f>
        <v>-0.000417316665531263</v>
      </c>
      <c r="D43" s="907"/>
      <c r="E43" s="907"/>
      <c r="F43" s="907"/>
      <c r="G43" s="907"/>
      <c r="H43" s="907"/>
      <c r="I43" s="907"/>
      <c r="J43" s="907"/>
      <c r="K43" s="907"/>
      <c r="L43" s="907"/>
    </row>
    <row r="44" customFormat="false" ht="12.75" hidden="false" customHeight="false" outlineLevel="0" collapsed="false">
      <c r="A44" s="904" t="s">
        <v>1445</v>
      </c>
      <c r="B44" s="905" t="n">
        <f aca="false">B42-B43</f>
        <v>166702.697743705</v>
      </c>
      <c r="C44" s="906"/>
      <c r="D44" s="907"/>
      <c r="E44" s="907"/>
      <c r="F44" s="907"/>
      <c r="G44" s="907"/>
      <c r="H44" s="907"/>
      <c r="I44" s="907"/>
      <c r="J44" s="907"/>
      <c r="K44" s="907"/>
      <c r="L44" s="907"/>
    </row>
    <row r="46" customFormat="false" ht="12.75" hidden="false" customHeight="false" outlineLevel="0" collapsed="false">
      <c r="A46" s="439" t="s">
        <v>992</v>
      </c>
    </row>
    <row r="47" customFormat="false" ht="12.75" hidden="false" customHeight="false" outlineLevel="0" collapsed="false">
      <c r="A47" s="0" t="s">
        <v>857</v>
      </c>
      <c r="C47" s="417" t="n">
        <f aca="false">'wholesale services'!F57*(1+$C$6)</f>
        <v>5473646</v>
      </c>
    </row>
    <row r="48" customFormat="false" ht="12.75" hidden="false" customHeight="false" outlineLevel="0" collapsed="false">
      <c r="A48" s="0" t="s">
        <v>1439</v>
      </c>
      <c r="C48" s="417" t="n">
        <f aca="false">C47</f>
        <v>5473646</v>
      </c>
      <c r="D48" s="417" t="n">
        <f aca="false">C48*(1+$B$49)+$B$49*$G$5*D97</f>
        <v>5531351.09437109</v>
      </c>
      <c r="E48" s="417" t="n">
        <f aca="false">D48*(1+$B$49)+$B$49*$G$5*E97</f>
        <v>5588671.43040166</v>
      </c>
      <c r="F48" s="417" t="n">
        <f aca="false">E48*(1+$B$49)+$B$49*$G$5*F97</f>
        <v>5646650.95029658</v>
      </c>
      <c r="G48" s="417" t="n">
        <f aca="false">F48*(1+$B$49)+$B$49*$G$5*G97</f>
        <v>5705297.23467029</v>
      </c>
      <c r="H48" s="417" t="n">
        <f aca="false">G48*(1+$B$49)+$B$49*$G$5*H97</f>
        <v>5764617.9513143</v>
      </c>
      <c r="I48" s="417" t="n">
        <f aca="false">H48*(1+$B$49)+$B$49*$G$5*I97</f>
        <v>5824620.85619972</v>
      </c>
      <c r="J48" s="417" t="n">
        <f aca="false">I48*(1+$B$49)+$B$49*$G$5*J97</f>
        <v>5885313.79449132</v>
      </c>
      <c r="K48" s="417" t="n">
        <f aca="false">J48*(1+$B$49)+$B$49*$G$5*K97</f>
        <v>5946704.70157328</v>
      </c>
      <c r="L48" s="417" t="n">
        <f aca="false">K48*(1+$B$49)+$B$49*$G$5*L97</f>
        <v>6008801.60408667</v>
      </c>
    </row>
    <row r="49" customFormat="false" ht="12.75" hidden="false" customHeight="false" outlineLevel="0" collapsed="false">
      <c r="A49" s="0" t="s">
        <v>1440</v>
      </c>
      <c r="B49" s="0" t="n">
        <f aca="false">B38</f>
        <v>0.0115</v>
      </c>
      <c r="C49" s="417" t="n">
        <f aca="false">C47*(1-$C$3)</f>
        <v>5254700.16</v>
      </c>
      <c r="D49" s="417" t="n">
        <f aca="false">C49*(1+$B$49)+$B$49*$G$5*D97</f>
        <v>5309887.37721109</v>
      </c>
      <c r="E49" s="417" t="n">
        <f aca="false">D49*(1+$B$49)+$B$49*$G$5*E97</f>
        <v>5364660.88049432</v>
      </c>
      <c r="F49" s="417" t="n">
        <f aca="false">E49*(1+$B$49)+$B$49*$G$5*F97</f>
        <v>5420064.27906531</v>
      </c>
      <c r="G49" s="417" t="n">
        <f aca="false">F49*(1+$B$49)+$B$49*$G$5*G97</f>
        <v>5476104.81671986</v>
      </c>
      <c r="H49" s="417" t="n">
        <f aca="false">G49*(1+$B$49)+$B$49*$G$5*H97</f>
        <v>5532789.82055744</v>
      </c>
      <c r="I49" s="417" t="n">
        <f aca="false">H49*(1+$B$49)+$B$49*$G$5*I97</f>
        <v>5590126.70193916</v>
      </c>
      <c r="J49" s="417" t="n">
        <f aca="false">I49*(1+$B$49)+$B$49*$G$5*J97</f>
        <v>5648122.95745676</v>
      </c>
      <c r="K49" s="417" t="n">
        <f aca="false">J49*(1+$B$49)+$B$49*$G$5*K97</f>
        <v>5706786.16991282</v>
      </c>
      <c r="L49" s="417" t="n">
        <f aca="false">K49*(1+$B$49)+$B$49*$G$5*L97</f>
        <v>5766124.00931212</v>
      </c>
    </row>
    <row r="50" customFormat="false" ht="13.5" hidden="false" customHeight="false" outlineLevel="0" collapsed="false">
      <c r="A50" s="0" t="s">
        <v>887</v>
      </c>
      <c r="C50" s="417" t="n">
        <f aca="false">'wholesale services'!D117</f>
        <v>4654731.78330612</v>
      </c>
      <c r="D50" s="417" t="n">
        <f aca="false">'wholesale services'!E117</f>
        <v>4756204.93618219</v>
      </c>
      <c r="E50" s="417" t="n">
        <f aca="false">'wholesale services'!F117</f>
        <v>4855609.6193484</v>
      </c>
      <c r="F50" s="417" t="n">
        <f aca="false">'wholesale services'!G117</f>
        <v>4953207.3726973</v>
      </c>
      <c r="G50" s="417" t="n">
        <f aca="false">'wholesale services'!H117</f>
        <v>5049299.59572763</v>
      </c>
      <c r="H50" s="417" t="n">
        <f aca="false">'wholesale services'!I117</f>
        <v>5143721.49816774</v>
      </c>
      <c r="I50" s="417" t="n">
        <f aca="false">'wholesale services'!J117</f>
        <v>5236308.48513476</v>
      </c>
      <c r="J50" s="417" t="n">
        <f aca="false">'wholesale services'!K117</f>
        <v>5327943.88362462</v>
      </c>
      <c r="K50" s="417" t="n">
        <f aca="false">'wholesale services'!L117</f>
        <v>5417453.34086951</v>
      </c>
      <c r="L50" s="417" t="n">
        <f aca="false">'wholesale services'!M117</f>
        <v>5506299.57565977</v>
      </c>
    </row>
    <row r="51" customFormat="false" ht="13.5" hidden="false" customHeight="false" outlineLevel="0" collapsed="false">
      <c r="A51" s="900" t="s">
        <v>1441</v>
      </c>
      <c r="B51" s="900"/>
      <c r="C51" s="901" t="n">
        <f aca="false">C48-C50</f>
        <v>818914.21669388</v>
      </c>
      <c r="D51" s="901" t="n">
        <f aca="false">D48-D50</f>
        <v>775146.158188892</v>
      </c>
      <c r="E51" s="901" t="n">
        <f aca="false">E48-E50</f>
        <v>733061.811053256</v>
      </c>
      <c r="F51" s="901" t="n">
        <f aca="false">F48-F50</f>
        <v>693443.577599275</v>
      </c>
      <c r="G51" s="901" t="n">
        <f aca="false">G48-G50</f>
        <v>655997.638942661</v>
      </c>
      <c r="H51" s="901" t="n">
        <f aca="false">H48-H50</f>
        <v>620896.453146566</v>
      </c>
      <c r="I51" s="901" t="n">
        <f aca="false">I48-I50</f>
        <v>588312.371064964</v>
      </c>
      <c r="J51" s="901" t="n">
        <f aca="false">J48-J50</f>
        <v>557369.910866705</v>
      </c>
      <c r="K51" s="901" t="n">
        <f aca="false">K48-K50</f>
        <v>529251.360703765</v>
      </c>
      <c r="L51" s="901" t="n">
        <f aca="false">L48-L50</f>
        <v>502502.028426901</v>
      </c>
    </row>
    <row r="52" customFormat="false" ht="12.75" hidden="false" customHeight="false" outlineLevel="0" collapsed="false">
      <c r="A52" s="902" t="s">
        <v>1442</v>
      </c>
      <c r="B52" s="902" t="n">
        <f aca="false">NPV($C$5,C51:L51)</f>
        <v>3636951.57862677</v>
      </c>
      <c r="C52" s="903" t="n">
        <f aca="false">C49-C50</f>
        <v>599968.37669388</v>
      </c>
      <c r="D52" s="903" t="n">
        <f aca="false">D49-D50</f>
        <v>553682.441028892</v>
      </c>
      <c r="E52" s="903" t="n">
        <f aca="false">E49-E50</f>
        <v>509051.261145916</v>
      </c>
      <c r="F52" s="903" t="n">
        <f aca="false">F49-F50</f>
        <v>466856.906368001</v>
      </c>
      <c r="G52" s="903" t="n">
        <f aca="false">G49-G50</f>
        <v>426805.220992228</v>
      </c>
      <c r="H52" s="903" t="n">
        <f aca="false">H49-H50</f>
        <v>389068.322389703</v>
      </c>
      <c r="I52" s="903" t="n">
        <f aca="false">I49-I50</f>
        <v>353818.216804397</v>
      </c>
      <c r="J52" s="903" t="n">
        <f aca="false">J49-J50</f>
        <v>320179.073832142</v>
      </c>
      <c r="K52" s="903" t="n">
        <f aca="false">K49-K50</f>
        <v>289332.829043305</v>
      </c>
      <c r="L52" s="903" t="n">
        <f aca="false">L49-L50</f>
        <v>259824.433652346</v>
      </c>
    </row>
    <row r="53" customFormat="false" ht="12.75" hidden="false" customHeight="false" outlineLevel="0" collapsed="false">
      <c r="A53" s="904" t="s">
        <v>1443</v>
      </c>
      <c r="B53" s="905" t="n">
        <f aca="false">NPV($C$5,C51:L51)</f>
        <v>3636951.57862677</v>
      </c>
      <c r="C53" s="906" t="n">
        <f aca="false">B53/$B$120</f>
        <v>0.0116350802511183</v>
      </c>
      <c r="D53" s="908"/>
      <c r="E53" s="908"/>
      <c r="F53" s="908"/>
      <c r="G53" s="908"/>
      <c r="H53" s="908"/>
      <c r="I53" s="908"/>
      <c r="J53" s="908"/>
      <c r="K53" s="908"/>
      <c r="L53" s="908"/>
    </row>
    <row r="54" customFormat="false" ht="12.75" hidden="false" customHeight="false" outlineLevel="0" collapsed="false">
      <c r="A54" s="904" t="s">
        <v>1444</v>
      </c>
      <c r="B54" s="905" t="n">
        <f aca="false">NPV($C$5,C52:L52)</f>
        <v>2424345.45773974</v>
      </c>
      <c r="C54" s="906" t="n">
        <f aca="false">B54/$B$120</f>
        <v>0.00775579584919486</v>
      </c>
      <c r="D54" s="907"/>
      <c r="E54" s="907"/>
      <c r="F54" s="907"/>
      <c r="G54" s="907"/>
      <c r="H54" s="907"/>
      <c r="I54" s="907"/>
      <c r="J54" s="907"/>
      <c r="K54" s="907"/>
      <c r="L54" s="907"/>
    </row>
    <row r="55" customFormat="false" ht="12.75" hidden="false" customHeight="false" outlineLevel="0" collapsed="false">
      <c r="A55" s="904" t="s">
        <v>1445</v>
      </c>
      <c r="B55" s="905" t="n">
        <f aca="false">B53-B54</f>
        <v>1212606.12088702</v>
      </c>
      <c r="C55" s="906"/>
      <c r="D55" s="907"/>
      <c r="E55" s="907"/>
      <c r="F55" s="907"/>
      <c r="G55" s="907"/>
      <c r="H55" s="907"/>
      <c r="I55" s="907"/>
      <c r="J55" s="907"/>
      <c r="K55" s="907"/>
      <c r="L55" s="907"/>
    </row>
    <row r="57" customFormat="false" ht="12.75" hidden="false" customHeight="false" outlineLevel="0" collapsed="false">
      <c r="A57" s="439" t="s">
        <v>894</v>
      </c>
    </row>
    <row r="58" customFormat="false" ht="12.75" hidden="false" customHeight="false" outlineLevel="0" collapsed="false">
      <c r="A58" s="0" t="s">
        <v>857</v>
      </c>
      <c r="C58" s="417" t="n">
        <f aca="false">'wholesale services'!F58*(1+$C$6)</f>
        <v>5036169.150136</v>
      </c>
    </row>
    <row r="59" customFormat="false" ht="12.75" hidden="false" customHeight="false" outlineLevel="0" collapsed="false">
      <c r="A59" s="0" t="s">
        <v>1439</v>
      </c>
      <c r="C59" s="417" t="n">
        <f aca="false">C58</f>
        <v>5036169.150136</v>
      </c>
      <c r="D59" s="417" t="n">
        <f aca="false">C59*(1+$B$60)+$B$60*$G$6*D97</f>
        <v>5089262.21024207</v>
      </c>
      <c r="E59" s="417" t="n">
        <f aca="false">D59*(1+$B$60)+$B$60*$G$6*E97</f>
        <v>5142001.26351526</v>
      </c>
      <c r="F59" s="417" t="n">
        <f aca="false">E59*(1+$B$60)+$B$60*$G$6*F97</f>
        <v>5195346.81590109</v>
      </c>
      <c r="G59" s="417" t="n">
        <f aca="false">F59*(1+$B$60)+$B$60*$G$6*G97</f>
        <v>5249305.84213936</v>
      </c>
      <c r="H59" s="417" t="n">
        <f aca="false">G59*(1+$B$60)+$B$60*$G$6*H97</f>
        <v>5303885.39717937</v>
      </c>
      <c r="I59" s="417" t="n">
        <f aca="false">H59*(1+$B$60)+$B$60*$G$6*I97</f>
        <v>5359092.61710234</v>
      </c>
      <c r="J59" s="417" t="n">
        <f aca="false">I59*(1+$B$60)+$B$60*$G$6*J97</f>
        <v>5414934.72005443</v>
      </c>
      <c r="K59" s="417" t="n">
        <f aca="false">J59*(1+$B$60)+$B$60*$G$6*K97</f>
        <v>5471419.00719046</v>
      </c>
      <c r="L59" s="417" t="n">
        <f aca="false">K59*(1+$B$60)+$B$60*$G$6*L97</f>
        <v>5528552.86362856</v>
      </c>
    </row>
    <row r="60" customFormat="false" ht="12.75" hidden="false" customHeight="false" outlineLevel="0" collapsed="false">
      <c r="A60" s="0" t="s">
        <v>1440</v>
      </c>
      <c r="B60" s="413" t="n">
        <f aca="false">B49</f>
        <v>0.0115</v>
      </c>
      <c r="C60" s="417" t="n">
        <f aca="false">C58*(1-$C$3)</f>
        <v>4834722.38413056</v>
      </c>
      <c r="D60" s="417" t="n">
        <f aca="false">C60*(1+$B$60)+$B$60*$G$6*D97</f>
        <v>4885498.80642757</v>
      </c>
      <c r="E60" s="417" t="n">
        <f aca="false">D60*(1+$B$60)+$B$60*$G$6*E97</f>
        <v>4935894.58055689</v>
      </c>
      <c r="F60" s="417" t="n">
        <f aca="false">E60*(1+$B$60)+$B$60*$G$6*F97</f>
        <v>4986869.9060887</v>
      </c>
      <c r="G60" s="417" t="n">
        <f aca="false">F60*(1+$B$60)+$B$60*$G$6*G97</f>
        <v>5038431.44786413</v>
      </c>
      <c r="H60" s="417" t="n">
        <f aca="false">G60*(1+$B$60)+$B$60*$G$6*H97</f>
        <v>5090585.94736998</v>
      </c>
      <c r="I60" s="417" t="n">
        <f aca="false">H60*(1+$B$60)+$B$60*$G$6*I97</f>
        <v>5143340.22362014</v>
      </c>
      <c r="J60" s="417" t="n">
        <f aca="false">I60*(1+$B$60)+$B$60*$G$6*J97</f>
        <v>5196701.17404718</v>
      </c>
      <c r="K60" s="417" t="n">
        <f aca="false">J60*(1+$B$60)+$B$60*$G$6*K97</f>
        <v>5250675.77540413</v>
      </c>
      <c r="L60" s="417" t="n">
        <f aca="false">K60*(1+$B$60)+$B$60*$G$6*L97</f>
        <v>5305271.08467668</v>
      </c>
    </row>
    <row r="61" customFormat="false" ht="13.5" hidden="false" customHeight="false" outlineLevel="0" collapsed="false">
      <c r="A61" s="0" t="s">
        <v>887</v>
      </c>
      <c r="C61" s="417" t="n">
        <f aca="false">'wholesale services'!D118</f>
        <v>4611490.93256475</v>
      </c>
      <c r="D61" s="417" t="n">
        <f aca="false">'wholesale services'!E118</f>
        <v>4712021.43489466</v>
      </c>
      <c r="E61" s="417" t="n">
        <f aca="false">'wholesale services'!F118</f>
        <v>4810502.68288396</v>
      </c>
      <c r="F61" s="417" t="n">
        <f aca="false">'wholesale services'!G118</f>
        <v>4907193.78680993</v>
      </c>
      <c r="G61" s="417" t="n">
        <f aca="false">'wholesale services'!H118</f>
        <v>5002393.34627404</v>
      </c>
      <c r="H61" s="417" t="n">
        <f aca="false">'wholesale services'!I118</f>
        <v>5095938.10184937</v>
      </c>
      <c r="I61" s="417" t="n">
        <f aca="false">'wholesale services'!J118</f>
        <v>5187664.98768265</v>
      </c>
      <c r="J61" s="417" t="n">
        <f aca="false">'wholesale services'!K118</f>
        <v>5278449.1249671</v>
      </c>
      <c r="K61" s="417" t="n">
        <f aca="false">'wholesale services'!L118</f>
        <v>5367127.07026655</v>
      </c>
      <c r="L61" s="417" t="n">
        <f aca="false">'wholesale services'!M118</f>
        <v>5455147.95421892</v>
      </c>
    </row>
    <row r="62" customFormat="false" ht="13.5" hidden="false" customHeight="false" outlineLevel="0" collapsed="false">
      <c r="A62" s="900" t="s">
        <v>1441</v>
      </c>
      <c r="B62" s="900"/>
      <c r="C62" s="901" t="n">
        <f aca="false">C59-C61</f>
        <v>424678.217571249</v>
      </c>
      <c r="D62" s="901" t="n">
        <f aca="false">D59-D61</f>
        <v>377240.775347407</v>
      </c>
      <c r="E62" s="901" t="n">
        <f aca="false">E59-E61</f>
        <v>331498.580631301</v>
      </c>
      <c r="F62" s="901" t="n">
        <f aca="false">F59-F61</f>
        <v>288153.029091166</v>
      </c>
      <c r="G62" s="901" t="n">
        <f aca="false">G59-G61</f>
        <v>246912.495865324</v>
      </c>
      <c r="H62" s="901" t="n">
        <f aca="false">H59-H61</f>
        <v>207947.295330009</v>
      </c>
      <c r="I62" s="901" t="n">
        <f aca="false">I59-I61</f>
        <v>171427.629419691</v>
      </c>
      <c r="J62" s="901" t="n">
        <f aca="false">J59-J61</f>
        <v>136485.595087328</v>
      </c>
      <c r="K62" s="901" t="n">
        <f aca="false">K59-K61</f>
        <v>104291.936923915</v>
      </c>
      <c r="L62" s="901" t="n">
        <f aca="false">L59-L61</f>
        <v>73404.9094096404</v>
      </c>
    </row>
    <row r="63" customFormat="false" ht="12.75" hidden="false" customHeight="false" outlineLevel="0" collapsed="false">
      <c r="A63" s="902" t="s">
        <v>1442</v>
      </c>
      <c r="B63" s="902"/>
      <c r="C63" s="903" t="n">
        <f aca="false">C60-C61</f>
        <v>223231.451565809</v>
      </c>
      <c r="D63" s="903" t="n">
        <f aca="false">D60-D61</f>
        <v>173477.371532904</v>
      </c>
      <c r="E63" s="903" t="n">
        <f aca="false">E60-E61</f>
        <v>125391.897672931</v>
      </c>
      <c r="F63" s="903" t="n">
        <f aca="false">F60-F61</f>
        <v>79676.1192787746</v>
      </c>
      <c r="G63" s="903" t="n">
        <f aca="false">G60-G61</f>
        <v>36038.1015900895</v>
      </c>
      <c r="H63" s="903" t="n">
        <f aca="false">H60-H61</f>
        <v>-5352.15447939094</v>
      </c>
      <c r="I63" s="903" t="n">
        <f aca="false">I60-I61</f>
        <v>-44324.7640625164</v>
      </c>
      <c r="J63" s="903" t="n">
        <f aca="false">J60-J61</f>
        <v>-81747.9509199243</v>
      </c>
      <c r="K63" s="903" t="n">
        <f aca="false">K60-K61</f>
        <v>-116451.294862421</v>
      </c>
      <c r="L63" s="903" t="n">
        <f aca="false">L60-L61</f>
        <v>-149876.869542238</v>
      </c>
    </row>
    <row r="64" customFormat="false" ht="12.75" hidden="false" customHeight="false" outlineLevel="0" collapsed="false">
      <c r="A64" s="904" t="s">
        <v>1443</v>
      </c>
      <c r="B64" s="905" t="n">
        <f aca="false">NPV($C$5,C62:L62)</f>
        <v>1469983.11254918</v>
      </c>
      <c r="C64" s="906" t="n">
        <f aca="false">B64/$B$120</f>
        <v>0.00470266681107597</v>
      </c>
      <c r="D64" s="908"/>
      <c r="E64" s="908"/>
      <c r="F64" s="908"/>
      <c r="G64" s="908"/>
      <c r="H64" s="908"/>
      <c r="I64" s="908"/>
      <c r="J64" s="908"/>
      <c r="K64" s="908"/>
      <c r="L64" s="908"/>
    </row>
    <row r="65" customFormat="false" ht="12.75" hidden="false" customHeight="false" outlineLevel="0" collapsed="false">
      <c r="A65" s="904" t="s">
        <v>1444</v>
      </c>
      <c r="B65" s="905" t="n">
        <f aca="false">NPV($C$5,C63:L63)</f>
        <v>354293.581790825</v>
      </c>
      <c r="C65" s="906" t="n">
        <f aca="false">B65/$B$120</f>
        <v>0.00113343116274011</v>
      </c>
      <c r="D65" s="907"/>
      <c r="E65" s="907"/>
      <c r="F65" s="907"/>
      <c r="G65" s="907"/>
      <c r="H65" s="907"/>
      <c r="I65" s="907"/>
      <c r="J65" s="907"/>
      <c r="K65" s="907"/>
      <c r="L65" s="907"/>
    </row>
    <row r="66" customFormat="false" ht="12.75" hidden="false" customHeight="false" outlineLevel="0" collapsed="false">
      <c r="A66" s="904" t="s">
        <v>1445</v>
      </c>
      <c r="B66" s="905" t="n">
        <f aca="false">B64-B65</f>
        <v>1115689.53075836</v>
      </c>
      <c r="C66" s="906"/>
      <c r="D66" s="907"/>
      <c r="E66" s="907"/>
      <c r="F66" s="907"/>
      <c r="G66" s="907"/>
      <c r="H66" s="907"/>
      <c r="I66" s="907"/>
      <c r="J66" s="907"/>
      <c r="K66" s="907"/>
      <c r="L66" s="907"/>
    </row>
    <row r="68" customFormat="false" ht="12.75" hidden="false" customHeight="false" outlineLevel="0" collapsed="false">
      <c r="A68" s="439" t="s">
        <v>1446</v>
      </c>
    </row>
    <row r="69" customFormat="false" ht="12.75" hidden="false" customHeight="false" outlineLevel="0" collapsed="false">
      <c r="A69" s="0" t="s">
        <v>857</v>
      </c>
      <c r="C69" s="417" t="n">
        <f aca="false">'wholesale services'!F59*(1+$C$6)</f>
        <v>3821037.488</v>
      </c>
    </row>
    <row r="70" customFormat="false" ht="12.75" hidden="false" customHeight="false" outlineLevel="0" collapsed="false">
      <c r="A70" s="0" t="s">
        <v>1439</v>
      </c>
      <c r="C70" s="417" t="n">
        <f aca="false">C69</f>
        <v>3821037.488</v>
      </c>
      <c r="D70" s="417" t="n">
        <f aca="false">C70*(1+$B$71)+$B$71*$G$7*D97</f>
        <v>3861320.20428098</v>
      </c>
      <c r="E70" s="417" t="n">
        <f aca="false">D70*(1+$B$71)+$B$71*$G$7*E97</f>
        <v>3901334.32883298</v>
      </c>
      <c r="F70" s="417" t="n">
        <f aca="false">E70*(1+$B$71)+$B$71*$G$7*F97</f>
        <v>3941808.61581733</v>
      </c>
      <c r="G70" s="417" t="n">
        <f aca="false">F70*(1+$B$71)+$B$71*$G$7*G97</f>
        <v>3982748.357102</v>
      </c>
      <c r="H70" s="417" t="n">
        <f aca="false">G70*(1+$B$71)+$B$71*$G$7*H97</f>
        <v>4024158.90541144</v>
      </c>
      <c r="I70" s="417" t="n">
        <f aca="false">H70*(1+$B$71)+$B$71*$G$7*I97</f>
        <v>4066045.67502644</v>
      </c>
      <c r="J70" s="417" t="n">
        <f aca="false">I70*(1+$B$71)+$B$71*$G$7*J97</f>
        <v>4108414.14249202</v>
      </c>
      <c r="K70" s="417" t="n">
        <f aca="false">J70*(1+$B$71)+$B$71*$G$7*K97</f>
        <v>4151269.84733345</v>
      </c>
      <c r="L70" s="417" t="n">
        <f aca="false">K70*(1+$B$71)+$B$71*$G$7*L97</f>
        <v>4194618.39278055</v>
      </c>
    </row>
    <row r="71" customFormat="false" ht="12.75" hidden="false" customHeight="false" outlineLevel="0" collapsed="false">
      <c r="A71" s="0" t="s">
        <v>1440</v>
      </c>
      <c r="B71" s="0" t="n">
        <f aca="false">B60</f>
        <v>0.0115</v>
      </c>
      <c r="C71" s="417" t="n">
        <f aca="false">C69*(1-$C$3)</f>
        <v>3668195.98848</v>
      </c>
      <c r="D71" s="417" t="n">
        <f aca="false">C71*(1+$B$71)+$B$71*$G$7*D97</f>
        <v>3706721.0275165</v>
      </c>
      <c r="E71" s="417" t="n">
        <f aca="false">D71*(1+$B$71)+$B$71*$G$7*E97</f>
        <v>3744957.26153571</v>
      </c>
      <c r="F71" s="417" t="n">
        <f aca="false">E71*(1+$B$71)+$B$71*$G$7*F97</f>
        <v>3783633.21224614</v>
      </c>
      <c r="G71" s="417" t="n">
        <f aca="false">F71*(1+$B$71)+$B$71*$G$7*G97</f>
        <v>3822753.93638974</v>
      </c>
      <c r="H71" s="417" t="n">
        <f aca="false">G71*(1+$B$71)+$B$71*$G$7*H97</f>
        <v>3862324.54886099</v>
      </c>
      <c r="I71" s="417" t="n">
        <f aca="false">H71*(1+$B$71)+$B$71*$G$7*I97</f>
        <v>3902350.22337566</v>
      </c>
      <c r="J71" s="417" t="n">
        <f aca="false">I71*(1+$B$71)+$B$71*$G$7*J97</f>
        <v>3942836.19314726</v>
      </c>
      <c r="K71" s="417" t="n">
        <f aca="false">J71*(1+$B$71)+$B$71*$G$7*K97</f>
        <v>3983787.75157122</v>
      </c>
      <c r="L71" s="417" t="n">
        <f aca="false">K71*(1+$B$71)+$B$71*$G$7*L97</f>
        <v>4025210.25291706</v>
      </c>
    </row>
    <row r="72" customFormat="false" ht="13.5" hidden="false" customHeight="false" outlineLevel="0" collapsed="false">
      <c r="A72" s="0" t="s">
        <v>887</v>
      </c>
      <c r="C72" s="417" t="n">
        <f aca="false">'wholesale services'!D120</f>
        <v>3798248</v>
      </c>
      <c r="D72" s="417" t="n">
        <f aca="false">'wholesale services'!E120</f>
        <v>3798248</v>
      </c>
      <c r="E72" s="417" t="n">
        <f aca="false">'wholesale services'!F120</f>
        <v>3798248</v>
      </c>
      <c r="F72" s="417" t="n">
        <f aca="false">'wholesale services'!G120</f>
        <v>3798248</v>
      </c>
      <c r="G72" s="417" t="n">
        <f aca="false">'wholesale services'!H120</f>
        <v>3798248</v>
      </c>
      <c r="H72" s="417" t="n">
        <f aca="false">'wholesale services'!I120</f>
        <v>3798248</v>
      </c>
      <c r="I72" s="417" t="n">
        <f aca="false">'wholesale services'!J120</f>
        <v>3798248</v>
      </c>
      <c r="J72" s="417" t="n">
        <f aca="false">'wholesale services'!K120</f>
        <v>3798248</v>
      </c>
      <c r="K72" s="417" t="n">
        <f aca="false">'wholesale services'!L120</f>
        <v>3798248</v>
      </c>
      <c r="L72" s="417" t="n">
        <f aca="false">'wholesale services'!M120</f>
        <v>3798248</v>
      </c>
    </row>
    <row r="73" customFormat="false" ht="13.5" hidden="false" customHeight="false" outlineLevel="0" collapsed="false">
      <c r="A73" s="900" t="s">
        <v>1441</v>
      </c>
      <c r="B73" s="909"/>
      <c r="C73" s="901" t="n">
        <f aca="false">C70-C72</f>
        <v>22789.4879999999</v>
      </c>
      <c r="D73" s="901" t="n">
        <f aca="false">D70-D72</f>
        <v>63072.2042809757</v>
      </c>
      <c r="E73" s="901" t="n">
        <f aca="false">E70-E72</f>
        <v>103086.328832978</v>
      </c>
      <c r="F73" s="901" t="n">
        <f aca="false">F70-F72</f>
        <v>143560.615817328</v>
      </c>
      <c r="G73" s="901" t="n">
        <f aca="false">G70-G72</f>
        <v>184500.357101998</v>
      </c>
      <c r="H73" s="901" t="n">
        <f aca="false">H70-H72</f>
        <v>225910.905411442</v>
      </c>
      <c r="I73" s="901" t="n">
        <f aca="false">I70-I72</f>
        <v>267797.675026445</v>
      </c>
      <c r="J73" s="901" t="n">
        <f aca="false">J70-J72</f>
        <v>310166.14249202</v>
      </c>
      <c r="K73" s="901" t="n">
        <f aca="false">K70-K72</f>
        <v>353021.847333449</v>
      </c>
      <c r="L73" s="901" t="n">
        <f aca="false">L70-L72</f>
        <v>396370.392780554</v>
      </c>
    </row>
    <row r="74" customFormat="false" ht="12.75" hidden="false" customHeight="false" outlineLevel="0" collapsed="false">
      <c r="A74" s="902" t="s">
        <v>1442</v>
      </c>
      <c r="B74" s="902"/>
      <c r="C74" s="903" t="n">
        <f aca="false">C71-C72</f>
        <v>-130052.01152</v>
      </c>
      <c r="D74" s="903" t="n">
        <f aca="false">D71-D72</f>
        <v>-91526.9724835046</v>
      </c>
      <c r="E74" s="903" t="n">
        <f aca="false">E71-E72</f>
        <v>-53290.738464294</v>
      </c>
      <c r="F74" s="903" t="n">
        <f aca="false">F71-F72</f>
        <v>-14614.7877538623</v>
      </c>
      <c r="G74" s="903" t="n">
        <f aca="false">G71-G72</f>
        <v>24505.9363897392</v>
      </c>
      <c r="H74" s="903" t="n">
        <f aca="false">H71-H72</f>
        <v>64076.5488609918</v>
      </c>
      <c r="I74" s="903" t="n">
        <f aca="false">I71-I72</f>
        <v>104102.223375664</v>
      </c>
      <c r="J74" s="903" t="n">
        <f aca="false">J71-J72</f>
        <v>144588.193147255</v>
      </c>
      <c r="K74" s="903" t="n">
        <f aca="false">K71-K72</f>
        <v>185539.751571219</v>
      </c>
      <c r="L74" s="903" t="n">
        <f aca="false">L71-L72</f>
        <v>226962.252917059</v>
      </c>
    </row>
    <row r="75" customFormat="false" ht="12.75" hidden="false" customHeight="false" outlineLevel="0" collapsed="false">
      <c r="A75" s="904" t="s">
        <v>1443</v>
      </c>
      <c r="B75" s="905" t="n">
        <f aca="false">NPV($C$5,C73:L73)</f>
        <v>877325.916682754</v>
      </c>
      <c r="C75" s="906" t="n">
        <f aca="false">B75/$B$120</f>
        <v>0.0028066795024101</v>
      </c>
      <c r="D75" s="908"/>
      <c r="E75" s="908"/>
      <c r="F75" s="908"/>
      <c r="G75" s="908"/>
      <c r="H75" s="908"/>
      <c r="I75" s="908"/>
      <c r="J75" s="908"/>
      <c r="K75" s="908"/>
      <c r="L75" s="908"/>
    </row>
    <row r="76" customFormat="false" ht="12.75" hidden="false" customHeight="false" outlineLevel="0" collapsed="false">
      <c r="A76" s="904" t="s">
        <v>1444</v>
      </c>
      <c r="B76" s="905" t="n">
        <f aca="false">NPV($C$5,C74:L74)</f>
        <v>30831.0125388617</v>
      </c>
      <c r="C76" s="906" t="n">
        <f aca="false">B76/$B$120</f>
        <v>9.86324116111377E-005</v>
      </c>
      <c r="D76" s="907"/>
      <c r="E76" s="907"/>
      <c r="F76" s="907"/>
      <c r="G76" s="907"/>
      <c r="H76" s="907"/>
      <c r="I76" s="907"/>
      <c r="J76" s="907"/>
      <c r="K76" s="907"/>
      <c r="L76" s="907"/>
    </row>
    <row r="77" customFormat="false" ht="12.75" hidden="false" customHeight="false" outlineLevel="0" collapsed="false">
      <c r="A77" s="904" t="s">
        <v>1445</v>
      </c>
      <c r="B77" s="905" t="n">
        <f aca="false">B75-B76</f>
        <v>846494.904143892</v>
      </c>
      <c r="C77" s="906"/>
      <c r="D77" s="907"/>
      <c r="E77" s="907"/>
      <c r="F77" s="907"/>
      <c r="G77" s="907"/>
      <c r="H77" s="907"/>
      <c r="I77" s="907"/>
      <c r="J77" s="907"/>
      <c r="K77" s="907"/>
      <c r="L77" s="907"/>
    </row>
    <row r="79" customFormat="false" ht="12.75" hidden="false" customHeight="false" outlineLevel="0" collapsed="false">
      <c r="A79" s="439" t="s">
        <v>1447</v>
      </c>
    </row>
    <row r="80" customFormat="false" ht="12.75" hidden="false" customHeight="false" outlineLevel="0" collapsed="false">
      <c r="A80" s="0" t="s">
        <v>857</v>
      </c>
      <c r="C80" s="417" t="n">
        <f aca="false">'wholesale services'!F61*(1+$C$6)</f>
        <v>251500</v>
      </c>
    </row>
    <row r="81" customFormat="false" ht="12.75" hidden="false" customHeight="false" outlineLevel="0" collapsed="false">
      <c r="A81" s="0" t="s">
        <v>1439</v>
      </c>
      <c r="C81" s="417" t="n">
        <f aca="false">C80</f>
        <v>251500</v>
      </c>
      <c r="D81" s="417" t="n">
        <f aca="false">C81*(1+$B$82)+$B$82*$G$8*D97</f>
        <v>254151.401138168</v>
      </c>
      <c r="E81" s="417" t="n">
        <f aca="false">D81*(1+$B$82)+$B$82*$G$8*E97</f>
        <v>256785.123617058</v>
      </c>
      <c r="F81" s="417" t="n">
        <f aca="false">E81*(1+$B$82)+$B$82*$G$8*F97</f>
        <v>259449.133904456</v>
      </c>
      <c r="G81" s="417" t="n">
        <f aca="false">F81*(1+$B$82)+$B$82*$G$8*G97</f>
        <v>262143.780310159</v>
      </c>
      <c r="H81" s="417" t="n">
        <f aca="false">G81*(1+$B$82)+$B$82*$G$8*H97</f>
        <v>264869.415149527</v>
      </c>
      <c r="I81" s="417" t="n">
        <f aca="false">H81*(1+$B$82)+$B$82*$G$8*I97</f>
        <v>267626.394789548</v>
      </c>
      <c r="J81" s="417" t="n">
        <f aca="false">I81*(1+$B$82)+$B$82*$G$8*J97</f>
        <v>270415.079695429</v>
      </c>
      <c r="K81" s="417" t="n">
        <f aca="false">J81*(1+$B$82)+$B$82*$G$8*K97</f>
        <v>273235.834477728</v>
      </c>
      <c r="L81" s="417" t="n">
        <f aca="false">K81*(1+$B$82)+$B$82*$G$8*L97</f>
        <v>276089.027940023</v>
      </c>
    </row>
    <row r="82" customFormat="false" ht="12.75" hidden="false" customHeight="false" outlineLevel="0" collapsed="false">
      <c r="A82" s="0" t="s">
        <v>1440</v>
      </c>
      <c r="B82" s="413" t="n">
        <f aca="false">B71</f>
        <v>0.0115</v>
      </c>
      <c r="C82" s="417" t="n">
        <f aca="false">C80*(1-$C$3)</f>
        <v>241440</v>
      </c>
      <c r="D82" s="417" t="n">
        <f aca="false">C82*(1+$B$82)+$B$82*$G$8*D97</f>
        <v>243975.711138168</v>
      </c>
      <c r="E82" s="417" t="n">
        <f aca="false">D82*(1+$B$82)+$B$82*$G$8*E97</f>
        <v>246492.413182058</v>
      </c>
      <c r="F82" s="417" t="n">
        <f aca="false">E82*(1+$B$82)+$B$82*$G$8*F97</f>
        <v>249038.057299453</v>
      </c>
      <c r="G82" s="417" t="n">
        <f aca="false">F82*(1+$B$82)+$B$82*$G$8*G97</f>
        <v>251612.976324199</v>
      </c>
      <c r="H82" s="417" t="n">
        <f aca="false">G82*(1+$B$82)+$B$82*$G$8*H97</f>
        <v>254217.506917728</v>
      </c>
      <c r="I82" s="417" t="n">
        <f aca="false">H82*(1+$B$82)+$B$82*$G$8*I97</f>
        <v>256851.989613084</v>
      </c>
      <c r="J82" s="417" t="n">
        <f aca="false">I82*(1+$B$82)+$B$82*$G$8*J97</f>
        <v>259516.768859436</v>
      </c>
      <c r="K82" s="417" t="n">
        <f aca="false">J82*(1+$B$82)+$B$82*$G$8*K97</f>
        <v>262212.193067121</v>
      </c>
      <c r="L82" s="417" t="n">
        <f aca="false">K82*(1+$B$82)+$B$82*$G$8*L97</f>
        <v>264938.614653194</v>
      </c>
    </row>
    <row r="83" customFormat="false" ht="13.5" hidden="false" customHeight="false" outlineLevel="0" collapsed="false">
      <c r="A83" s="0" t="s">
        <v>887</v>
      </c>
      <c r="C83" s="417" t="n">
        <f aca="false">IF('wholesale services'!D121="NA",0,'wholesale services'!D121)</f>
        <v>0</v>
      </c>
      <c r="D83" s="417" t="n">
        <f aca="false">IF('wholesale services'!E121="NA",0,'wholesale services'!E121)</f>
        <v>0</v>
      </c>
      <c r="E83" s="417" t="n">
        <f aca="false">IF('wholesale services'!F121="NA",0,'wholesale services'!F121)</f>
        <v>0</v>
      </c>
      <c r="F83" s="417" t="n">
        <f aca="false">IF('wholesale services'!G121="NA",0,'wholesale services'!G121)</f>
        <v>0</v>
      </c>
      <c r="G83" s="417" t="n">
        <f aca="false">IF('wholesale services'!H121="NA",0,'wholesale services'!H121)</f>
        <v>0</v>
      </c>
      <c r="H83" s="417" t="n">
        <f aca="false">IF('wholesale services'!I121="NA",0,'wholesale services'!I121)</f>
        <v>0</v>
      </c>
      <c r="I83" s="417" t="n">
        <f aca="false">IF('wholesale services'!J121="NA",0,'wholesale services'!J121)</f>
        <v>0</v>
      </c>
      <c r="J83" s="417" t="n">
        <f aca="false">IF('wholesale services'!K121="NA",0,'wholesale services'!K121)</f>
        <v>0</v>
      </c>
      <c r="K83" s="417" t="n">
        <f aca="false">IF('wholesale services'!L121="NA",0,'wholesale services'!L121)</f>
        <v>0</v>
      </c>
      <c r="L83" s="417" t="n">
        <f aca="false">IF('wholesale services'!M121="NA",0,'wholesale services'!M121)</f>
        <v>0</v>
      </c>
    </row>
    <row r="84" customFormat="false" ht="13.5" hidden="false" customHeight="false" outlineLevel="0" collapsed="false">
      <c r="A84" s="900" t="s">
        <v>1441</v>
      </c>
      <c r="B84" s="909"/>
      <c r="C84" s="901" t="n">
        <f aca="false">C81-C83</f>
        <v>251500</v>
      </c>
      <c r="D84" s="901" t="n">
        <f aca="false">D81-D83</f>
        <v>254151.401138168</v>
      </c>
      <c r="E84" s="901" t="n">
        <f aca="false">E81-E83</f>
        <v>256785.123617058</v>
      </c>
      <c r="F84" s="901" t="n">
        <f aca="false">F81-F83</f>
        <v>259449.133904456</v>
      </c>
      <c r="G84" s="901" t="n">
        <f aca="false">G81-G83</f>
        <v>262143.780310159</v>
      </c>
      <c r="H84" s="901" t="n">
        <f aca="false">H81-H83</f>
        <v>264869.415149527</v>
      </c>
      <c r="I84" s="901" t="n">
        <f aca="false">I81-I83</f>
        <v>267626.394789548</v>
      </c>
      <c r="J84" s="901" t="n">
        <f aca="false">J81-J83</f>
        <v>270415.079695429</v>
      </c>
      <c r="K84" s="901" t="n">
        <f aca="false">K81-K83</f>
        <v>273235.834477728</v>
      </c>
      <c r="L84" s="901" t="n">
        <f aca="false">L81-L83</f>
        <v>276089.027940023</v>
      </c>
    </row>
    <row r="85" customFormat="false" ht="12.75" hidden="false" customHeight="false" outlineLevel="0" collapsed="false">
      <c r="A85" s="902" t="s">
        <v>1442</v>
      </c>
      <c r="B85" s="902"/>
      <c r="C85" s="903" t="n">
        <f aca="false">C82-C83</f>
        <v>241440</v>
      </c>
      <c r="D85" s="903" t="n">
        <f aca="false">D82-D83</f>
        <v>243975.711138168</v>
      </c>
      <c r="E85" s="903" t="n">
        <f aca="false">E82-E83</f>
        <v>246492.413182058</v>
      </c>
      <c r="F85" s="903" t="n">
        <f aca="false">F82-F83</f>
        <v>249038.057299453</v>
      </c>
      <c r="G85" s="903" t="n">
        <f aca="false">G82-G83</f>
        <v>251612.976324199</v>
      </c>
      <c r="H85" s="903" t="n">
        <f aca="false">H82-H83</f>
        <v>254217.506917728</v>
      </c>
      <c r="I85" s="903" t="n">
        <f aca="false">I82-I83</f>
        <v>256851.989613084</v>
      </c>
      <c r="J85" s="903" t="n">
        <f aca="false">J82-J83</f>
        <v>259516.768859436</v>
      </c>
      <c r="K85" s="903" t="n">
        <f aca="false">K82-K83</f>
        <v>262212.193067121</v>
      </c>
      <c r="L85" s="903" t="n">
        <f aca="false">L82-L83</f>
        <v>264938.614653194</v>
      </c>
    </row>
    <row r="86" customFormat="false" ht="12.75" hidden="false" customHeight="false" outlineLevel="0" collapsed="false">
      <c r="A86" s="904" t="s">
        <v>1443</v>
      </c>
      <c r="B86" s="905" t="n">
        <f aca="false">NPV($C$5,C84:L84)</f>
        <v>1387624.78345895</v>
      </c>
      <c r="C86" s="906" t="n">
        <f aca="false">B86/$B$120</f>
        <v>0.00443919182451192</v>
      </c>
      <c r="D86" s="908"/>
      <c r="E86" s="908"/>
      <c r="F86" s="908"/>
      <c r="G86" s="908"/>
      <c r="H86" s="908"/>
      <c r="I86" s="908"/>
      <c r="J86" s="908"/>
      <c r="K86" s="908"/>
      <c r="L86" s="908"/>
    </row>
    <row r="87" customFormat="false" ht="12.75" hidden="false" customHeight="false" outlineLevel="0" collapsed="false">
      <c r="A87" s="904" t="s">
        <v>1444</v>
      </c>
      <c r="B87" s="905" t="n">
        <f aca="false">NPV($C$5,C85:L85)</f>
        <v>1331908.64116494</v>
      </c>
      <c r="C87" s="906" t="n">
        <f aca="false">B87/$B$120</f>
        <v>0.00426094865221255</v>
      </c>
      <c r="D87" s="907"/>
      <c r="E87" s="907"/>
      <c r="F87" s="907"/>
      <c r="G87" s="907"/>
      <c r="H87" s="907"/>
      <c r="I87" s="907"/>
      <c r="J87" s="907"/>
      <c r="K87" s="907"/>
      <c r="L87" s="907"/>
    </row>
    <row r="88" customFormat="false" ht="12.75" hidden="false" customHeight="false" outlineLevel="0" collapsed="false">
      <c r="A88" s="904" t="s">
        <v>1445</v>
      </c>
      <c r="B88" s="905" t="n">
        <f aca="false">B86-B87</f>
        <v>55716.1422940188</v>
      </c>
      <c r="C88" s="906"/>
      <c r="D88" s="907"/>
      <c r="E88" s="907"/>
      <c r="F88" s="907"/>
      <c r="G88" s="907"/>
      <c r="H88" s="907"/>
      <c r="I88" s="907"/>
      <c r="J88" s="907"/>
      <c r="K88" s="907"/>
      <c r="L88" s="907"/>
    </row>
    <row r="90" customFormat="false" ht="12.75" hidden="false" customHeight="false" outlineLevel="0" collapsed="false">
      <c r="A90" s="439" t="s">
        <v>1051</v>
      </c>
    </row>
    <row r="91" customFormat="false" ht="12.75" hidden="false" customHeight="false" outlineLevel="0" collapsed="false">
      <c r="A91" s="159" t="s">
        <v>1047</v>
      </c>
      <c r="B91" s="910" t="n">
        <f aca="false">C4</f>
        <v>0.055</v>
      </c>
      <c r="C91" s="8" t="n">
        <f aca="false">'wholesale services'!D109</f>
        <v>3246342.80509748</v>
      </c>
      <c r="D91" s="8" t="n">
        <f aca="false">'wholesale services'!E109</f>
        <v>3280437.35284929</v>
      </c>
      <c r="E91" s="8" t="n">
        <f aca="false">'wholesale services'!F109</f>
        <v>3314276.30899888</v>
      </c>
      <c r="F91" s="8" t="n">
        <f aca="false">'wholesale services'!G109</f>
        <v>3348504.4131442</v>
      </c>
      <c r="G91" s="8" t="n">
        <f aca="false">'wholesale services'!H109</f>
        <v>3383126.14048718</v>
      </c>
      <c r="H91" s="8" t="n">
        <f aca="false">'wholesale services'!I109</f>
        <v>3418146.01769461</v>
      </c>
      <c r="I91" s="8" t="n">
        <f aca="false">'wholesale services'!J109</f>
        <v>3453568.62348992</v>
      </c>
      <c r="J91" s="8" t="n">
        <f aca="false">'wholesale services'!K109</f>
        <v>3489398.58925188</v>
      </c>
      <c r="K91" s="8" t="n">
        <f aca="false">'wholesale services'!L109</f>
        <v>3525640.59962011</v>
      </c>
      <c r="L91" s="8" t="n">
        <f aca="false">'wholesale services'!M109</f>
        <v>3562299.39310756</v>
      </c>
    </row>
    <row r="92" customFormat="false" ht="12.75" hidden="false" customHeight="false" outlineLevel="0" collapsed="false">
      <c r="A92" s="911" t="s">
        <v>1448</v>
      </c>
      <c r="B92" s="912"/>
      <c r="C92" s="913" t="n">
        <f aca="false">-C91</f>
        <v>-3246342.80509748</v>
      </c>
      <c r="D92" s="913" t="n">
        <f aca="false">-D91</f>
        <v>-3280437.35284929</v>
      </c>
      <c r="E92" s="913" t="n">
        <f aca="false">-E91</f>
        <v>-3314276.30899888</v>
      </c>
      <c r="F92" s="913" t="n">
        <f aca="false">-F91</f>
        <v>-3348504.4131442</v>
      </c>
      <c r="G92" s="913" t="n">
        <f aca="false">-G91</f>
        <v>-3383126.14048718</v>
      </c>
      <c r="H92" s="913" t="n">
        <f aca="false">-H91</f>
        <v>-3418146.01769461</v>
      </c>
      <c r="I92" s="913" t="n">
        <f aca="false">-I91</f>
        <v>-3453568.62348992</v>
      </c>
      <c r="J92" s="913" t="n">
        <f aca="false">-J91</f>
        <v>-3489398.58925188</v>
      </c>
      <c r="K92" s="913" t="n">
        <f aca="false">-K91</f>
        <v>-3525640.59962011</v>
      </c>
      <c r="L92" s="913" t="n">
        <f aca="false">-L91</f>
        <v>-3562299.39310756</v>
      </c>
    </row>
    <row r="93" customFormat="false" ht="12.75" hidden="false" customHeight="false" outlineLevel="0" collapsed="false">
      <c r="A93" s="904" t="s">
        <v>1076</v>
      </c>
      <c r="B93" s="905" t="n">
        <f aca="false">NPV($C$5,C92:L92)</f>
        <v>-17908515.7152624</v>
      </c>
      <c r="C93" s="906" t="n">
        <f aca="false">B93/$B$120</f>
        <v>-0.0572916666666667</v>
      </c>
      <c r="D93" s="907"/>
      <c r="E93" s="907"/>
      <c r="F93" s="907"/>
      <c r="G93" s="907"/>
      <c r="H93" s="907"/>
      <c r="I93" s="907"/>
      <c r="J93" s="907"/>
      <c r="K93" s="907"/>
      <c r="L93" s="907"/>
    </row>
    <row r="94" customFormat="false" ht="12.75" hidden="false" customHeight="false" outlineLevel="0" collapsed="false">
      <c r="A94" s="914"/>
      <c r="B94" s="915"/>
      <c r="C94" s="906"/>
      <c r="D94" s="907"/>
      <c r="E94" s="907"/>
      <c r="F94" s="907"/>
      <c r="G94" s="907"/>
      <c r="H94" s="907"/>
      <c r="I94" s="907"/>
      <c r="J94" s="907"/>
      <c r="K94" s="907"/>
      <c r="L94" s="907"/>
    </row>
    <row r="95" customFormat="false" ht="12.75" hidden="false" customHeight="false" outlineLevel="0" collapsed="false">
      <c r="A95" s="439" t="s">
        <v>1449</v>
      </c>
      <c r="B95" s="916"/>
    </row>
    <row r="96" customFormat="false" ht="12.75" hidden="false" customHeight="false" outlineLevel="0" collapsed="false">
      <c r="C96" s="8" t="n">
        <f aca="false">'wholesale services'!D119</f>
        <v>28439040</v>
      </c>
      <c r="D96" s="8" t="n">
        <f aca="false">'wholesale services'!E119</f>
        <v>4739840</v>
      </c>
    </row>
    <row r="97" customFormat="false" ht="12.75" hidden="false" customHeight="false" outlineLevel="0" collapsed="false">
      <c r="A97" s="159" t="s">
        <v>1450</v>
      </c>
      <c r="B97" s="159"/>
      <c r="C97" s="159"/>
      <c r="D97" s="8" t="n">
        <f aca="false">'wholesale services'!E105</f>
        <v>-4915191.66251281</v>
      </c>
      <c r="E97" s="8" t="n">
        <f aca="false">'wholesale services'!F105</f>
        <v>-5898229.99501537</v>
      </c>
      <c r="F97" s="8" t="n">
        <f aca="false">'wholesale services'!G105</f>
        <v>-5898229.99501537</v>
      </c>
      <c r="G97" s="8" t="n">
        <f aca="false">'wholesale services'!H105</f>
        <v>-5898229.99501537</v>
      </c>
      <c r="H97" s="8" t="n">
        <f aca="false">'wholesale services'!I105</f>
        <v>-5898229.99501537</v>
      </c>
      <c r="I97" s="8" t="n">
        <f aca="false">'wholesale services'!J105</f>
        <v>-5898229.99501537</v>
      </c>
      <c r="J97" s="8" t="n">
        <f aca="false">'wholesale services'!K105</f>
        <v>-5898229.99501537</v>
      </c>
      <c r="K97" s="8" t="n">
        <f aca="false">'wholesale services'!L105</f>
        <v>-5898229.99501537</v>
      </c>
      <c r="L97" s="8" t="n">
        <f aca="false">'wholesale services'!M105</f>
        <v>-5898229.99501537</v>
      </c>
      <c r="M97" s="8"/>
      <c r="N97" s="8"/>
    </row>
    <row r="98" customFormat="false" ht="12.75" hidden="false" customHeight="false" outlineLevel="0" collapsed="false">
      <c r="A98" s="911"/>
      <c r="B98" s="911"/>
      <c r="C98" s="913" t="n">
        <f aca="false">-C96</f>
        <v>-28439040</v>
      </c>
      <c r="D98" s="913" t="n">
        <f aca="false">-D96</f>
        <v>-4739840</v>
      </c>
      <c r="E98" s="913" t="n">
        <f aca="false">-E96</f>
        <v>-0</v>
      </c>
      <c r="F98" s="913" t="n">
        <f aca="false">-F96</f>
        <v>-0</v>
      </c>
      <c r="G98" s="913" t="n">
        <f aca="false">-G96</f>
        <v>-0</v>
      </c>
      <c r="H98" s="913" t="n">
        <f aca="false">-H96</f>
        <v>-0</v>
      </c>
      <c r="I98" s="913" t="n">
        <f aca="false">-I96</f>
        <v>-0</v>
      </c>
      <c r="J98" s="913" t="n">
        <f aca="false">-J96</f>
        <v>-0</v>
      </c>
      <c r="K98" s="913" t="n">
        <f aca="false">-K96</f>
        <v>-0</v>
      </c>
      <c r="L98" s="913" t="n">
        <f aca="false">-L96</f>
        <v>-0</v>
      </c>
    </row>
    <row r="99" customFormat="false" ht="12.75" hidden="false" customHeight="false" outlineLevel="0" collapsed="false">
      <c r="A99" s="904" t="s">
        <v>1076</v>
      </c>
      <c r="B99" s="905" t="n">
        <f aca="false">NPV($C$5,C98:L98)</f>
        <v>-28735780.1626269</v>
      </c>
      <c r="C99" s="906" t="n">
        <f aca="false">B99/$B$120</f>
        <v>-0.0919294912353215</v>
      </c>
      <c r="D99" s="907"/>
      <c r="E99" s="907"/>
      <c r="F99" s="907"/>
      <c r="G99" s="907"/>
      <c r="H99" s="907"/>
      <c r="I99" s="907"/>
      <c r="J99" s="907"/>
      <c r="K99" s="907"/>
      <c r="L99" s="907"/>
    </row>
    <row r="101" customFormat="false" ht="12.75" hidden="false" customHeight="false" outlineLevel="0" collapsed="false">
      <c r="A101" s="439" t="s">
        <v>1451</v>
      </c>
    </row>
    <row r="102" customFormat="false" ht="12.75" hidden="false" customHeight="false" outlineLevel="0" collapsed="false">
      <c r="A102" s="159" t="s">
        <v>1452</v>
      </c>
      <c r="B102" s="159"/>
      <c r="C102" s="8" t="n">
        <f aca="false">IF('wholesale services'!D122="NA",0,'wholesale services'!D122)</f>
        <v>0</v>
      </c>
      <c r="D102" s="8" t="n">
        <f aca="false">IF('wholesale services'!E122="NA",0,'wholesale services'!E122)</f>
        <v>0</v>
      </c>
      <c r="E102" s="8" t="n">
        <f aca="false">IF('wholesale services'!F122="NA",0,'wholesale services'!F122)</f>
        <v>0</v>
      </c>
      <c r="F102" s="8" t="n">
        <f aca="false">IF('wholesale services'!G122="NA",0,'wholesale services'!G122)</f>
        <v>0</v>
      </c>
      <c r="G102" s="8" t="n">
        <f aca="false">IF('wholesale services'!H122="NA",0,'wholesale services'!H122)</f>
        <v>0</v>
      </c>
      <c r="H102" s="8" t="n">
        <f aca="false">IF('wholesale services'!I122="NA",0,'wholesale services'!I122)</f>
        <v>0</v>
      </c>
      <c r="I102" s="8" t="n">
        <f aca="false">IF('wholesale services'!J122="NA",0,'wholesale services'!J122)</f>
        <v>0</v>
      </c>
      <c r="J102" s="8" t="n">
        <f aca="false">IF('wholesale services'!K122="NA",0,'wholesale services'!K122)</f>
        <v>0</v>
      </c>
      <c r="K102" s="8" t="n">
        <f aca="false">IF('wholesale services'!L122="NA",0,'wholesale services'!L122)</f>
        <v>0</v>
      </c>
      <c r="L102" s="8" t="n">
        <f aca="false">IF('wholesale services'!M122="NA",0,'wholesale services'!M122)</f>
        <v>0</v>
      </c>
    </row>
    <row r="103" customFormat="false" ht="12.75" hidden="false" customHeight="false" outlineLevel="0" collapsed="false">
      <c r="A103" s="911"/>
      <c r="B103" s="911"/>
      <c r="C103" s="913" t="n">
        <f aca="false">-C102</f>
        <v>-0</v>
      </c>
      <c r="D103" s="913" t="n">
        <f aca="false">-D102</f>
        <v>-0</v>
      </c>
      <c r="E103" s="913" t="n">
        <f aca="false">-E102</f>
        <v>-0</v>
      </c>
      <c r="F103" s="913" t="n">
        <f aca="false">-F102</f>
        <v>-0</v>
      </c>
      <c r="G103" s="913" t="n">
        <f aca="false">-G102</f>
        <v>-0</v>
      </c>
      <c r="H103" s="913" t="n">
        <f aca="false">-H102</f>
        <v>-0</v>
      </c>
      <c r="I103" s="913" t="n">
        <f aca="false">-I102</f>
        <v>-0</v>
      </c>
      <c r="J103" s="913" t="n">
        <f aca="false">-J102</f>
        <v>-0</v>
      </c>
      <c r="K103" s="913" t="n">
        <f aca="false">-K102</f>
        <v>-0</v>
      </c>
      <c r="L103" s="913" t="n">
        <f aca="false">-L102</f>
        <v>-0</v>
      </c>
    </row>
    <row r="104" customFormat="false" ht="12.75" hidden="false" customHeight="false" outlineLevel="0" collapsed="false">
      <c r="A104" s="904" t="s">
        <v>1076</v>
      </c>
      <c r="B104" s="905" t="n">
        <f aca="false">NPV($C$5,C103:L103)</f>
        <v>0</v>
      </c>
      <c r="C104" s="906" t="n">
        <f aca="false">B104/$B$120</f>
        <v>0</v>
      </c>
      <c r="D104" s="907"/>
      <c r="E104" s="907"/>
      <c r="F104" s="907"/>
      <c r="G104" s="907"/>
      <c r="H104" s="907"/>
      <c r="I104" s="907"/>
      <c r="J104" s="907"/>
      <c r="K104" s="907"/>
      <c r="L104" s="907"/>
    </row>
    <row r="106" customFormat="false" ht="12.75" hidden="false" customHeight="false" outlineLevel="0" collapsed="false">
      <c r="A106" s="439" t="s">
        <v>1001</v>
      </c>
    </row>
    <row r="107" customFormat="false" ht="12.75" hidden="false" customHeight="false" outlineLevel="0" collapsed="false">
      <c r="A107" s="159" t="s">
        <v>1365</v>
      </c>
      <c r="B107" s="159"/>
      <c r="C107" s="8" t="n">
        <f aca="false">'wholesale services'!D128</f>
        <v>-662655</v>
      </c>
      <c r="D107" s="8" t="n">
        <f aca="false">'wholesale services'!E128</f>
        <v>-662655</v>
      </c>
      <c r="E107" s="8" t="n">
        <f aca="false">'wholesale services'!F128</f>
        <v>-662655</v>
      </c>
      <c r="F107" s="8" t="n">
        <f aca="false">'wholesale services'!G128</f>
        <v>-662655</v>
      </c>
      <c r="G107" s="8" t="n">
        <f aca="false">'wholesale services'!H128</f>
        <v>-662655</v>
      </c>
      <c r="H107" s="8" t="n">
        <f aca="false">'wholesale services'!I128</f>
        <v>-662655</v>
      </c>
      <c r="I107" s="8" t="n">
        <f aca="false">'wholesale services'!J128</f>
        <v>-662655</v>
      </c>
      <c r="J107" s="8" t="n">
        <f aca="false">'wholesale services'!K128</f>
        <v>-662655</v>
      </c>
      <c r="K107" s="8" t="n">
        <f aca="false">'wholesale services'!L128</f>
        <v>-662655</v>
      </c>
      <c r="L107" s="8" t="n">
        <f aca="false">'wholesale services'!M128</f>
        <v>-662655</v>
      </c>
    </row>
    <row r="108" customFormat="false" ht="12.75" hidden="false" customHeight="false" outlineLevel="0" collapsed="false">
      <c r="A108" s="911"/>
      <c r="B108" s="911"/>
      <c r="C108" s="913" t="n">
        <f aca="false">C107</f>
        <v>-662655</v>
      </c>
      <c r="D108" s="913" t="n">
        <f aca="false">D107</f>
        <v>-662655</v>
      </c>
      <c r="E108" s="913" t="n">
        <f aca="false">E107</f>
        <v>-662655</v>
      </c>
      <c r="F108" s="913" t="n">
        <f aca="false">F107</f>
        <v>-662655</v>
      </c>
      <c r="G108" s="913" t="n">
        <f aca="false">G107</f>
        <v>-662655</v>
      </c>
      <c r="H108" s="913" t="n">
        <f aca="false">H107</f>
        <v>-662655</v>
      </c>
      <c r="I108" s="913" t="n">
        <f aca="false">I107</f>
        <v>-662655</v>
      </c>
      <c r="J108" s="913" t="n">
        <f aca="false">J107</f>
        <v>-662655</v>
      </c>
      <c r="K108" s="913" t="n">
        <f aca="false">K107</f>
        <v>-662655</v>
      </c>
      <c r="L108" s="913" t="n">
        <f aca="false">L107</f>
        <v>-662655</v>
      </c>
    </row>
    <row r="109" customFormat="false" ht="12.75" hidden="false" customHeight="false" outlineLevel="0" collapsed="false">
      <c r="A109" s="904" t="s">
        <v>1076</v>
      </c>
      <c r="B109" s="905" t="n">
        <f aca="false">NPV($C$5,C108:L108)</f>
        <v>-3525004.80128309</v>
      </c>
      <c r="C109" s="906" t="n">
        <f aca="false">B109/$B$120</f>
        <v>-0.0112769479774026</v>
      </c>
      <c r="D109" s="907"/>
      <c r="E109" s="907"/>
      <c r="F109" s="907"/>
      <c r="G109" s="907"/>
      <c r="H109" s="907"/>
      <c r="I109" s="907"/>
      <c r="J109" s="907"/>
      <c r="K109" s="907"/>
      <c r="L109" s="907"/>
    </row>
    <row r="110" customFormat="false" ht="12.75" hidden="false" customHeight="false" outlineLevel="0" collapsed="false">
      <c r="A110" s="914"/>
      <c r="B110" s="915"/>
      <c r="C110" s="906"/>
      <c r="D110" s="907"/>
      <c r="E110" s="907"/>
      <c r="F110" s="907"/>
      <c r="G110" s="907"/>
      <c r="H110" s="907"/>
      <c r="I110" s="907"/>
      <c r="J110" s="907"/>
      <c r="K110" s="907"/>
      <c r="L110" s="907"/>
    </row>
    <row r="111" customFormat="false" ht="12.75" hidden="false" customHeight="false" outlineLevel="0" collapsed="false">
      <c r="A111" s="439" t="s">
        <v>1000</v>
      </c>
      <c r="D111" s="907"/>
      <c r="E111" s="907"/>
      <c r="F111" s="907"/>
      <c r="G111" s="907"/>
      <c r="H111" s="907"/>
      <c r="I111" s="907"/>
      <c r="J111" s="907"/>
      <c r="K111" s="907"/>
      <c r="L111" s="907"/>
    </row>
    <row r="112" customFormat="false" ht="12.75" hidden="false" customHeight="false" outlineLevel="0" collapsed="false">
      <c r="A112" s="159" t="s">
        <v>1000</v>
      </c>
      <c r="B112" s="159"/>
      <c r="C112" s="8" t="n">
        <f aca="false">'wholesale services'!D127</f>
        <v>0</v>
      </c>
      <c r="D112" s="8" t="n">
        <f aca="false">'wholesale services'!E127</f>
        <v>0</v>
      </c>
      <c r="E112" s="8" t="n">
        <f aca="false">'wholesale services'!F127</f>
        <v>0</v>
      </c>
      <c r="F112" s="8" t="n">
        <f aca="false">'wholesale services'!G127</f>
        <v>0</v>
      </c>
      <c r="G112" s="8" t="n">
        <f aca="false">'wholesale services'!H127</f>
        <v>0</v>
      </c>
      <c r="H112" s="8" t="n">
        <f aca="false">'wholesale services'!I127</f>
        <v>0</v>
      </c>
      <c r="I112" s="8" t="n">
        <f aca="false">'wholesale services'!J127</f>
        <v>0</v>
      </c>
      <c r="J112" s="8" t="n">
        <f aca="false">'wholesale services'!K127</f>
        <v>0</v>
      </c>
      <c r="K112" s="8" t="n">
        <f aca="false">'wholesale services'!L127</f>
        <v>0</v>
      </c>
      <c r="L112" s="8" t="n">
        <f aca="false">'wholesale services'!M127</f>
        <v>0</v>
      </c>
    </row>
    <row r="113" customFormat="false" ht="12.75" hidden="false" customHeight="false" outlineLevel="0" collapsed="false">
      <c r="A113" s="911"/>
      <c r="B113" s="911"/>
      <c r="C113" s="913" t="n">
        <f aca="false">C112</f>
        <v>0</v>
      </c>
      <c r="D113" s="913" t="n">
        <f aca="false">D112</f>
        <v>0</v>
      </c>
      <c r="E113" s="913" t="n">
        <f aca="false">E112</f>
        <v>0</v>
      </c>
      <c r="F113" s="913" t="n">
        <f aca="false">F112</f>
        <v>0</v>
      </c>
      <c r="G113" s="913" t="n">
        <f aca="false">G112</f>
        <v>0</v>
      </c>
      <c r="H113" s="913" t="n">
        <f aca="false">H112</f>
        <v>0</v>
      </c>
      <c r="I113" s="913" t="n">
        <f aca="false">I112</f>
        <v>0</v>
      </c>
      <c r="J113" s="913" t="n">
        <f aca="false">J112</f>
        <v>0</v>
      </c>
      <c r="K113" s="913" t="n">
        <f aca="false">K112</f>
        <v>0</v>
      </c>
      <c r="L113" s="913" t="n">
        <f aca="false">L112</f>
        <v>0</v>
      </c>
    </row>
    <row r="114" customFormat="false" ht="12.75" hidden="false" customHeight="false" outlineLevel="0" collapsed="false">
      <c r="A114" s="904" t="s">
        <v>1076</v>
      </c>
      <c r="B114" s="905" t="n">
        <f aca="false">NPV($C$5,C113:L113)</f>
        <v>0</v>
      </c>
      <c r="C114" s="906" t="n">
        <f aca="false">B114/$B$120</f>
        <v>0</v>
      </c>
    </row>
    <row r="115" customFormat="false" ht="12.75" hidden="false" customHeight="false" outlineLevel="0" collapsed="false">
      <c r="A115" s="914"/>
      <c r="B115" s="915"/>
      <c r="C115" s="906"/>
    </row>
    <row r="116" customFormat="false" ht="12.75" hidden="false" customHeight="false" outlineLevel="0" collapsed="false">
      <c r="A116" s="917" t="s">
        <v>1453</v>
      </c>
      <c r="B116" s="918" t="n">
        <f aca="false">NPV($C$5,C116:L116)</f>
        <v>3319816.71157824</v>
      </c>
      <c r="C116" s="850" t="n">
        <f aca="false">C96+C97</f>
        <v>28439040</v>
      </c>
      <c r="D116" s="850" t="n">
        <f aca="false">D96+D97</f>
        <v>-175351.662512809</v>
      </c>
      <c r="E116" s="850" t="n">
        <f aca="false">E96+E97</f>
        <v>-5898229.99501537</v>
      </c>
      <c r="F116" s="850" t="n">
        <f aca="false">F96+F97</f>
        <v>-5898229.99501537</v>
      </c>
      <c r="G116" s="850" t="n">
        <f aca="false">G96+G97</f>
        <v>-5898229.99501537</v>
      </c>
      <c r="H116" s="850" t="n">
        <f aca="false">H96+H97</f>
        <v>-5898229.99501537</v>
      </c>
      <c r="I116" s="850" t="n">
        <f aca="false">I96+I97</f>
        <v>-5898229.99501537</v>
      </c>
      <c r="J116" s="850" t="n">
        <f aca="false">J96+J97</f>
        <v>-5898229.99501537</v>
      </c>
      <c r="K116" s="850" t="n">
        <f aca="false">K96+K97</f>
        <v>-5898229.99501537</v>
      </c>
      <c r="L116" s="850" t="n">
        <f aca="false">L96+L97</f>
        <v>-5898229.99501537</v>
      </c>
    </row>
    <row r="118" customFormat="false" ht="12.75" hidden="false" customHeight="false" outlineLevel="0" collapsed="false">
      <c r="B118" s="419" t="n">
        <f aca="false">SUM(C120:L120)</f>
        <v>593834011.527118</v>
      </c>
    </row>
    <row r="119" customFormat="false" ht="12.75" hidden="false" customHeight="false" outlineLevel="0" collapsed="false">
      <c r="A119" s="0" t="s">
        <v>1454</v>
      </c>
      <c r="B119" s="419"/>
      <c r="C119" s="919" t="n">
        <f aca="false">C15+C26+C37+C48+C59+C70+C81</f>
        <v>59024414.638136</v>
      </c>
      <c r="D119" s="919" t="n">
        <f aca="false">D15+D26+D37+D48+D59+D70+D81</f>
        <v>59646670.7023557</v>
      </c>
      <c r="E119" s="919" t="n">
        <f aca="false">E15+E26+E37+E48+E59+E70+E81</f>
        <v>60264777.7704901</v>
      </c>
      <c r="F119" s="919" t="n">
        <f aca="false">F15+F26+F37+F48+F59+F70+F81</f>
        <v>60889993.0699081</v>
      </c>
      <c r="G119" s="919" t="n">
        <f aca="false">G15+G26+G37+G48+G59+G70+G81</f>
        <v>61522398.3452693</v>
      </c>
      <c r="H119" s="919" t="n">
        <f aca="false">H15+H26+H37+H48+H59+H70+H81</f>
        <v>62162076.2812972</v>
      </c>
      <c r="I119" s="919" t="n">
        <f aca="false">I15+I26+I37+I48+I59+I70+I81</f>
        <v>62809110.5135895</v>
      </c>
      <c r="J119" s="919" t="n">
        <f aca="false">J15+J26+J37+J48+J59+J70+J81</f>
        <v>63463585.6395531</v>
      </c>
      <c r="K119" s="919" t="n">
        <f aca="false">K15+K26+K37+K48+K59+K70+K81</f>
        <v>64125587.2294653</v>
      </c>
      <c r="L119" s="919" t="n">
        <f aca="false">L15+L26+L37+L48+L59+L70+L81</f>
        <v>64795201.8376614</v>
      </c>
    </row>
    <row r="120" customFormat="false" ht="12.75" hidden="false" customHeight="false" outlineLevel="0" collapsed="false">
      <c r="A120" s="920" t="s">
        <v>1455</v>
      </c>
      <c r="B120" s="921" t="n">
        <f aca="false">NPV($C$5,C120:L120)</f>
        <v>312585001.575489</v>
      </c>
      <c r="C120" s="919" t="n">
        <f aca="false">C16+C27+C38+C49+C60+C71+C82</f>
        <v>56663438.0526106</v>
      </c>
      <c r="D120" s="919" t="n">
        <f aca="false">D16+D27+D38+D49+D60+D71+D82</f>
        <v>57258542.8860967</v>
      </c>
      <c r="E120" s="919" t="n">
        <f aca="false">E16+E27+E38+E49+E60+E71+E82</f>
        <v>57849186.4843441</v>
      </c>
      <c r="F120" s="919" t="n">
        <f aca="false">F16+F27+F38+F49+F60+F71+F82</f>
        <v>58446622.4839714</v>
      </c>
      <c r="G120" s="919" t="n">
        <f aca="false">G16+G27+G38+G49+G60+G71+G82</f>
        <v>59050928.9975944</v>
      </c>
      <c r="H120" s="919" t="n">
        <f aca="false">H16+H27+H38+H49+H60+H71+H82</f>
        <v>59662185.0361241</v>
      </c>
      <c r="I120" s="919" t="n">
        <f aca="false">I16+I27+I38+I49+I60+I71+I82</f>
        <v>60280470.5190968</v>
      </c>
      <c r="J120" s="919" t="n">
        <f aca="false">J16+J27+J38+J49+J60+J71+J82</f>
        <v>60905866.2851238</v>
      </c>
      <c r="K120" s="919" t="n">
        <f aca="false">K16+K27+K38+K49+K60+K71+K82</f>
        <v>61538454.10246</v>
      </c>
      <c r="L120" s="919" t="n">
        <f aca="false">L16+L27+L38+L49+L60+L71+L82</f>
        <v>62178316.6796956</v>
      </c>
    </row>
    <row r="121" customFormat="false" ht="12.75" hidden="false" customHeight="false" outlineLevel="0" collapsed="false">
      <c r="A121" s="920" t="s">
        <v>1456</v>
      </c>
      <c r="B121" s="921"/>
      <c r="C121" s="919" t="n">
        <f aca="false">C17+C28+C39+C50+C61+C72+C83+C91+C96+C102</f>
        <v>86160695.0316768</v>
      </c>
      <c r="D121" s="919" t="n">
        <f aca="false">D17+D28+D39+D50+D61+D72+D83+D91+D96+D102</f>
        <v>55991462.5787669</v>
      </c>
      <c r="E121" s="919" t="n">
        <f aca="false">E17+E28+E39+E50+E61+E72+E83+E91+E96+E102</f>
        <v>50171879.096791</v>
      </c>
      <c r="F121" s="919" t="n">
        <f aca="false">F17+F28+F39+F50+F61+F72+F83+F91+F96+F102</f>
        <v>50443654.8556235</v>
      </c>
      <c r="G121" s="919" t="n">
        <f aca="false">G17+G28+G39+G50+G61+G72+G83+G91+G96+G102</f>
        <v>50718088.1193323</v>
      </c>
      <c r="H121" s="919" t="n">
        <f aca="false">H17+H28+H39+H50+H61+H72+H83+H91+H96+H102</f>
        <v>50994843.3868253</v>
      </c>
      <c r="I121" s="919" t="n">
        <f aca="false">I17+I28+I39+I50+I61+I72+I83+I91+I96+I102</f>
        <v>51273587.8923674</v>
      </c>
      <c r="J121" s="919" t="n">
        <f aca="false">J17+J28+J39+J50+J61+J72+J83+J91+J96+J102</f>
        <v>51556077.4147826</v>
      </c>
      <c r="K121" s="919" t="n">
        <f aca="false">K17+K28+K39+K50+K61+K72+K83+K91+K96+K102</f>
        <v>51839973.9766987</v>
      </c>
      <c r="L121" s="919" t="n">
        <f aca="false">L17+L28+L39+L50+L61+L72+L83+L91+L96+L102</f>
        <v>52128191.7547163</v>
      </c>
    </row>
    <row r="122" customFormat="false" ht="12.75" hidden="false" customHeight="false" outlineLevel="0" collapsed="false">
      <c r="A122" s="920" t="s">
        <v>1001</v>
      </c>
      <c r="B122" s="921"/>
      <c r="C122" s="919" t="n">
        <f aca="false">C107</f>
        <v>-662655</v>
      </c>
      <c r="D122" s="919" t="n">
        <f aca="false">D107</f>
        <v>-662655</v>
      </c>
      <c r="E122" s="919" t="n">
        <f aca="false">E107</f>
        <v>-662655</v>
      </c>
      <c r="F122" s="919" t="n">
        <f aca="false">F107</f>
        <v>-662655</v>
      </c>
      <c r="G122" s="919" t="n">
        <f aca="false">G107</f>
        <v>-662655</v>
      </c>
      <c r="H122" s="919" t="n">
        <f aca="false">H107</f>
        <v>-662655</v>
      </c>
      <c r="I122" s="919" t="n">
        <f aca="false">I107</f>
        <v>-662655</v>
      </c>
      <c r="J122" s="919" t="n">
        <f aca="false">J107</f>
        <v>-662655</v>
      </c>
      <c r="K122" s="919" t="n">
        <f aca="false">K107</f>
        <v>-662655</v>
      </c>
      <c r="L122" s="919" t="n">
        <f aca="false">L107</f>
        <v>-662655</v>
      </c>
    </row>
    <row r="123" customFormat="false" ht="12.75" hidden="false" customHeight="false" outlineLevel="0" collapsed="false">
      <c r="A123" s="920" t="s">
        <v>1000</v>
      </c>
      <c r="B123" s="921"/>
      <c r="C123" s="919" t="n">
        <f aca="false">C113</f>
        <v>0</v>
      </c>
      <c r="D123" s="919" t="n">
        <f aca="false">D113</f>
        <v>0</v>
      </c>
      <c r="E123" s="919" t="n">
        <f aca="false">E113</f>
        <v>0</v>
      </c>
      <c r="F123" s="919" t="n">
        <f aca="false">F113</f>
        <v>0</v>
      </c>
      <c r="G123" s="919" t="n">
        <f aca="false">G113</f>
        <v>0</v>
      </c>
      <c r="H123" s="919" t="n">
        <f aca="false">H113</f>
        <v>0</v>
      </c>
      <c r="I123" s="919" t="n">
        <f aca="false">I113</f>
        <v>0</v>
      </c>
      <c r="J123" s="919" t="n">
        <f aca="false">J113</f>
        <v>0</v>
      </c>
      <c r="K123" s="919" t="n">
        <f aca="false">K113</f>
        <v>0</v>
      </c>
      <c r="L123" s="919" t="n">
        <f aca="false">L113</f>
        <v>0</v>
      </c>
    </row>
    <row r="124" customFormat="false" ht="12.75" hidden="false" customHeight="false" outlineLevel="0" collapsed="false">
      <c r="A124" s="920" t="s">
        <v>1457</v>
      </c>
      <c r="B124" s="921"/>
      <c r="C124" s="919" t="n">
        <f aca="false">C119-C121+C122+C123</f>
        <v>-27798935.3935408</v>
      </c>
      <c r="D124" s="919" t="n">
        <f aca="false">D119-D121+D122+D123</f>
        <v>2992553.1235888</v>
      </c>
      <c r="E124" s="919" t="n">
        <f aca="false">E119-E121+E122+E123</f>
        <v>9430243.67369907</v>
      </c>
      <c r="F124" s="919" t="n">
        <f aca="false">F119-F121+F122+F123</f>
        <v>9783683.21428452</v>
      </c>
      <c r="G124" s="919" t="n">
        <f aca="false">G119-G121+G122+G123</f>
        <v>10141655.2259371</v>
      </c>
      <c r="H124" s="919" t="n">
        <f aca="false">H119-H121+H122+H123</f>
        <v>10504577.8944719</v>
      </c>
      <c r="I124" s="919" t="n">
        <f aca="false">I119-I121+I122+I123</f>
        <v>10872867.6212221</v>
      </c>
      <c r="J124" s="919" t="n">
        <f aca="false">J119-J121+J122+J123</f>
        <v>11244853.2247705</v>
      </c>
      <c r="K124" s="919" t="n">
        <f aca="false">K119-K121+K122+K123</f>
        <v>11622958.2527666</v>
      </c>
      <c r="L124" s="919" t="n">
        <f aca="false">L119-L121+L122+L123</f>
        <v>12004355.0829452</v>
      </c>
    </row>
    <row r="125" customFormat="false" ht="12.75" hidden="false" customHeight="false" outlineLevel="0" collapsed="false">
      <c r="A125" s="920" t="s">
        <v>1458</v>
      </c>
      <c r="B125" s="920"/>
      <c r="C125" s="919" t="n">
        <f aca="false">C120-C121+C122+C123</f>
        <v>-30159911.9790662</v>
      </c>
      <c r="D125" s="919" t="n">
        <f aca="false">D120-D121+D122+D123</f>
        <v>604425.307329826</v>
      </c>
      <c r="E125" s="919" t="n">
        <f aca="false">E120-E121+E122+E123</f>
        <v>7014652.3875531</v>
      </c>
      <c r="F125" s="919" t="n">
        <f aca="false">F120-F121+F122+F123</f>
        <v>7340312.62834787</v>
      </c>
      <c r="G125" s="919" t="n">
        <f aca="false">G120-G121+G122+G123</f>
        <v>7670185.87826217</v>
      </c>
      <c r="H125" s="919" t="n">
        <f aca="false">H120-H121+H122+H123</f>
        <v>8004686.6492988</v>
      </c>
      <c r="I125" s="919" t="n">
        <f aca="false">I120-I121+I122+I123</f>
        <v>8344227.62672944</v>
      </c>
      <c r="J125" s="919" t="n">
        <f aca="false">J120-J121+J122+J123</f>
        <v>8687133.87034116</v>
      </c>
      <c r="K125" s="919" t="n">
        <f aca="false">K120-K121+K122+K123</f>
        <v>9035825.12576136</v>
      </c>
      <c r="L125" s="919" t="n">
        <f aca="false">L120-L121+L122+L123</f>
        <v>9387469.92497934</v>
      </c>
    </row>
    <row r="126" customFormat="false" ht="12.75" hidden="false" customHeight="false" outlineLevel="0" collapsed="false">
      <c r="A126" s="920" t="s">
        <v>1443</v>
      </c>
      <c r="B126" s="922" t="n">
        <f aca="false">NPV(C5,C124:L124)</f>
        <v>16139652.3138686</v>
      </c>
      <c r="C126" s="919"/>
      <c r="D126" s="919"/>
      <c r="E126" s="919"/>
      <c r="F126" s="919"/>
      <c r="G126" s="919"/>
      <c r="H126" s="919"/>
      <c r="I126" s="919"/>
      <c r="J126" s="919"/>
      <c r="K126" s="919"/>
      <c r="L126" s="919"/>
    </row>
    <row r="127" customFormat="false" ht="12.75" hidden="false" customHeight="false" outlineLevel="0" collapsed="false">
      <c r="A127" s="920" t="s">
        <v>1444</v>
      </c>
      <c r="B127" s="922" t="n">
        <f aca="false">NPV(C5,C125:L125)</f>
        <v>3063657.54329387</v>
      </c>
      <c r="C127" s="919"/>
      <c r="D127" s="919"/>
      <c r="E127" s="919"/>
      <c r="F127" s="919"/>
      <c r="G127" s="919"/>
      <c r="H127" s="919"/>
      <c r="I127" s="919"/>
      <c r="J127" s="919"/>
      <c r="K127" s="919"/>
      <c r="L127" s="919"/>
    </row>
    <row r="128" customFormat="false" ht="13.5" hidden="false" customHeight="false" outlineLevel="0" collapsed="false"/>
    <row r="129" customFormat="false" ht="13.5" hidden="false" customHeight="false" outlineLevel="0" collapsed="false">
      <c r="A129" s="923" t="s">
        <v>1459</v>
      </c>
      <c r="B129" s="924" t="n">
        <f aca="false">B104+B99+B93+B86+B75+B64+B53+B42+B31+B20+B109+B114</f>
        <v>16139652.3138686</v>
      </c>
    </row>
    <row r="130" customFormat="false" ht="12.75" hidden="false" customHeight="false" outlineLevel="0" collapsed="false">
      <c r="A130" s="925" t="s">
        <v>1460</v>
      </c>
      <c r="B130" s="926" t="n">
        <f aca="false">B104+B99+B93+B87+B76+B65+B54+B43+B32+B21+B109+B114</f>
        <v>3063657.54329388</v>
      </c>
    </row>
    <row r="131" customFormat="false" ht="13.5" hidden="false" customHeight="false" outlineLevel="0" collapsed="false">
      <c r="A131" s="927" t="s">
        <v>1445</v>
      </c>
      <c r="B131" s="928" t="n">
        <f aca="false">B130-B129</f>
        <v>-13075994.7705747</v>
      </c>
    </row>
    <row r="132" customFormat="false" ht="13.5" hidden="false" customHeight="false" outlineLevel="0" collapsed="false"/>
    <row r="133" customFormat="false" ht="15.75" hidden="false" customHeight="false" outlineLevel="0" collapsed="false">
      <c r="A133" s="899" t="s">
        <v>1461</v>
      </c>
    </row>
    <row r="134" customFormat="false" ht="12.75" hidden="false" customHeight="false" outlineLevel="0" collapsed="false">
      <c r="A134" s="439" t="s">
        <v>1358</v>
      </c>
    </row>
    <row r="135" customFormat="false" ht="12.75" hidden="false" customHeight="false" outlineLevel="0" collapsed="false">
      <c r="A135" s="0" t="s">
        <v>857</v>
      </c>
      <c r="C135" s="417" t="n">
        <f aca="false">'power redistribution'!C22</f>
        <v>61345132.1638868</v>
      </c>
    </row>
    <row r="136" customFormat="false" ht="12.75" hidden="false" customHeight="false" outlineLevel="0" collapsed="false">
      <c r="A136" s="0" t="s">
        <v>1389</v>
      </c>
      <c r="B136" s="413" t="n">
        <f aca="false">B108</f>
        <v>0</v>
      </c>
      <c r="C136" s="417" t="n">
        <f aca="false">'power redistribution'!D22</f>
        <v>62828320.7232356</v>
      </c>
      <c r="D136" s="417" t="n">
        <f aca="false">'power redistribution'!E22</f>
        <v>69832266.6979384</v>
      </c>
      <c r="E136" s="417" t="n">
        <f aca="false">'power redistribution'!F22</f>
        <v>78154602.5031734</v>
      </c>
      <c r="F136" s="417" t="n">
        <f aca="false">'power redistribution'!G22</f>
        <v>81120979.621871</v>
      </c>
      <c r="G136" s="417" t="n">
        <f aca="false">'power redistribution'!H22</f>
        <v>81120979.621871</v>
      </c>
      <c r="H136" s="417" t="n">
        <f aca="false">'power redistribution'!I22</f>
        <v>81120979.621871</v>
      </c>
      <c r="I136" s="417" t="n">
        <f aca="false">'power redistribution'!J22</f>
        <v>81120979.621871</v>
      </c>
      <c r="J136" s="417" t="n">
        <f aca="false">'power redistribution'!K22</f>
        <v>81120979.621871</v>
      </c>
      <c r="K136" s="417" t="n">
        <f aca="false">'power redistribution'!L22</f>
        <v>81120979.621871</v>
      </c>
      <c r="L136" s="417" t="n">
        <f aca="false">'power redistribution'!M22</f>
        <v>81120979.621871</v>
      </c>
    </row>
    <row r="137" customFormat="false" ht="12.75" hidden="false" customHeight="false" outlineLevel="0" collapsed="false">
      <c r="A137" s="0" t="s">
        <v>887</v>
      </c>
      <c r="C137" s="417" t="n">
        <f aca="false">'power redistribution'!D67</f>
        <v>50509298</v>
      </c>
      <c r="D137" s="417" t="n">
        <f aca="false">'power redistribution'!E67</f>
        <v>56300149.6666667</v>
      </c>
      <c r="E137" s="417" t="n">
        <f aca="false">'power redistribution'!F67</f>
        <v>60021991.8</v>
      </c>
      <c r="F137" s="417" t="n">
        <f aca="false">'power redistribution'!G67</f>
        <v>62351958</v>
      </c>
      <c r="G137" s="417" t="n">
        <f aca="false">'power redistribution'!H67</f>
        <v>61039285.2</v>
      </c>
      <c r="H137" s="417" t="n">
        <f aca="false">'power redistribution'!I67</f>
        <v>61039285.2</v>
      </c>
      <c r="I137" s="417" t="n">
        <f aca="false">'power redistribution'!J67</f>
        <v>61039285.2</v>
      </c>
      <c r="J137" s="417" t="n">
        <f aca="false">'power redistribution'!K67</f>
        <v>61039285.2</v>
      </c>
      <c r="K137" s="417" t="n">
        <f aca="false">'power redistribution'!L67</f>
        <v>59070276</v>
      </c>
      <c r="L137" s="417" t="n">
        <f aca="false">'power redistribution'!M67</f>
        <v>59070276</v>
      </c>
    </row>
    <row r="138" customFormat="false" ht="12.75" hidden="false" customHeight="false" outlineLevel="0" collapsed="false">
      <c r="A138" s="902" t="s">
        <v>1448</v>
      </c>
      <c r="B138" s="902"/>
      <c r="C138" s="903" t="n">
        <f aca="false">C136-C137</f>
        <v>12319022.7232356</v>
      </c>
      <c r="D138" s="903" t="n">
        <f aca="false">D136-D137</f>
        <v>13532117.0312717</v>
      </c>
      <c r="E138" s="903" t="n">
        <f aca="false">E136-E137</f>
        <v>18132610.7031734</v>
      </c>
      <c r="F138" s="903" t="n">
        <f aca="false">F136-F137</f>
        <v>18769021.621871</v>
      </c>
      <c r="G138" s="903" t="n">
        <f aca="false">G136-G137</f>
        <v>20081694.421871</v>
      </c>
      <c r="H138" s="903" t="n">
        <f aca="false">H136-H137</f>
        <v>20081694.421871</v>
      </c>
      <c r="I138" s="903" t="n">
        <f aca="false">I136-I137</f>
        <v>20081694.421871</v>
      </c>
      <c r="J138" s="903" t="n">
        <f aca="false">J136-J137</f>
        <v>20081694.421871</v>
      </c>
      <c r="K138" s="903" t="n">
        <f aca="false">K136-K137</f>
        <v>22050703.621871</v>
      </c>
      <c r="L138" s="903" t="n">
        <f aca="false">L136-L137</f>
        <v>22050703.621871</v>
      </c>
    </row>
    <row r="139" customFormat="false" ht="12.75" hidden="false" customHeight="false" outlineLevel="0" collapsed="false">
      <c r="A139" s="904" t="s">
        <v>1076</v>
      </c>
      <c r="B139" s="905" t="n">
        <f aca="false">NPV($C$5,C138:L138)</f>
        <v>93962258.6653418</v>
      </c>
      <c r="C139" s="907"/>
      <c r="D139" s="907"/>
      <c r="E139" s="907"/>
      <c r="F139" s="907"/>
      <c r="G139" s="907"/>
      <c r="H139" s="907"/>
      <c r="I139" s="907"/>
      <c r="J139" s="907"/>
      <c r="K139" s="907"/>
      <c r="L139" s="907"/>
    </row>
    <row r="141" customFormat="false" ht="12.75" hidden="false" customHeight="false" outlineLevel="0" collapsed="false">
      <c r="A141" s="439" t="s">
        <v>1462</v>
      </c>
    </row>
    <row r="142" customFormat="false" ht="12.75" hidden="false" customHeight="false" outlineLevel="0" collapsed="false">
      <c r="A142" s="0" t="s">
        <v>857</v>
      </c>
      <c r="C142" s="417" t="n">
        <f aca="false">'power redistribution'!C23</f>
        <v>1113600</v>
      </c>
    </row>
    <row r="143" customFormat="false" ht="12.75" hidden="false" customHeight="false" outlineLevel="0" collapsed="false">
      <c r="A143" s="0" t="s">
        <v>1389</v>
      </c>
      <c r="B143" s="413" t="n">
        <f aca="false">B135</f>
        <v>0</v>
      </c>
      <c r="C143" s="417" t="n">
        <f aca="false">'power redistribution'!D23</f>
        <v>1306249.03062936</v>
      </c>
      <c r="D143" s="417" t="n">
        <f aca="false">'power redistribution'!E23</f>
        <v>1310472.77931</v>
      </c>
      <c r="E143" s="417" t="n">
        <f aca="false">'power redistribution'!F23</f>
        <v>1325032.85961597</v>
      </c>
      <c r="F143" s="417" t="n">
        <f aca="false">'power redistribution'!G23</f>
        <v>1347740.8486399</v>
      </c>
      <c r="G143" s="417" t="n">
        <f aca="false">'power redistribution'!H23</f>
        <v>1375391.52760042</v>
      </c>
      <c r="H143" s="417" t="n">
        <f aca="false">'power redistribution'!I23</f>
        <v>1407950.59130572</v>
      </c>
      <c r="I143" s="417" t="n">
        <f aca="false">'power redistribution'!J23</f>
        <v>1445385.55879524</v>
      </c>
      <c r="J143" s="417" t="n">
        <f aca="false">'power redistribution'!K23</f>
        <v>1487665.8493688</v>
      </c>
      <c r="K143" s="417" t="n">
        <f aca="false">'power redistribution'!L23</f>
        <v>1534762.81859207</v>
      </c>
      <c r="L143" s="417" t="n">
        <f aca="false">'power redistribution'!M23</f>
        <v>1586649.75884081</v>
      </c>
    </row>
    <row r="144" customFormat="false" ht="12.75" hidden="false" customHeight="false" outlineLevel="0" collapsed="false">
      <c r="A144" s="0" t="s">
        <v>887</v>
      </c>
      <c r="C144" s="417" t="n">
        <f aca="false">'power redistribution'!D68</f>
        <v>1066770.04168065</v>
      </c>
      <c r="D144" s="417" t="n">
        <f aca="false">'power redistribution'!E68</f>
        <v>1070219.4364365</v>
      </c>
      <c r="E144" s="417" t="n">
        <f aca="false">'power redistribution'!F68</f>
        <v>1082110.16868638</v>
      </c>
      <c r="F144" s="417" t="n">
        <f aca="false">'power redistribution'!G68</f>
        <v>1100655.02638925</v>
      </c>
      <c r="G144" s="417" t="n">
        <f aca="false">'power redistribution'!H68</f>
        <v>1123236.41420701</v>
      </c>
      <c r="H144" s="417" t="n">
        <f aca="false">'power redistribution'!I68</f>
        <v>1149826.31623301</v>
      </c>
      <c r="I144" s="417" t="n">
        <f aca="false">'power redistribution'!J68</f>
        <v>1180398.20634945</v>
      </c>
      <c r="J144" s="417" t="n">
        <f aca="false">'power redistribution'!K68</f>
        <v>1214927.11031785</v>
      </c>
      <c r="K144" s="417" t="n">
        <f aca="false">'power redistribution'!L68</f>
        <v>1253389.63518352</v>
      </c>
      <c r="L144" s="417" t="n">
        <f aca="false">'power redistribution'!M68</f>
        <v>1295763.96972</v>
      </c>
    </row>
    <row r="145" customFormat="false" ht="12.75" hidden="false" customHeight="false" outlineLevel="0" collapsed="false">
      <c r="A145" s="902" t="s">
        <v>1448</v>
      </c>
      <c r="B145" s="902"/>
      <c r="C145" s="903" t="n">
        <f aca="false">C143-C144</f>
        <v>239478.988948716</v>
      </c>
      <c r="D145" s="903" t="n">
        <f aca="false">D143-D144</f>
        <v>240253.3428735</v>
      </c>
      <c r="E145" s="903" t="n">
        <f aca="false">E143-E144</f>
        <v>242922.690929595</v>
      </c>
      <c r="F145" s="903" t="n">
        <f aca="false">F143-F144</f>
        <v>247085.822250649</v>
      </c>
      <c r="G145" s="903" t="n">
        <f aca="false">G143-G144</f>
        <v>252155.113393411</v>
      </c>
      <c r="H145" s="903" t="n">
        <f aca="false">H143-H144</f>
        <v>258124.275072715</v>
      </c>
      <c r="I145" s="903" t="n">
        <f aca="false">I143-I144</f>
        <v>264987.352445794</v>
      </c>
      <c r="J145" s="903" t="n">
        <f aca="false">J143-J144</f>
        <v>272738.739050946</v>
      </c>
      <c r="K145" s="903" t="n">
        <f aca="false">K143-K144</f>
        <v>281373.183408546</v>
      </c>
      <c r="L145" s="903" t="n">
        <f aca="false">L143-L144</f>
        <v>290885.789120816</v>
      </c>
    </row>
    <row r="146" customFormat="false" ht="12.75" hidden="false" customHeight="false" outlineLevel="0" collapsed="false">
      <c r="A146" s="904" t="s">
        <v>1076</v>
      </c>
      <c r="B146" s="905" t="n">
        <f aca="false">NPV($C$5,C145:L145)</f>
        <v>1347386.07076553</v>
      </c>
      <c r="C146" s="907"/>
      <c r="D146" s="907"/>
      <c r="E146" s="907"/>
      <c r="F146" s="907"/>
      <c r="G146" s="907"/>
      <c r="H146" s="907"/>
      <c r="I146" s="907"/>
      <c r="J146" s="907"/>
      <c r="K146" s="907"/>
      <c r="L146" s="907"/>
    </row>
    <row r="148" customFormat="false" ht="12.75" hidden="false" customHeight="false" outlineLevel="0" collapsed="false">
      <c r="A148" s="439" t="s">
        <v>1463</v>
      </c>
    </row>
    <row r="149" customFormat="false" ht="12.75" hidden="false" customHeight="false" outlineLevel="0" collapsed="false">
      <c r="A149" s="0" t="s">
        <v>857</v>
      </c>
      <c r="C149" s="417" t="n">
        <f aca="false">'power redistribution'!C69</f>
        <v>650000</v>
      </c>
    </row>
    <row r="150" customFormat="false" ht="12.75" hidden="false" customHeight="false" outlineLevel="0" collapsed="false">
      <c r="A150" s="0" t="s">
        <v>1389</v>
      </c>
      <c r="B150" s="413" t="n">
        <f aca="false">B142</f>
        <v>0</v>
      </c>
      <c r="C150" s="417" t="n">
        <v>0</v>
      </c>
      <c r="D150" s="417" t="n">
        <v>0</v>
      </c>
      <c r="E150" s="417" t="n">
        <v>0</v>
      </c>
      <c r="F150" s="417" t="n">
        <v>0</v>
      </c>
      <c r="G150" s="417" t="n">
        <v>0</v>
      </c>
      <c r="H150" s="417" t="n">
        <v>0</v>
      </c>
      <c r="I150" s="417" t="n">
        <v>0</v>
      </c>
      <c r="J150" s="417" t="n">
        <v>0</v>
      </c>
      <c r="K150" s="417" t="n">
        <v>0</v>
      </c>
      <c r="L150" s="417" t="n">
        <v>0</v>
      </c>
    </row>
    <row r="151" customFormat="false" ht="12.75" hidden="false" customHeight="false" outlineLevel="0" collapsed="false">
      <c r="A151" s="0" t="s">
        <v>887</v>
      </c>
      <c r="C151" s="417" t="n">
        <f aca="false">'power redistribution'!D69</f>
        <v>559201.062983139</v>
      </c>
      <c r="D151" s="417" t="n">
        <f aca="false">'power redistribution'!E69</f>
        <v>621539.415959073</v>
      </c>
      <c r="E151" s="417" t="n">
        <f aca="false">'power redistribution'!F69</f>
        <v>695612.047142241</v>
      </c>
      <c r="F151" s="417" t="n">
        <f aca="false">'power redistribution'!G69</f>
        <v>722014.173108519</v>
      </c>
      <c r="G151" s="417" t="n">
        <f aca="false">'power redistribution'!H69</f>
        <v>722014.173108519</v>
      </c>
      <c r="H151" s="417" t="n">
        <f aca="false">'power redistribution'!I69</f>
        <v>722014.173108519</v>
      </c>
      <c r="I151" s="417" t="n">
        <f aca="false">'power redistribution'!J69</f>
        <v>722014.173108519</v>
      </c>
      <c r="J151" s="417" t="n">
        <f aca="false">'power redistribution'!K69</f>
        <v>722014.173108519</v>
      </c>
      <c r="K151" s="417" t="n">
        <f aca="false">'power redistribution'!L69</f>
        <v>722014.173108519</v>
      </c>
      <c r="L151" s="417" t="n">
        <f aca="false">'power redistribution'!M69</f>
        <v>722014.173108519</v>
      </c>
    </row>
    <row r="152" customFormat="false" ht="12.75" hidden="false" customHeight="false" outlineLevel="0" collapsed="false">
      <c r="A152" s="902" t="s">
        <v>1448</v>
      </c>
      <c r="B152" s="902"/>
      <c r="C152" s="903" t="n">
        <f aca="false">C150-C151</f>
        <v>-559201.062983139</v>
      </c>
      <c r="D152" s="903" t="n">
        <f aca="false">D150-D151</f>
        <v>-621539.415959073</v>
      </c>
      <c r="E152" s="903" t="n">
        <f aca="false">E150-E151</f>
        <v>-695612.047142241</v>
      </c>
      <c r="F152" s="903" t="n">
        <f aca="false">F150-F151</f>
        <v>-722014.173108519</v>
      </c>
      <c r="G152" s="903" t="n">
        <f aca="false">G150-G151</f>
        <v>-722014.173108519</v>
      </c>
      <c r="H152" s="903" t="n">
        <f aca="false">H150-H151</f>
        <v>-722014.173108519</v>
      </c>
      <c r="I152" s="903" t="n">
        <f aca="false">I150-I151</f>
        <v>-722014.173108519</v>
      </c>
      <c r="J152" s="903" t="n">
        <f aca="false">J150-J151</f>
        <v>-722014.173108519</v>
      </c>
      <c r="K152" s="903" t="n">
        <f aca="false">K150-K151</f>
        <v>-722014.173108519</v>
      </c>
      <c r="L152" s="903" t="n">
        <f aca="false">L150-L151</f>
        <v>-722014.173108519</v>
      </c>
    </row>
    <row r="153" customFormat="false" ht="12.75" hidden="false" customHeight="false" outlineLevel="0" collapsed="false">
      <c r="A153" s="904" t="s">
        <v>1076</v>
      </c>
      <c r="B153" s="905" t="n">
        <f aca="false">NPV($C$5,C152:L152)</f>
        <v>-3601267.31660266</v>
      </c>
      <c r="C153" s="907"/>
      <c r="D153" s="907"/>
      <c r="E153" s="907"/>
      <c r="F153" s="907"/>
      <c r="G153" s="907"/>
      <c r="H153" s="907"/>
      <c r="I153" s="907"/>
      <c r="J153" s="907"/>
      <c r="K153" s="907"/>
      <c r="L153" s="907"/>
    </row>
    <row r="155" customFormat="false" ht="12.75" hidden="false" customHeight="false" outlineLevel="0" collapsed="false">
      <c r="A155" s="439" t="s">
        <v>1464</v>
      </c>
    </row>
    <row r="156" customFormat="false" ht="12.75" hidden="false" customHeight="false" outlineLevel="0" collapsed="false">
      <c r="A156" s="0" t="s">
        <v>857</v>
      </c>
      <c r="C156" s="417" t="n">
        <f aca="false">'power redistribution'!C70</f>
        <v>500000</v>
      </c>
    </row>
    <row r="157" customFormat="false" ht="12.75" hidden="false" customHeight="false" outlineLevel="0" collapsed="false">
      <c r="A157" s="0" t="s">
        <v>1389</v>
      </c>
      <c r="B157" s="413" t="n">
        <f aca="false">B149</f>
        <v>0</v>
      </c>
      <c r="C157" s="417" t="n">
        <v>0</v>
      </c>
      <c r="D157" s="417" t="n">
        <v>0</v>
      </c>
      <c r="E157" s="417" t="n">
        <v>0</v>
      </c>
      <c r="F157" s="417" t="n">
        <v>0</v>
      </c>
      <c r="G157" s="417" t="n">
        <v>0</v>
      </c>
      <c r="H157" s="417" t="n">
        <v>0</v>
      </c>
      <c r="I157" s="417" t="n">
        <v>0</v>
      </c>
      <c r="J157" s="417" t="n">
        <v>0</v>
      </c>
      <c r="K157" s="417" t="n">
        <v>0</v>
      </c>
      <c r="L157" s="417" t="n">
        <v>0</v>
      </c>
    </row>
    <row r="158" customFormat="false" ht="12.75" hidden="false" customHeight="false" outlineLevel="0" collapsed="false">
      <c r="A158" s="0" t="s">
        <v>887</v>
      </c>
      <c r="C158" s="417" t="n">
        <f aca="false">'power redistribution'!D70</f>
        <v>512088.885515695</v>
      </c>
      <c r="D158" s="417" t="n">
        <f aca="false">'power redistribution'!E70</f>
        <v>322955.05893133</v>
      </c>
      <c r="E158" s="417" t="n">
        <f aca="false">'power redistribution'!F70</f>
        <v>338352.160076188</v>
      </c>
      <c r="F158" s="417" t="n">
        <f aca="false">'power redistribution'!G70</f>
        <v>175910.490839671</v>
      </c>
      <c r="G158" s="417" t="n">
        <f aca="false">'power redistribution'!H70</f>
        <v>100000</v>
      </c>
      <c r="H158" s="417" t="n">
        <f aca="false">'power redistribution'!I70</f>
        <v>100000</v>
      </c>
      <c r="I158" s="417" t="n">
        <f aca="false">'power redistribution'!J70</f>
        <v>100000</v>
      </c>
      <c r="J158" s="417" t="n">
        <f aca="false">'power redistribution'!K70</f>
        <v>100000</v>
      </c>
      <c r="K158" s="417" t="n">
        <f aca="false">'power redistribution'!L70</f>
        <v>100000</v>
      </c>
      <c r="L158" s="417" t="n">
        <f aca="false">'power redistribution'!M70</f>
        <v>100000</v>
      </c>
    </row>
    <row r="159" customFormat="false" ht="12.75" hidden="false" customHeight="false" outlineLevel="0" collapsed="false">
      <c r="A159" s="902" t="s">
        <v>1448</v>
      </c>
      <c r="B159" s="902"/>
      <c r="C159" s="903" t="n">
        <f aca="false">C157-C158</f>
        <v>-512088.885515695</v>
      </c>
      <c r="D159" s="903" t="n">
        <f aca="false">D157-D158</f>
        <v>-322955.05893133</v>
      </c>
      <c r="E159" s="903" t="n">
        <f aca="false">E157-E158</f>
        <v>-338352.160076188</v>
      </c>
      <c r="F159" s="903" t="n">
        <f aca="false">F157-F158</f>
        <v>-175910.490839671</v>
      </c>
      <c r="G159" s="903" t="n">
        <f aca="false">G157-G158</f>
        <v>-100000</v>
      </c>
      <c r="H159" s="903" t="n">
        <f aca="false">H157-H158</f>
        <v>-100000</v>
      </c>
      <c r="I159" s="903" t="n">
        <f aca="false">I157-I158</f>
        <v>-100000</v>
      </c>
      <c r="J159" s="903" t="n">
        <f aca="false">J157-J158</f>
        <v>-100000</v>
      </c>
      <c r="K159" s="903" t="n">
        <f aca="false">K157-K158</f>
        <v>-100000</v>
      </c>
      <c r="L159" s="903" t="n">
        <f aca="false">L157-L158</f>
        <v>-100000</v>
      </c>
    </row>
    <row r="160" customFormat="false" ht="12.75" hidden="false" customHeight="false" outlineLevel="0" collapsed="false">
      <c r="A160" s="904" t="s">
        <v>1076</v>
      </c>
      <c r="B160" s="905" t="n">
        <f aca="false">NPV($C$5,C159:L159)</f>
        <v>-1276855.98385041</v>
      </c>
      <c r="C160" s="907"/>
      <c r="D160" s="907"/>
      <c r="E160" s="907"/>
      <c r="F160" s="907"/>
      <c r="G160" s="907"/>
      <c r="H160" s="907"/>
      <c r="I160" s="907"/>
      <c r="J160" s="907"/>
      <c r="K160" s="907"/>
      <c r="L160" s="907"/>
    </row>
    <row r="162" customFormat="false" ht="12.75" hidden="false" customHeight="false" outlineLevel="0" collapsed="false">
      <c r="A162" s="439" t="s">
        <v>1137</v>
      </c>
    </row>
    <row r="163" customFormat="false" ht="12.75" hidden="false" customHeight="false" outlineLevel="0" collapsed="false">
      <c r="A163" s="0" t="s">
        <v>857</v>
      </c>
      <c r="C163" s="417" t="n">
        <v>0</v>
      </c>
    </row>
    <row r="164" customFormat="false" ht="12.75" hidden="false" customHeight="false" outlineLevel="0" collapsed="false">
      <c r="A164" s="0" t="s">
        <v>1389</v>
      </c>
      <c r="B164" s="413" t="n">
        <f aca="false">B156</f>
        <v>0</v>
      </c>
      <c r="C164" s="417" t="n">
        <v>0</v>
      </c>
      <c r="D164" s="417" t="n">
        <v>0</v>
      </c>
      <c r="E164" s="417" t="n">
        <v>0</v>
      </c>
      <c r="F164" s="417" t="n">
        <v>0</v>
      </c>
      <c r="G164" s="417" t="n">
        <v>0</v>
      </c>
      <c r="H164" s="417" t="n">
        <v>0</v>
      </c>
      <c r="I164" s="417" t="n">
        <v>0</v>
      </c>
      <c r="J164" s="417" t="n">
        <v>0</v>
      </c>
      <c r="K164" s="417" t="n">
        <v>0</v>
      </c>
      <c r="L164" s="417" t="n">
        <v>0</v>
      </c>
    </row>
    <row r="165" customFormat="false" ht="12.75" hidden="false" customHeight="false" outlineLevel="0" collapsed="false">
      <c r="A165" s="0" t="s">
        <v>887</v>
      </c>
      <c r="C165" s="417" t="n">
        <f aca="false">'power redistribution'!D65</f>
        <v>0</v>
      </c>
      <c r="D165" s="417" t="n">
        <f aca="false">'power redistribution'!E65</f>
        <v>0</v>
      </c>
      <c r="E165" s="417" t="n">
        <f aca="false">'power redistribution'!F65</f>
        <v>0</v>
      </c>
      <c r="F165" s="417" t="n">
        <f aca="false">'power redistribution'!G65</f>
        <v>0</v>
      </c>
      <c r="G165" s="417" t="n">
        <f aca="false">'power redistribution'!H65</f>
        <v>0</v>
      </c>
      <c r="H165" s="417" t="n">
        <f aca="false">'power redistribution'!I65</f>
        <v>0</v>
      </c>
      <c r="I165" s="417" t="n">
        <f aca="false">'power redistribution'!J65</f>
        <v>0</v>
      </c>
      <c r="J165" s="417" t="n">
        <f aca="false">'power redistribution'!K65</f>
        <v>0</v>
      </c>
      <c r="K165" s="417" t="n">
        <f aca="false">'power redistribution'!L65</f>
        <v>0</v>
      </c>
      <c r="L165" s="417" t="n">
        <f aca="false">'power redistribution'!M65</f>
        <v>0</v>
      </c>
    </row>
    <row r="166" customFormat="false" ht="12.75" hidden="false" customHeight="false" outlineLevel="0" collapsed="false">
      <c r="A166" s="902" t="s">
        <v>1448</v>
      </c>
      <c r="B166" s="902"/>
      <c r="C166" s="903" t="n">
        <f aca="false">C164-C165</f>
        <v>0</v>
      </c>
      <c r="D166" s="903" t="n">
        <f aca="false">D164-D165</f>
        <v>0</v>
      </c>
      <c r="E166" s="903" t="n">
        <f aca="false">E164-E165</f>
        <v>0</v>
      </c>
      <c r="F166" s="903" t="n">
        <f aca="false">F164-F165</f>
        <v>0</v>
      </c>
      <c r="G166" s="903" t="n">
        <f aca="false">G164-G165</f>
        <v>0</v>
      </c>
      <c r="H166" s="903" t="n">
        <f aca="false">H164-H165</f>
        <v>0</v>
      </c>
      <c r="I166" s="903" t="n">
        <f aca="false">I164-I165</f>
        <v>0</v>
      </c>
      <c r="J166" s="903" t="n">
        <f aca="false">J164-J165</f>
        <v>0</v>
      </c>
      <c r="K166" s="903" t="n">
        <f aca="false">K164-K165</f>
        <v>0</v>
      </c>
      <c r="L166" s="903" t="n">
        <f aca="false">L164-L165</f>
        <v>0</v>
      </c>
    </row>
    <row r="167" customFormat="false" ht="12.75" hidden="false" customHeight="false" outlineLevel="0" collapsed="false">
      <c r="A167" s="904" t="s">
        <v>1076</v>
      </c>
      <c r="B167" s="905" t="n">
        <f aca="false">NPV($C$5,C166:L166)</f>
        <v>0</v>
      </c>
      <c r="C167" s="907"/>
      <c r="D167" s="907"/>
      <c r="E167" s="907"/>
      <c r="F167" s="907"/>
      <c r="G167" s="907"/>
      <c r="H167" s="907"/>
      <c r="I167" s="907"/>
      <c r="J167" s="907"/>
      <c r="K167" s="907"/>
      <c r="L167" s="907"/>
    </row>
    <row r="169" customFormat="false" ht="12.75" hidden="false" customHeight="false" outlineLevel="0" collapsed="false">
      <c r="A169" s="439" t="s">
        <v>1138</v>
      </c>
    </row>
    <row r="170" customFormat="false" ht="12.75" hidden="false" customHeight="false" outlineLevel="0" collapsed="false">
      <c r="A170" s="0" t="s">
        <v>857</v>
      </c>
      <c r="C170" s="417" t="n">
        <v>0</v>
      </c>
    </row>
    <row r="171" customFormat="false" ht="12.75" hidden="false" customHeight="false" outlineLevel="0" collapsed="false">
      <c r="A171" s="0" t="s">
        <v>1389</v>
      </c>
      <c r="B171" s="413" t="n">
        <f aca="false">B163</f>
        <v>0</v>
      </c>
      <c r="C171" s="417" t="n">
        <v>0</v>
      </c>
      <c r="D171" s="417" t="n">
        <v>0</v>
      </c>
      <c r="E171" s="417" t="n">
        <v>0</v>
      </c>
      <c r="F171" s="417" t="n">
        <v>0</v>
      </c>
      <c r="G171" s="417" t="n">
        <v>0</v>
      </c>
      <c r="H171" s="417" t="n">
        <v>0</v>
      </c>
      <c r="I171" s="417" t="n">
        <v>0</v>
      </c>
      <c r="J171" s="417" t="n">
        <v>0</v>
      </c>
      <c r="K171" s="417" t="n">
        <v>0</v>
      </c>
      <c r="L171" s="417" t="n">
        <v>0</v>
      </c>
    </row>
    <row r="172" customFormat="false" ht="12.75" hidden="false" customHeight="false" outlineLevel="0" collapsed="false">
      <c r="A172" s="0" t="s">
        <v>887</v>
      </c>
      <c r="C172" s="417" t="n">
        <f aca="false">'power redistribution'!D66</f>
        <v>12251522.5410309</v>
      </c>
      <c r="D172" s="417" t="n">
        <f aca="false">'power redistribution'!E66</f>
        <v>13617292.006098</v>
      </c>
      <c r="E172" s="417" t="n">
        <f aca="false">'power redistribution'!F66</f>
        <v>15240147.4881188</v>
      </c>
      <c r="F172" s="417" t="n">
        <f aca="false">'power redistribution'!G66</f>
        <v>15818591.0262648</v>
      </c>
      <c r="G172" s="417" t="n">
        <f aca="false">'power redistribution'!H66</f>
        <v>15818591.0262648</v>
      </c>
      <c r="H172" s="417" t="n">
        <f aca="false">'power redistribution'!I66</f>
        <v>15818591.0262648</v>
      </c>
      <c r="I172" s="417" t="n">
        <f aca="false">'power redistribution'!J66</f>
        <v>15818591.0262648</v>
      </c>
      <c r="J172" s="417" t="n">
        <f aca="false">'power redistribution'!K66</f>
        <v>15818591.0262648</v>
      </c>
      <c r="K172" s="417" t="n">
        <f aca="false">'power redistribution'!L66</f>
        <v>15818591.0262648</v>
      </c>
      <c r="L172" s="417" t="n">
        <f aca="false">'power redistribution'!M66</f>
        <v>15818591.0262648</v>
      </c>
    </row>
    <row r="173" customFormat="false" ht="12.75" hidden="false" customHeight="false" outlineLevel="0" collapsed="false">
      <c r="A173" s="902" t="s">
        <v>1448</v>
      </c>
      <c r="B173" s="902"/>
      <c r="C173" s="903" t="n">
        <f aca="false">C171-C172</f>
        <v>-12251522.5410309</v>
      </c>
      <c r="D173" s="903" t="n">
        <f aca="false">D171-D172</f>
        <v>-13617292.006098</v>
      </c>
      <c r="E173" s="903" t="n">
        <f aca="false">E171-E172</f>
        <v>-15240147.4881188</v>
      </c>
      <c r="F173" s="903" t="n">
        <f aca="false">F171-F172</f>
        <v>-15818591.0262648</v>
      </c>
      <c r="G173" s="903" t="n">
        <f aca="false">G171-G172</f>
        <v>-15818591.0262648</v>
      </c>
      <c r="H173" s="903" t="n">
        <f aca="false">H171-H172</f>
        <v>-15818591.0262648</v>
      </c>
      <c r="I173" s="903" t="n">
        <f aca="false">I171-I172</f>
        <v>-15818591.0262648</v>
      </c>
      <c r="J173" s="903" t="n">
        <f aca="false">J171-J172</f>
        <v>-15818591.0262648</v>
      </c>
      <c r="K173" s="903" t="n">
        <f aca="false">K171-K172</f>
        <v>-15818591.0262648</v>
      </c>
      <c r="L173" s="903" t="n">
        <f aca="false">L171-L172</f>
        <v>-15818591.0262648</v>
      </c>
    </row>
    <row r="174" customFormat="false" ht="12.75" hidden="false" customHeight="false" outlineLevel="0" collapsed="false">
      <c r="A174" s="904" t="s">
        <v>1076</v>
      </c>
      <c r="B174" s="905" t="n">
        <f aca="false">NPV($C$5,C173:L173)</f>
        <v>-78900078.3908845</v>
      </c>
      <c r="C174" s="907"/>
      <c r="D174" s="907"/>
      <c r="E174" s="907"/>
      <c r="F174" s="907"/>
      <c r="G174" s="907"/>
      <c r="H174" s="907"/>
      <c r="I174" s="907"/>
      <c r="J174" s="907"/>
      <c r="K174" s="907"/>
      <c r="L174" s="907"/>
    </row>
    <row r="176" customFormat="false" ht="12.75" hidden="false" customHeight="false" outlineLevel="0" collapsed="false">
      <c r="A176" s="439" t="s">
        <v>1465</v>
      </c>
    </row>
    <row r="177" customFormat="false" ht="12.75" hidden="false" customHeight="false" outlineLevel="0" collapsed="false">
      <c r="A177" s="0" t="s">
        <v>857</v>
      </c>
      <c r="C177" s="417" t="n">
        <v>0</v>
      </c>
    </row>
    <row r="178" customFormat="false" ht="12.75" hidden="false" customHeight="false" outlineLevel="0" collapsed="false">
      <c r="A178" s="0" t="s">
        <v>1389</v>
      </c>
      <c r="B178" s="413" t="n">
        <f aca="false">B170</f>
        <v>0</v>
      </c>
      <c r="C178" s="417" t="n">
        <v>0</v>
      </c>
      <c r="D178" s="417" t="n">
        <v>0</v>
      </c>
      <c r="E178" s="417" t="n">
        <v>0</v>
      </c>
      <c r="F178" s="417" t="n">
        <v>0</v>
      </c>
      <c r="G178" s="417" t="n">
        <v>0</v>
      </c>
      <c r="H178" s="417" t="n">
        <v>0</v>
      </c>
      <c r="I178" s="417" t="n">
        <v>0</v>
      </c>
      <c r="J178" s="417" t="n">
        <v>0</v>
      </c>
      <c r="K178" s="417" t="n">
        <v>0</v>
      </c>
      <c r="L178" s="417" t="n">
        <v>0</v>
      </c>
    </row>
    <row r="179" customFormat="false" ht="12.75" hidden="false" customHeight="false" outlineLevel="0" collapsed="false">
      <c r="A179" s="0" t="s">
        <v>887</v>
      </c>
      <c r="C179" s="417" t="n">
        <f aca="false">'power redistribution'!D106</f>
        <v>0</v>
      </c>
      <c r="D179" s="417" t="n">
        <f aca="false">'power redistribution'!E106</f>
        <v>0</v>
      </c>
      <c r="E179" s="417" t="n">
        <f aca="false">'power redistribution'!F106</f>
        <v>0</v>
      </c>
      <c r="F179" s="417" t="n">
        <f aca="false">'power redistribution'!G106</f>
        <v>0</v>
      </c>
      <c r="G179" s="417" t="n">
        <f aca="false">'power redistribution'!H106</f>
        <v>0</v>
      </c>
      <c r="H179" s="417" t="n">
        <f aca="false">'power redistribution'!I106</f>
        <v>0</v>
      </c>
      <c r="I179" s="417" t="n">
        <f aca="false">'power redistribution'!J106</f>
        <v>0</v>
      </c>
      <c r="J179" s="417" t="n">
        <f aca="false">'power redistribution'!K106</f>
        <v>0</v>
      </c>
      <c r="K179" s="417" t="n">
        <f aca="false">'power redistribution'!L106</f>
        <v>0</v>
      </c>
      <c r="L179" s="417" t="n">
        <f aca="false">'power redistribution'!M106</f>
        <v>0</v>
      </c>
    </row>
    <row r="180" customFormat="false" ht="12.75" hidden="false" customHeight="false" outlineLevel="0" collapsed="false">
      <c r="A180" s="902" t="s">
        <v>1448</v>
      </c>
      <c r="B180" s="902"/>
      <c r="C180" s="903" t="n">
        <f aca="false">C178-C179</f>
        <v>0</v>
      </c>
      <c r="D180" s="903" t="n">
        <f aca="false">D178-D179</f>
        <v>0</v>
      </c>
      <c r="E180" s="903" t="n">
        <f aca="false">E178-E179</f>
        <v>0</v>
      </c>
      <c r="F180" s="903" t="n">
        <f aca="false">F178-F179</f>
        <v>0</v>
      </c>
      <c r="G180" s="903" t="n">
        <f aca="false">G178-G179</f>
        <v>0</v>
      </c>
      <c r="H180" s="903" t="n">
        <f aca="false">H178-H179</f>
        <v>0</v>
      </c>
      <c r="I180" s="903" t="n">
        <f aca="false">I178-I179</f>
        <v>0</v>
      </c>
      <c r="J180" s="903" t="n">
        <f aca="false">J178-J179</f>
        <v>0</v>
      </c>
      <c r="K180" s="903" t="n">
        <f aca="false">K178-K179</f>
        <v>0</v>
      </c>
      <c r="L180" s="903" t="n">
        <f aca="false">L178-L179</f>
        <v>0</v>
      </c>
    </row>
    <row r="181" customFormat="false" ht="12.75" hidden="false" customHeight="false" outlineLevel="0" collapsed="false">
      <c r="A181" s="904" t="s">
        <v>1076</v>
      </c>
      <c r="B181" s="905" t="n">
        <f aca="false">NPV($C$5,C180:L180)</f>
        <v>0</v>
      </c>
      <c r="C181" s="907"/>
      <c r="D181" s="907"/>
      <c r="E181" s="907"/>
      <c r="F181" s="907"/>
      <c r="G181" s="907"/>
      <c r="H181" s="907"/>
      <c r="I181" s="907"/>
      <c r="J181" s="907"/>
      <c r="K181" s="907"/>
      <c r="L181" s="907"/>
    </row>
    <row r="183" customFormat="false" ht="12.75" hidden="false" customHeight="false" outlineLevel="0" collapsed="false">
      <c r="A183" s="0" t="s">
        <v>1455</v>
      </c>
      <c r="C183" s="417" t="n">
        <f aca="false">C136+C143</f>
        <v>64134569.753865</v>
      </c>
      <c r="D183" s="417" t="n">
        <f aca="false">D136+D143</f>
        <v>71142739.4772484</v>
      </c>
      <c r="E183" s="417" t="n">
        <f aca="false">E136+E143</f>
        <v>79479635.3627893</v>
      </c>
      <c r="F183" s="417" t="n">
        <f aca="false">F136+F143</f>
        <v>82468720.4705109</v>
      </c>
      <c r="G183" s="417" t="n">
        <f aca="false">G136+G143</f>
        <v>82496371.1494714</v>
      </c>
      <c r="H183" s="417" t="n">
        <f aca="false">H136+H143</f>
        <v>82528930.2131767</v>
      </c>
      <c r="I183" s="417" t="n">
        <f aca="false">I136+I143</f>
        <v>82566365.1806662</v>
      </c>
      <c r="J183" s="417" t="n">
        <f aca="false">J136+J143</f>
        <v>82608645.4712398</v>
      </c>
      <c r="K183" s="417" t="n">
        <f aca="false">K136+K143</f>
        <v>82655742.4404631</v>
      </c>
      <c r="L183" s="417" t="n">
        <f aca="false">L136+L143</f>
        <v>82707629.3807118</v>
      </c>
    </row>
    <row r="184" customFormat="false" ht="12.75" hidden="false" customHeight="false" outlineLevel="0" collapsed="false">
      <c r="A184" s="0" t="s">
        <v>1466</v>
      </c>
      <c r="B184" s="417" t="n">
        <f aca="false">NPV(C5,C183:L183)</f>
        <v>411965165.187732</v>
      </c>
    </row>
    <row r="185" customFormat="false" ht="12.75" hidden="false" customHeight="false" outlineLevel="0" collapsed="false">
      <c r="A185" s="0" t="s">
        <v>1416</v>
      </c>
      <c r="B185" s="419" t="n">
        <f aca="false">SUM(C183:L183)</f>
        <v>792789348.900143</v>
      </c>
    </row>
    <row r="186" customFormat="false" ht="12.75" hidden="false" customHeight="false" outlineLevel="0" collapsed="false">
      <c r="A186" s="0" t="s">
        <v>1467</v>
      </c>
      <c r="B186" s="419"/>
      <c r="C186" s="417" t="n">
        <f aca="false">C138+C145+C152+C159+C166+C173+C180</f>
        <v>-764310.777345441</v>
      </c>
      <c r="D186" s="417" t="n">
        <f aca="false">D138+D145+D152+D159+D166+D173+D180</f>
        <v>-789416.106843194</v>
      </c>
      <c r="E186" s="417" t="n">
        <f aca="false">E138+E145+E152+E159+E166+E173+E180</f>
        <v>2101421.69876573</v>
      </c>
      <c r="F186" s="417" t="n">
        <f aca="false">F138+F145+F152+F159+F166+F173+F180</f>
        <v>2299591.75390861</v>
      </c>
      <c r="G186" s="417" t="n">
        <f aca="false">G138+G145+G152+G159+G166+G173+G180</f>
        <v>3693244.33589105</v>
      </c>
      <c r="H186" s="417" t="n">
        <f aca="false">H138+H145+H152+H159+H166+H173+H180</f>
        <v>3699213.49757035</v>
      </c>
      <c r="I186" s="417" t="n">
        <f aca="false">I138+I145+I152+I159+I166+I173+I180</f>
        <v>3706076.57494343</v>
      </c>
      <c r="J186" s="417" t="n">
        <f aca="false">J138+J145+J152+J159+J166+J173+J180</f>
        <v>3713827.96154858</v>
      </c>
      <c r="K186" s="417" t="n">
        <f aca="false">K138+K145+K152+K159+K166+K173+K180</f>
        <v>5691471.60590618</v>
      </c>
      <c r="L186" s="417" t="n">
        <f aca="false">L138+L145+L152+L159+L166+L173+L180</f>
        <v>5700984.21161845</v>
      </c>
    </row>
    <row r="187" customFormat="false" ht="12.75" hidden="false" customHeight="false" outlineLevel="0" collapsed="false">
      <c r="A187" s="0" t="s">
        <v>1468</v>
      </c>
      <c r="B187" s="419"/>
    </row>
    <row r="188" customFormat="false" ht="13.5" hidden="false" customHeight="false" outlineLevel="0" collapsed="false"/>
    <row r="189" customFormat="false" ht="14.25" hidden="false" customHeight="false" outlineLevel="0" collapsed="false">
      <c r="A189" s="929" t="s">
        <v>1003</v>
      </c>
      <c r="B189" s="930" t="n">
        <f aca="false">B181+B174+B167+B160+B153+B146+B139</f>
        <v>11531443.0447698</v>
      </c>
    </row>
    <row r="190" customFormat="false" ht="13.5" hidden="false" customHeight="false" outlineLevel="0" collapsed="false"/>
    <row r="191" customFormat="false" ht="15.75" hidden="false" customHeight="false" outlineLevel="0" collapsed="false">
      <c r="A191" s="899" t="s">
        <v>1074</v>
      </c>
    </row>
    <row r="192" customFormat="false" ht="12.75" hidden="false" customHeight="false" outlineLevel="0" collapsed="false">
      <c r="A192" s="439" t="s">
        <v>1358</v>
      </c>
    </row>
    <row r="193" customFormat="false" ht="12.75" hidden="false" customHeight="false" outlineLevel="0" collapsed="false">
      <c r="A193" s="0" t="s">
        <v>857</v>
      </c>
      <c r="C193" s="417" t="n">
        <f aca="false">'power redistribution'!C85</f>
        <v>0</v>
      </c>
    </row>
    <row r="194" customFormat="false" ht="12.75" hidden="false" customHeight="false" outlineLevel="0" collapsed="false">
      <c r="A194" s="0" t="s">
        <v>1389</v>
      </c>
      <c r="B194" s="413" t="n">
        <f aca="false">B178</f>
        <v>0</v>
      </c>
    </row>
    <row r="195" customFormat="false" ht="12.75" hidden="false" customHeight="false" outlineLevel="0" collapsed="false">
      <c r="A195" s="0" t="s">
        <v>887</v>
      </c>
    </row>
    <row r="196" customFormat="false" ht="12.75" hidden="false" customHeight="false" outlineLevel="0" collapsed="false">
      <c r="A196" s="902" t="s">
        <v>1448</v>
      </c>
      <c r="B196" s="902"/>
      <c r="C196" s="903" t="n">
        <f aca="false">C194-C195</f>
        <v>0</v>
      </c>
      <c r="D196" s="903" t="n">
        <f aca="false">D194-D195</f>
        <v>0</v>
      </c>
      <c r="E196" s="903" t="n">
        <f aca="false">E194-E195</f>
        <v>0</v>
      </c>
      <c r="F196" s="903" t="n">
        <f aca="false">F194-F195</f>
        <v>0</v>
      </c>
      <c r="G196" s="903" t="n">
        <f aca="false">G194-G195</f>
        <v>0</v>
      </c>
      <c r="H196" s="903" t="n">
        <f aca="false">H194-H195</f>
        <v>0</v>
      </c>
      <c r="I196" s="903" t="n">
        <f aca="false">I194-I195</f>
        <v>0</v>
      </c>
      <c r="J196" s="903" t="n">
        <f aca="false">J194-J195</f>
        <v>0</v>
      </c>
      <c r="K196" s="903" t="n">
        <f aca="false">K194-K195</f>
        <v>0</v>
      </c>
      <c r="L196" s="903" t="n">
        <f aca="false">L194-L195</f>
        <v>0</v>
      </c>
    </row>
    <row r="197" customFormat="false" ht="12.75" hidden="false" customHeight="false" outlineLevel="0" collapsed="false">
      <c r="A197" s="904" t="s">
        <v>1076</v>
      </c>
      <c r="B197" s="905" t="n">
        <f aca="false">NPV($C$5,C196:L196)</f>
        <v>0</v>
      </c>
      <c r="C197" s="907"/>
      <c r="D197" s="907"/>
      <c r="E197" s="907"/>
      <c r="F197" s="907"/>
      <c r="G197" s="907"/>
      <c r="H197" s="907"/>
      <c r="I197" s="907"/>
      <c r="J197" s="907"/>
      <c r="K197" s="907"/>
      <c r="L197" s="907"/>
    </row>
    <row r="199" customFormat="false" ht="12.75" hidden="false" customHeight="false" outlineLevel="0" collapsed="false">
      <c r="A199" s="439" t="s">
        <v>1462</v>
      </c>
    </row>
    <row r="200" customFormat="false" ht="12.75" hidden="false" customHeight="false" outlineLevel="0" collapsed="false">
      <c r="A200" s="0" t="s">
        <v>857</v>
      </c>
      <c r="C200" s="417" t="n">
        <f aca="false">'power redistribution'!C86</f>
        <v>0</v>
      </c>
    </row>
    <row r="201" customFormat="false" ht="12.75" hidden="false" customHeight="false" outlineLevel="0" collapsed="false">
      <c r="A201" s="0" t="s">
        <v>1389</v>
      </c>
      <c r="B201" s="413" t="n">
        <f aca="false">B193</f>
        <v>0</v>
      </c>
    </row>
    <row r="202" customFormat="false" ht="12.75" hidden="false" customHeight="false" outlineLevel="0" collapsed="false">
      <c r="A202" s="0" t="s">
        <v>887</v>
      </c>
    </row>
    <row r="203" customFormat="false" ht="12.75" hidden="false" customHeight="false" outlineLevel="0" collapsed="false">
      <c r="A203" s="902" t="s">
        <v>1448</v>
      </c>
      <c r="B203" s="902"/>
      <c r="C203" s="903" t="n">
        <f aca="false">C201-C202</f>
        <v>0</v>
      </c>
      <c r="D203" s="903" t="n">
        <f aca="false">D201-D202</f>
        <v>0</v>
      </c>
      <c r="E203" s="903" t="n">
        <f aca="false">E201-E202</f>
        <v>0</v>
      </c>
      <c r="F203" s="903" t="n">
        <f aca="false">F201-F202</f>
        <v>0</v>
      </c>
      <c r="G203" s="903" t="n">
        <f aca="false">G201-G202</f>
        <v>0</v>
      </c>
      <c r="H203" s="903" t="n">
        <f aca="false">H201-H202</f>
        <v>0</v>
      </c>
      <c r="I203" s="903" t="n">
        <f aca="false">I201-I202</f>
        <v>0</v>
      </c>
      <c r="J203" s="903" t="n">
        <f aca="false">J201-J202</f>
        <v>0</v>
      </c>
      <c r="K203" s="903" t="n">
        <f aca="false">K201-K202</f>
        <v>0</v>
      </c>
      <c r="L203" s="903" t="n">
        <f aca="false">L201-L202</f>
        <v>0</v>
      </c>
    </row>
    <row r="204" customFormat="false" ht="12.75" hidden="false" customHeight="false" outlineLevel="0" collapsed="false">
      <c r="A204" s="904" t="s">
        <v>1076</v>
      </c>
      <c r="B204" s="905" t="n">
        <f aca="false">NPV($C$5,C203:L203)</f>
        <v>0</v>
      </c>
      <c r="C204" s="907"/>
      <c r="D204" s="907"/>
      <c r="E204" s="907"/>
      <c r="F204" s="907"/>
      <c r="G204" s="907"/>
      <c r="H204" s="907"/>
      <c r="I204" s="907"/>
      <c r="J204" s="907"/>
      <c r="K204" s="907"/>
      <c r="L204" s="907"/>
    </row>
    <row r="206" customFormat="false" ht="12.75" hidden="false" customHeight="false" outlineLevel="0" collapsed="false">
      <c r="A206" s="439" t="s">
        <v>1469</v>
      </c>
    </row>
    <row r="207" customFormat="false" ht="12.75" hidden="false" customHeight="false" outlineLevel="0" collapsed="false">
      <c r="A207" s="0" t="s">
        <v>857</v>
      </c>
      <c r="C207" s="417" t="n">
        <f aca="false">'power redistribution'!C129</f>
        <v>0</v>
      </c>
    </row>
    <row r="208" customFormat="false" ht="12.75" hidden="false" customHeight="false" outlineLevel="0" collapsed="false">
      <c r="A208" s="0" t="s">
        <v>1389</v>
      </c>
      <c r="B208" s="413" t="n">
        <f aca="false">B200</f>
        <v>0</v>
      </c>
      <c r="C208" s="417" t="n">
        <v>0</v>
      </c>
      <c r="D208" s="417" t="n">
        <v>0</v>
      </c>
      <c r="E208" s="417" t="n">
        <v>0</v>
      </c>
      <c r="F208" s="417" t="n">
        <v>0</v>
      </c>
      <c r="G208" s="417" t="n">
        <v>0</v>
      </c>
      <c r="H208" s="417" t="n">
        <v>0</v>
      </c>
      <c r="I208" s="417" t="n">
        <v>0</v>
      </c>
      <c r="J208" s="417" t="n">
        <v>0</v>
      </c>
      <c r="K208" s="417" t="n">
        <v>0</v>
      </c>
      <c r="L208" s="417" t="n">
        <v>0</v>
      </c>
    </row>
    <row r="209" customFormat="false" ht="12.75" hidden="false" customHeight="false" outlineLevel="0" collapsed="false">
      <c r="A209" s="0" t="s">
        <v>887</v>
      </c>
      <c r="C209" s="417" t="n">
        <f aca="false">'FM Summary'!B97</f>
        <v>-4000000</v>
      </c>
      <c r="D209" s="417" t="n">
        <f aca="false">'FM Summary'!C97</f>
        <v>0</v>
      </c>
      <c r="E209" s="417" t="n">
        <f aca="false">'FM Summary'!D97</f>
        <v>0</v>
      </c>
      <c r="F209" s="417" t="n">
        <f aca="false">'FM Summary'!E97</f>
        <v>0</v>
      </c>
      <c r="G209" s="417" t="n">
        <f aca="false">'FM Summary'!F97</f>
        <v>0</v>
      </c>
      <c r="H209" s="417" t="n">
        <f aca="false">'FM Summary'!G97</f>
        <v>0</v>
      </c>
      <c r="I209" s="417" t="n">
        <f aca="false">'FM Summary'!H97</f>
        <v>0</v>
      </c>
      <c r="J209" s="417" t="n">
        <f aca="false">'FM Summary'!I97</f>
        <v>0</v>
      </c>
      <c r="K209" s="417" t="n">
        <f aca="false">'FM Summary'!J97</f>
        <v>0</v>
      </c>
      <c r="L209" s="417" t="n">
        <f aca="false">'FM Summary'!K97</f>
        <v>0</v>
      </c>
    </row>
    <row r="210" customFormat="false" ht="12.75" hidden="false" customHeight="false" outlineLevel="0" collapsed="false">
      <c r="A210" s="902" t="s">
        <v>1448</v>
      </c>
      <c r="B210" s="902"/>
      <c r="C210" s="903" t="n">
        <f aca="false">-C208+C209</f>
        <v>-4000000</v>
      </c>
      <c r="D210" s="903" t="n">
        <f aca="false">D208-D209</f>
        <v>0</v>
      </c>
      <c r="E210" s="903" t="n">
        <f aca="false">E208-E209</f>
        <v>0</v>
      </c>
      <c r="F210" s="903" t="n">
        <f aca="false">F208-F209</f>
        <v>0</v>
      </c>
      <c r="G210" s="903" t="n">
        <f aca="false">G208-G209</f>
        <v>0</v>
      </c>
      <c r="H210" s="903" t="n">
        <f aca="false">H208-H209</f>
        <v>0</v>
      </c>
      <c r="I210" s="903" t="n">
        <f aca="false">I208-I209</f>
        <v>0</v>
      </c>
      <c r="J210" s="903" t="n">
        <f aca="false">J208-J209</f>
        <v>0</v>
      </c>
      <c r="K210" s="903" t="n">
        <f aca="false">K208-K209</f>
        <v>0</v>
      </c>
      <c r="L210" s="903" t="n">
        <f aca="false">L208-L209</f>
        <v>0</v>
      </c>
    </row>
    <row r="211" customFormat="false" ht="12.75" hidden="false" customHeight="false" outlineLevel="0" collapsed="false">
      <c r="A211" s="904" t="s">
        <v>1076</v>
      </c>
      <c r="B211" s="905" t="n">
        <f aca="false">NPV($C$5,C210:L210)</f>
        <v>-3524229.07488987</v>
      </c>
      <c r="C211" s="907"/>
      <c r="D211" s="907"/>
      <c r="E211" s="907"/>
      <c r="F211" s="907"/>
      <c r="G211" s="907"/>
      <c r="H211" s="907"/>
      <c r="I211" s="907"/>
      <c r="J211" s="907"/>
      <c r="K211" s="907"/>
      <c r="L211" s="907"/>
    </row>
    <row r="213" customFormat="false" ht="12.75" hidden="false" customHeight="false" outlineLevel="0" collapsed="false">
      <c r="A213" s="439" t="s">
        <v>1470</v>
      </c>
    </row>
    <row r="214" customFormat="false" ht="12.75" hidden="false" customHeight="false" outlineLevel="0" collapsed="false">
      <c r="A214" s="0" t="s">
        <v>857</v>
      </c>
      <c r="C214" s="417" t="n">
        <f aca="false">'power redistribution'!C130</f>
        <v>0</v>
      </c>
    </row>
    <row r="215" customFormat="false" ht="12.75" hidden="false" customHeight="false" outlineLevel="0" collapsed="false">
      <c r="A215" s="0" t="s">
        <v>1389</v>
      </c>
      <c r="B215" s="413" t="n">
        <f aca="false">B207</f>
        <v>0</v>
      </c>
    </row>
    <row r="216" customFormat="false" ht="12.75" hidden="false" customHeight="false" outlineLevel="0" collapsed="false">
      <c r="A216" s="0" t="s">
        <v>887</v>
      </c>
      <c r="C216" s="417" t="n">
        <v>0</v>
      </c>
      <c r="D216" s="417" t="n">
        <v>0</v>
      </c>
      <c r="E216" s="417" t="n">
        <v>0</v>
      </c>
      <c r="F216" s="417" t="n">
        <v>0</v>
      </c>
      <c r="G216" s="417" t="n">
        <v>0</v>
      </c>
      <c r="H216" s="417" t="n">
        <v>0</v>
      </c>
      <c r="I216" s="417" t="n">
        <v>0</v>
      </c>
      <c r="J216" s="417" t="n">
        <v>0</v>
      </c>
      <c r="K216" s="417" t="n">
        <v>0</v>
      </c>
      <c r="L216" s="417" t="n">
        <v>0</v>
      </c>
    </row>
    <row r="217" customFormat="false" ht="12.75" hidden="false" customHeight="false" outlineLevel="0" collapsed="false">
      <c r="A217" s="902" t="s">
        <v>1448</v>
      </c>
      <c r="B217" s="902"/>
      <c r="C217" s="903" t="n">
        <f aca="false">C215-C216</f>
        <v>0</v>
      </c>
      <c r="D217" s="903" t="n">
        <f aca="false">D215-D216</f>
        <v>0</v>
      </c>
      <c r="E217" s="903" t="n">
        <f aca="false">E215-E216</f>
        <v>0</v>
      </c>
      <c r="F217" s="903" t="n">
        <f aca="false">F215-F216</f>
        <v>0</v>
      </c>
      <c r="G217" s="903" t="n">
        <f aca="false">G215-G216</f>
        <v>0</v>
      </c>
      <c r="H217" s="903" t="n">
        <f aca="false">H215-H216</f>
        <v>0</v>
      </c>
      <c r="I217" s="903" t="n">
        <f aca="false">I215-I216</f>
        <v>0</v>
      </c>
      <c r="J217" s="903" t="n">
        <f aca="false">J215-J216</f>
        <v>0</v>
      </c>
      <c r="K217" s="903" t="n">
        <f aca="false">K215-K216</f>
        <v>0</v>
      </c>
      <c r="L217" s="903" t="n">
        <f aca="false">L215-L216</f>
        <v>0</v>
      </c>
    </row>
    <row r="218" customFormat="false" ht="12.75" hidden="false" customHeight="false" outlineLevel="0" collapsed="false">
      <c r="A218" s="904" t="s">
        <v>1076</v>
      </c>
      <c r="B218" s="905" t="n">
        <f aca="false">NPV($C$5,C217:L217)</f>
        <v>0</v>
      </c>
      <c r="C218" s="907"/>
      <c r="D218" s="907"/>
      <c r="E218" s="907"/>
      <c r="F218" s="907"/>
      <c r="G218" s="907"/>
      <c r="H218" s="907"/>
      <c r="I218" s="907"/>
      <c r="J218" s="907"/>
      <c r="K218" s="907"/>
      <c r="L218" s="907"/>
    </row>
    <row r="220" customFormat="false" ht="12.75" hidden="false" customHeight="false" outlineLevel="0" collapsed="false">
      <c r="A220" s="439" t="s">
        <v>1239</v>
      </c>
    </row>
    <row r="221" customFormat="false" ht="12.75" hidden="false" customHeight="false" outlineLevel="0" collapsed="false">
      <c r="A221" s="0" t="s">
        <v>857</v>
      </c>
      <c r="C221" s="417" t="n">
        <v>0</v>
      </c>
    </row>
    <row r="222" customFormat="false" ht="12.75" hidden="false" customHeight="false" outlineLevel="0" collapsed="false">
      <c r="A222" s="0" t="s">
        <v>1389</v>
      </c>
      <c r="B222" s="413" t="n">
        <f aca="false">B214</f>
        <v>0</v>
      </c>
      <c r="C222" s="417" t="n">
        <f aca="false">'FM Summary'!B98</f>
        <v>200000</v>
      </c>
      <c r="D222" s="417" t="n">
        <f aca="false">'FM Summary'!C98</f>
        <v>350000</v>
      </c>
      <c r="E222" s="417" t="n">
        <f aca="false">'FM Summary'!D98</f>
        <v>500000</v>
      </c>
      <c r="F222" s="417" t="n">
        <f aca="false">'FM Summary'!E98</f>
        <v>650000</v>
      </c>
      <c r="G222" s="417" t="n">
        <f aca="false">'FM Summary'!F98</f>
        <v>800000</v>
      </c>
      <c r="H222" s="417" t="n">
        <f aca="false">'FM Summary'!G98</f>
        <v>950000</v>
      </c>
      <c r="I222" s="417" t="n">
        <f aca="false">'FM Summary'!H98</f>
        <v>1100000</v>
      </c>
      <c r="J222" s="417" t="n">
        <f aca="false">'FM Summary'!I98</f>
        <v>1250000</v>
      </c>
      <c r="K222" s="417" t="n">
        <f aca="false">'FM Summary'!J98</f>
        <v>1400000</v>
      </c>
      <c r="L222" s="417" t="n">
        <f aca="false">'FM Summary'!K98</f>
        <v>1550000</v>
      </c>
    </row>
    <row r="223" customFormat="false" ht="12.75" hidden="false" customHeight="false" outlineLevel="0" collapsed="false">
      <c r="A223" s="0" t="s">
        <v>887</v>
      </c>
      <c r="C223" s="417" t="n">
        <f aca="false">'power redistribution'!D125</f>
        <v>0</v>
      </c>
      <c r="D223" s="417" t="n">
        <f aca="false">'power redistribution'!E125</f>
        <v>0</v>
      </c>
      <c r="E223" s="417" t="n">
        <f aca="false">'power redistribution'!F125</f>
        <v>0</v>
      </c>
      <c r="F223" s="417" t="n">
        <f aca="false">'power redistribution'!G125</f>
        <v>0</v>
      </c>
      <c r="G223" s="417" t="n">
        <f aca="false">'power redistribution'!H125</f>
        <v>0</v>
      </c>
      <c r="H223" s="417" t="n">
        <f aca="false">'power redistribution'!I125</f>
        <v>0</v>
      </c>
      <c r="I223" s="417" t="n">
        <f aca="false">'power redistribution'!J125</f>
        <v>0</v>
      </c>
      <c r="J223" s="417" t="n">
        <f aca="false">'power redistribution'!K125</f>
        <v>0</v>
      </c>
      <c r="K223" s="417" t="n">
        <f aca="false">'power redistribution'!L125</f>
        <v>0</v>
      </c>
      <c r="L223" s="417" t="n">
        <f aca="false">'power redistribution'!M125</f>
        <v>0</v>
      </c>
    </row>
    <row r="224" customFormat="false" ht="12.75" hidden="false" customHeight="false" outlineLevel="0" collapsed="false">
      <c r="A224" s="902" t="s">
        <v>1448</v>
      </c>
      <c r="B224" s="902"/>
      <c r="C224" s="903" t="n">
        <f aca="false">C222-C223</f>
        <v>200000</v>
      </c>
      <c r="D224" s="903" t="n">
        <f aca="false">D222-D223</f>
        <v>350000</v>
      </c>
      <c r="E224" s="903" t="n">
        <f aca="false">E222-E223</f>
        <v>500000</v>
      </c>
      <c r="F224" s="903" t="n">
        <f aca="false">F222-F223</f>
        <v>650000</v>
      </c>
      <c r="G224" s="903" t="n">
        <f aca="false">G222-G223</f>
        <v>800000</v>
      </c>
      <c r="H224" s="903" t="n">
        <f aca="false">H222-H223</f>
        <v>950000</v>
      </c>
      <c r="I224" s="903" t="n">
        <f aca="false">I222-I223</f>
        <v>1100000</v>
      </c>
      <c r="J224" s="903" t="n">
        <f aca="false">J222-J223</f>
        <v>1250000</v>
      </c>
      <c r="K224" s="903" t="n">
        <f aca="false">K222-K223</f>
        <v>1400000</v>
      </c>
      <c r="L224" s="903" t="n">
        <f aca="false">L222-L223</f>
        <v>1550000</v>
      </c>
    </row>
    <row r="225" customFormat="false" ht="12.75" hidden="false" customHeight="false" outlineLevel="0" collapsed="false">
      <c r="A225" s="904" t="s">
        <v>1076</v>
      </c>
      <c r="B225" s="905" t="n">
        <f aca="false">NPV($C$5,C224:L224)</f>
        <v>3842643.35177971</v>
      </c>
      <c r="C225" s="907"/>
      <c r="D225" s="907"/>
      <c r="E225" s="907"/>
      <c r="F225" s="907"/>
      <c r="G225" s="907"/>
      <c r="H225" s="907"/>
      <c r="I225" s="907"/>
      <c r="J225" s="907"/>
      <c r="K225" s="907"/>
      <c r="L225" s="907"/>
    </row>
    <row r="227" customFormat="false" ht="12.75" hidden="false" customHeight="false" outlineLevel="0" collapsed="false">
      <c r="A227" s="439" t="s">
        <v>1471</v>
      </c>
    </row>
    <row r="228" customFormat="false" ht="12.75" hidden="false" customHeight="false" outlineLevel="0" collapsed="false">
      <c r="A228" s="0" t="s">
        <v>857</v>
      </c>
      <c r="C228" s="417" t="n">
        <v>0</v>
      </c>
    </row>
    <row r="229" customFormat="false" ht="12.75" hidden="false" customHeight="false" outlineLevel="0" collapsed="false">
      <c r="A229" s="0" t="s">
        <v>1389</v>
      </c>
      <c r="B229" s="413" t="n">
        <f aca="false">B221</f>
        <v>0</v>
      </c>
      <c r="C229" s="417" t="n">
        <v>0</v>
      </c>
      <c r="D229" s="417" t="n">
        <v>0</v>
      </c>
      <c r="E229" s="417" t="n">
        <v>0</v>
      </c>
      <c r="F229" s="417" t="n">
        <v>0</v>
      </c>
      <c r="G229" s="417" t="n">
        <v>0</v>
      </c>
      <c r="H229" s="417" t="n">
        <v>0</v>
      </c>
      <c r="I229" s="417" t="n">
        <v>0</v>
      </c>
      <c r="J229" s="417" t="n">
        <v>0</v>
      </c>
      <c r="K229" s="417" t="n">
        <v>0</v>
      </c>
      <c r="L229" s="417" t="n">
        <v>0</v>
      </c>
    </row>
    <row r="230" customFormat="false" ht="12.75" hidden="false" customHeight="false" outlineLevel="0" collapsed="false">
      <c r="A230" s="0" t="s">
        <v>887</v>
      </c>
      <c r="C230" s="417" t="n">
        <v>0</v>
      </c>
      <c r="D230" s="417" t="n">
        <v>0</v>
      </c>
      <c r="E230" s="417" t="n">
        <v>0</v>
      </c>
      <c r="F230" s="417" t="n">
        <v>0</v>
      </c>
      <c r="G230" s="417" t="n">
        <v>0</v>
      </c>
      <c r="H230" s="417" t="n">
        <v>0</v>
      </c>
      <c r="I230" s="417" t="n">
        <v>0</v>
      </c>
      <c r="J230" s="417" t="n">
        <v>0</v>
      </c>
      <c r="K230" s="417" t="n">
        <v>0</v>
      </c>
      <c r="L230" s="417" t="n">
        <v>0</v>
      </c>
    </row>
    <row r="231" customFormat="false" ht="12.75" hidden="false" customHeight="false" outlineLevel="0" collapsed="false">
      <c r="A231" s="902" t="s">
        <v>1448</v>
      </c>
      <c r="B231" s="902"/>
      <c r="C231" s="903" t="n">
        <f aca="false">C229-C230</f>
        <v>0</v>
      </c>
      <c r="D231" s="903" t="n">
        <f aca="false">D229-D230</f>
        <v>0</v>
      </c>
      <c r="E231" s="903" t="n">
        <f aca="false">E229-E230</f>
        <v>0</v>
      </c>
      <c r="F231" s="903" t="n">
        <f aca="false">F229-F230</f>
        <v>0</v>
      </c>
      <c r="G231" s="903" t="n">
        <f aca="false">G229-G230</f>
        <v>0</v>
      </c>
      <c r="H231" s="903" t="n">
        <f aca="false">H229-H230</f>
        <v>0</v>
      </c>
      <c r="I231" s="903" t="n">
        <f aca="false">I229-I230</f>
        <v>0</v>
      </c>
      <c r="J231" s="903" t="n">
        <f aca="false">J229-J230</f>
        <v>0</v>
      </c>
      <c r="K231" s="903" t="n">
        <f aca="false">K229-K230</f>
        <v>0</v>
      </c>
      <c r="L231" s="903" t="n">
        <f aca="false">L229-L230</f>
        <v>0</v>
      </c>
    </row>
    <row r="232" customFormat="false" ht="12.75" hidden="false" customHeight="false" outlineLevel="0" collapsed="false">
      <c r="A232" s="904" t="s">
        <v>1076</v>
      </c>
      <c r="B232" s="905" t="n">
        <f aca="false">NPV($C$5,C231:L231)</f>
        <v>0</v>
      </c>
      <c r="C232" s="907"/>
      <c r="D232" s="907"/>
      <c r="E232" s="907"/>
      <c r="F232" s="907"/>
      <c r="G232" s="907"/>
      <c r="H232" s="907"/>
      <c r="I232" s="907"/>
      <c r="J232" s="907"/>
      <c r="K232" s="907"/>
      <c r="L232" s="907"/>
    </row>
    <row r="234" customFormat="false" ht="12.75" hidden="false" customHeight="false" outlineLevel="0" collapsed="false">
      <c r="A234" s="439" t="s">
        <v>1472</v>
      </c>
    </row>
    <row r="235" customFormat="false" ht="12.75" hidden="false" customHeight="false" outlineLevel="0" collapsed="false">
      <c r="A235" s="0" t="s">
        <v>857</v>
      </c>
      <c r="C235" s="417" t="n">
        <v>0</v>
      </c>
    </row>
    <row r="236" customFormat="false" ht="12.75" hidden="false" customHeight="false" outlineLevel="0" collapsed="false">
      <c r="A236" s="0" t="s">
        <v>1389</v>
      </c>
      <c r="B236" s="413" t="n">
        <f aca="false">B228</f>
        <v>0</v>
      </c>
      <c r="C236" s="417" t="n">
        <v>0</v>
      </c>
      <c r="D236" s="417" t="n">
        <v>0</v>
      </c>
      <c r="E236" s="417" t="n">
        <v>0</v>
      </c>
      <c r="F236" s="417" t="n">
        <v>0</v>
      </c>
      <c r="G236" s="417" t="n">
        <v>0</v>
      </c>
      <c r="H236" s="417" t="n">
        <v>0</v>
      </c>
      <c r="I236" s="417" t="n">
        <v>0</v>
      </c>
      <c r="J236" s="417" t="n">
        <v>0</v>
      </c>
      <c r="K236" s="417" t="n">
        <v>0</v>
      </c>
      <c r="L236" s="417" t="n">
        <v>0</v>
      </c>
    </row>
    <row r="237" customFormat="false" ht="12.75" hidden="false" customHeight="false" outlineLevel="0" collapsed="false">
      <c r="A237" s="0" t="s">
        <v>887</v>
      </c>
      <c r="C237" s="417" t="n">
        <f aca="false">'power redistribution'!D164</f>
        <v>0</v>
      </c>
      <c r="D237" s="417" t="n">
        <f aca="false">'power redistribution'!E164</f>
        <v>0</v>
      </c>
      <c r="E237" s="417" t="n">
        <f aca="false">'power redistribution'!F164</f>
        <v>0</v>
      </c>
      <c r="F237" s="417" t="n">
        <f aca="false">'power redistribution'!G164</f>
        <v>0</v>
      </c>
      <c r="G237" s="417" t="n">
        <f aca="false">'power redistribution'!H164</f>
        <v>0</v>
      </c>
      <c r="H237" s="417" t="n">
        <f aca="false">'power redistribution'!I164</f>
        <v>0</v>
      </c>
      <c r="I237" s="417" t="n">
        <f aca="false">'power redistribution'!J164</f>
        <v>0</v>
      </c>
      <c r="J237" s="417" t="n">
        <f aca="false">'power redistribution'!K164</f>
        <v>0</v>
      </c>
      <c r="K237" s="417" t="n">
        <f aca="false">'power redistribution'!L164</f>
        <v>0</v>
      </c>
      <c r="L237" s="417" t="n">
        <f aca="false">'power redistribution'!M164</f>
        <v>0</v>
      </c>
    </row>
    <row r="238" customFormat="false" ht="12.75" hidden="false" customHeight="false" outlineLevel="0" collapsed="false">
      <c r="A238" s="902" t="s">
        <v>1448</v>
      </c>
      <c r="B238" s="902"/>
      <c r="C238" s="903" t="n">
        <f aca="false">C236-C237</f>
        <v>0</v>
      </c>
      <c r="D238" s="903" t="n">
        <f aca="false">D236-D237</f>
        <v>0</v>
      </c>
      <c r="E238" s="903" t="n">
        <f aca="false">E236-E237</f>
        <v>0</v>
      </c>
      <c r="F238" s="903" t="n">
        <f aca="false">F236-F237</f>
        <v>0</v>
      </c>
      <c r="G238" s="903" t="n">
        <f aca="false">G236-G237</f>
        <v>0</v>
      </c>
      <c r="H238" s="903" t="n">
        <f aca="false">H236-H237</f>
        <v>0</v>
      </c>
      <c r="I238" s="903" t="n">
        <f aca="false">I236-I237</f>
        <v>0</v>
      </c>
      <c r="J238" s="903" t="n">
        <f aca="false">J236-J237</f>
        <v>0</v>
      </c>
      <c r="K238" s="903" t="n">
        <f aca="false">K236-K237</f>
        <v>0</v>
      </c>
      <c r="L238" s="903" t="n">
        <f aca="false">L236-L237</f>
        <v>0</v>
      </c>
    </row>
    <row r="239" customFormat="false" ht="12.75" hidden="false" customHeight="false" outlineLevel="0" collapsed="false">
      <c r="A239" s="904" t="s">
        <v>1076</v>
      </c>
      <c r="B239" s="905" t="n">
        <f aca="false">NPV($C$5,C238:L238)</f>
        <v>0</v>
      </c>
      <c r="C239" s="907"/>
      <c r="D239" s="907"/>
      <c r="E239" s="907"/>
      <c r="F239" s="907"/>
      <c r="G239" s="907"/>
      <c r="H239" s="907"/>
      <c r="I239" s="907"/>
      <c r="J239" s="907"/>
      <c r="K239" s="907"/>
      <c r="L239" s="907"/>
    </row>
    <row r="241" customFormat="false" ht="12.75" hidden="false" customHeight="false" outlineLevel="0" collapsed="false">
      <c r="A241" s="0" t="s">
        <v>1455</v>
      </c>
      <c r="C241" s="417" t="n">
        <f aca="false">C194+C201+C208+C222+C229+C236</f>
        <v>200000</v>
      </c>
      <c r="D241" s="417" t="n">
        <f aca="false">D194+D201+D208+D222+D229+D236</f>
        <v>350000</v>
      </c>
      <c r="E241" s="417" t="n">
        <f aca="false">E194+E201+E208+E222+E229+E236</f>
        <v>500000</v>
      </c>
      <c r="F241" s="417" t="n">
        <f aca="false">F194+F201+F208+F222+F229+F236</f>
        <v>650000</v>
      </c>
      <c r="G241" s="417" t="n">
        <f aca="false">G194+G201+G208+G222+G229+G236</f>
        <v>800000</v>
      </c>
      <c r="H241" s="417" t="n">
        <f aca="false">H194+H201+H208+H222+H229+H236</f>
        <v>950000</v>
      </c>
      <c r="I241" s="417" t="n">
        <f aca="false">I194+I201+I208+I222+I229+I236</f>
        <v>1100000</v>
      </c>
      <c r="J241" s="417" t="n">
        <f aca="false">J194+J201+J208+J222+J229+J236</f>
        <v>1250000</v>
      </c>
      <c r="K241" s="417" t="n">
        <f aca="false">K194+K201+K208+K222+K229+K236</f>
        <v>1400000</v>
      </c>
      <c r="L241" s="417" t="n">
        <f aca="false">L194+L201+L208+L222+L229+L236</f>
        <v>1550000</v>
      </c>
    </row>
    <row r="242" customFormat="false" ht="12.75" hidden="false" customHeight="false" outlineLevel="0" collapsed="false">
      <c r="A242" s="0" t="s">
        <v>1466</v>
      </c>
      <c r="B242" s="417" t="n">
        <f aca="false">NPV(C5,C241:L241)</f>
        <v>3842643.35177971</v>
      </c>
    </row>
    <row r="243" customFormat="false" ht="12.75" hidden="false" customHeight="false" outlineLevel="0" collapsed="false">
      <c r="A243" s="0" t="s">
        <v>1416</v>
      </c>
      <c r="B243" s="419" t="n">
        <f aca="false">SUM(C241:L241)</f>
        <v>8750000</v>
      </c>
    </row>
    <row r="244" customFormat="false" ht="12.75" hidden="false" customHeight="false" outlineLevel="0" collapsed="false">
      <c r="A244" s="0" t="s">
        <v>1467</v>
      </c>
      <c r="B244" s="419"/>
      <c r="C244" s="417" t="n">
        <f aca="false">C196+C203+C210+C217+C224+C231+C238</f>
        <v>-3800000</v>
      </c>
      <c r="D244" s="417" t="n">
        <f aca="false">D196+D203+D210+D217+D224+D231+D238</f>
        <v>350000</v>
      </c>
      <c r="E244" s="417" t="n">
        <f aca="false">E196+E203+E210+E217+E224+E231+E238</f>
        <v>500000</v>
      </c>
      <c r="F244" s="417" t="n">
        <f aca="false">F196+F203+F210+F217+F224+F231+F238</f>
        <v>650000</v>
      </c>
      <c r="G244" s="417" t="n">
        <f aca="false">G196+G203+G210+G217+G224+G231+G238</f>
        <v>800000</v>
      </c>
      <c r="H244" s="417" t="n">
        <f aca="false">H196+H203+H210+H217+H224+H231+H238</f>
        <v>950000</v>
      </c>
      <c r="I244" s="417" t="n">
        <f aca="false">I196+I203+I210+I217+I224+I231+I238</f>
        <v>1100000</v>
      </c>
      <c r="J244" s="417" t="n">
        <f aca="false">J196+J203+J210+J217+J224+J231+J238</f>
        <v>1250000</v>
      </c>
      <c r="K244" s="417" t="n">
        <f aca="false">K196+K203+K210+K217+K224+K231+K238</f>
        <v>1400000</v>
      </c>
      <c r="L244" s="417" t="n">
        <f aca="false">L196+L203+L210+L217+L224+L231+L238</f>
        <v>1550000</v>
      </c>
    </row>
    <row r="245" customFormat="false" ht="12.75" hidden="false" customHeight="false" outlineLevel="0" collapsed="false">
      <c r="A245" s="0" t="s">
        <v>1468</v>
      </c>
      <c r="B245" s="419"/>
    </row>
    <row r="246" customFormat="false" ht="13.5" hidden="false" customHeight="false" outlineLevel="0" collapsed="false"/>
    <row r="247" customFormat="false" ht="14.25" hidden="false" customHeight="false" outlineLevel="0" collapsed="false">
      <c r="A247" s="929" t="s">
        <v>1003</v>
      </c>
      <c r="B247" s="930" t="n">
        <f aca="false">B239+B232+B225+B218+B211+B204+B197</f>
        <v>318414.276889837</v>
      </c>
    </row>
    <row r="248" customFormat="false" ht="13.5" hidden="false" customHeight="false" outlineLevel="0" collapsed="false"/>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K97"/>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1" activeCellId="0" sqref="E21"/>
    </sheetView>
  </sheetViews>
  <sheetFormatPr defaultColWidth="9.0546875" defaultRowHeight="12.75" customHeight="true" zeroHeight="false" outlineLevelRow="0" outlineLevelCol="0"/>
  <cols>
    <col collapsed="false" customWidth="true" hidden="false" outlineLevel="0" max="1" min="1" style="0" width="3.56"/>
    <col collapsed="false" customWidth="true" hidden="false" outlineLevel="0" max="2" min="2" style="0" width="23.28"/>
    <col collapsed="false" customWidth="true" hidden="false" outlineLevel="0" max="3" min="3" style="0" width="14.85"/>
    <col collapsed="false" customWidth="true" hidden="false" outlineLevel="0" max="4" min="4" style="0" width="14.7"/>
    <col collapsed="false" customWidth="true" hidden="false" outlineLevel="0" max="7" min="5" style="0" width="16.28"/>
    <col collapsed="false" customWidth="true" hidden="false" outlineLevel="0" max="8" min="8" style="0" width="23.7"/>
    <col collapsed="false" customWidth="true" hidden="false" outlineLevel="0" max="9" min="9" style="0" width="2.56"/>
    <col collapsed="false" customWidth="true" hidden="false" outlineLevel="0" max="10" min="10" style="0" width="21.28"/>
    <col collapsed="false" customWidth="true" hidden="false" outlineLevel="0" max="11" min="11" style="0" width="16.56"/>
  </cols>
  <sheetData>
    <row r="1" customFormat="false" ht="18" hidden="false" customHeight="false" outlineLevel="0" collapsed="false">
      <c r="A1" s="556"/>
      <c r="B1" s="931" t="s">
        <v>1473</v>
      </c>
      <c r="C1" s="556"/>
      <c r="D1" s="556"/>
      <c r="E1" s="556"/>
      <c r="F1" s="556"/>
      <c r="H1" s="932" t="s">
        <v>1329</v>
      </c>
      <c r="I1" s="556"/>
      <c r="J1" s="556"/>
    </row>
    <row r="2" customFormat="false" ht="7.5" hidden="false" customHeight="true" outlineLevel="0" collapsed="false">
      <c r="A2" s="556"/>
      <c r="B2" s="556"/>
      <c r="C2" s="556"/>
      <c r="D2" s="556"/>
      <c r="E2" s="556"/>
      <c r="F2" s="556"/>
      <c r="G2" s="556"/>
      <c r="H2" s="556"/>
      <c r="I2" s="556"/>
      <c r="J2" s="556"/>
    </row>
    <row r="3" customFormat="false" ht="15.75" hidden="false" customHeight="false" outlineLevel="0" collapsed="false">
      <c r="A3" s="556"/>
      <c r="B3" s="933" t="s">
        <v>1474</v>
      </c>
      <c r="C3" s="933"/>
      <c r="D3" s="933"/>
      <c r="E3" s="933"/>
      <c r="F3" s="933"/>
      <c r="G3" s="933"/>
      <c r="H3" s="933"/>
      <c r="I3" s="556"/>
      <c r="J3" s="556"/>
    </row>
    <row r="4" customFormat="false" ht="9.75" hidden="false" customHeight="true" outlineLevel="0" collapsed="false">
      <c r="A4" s="556"/>
      <c r="B4" s="556"/>
      <c r="C4" s="556"/>
      <c r="D4" s="556"/>
      <c r="E4" s="556"/>
      <c r="F4" s="556"/>
      <c r="G4" s="556"/>
      <c r="H4" s="556"/>
      <c r="I4" s="556"/>
      <c r="J4" s="556"/>
    </row>
    <row r="5" customFormat="false" ht="15.75" hidden="false" customHeight="true" outlineLevel="0" collapsed="false">
      <c r="A5" s="556"/>
      <c r="D5" s="934" t="s">
        <v>1475</v>
      </c>
      <c r="E5" s="935" t="s">
        <v>1476</v>
      </c>
      <c r="F5" s="935"/>
      <c r="G5" s="556"/>
      <c r="H5" s="556"/>
      <c r="I5" s="556"/>
      <c r="J5" s="556"/>
    </row>
    <row r="6" customFormat="false" ht="12.75" hidden="false" customHeight="false" outlineLevel="0" collapsed="false">
      <c r="A6" s="556"/>
      <c r="D6" s="936" t="s">
        <v>1477</v>
      </c>
      <c r="E6" s="937" t="n">
        <f aca="true">TODAY()</f>
        <v>45926</v>
      </c>
      <c r="F6" s="937"/>
      <c r="G6" s="556"/>
      <c r="H6" s="556"/>
      <c r="I6" s="556"/>
      <c r="J6" s="556"/>
    </row>
    <row r="7" customFormat="false" ht="12.75" hidden="false" customHeight="false" outlineLevel="0" collapsed="false">
      <c r="A7" s="556"/>
      <c r="D7" s="936" t="s">
        <v>1478</v>
      </c>
      <c r="E7" s="938" t="s">
        <v>1479</v>
      </c>
      <c r="F7" s="938"/>
      <c r="G7" s="556"/>
      <c r="H7" s="556"/>
      <c r="I7" s="556"/>
      <c r="J7" s="556"/>
    </row>
    <row r="8" customFormat="false" ht="12.75" hidden="false" customHeight="false" outlineLevel="0" collapsed="false">
      <c r="A8" s="556"/>
      <c r="D8" s="936" t="s">
        <v>1480</v>
      </c>
      <c r="E8" s="938" t="s">
        <v>1481</v>
      </c>
      <c r="F8" s="938"/>
      <c r="G8" s="556"/>
      <c r="H8" s="556"/>
      <c r="I8" s="556"/>
      <c r="J8" s="556"/>
    </row>
    <row r="9" customFormat="false" ht="12.75" hidden="false" customHeight="false" outlineLevel="0" collapsed="false">
      <c r="A9" s="556"/>
      <c r="D9" s="936" t="s">
        <v>1482</v>
      </c>
      <c r="E9" s="938" t="s">
        <v>1483</v>
      </c>
      <c r="F9" s="938"/>
      <c r="G9" s="556"/>
      <c r="H9" s="556"/>
      <c r="I9" s="556"/>
      <c r="J9" s="556"/>
    </row>
    <row r="10" customFormat="false" ht="25.5" hidden="false" customHeight="false" outlineLevel="0" collapsed="false">
      <c r="A10" s="556"/>
      <c r="D10" s="939" t="s">
        <v>1484</v>
      </c>
      <c r="E10" s="938" t="s">
        <v>1485</v>
      </c>
      <c r="F10" s="938"/>
      <c r="G10" s="556"/>
      <c r="H10" s="556"/>
      <c r="I10" s="556"/>
      <c r="J10" s="556"/>
    </row>
    <row r="11" customFormat="false" ht="9" hidden="false" customHeight="true" outlineLevel="0" collapsed="false">
      <c r="A11" s="556"/>
      <c r="B11" s="556"/>
      <c r="C11" s="556"/>
      <c r="D11" s="556"/>
      <c r="E11" s="556"/>
      <c r="F11" s="556"/>
      <c r="G11" s="556"/>
      <c r="H11" s="556"/>
      <c r="I11" s="556"/>
      <c r="J11" s="556"/>
    </row>
    <row r="12" customFormat="false" ht="7.5" hidden="false" customHeight="true" outlineLevel="0" collapsed="false">
      <c r="A12" s="556"/>
      <c r="B12" s="556"/>
      <c r="C12" s="556"/>
      <c r="D12" s="556"/>
      <c r="E12" s="556"/>
      <c r="F12" s="556"/>
      <c r="G12" s="556"/>
      <c r="H12" s="556"/>
      <c r="I12" s="556"/>
      <c r="J12" s="556"/>
    </row>
    <row r="13" customFormat="false" ht="15.75" hidden="false" customHeight="false" outlineLevel="0" collapsed="false">
      <c r="A13" s="556"/>
      <c r="B13" s="933" t="s">
        <v>1486</v>
      </c>
      <c r="C13" s="933"/>
      <c r="D13" s="933"/>
      <c r="E13" s="933"/>
      <c r="F13" s="933"/>
      <c r="G13" s="933"/>
      <c r="H13" s="933"/>
      <c r="I13" s="556"/>
      <c r="J13" s="556"/>
    </row>
    <row r="14" customFormat="false" ht="8.25" hidden="false" customHeight="true" outlineLevel="0" collapsed="false">
      <c r="A14" s="556"/>
      <c r="B14" s="556"/>
      <c r="C14" s="556"/>
      <c r="D14" s="556"/>
      <c r="E14" s="556"/>
      <c r="F14" s="556"/>
      <c r="G14" s="556"/>
      <c r="H14" s="556"/>
      <c r="I14" s="556"/>
      <c r="J14" s="556"/>
    </row>
    <row r="15" customFormat="false" ht="15.75" hidden="false" customHeight="false" outlineLevel="0" collapsed="false">
      <c r="A15" s="556"/>
      <c r="B15" s="940" t="s">
        <v>857</v>
      </c>
      <c r="C15" s="940"/>
      <c r="D15" s="940"/>
      <c r="E15" s="556"/>
      <c r="F15" s="940" t="s">
        <v>1487</v>
      </c>
      <c r="G15" s="940"/>
      <c r="H15" s="940"/>
      <c r="I15" s="556"/>
      <c r="J15" s="556"/>
    </row>
    <row r="16" customFormat="false" ht="12.75" hidden="false" customHeight="false" outlineLevel="0" collapsed="false">
      <c r="A16" s="556"/>
      <c r="B16" s="941" t="s">
        <v>1488</v>
      </c>
      <c r="C16" s="941" t="s">
        <v>1489</v>
      </c>
      <c r="D16" s="942" t="s">
        <v>1490</v>
      </c>
      <c r="E16" s="556"/>
      <c r="G16" s="936" t="s">
        <v>1491</v>
      </c>
      <c r="H16" s="938" t="s">
        <v>1492</v>
      </c>
      <c r="I16" s="556"/>
      <c r="J16" s="556"/>
    </row>
    <row r="17" customFormat="false" ht="12.75" hidden="false" customHeight="false" outlineLevel="0" collapsed="false">
      <c r="A17" s="556"/>
      <c r="B17" s="936" t="s">
        <v>1493</v>
      </c>
      <c r="C17" s="943"/>
      <c r="D17" s="944"/>
      <c r="E17" s="556"/>
      <c r="G17" s="936" t="s">
        <v>1494</v>
      </c>
      <c r="H17" s="938" t="s">
        <v>1495</v>
      </c>
      <c r="I17" s="556"/>
      <c r="J17" s="556"/>
    </row>
    <row r="18" customFormat="false" ht="12.75" hidden="false" customHeight="false" outlineLevel="0" collapsed="false">
      <c r="A18" s="556"/>
      <c r="B18" s="945" t="s">
        <v>1496</v>
      </c>
      <c r="C18" s="946" t="n">
        <f aca="false">'wholesale services'!F54</f>
        <v>41943000</v>
      </c>
      <c r="D18" s="947" t="n">
        <f aca="false">Breakout!$B$16</f>
        <v>0.0115</v>
      </c>
      <c r="E18" s="556"/>
      <c r="G18" s="936" t="s">
        <v>1497</v>
      </c>
      <c r="H18" s="948" t="n">
        <v>0.095</v>
      </c>
      <c r="I18" s="556"/>
      <c r="J18" s="556"/>
    </row>
    <row r="19" customFormat="false" ht="12.75" hidden="false" customHeight="false" outlineLevel="0" collapsed="false">
      <c r="A19" s="556"/>
      <c r="B19" s="945" t="s">
        <v>1498</v>
      </c>
      <c r="C19" s="946" t="n">
        <f aca="false">'wholesale services'!F55</f>
        <v>1486000</v>
      </c>
      <c r="D19" s="947" t="n">
        <f aca="false">Breakout!$B$16</f>
        <v>0.0115</v>
      </c>
      <c r="E19" s="556"/>
      <c r="G19" s="949" t="s">
        <v>1499</v>
      </c>
      <c r="H19" s="949"/>
      <c r="I19" s="556"/>
      <c r="J19" s="556"/>
    </row>
    <row r="20" customFormat="false" ht="12.75" hidden="false" customHeight="false" outlineLevel="0" collapsed="false">
      <c r="A20" s="556"/>
      <c r="B20" s="945" t="s">
        <v>1500</v>
      </c>
      <c r="C20" s="946" t="n">
        <f aca="false">'wholesale services'!F56</f>
        <v>748000</v>
      </c>
      <c r="D20" s="947" t="n">
        <f aca="false">Breakout!$B$16</f>
        <v>0.0115</v>
      </c>
      <c r="E20" s="556"/>
      <c r="G20" s="936" t="s">
        <v>1501</v>
      </c>
      <c r="H20" s="938" t="s">
        <v>1158</v>
      </c>
      <c r="I20" s="556"/>
      <c r="J20" s="556"/>
    </row>
    <row r="21" customFormat="false" ht="12.75" hidden="false" customHeight="false" outlineLevel="0" collapsed="false">
      <c r="A21" s="556"/>
      <c r="B21" s="936" t="s">
        <v>1502</v>
      </c>
      <c r="C21" s="946" t="n">
        <f aca="false">'wholesale services'!F57</f>
        <v>5441000</v>
      </c>
      <c r="D21" s="947" t="n">
        <f aca="false">Breakout!$B$16</f>
        <v>0.0115</v>
      </c>
      <c r="E21" s="556"/>
      <c r="G21" s="936" t="s">
        <v>1503</v>
      </c>
      <c r="H21" s="938" t="s">
        <v>1158</v>
      </c>
      <c r="I21" s="556"/>
      <c r="J21" s="556"/>
    </row>
    <row r="22" customFormat="false" ht="12.75" hidden="false" customHeight="false" outlineLevel="0" collapsed="false">
      <c r="A22" s="556"/>
      <c r="B22" s="936" t="s">
        <v>1504</v>
      </c>
      <c r="C22" s="946" t="n">
        <f aca="false">'wholesale services'!F58</f>
        <v>5006132.356</v>
      </c>
      <c r="D22" s="947" t="n">
        <f aca="false">Breakout!$B$16</f>
        <v>0.0115</v>
      </c>
      <c r="E22" s="556"/>
      <c r="G22" s="936" t="s">
        <v>1505</v>
      </c>
      <c r="H22" s="948" t="n">
        <v>0.064</v>
      </c>
      <c r="I22" s="556"/>
      <c r="J22" s="556"/>
    </row>
    <row r="23" customFormat="false" ht="12.75" hidden="false" customHeight="false" outlineLevel="0" collapsed="false">
      <c r="A23" s="556"/>
      <c r="B23" s="950" t="s">
        <v>1506</v>
      </c>
      <c r="C23" s="946" t="n">
        <f aca="false">'wholesale services'!F59</f>
        <v>3798248</v>
      </c>
      <c r="D23" s="947" t="n">
        <f aca="false">Breakout!$B$16</f>
        <v>0.0115</v>
      </c>
      <c r="E23" s="556"/>
      <c r="G23" s="936" t="s">
        <v>1507</v>
      </c>
      <c r="H23" s="938" t="s">
        <v>1158</v>
      </c>
      <c r="I23" s="556"/>
      <c r="J23" s="556"/>
    </row>
    <row r="24" customFormat="false" ht="12.75" hidden="false" customHeight="false" outlineLevel="0" collapsed="false">
      <c r="A24" s="556"/>
      <c r="B24" s="950" t="s">
        <v>1508</v>
      </c>
      <c r="C24" s="946" t="n">
        <f aca="false">'wholesale services'!F61</f>
        <v>250000</v>
      </c>
      <c r="D24" s="947" t="n">
        <f aca="false">Breakout!$B$16</f>
        <v>0.0115</v>
      </c>
      <c r="E24" s="556"/>
      <c r="G24" s="204"/>
      <c r="H24" s="951"/>
      <c r="I24" s="556"/>
      <c r="J24" s="556"/>
    </row>
    <row r="25" customFormat="false" ht="12.75" hidden="false" customHeight="false" outlineLevel="0" collapsed="false">
      <c r="A25" s="556"/>
      <c r="B25" s="950" t="s">
        <v>1276</v>
      </c>
      <c r="C25" s="952" t="n">
        <f aca="false">SUM(C18:C24)</f>
        <v>58672380.356</v>
      </c>
      <c r="D25" s="953"/>
      <c r="E25" s="556"/>
      <c r="G25" s="204"/>
      <c r="H25" s="951"/>
      <c r="I25" s="556"/>
      <c r="J25" s="556"/>
    </row>
    <row r="26" customFormat="false" ht="13.5" hidden="false" customHeight="false" outlineLevel="0" collapsed="false">
      <c r="A26" s="556"/>
      <c r="B26" s="954" t="s">
        <v>684</v>
      </c>
      <c r="C26" s="955" t="n">
        <f aca="false">C25*1.006</f>
        <v>59024414.638136</v>
      </c>
      <c r="D26" s="956" t="s">
        <v>1509</v>
      </c>
      <c r="E26" s="556"/>
      <c r="F26" s="556"/>
      <c r="G26" s="556"/>
      <c r="H26" s="556"/>
      <c r="I26" s="556"/>
      <c r="J26" s="556"/>
    </row>
    <row r="27" customFormat="false" ht="9" hidden="false" customHeight="true" outlineLevel="0" collapsed="false">
      <c r="A27" s="556"/>
      <c r="B27" s="556"/>
      <c r="C27" s="556"/>
      <c r="D27" s="556"/>
      <c r="E27" s="556"/>
      <c r="F27" s="556"/>
      <c r="G27" s="556"/>
      <c r="H27" s="556"/>
      <c r="I27" s="556"/>
      <c r="J27" s="556"/>
    </row>
    <row r="28" customFormat="false" ht="15.75" hidden="false" customHeight="false" outlineLevel="0" collapsed="false">
      <c r="A28" s="556"/>
      <c r="B28" s="933" t="s">
        <v>1510</v>
      </c>
      <c r="C28" s="933"/>
      <c r="D28" s="933"/>
      <c r="E28" s="933"/>
      <c r="F28" s="933"/>
      <c r="G28" s="933"/>
      <c r="H28" s="933"/>
      <c r="I28" s="556"/>
      <c r="J28" s="556"/>
    </row>
    <row r="29" customFormat="false" ht="12.75" hidden="false" customHeight="false" outlineLevel="0" collapsed="false">
      <c r="A29" s="556"/>
      <c r="B29" s="556"/>
      <c r="C29" s="556"/>
      <c r="D29" s="556"/>
      <c r="E29" s="556"/>
      <c r="F29" s="556"/>
      <c r="G29" s="556"/>
      <c r="H29" s="556"/>
      <c r="I29" s="556"/>
      <c r="J29" s="556"/>
    </row>
    <row r="30" customFormat="false" ht="12.75" hidden="false" customHeight="false" outlineLevel="0" collapsed="false">
      <c r="A30" s="556"/>
      <c r="B30" s="957" t="s">
        <v>1511</v>
      </c>
      <c r="C30" s="958"/>
      <c r="D30" s="958"/>
      <c r="E30" s="556"/>
      <c r="G30" s="957" t="s">
        <v>1512</v>
      </c>
      <c r="H30" s="958"/>
      <c r="I30" s="556"/>
      <c r="J30" s="556"/>
    </row>
    <row r="31" customFormat="false" ht="12.75" hidden="false" customHeight="false" outlineLevel="0" collapsed="false">
      <c r="A31" s="556"/>
      <c r="B31" s="556"/>
      <c r="C31" s="959" t="s">
        <v>1513</v>
      </c>
      <c r="D31" s="959" t="s">
        <v>1514</v>
      </c>
      <c r="E31" s="556"/>
      <c r="F31" s="556"/>
      <c r="G31" s="556"/>
      <c r="H31" s="556"/>
      <c r="I31" s="556"/>
      <c r="J31" s="556"/>
    </row>
    <row r="32" customFormat="false" ht="12.75" hidden="false" customHeight="false" outlineLevel="0" collapsed="false">
      <c r="A32" s="556"/>
      <c r="B32" s="936" t="s">
        <v>1515</v>
      </c>
      <c r="C32" s="946" t="n">
        <f aca="false">C66-D66</f>
        <v>6090436.61585002</v>
      </c>
      <c r="D32" s="960" t="n">
        <f aca="false">E66</f>
        <v>0.0194840973979975</v>
      </c>
      <c r="E32" s="556"/>
      <c r="F32" s="556"/>
      <c r="G32" s="556"/>
      <c r="H32" s="556"/>
      <c r="I32" s="556"/>
      <c r="J32" s="556"/>
    </row>
    <row r="33" customFormat="false" ht="12.75" hidden="false" customHeight="false" outlineLevel="0" collapsed="false">
      <c r="A33" s="556"/>
      <c r="B33" s="936" t="s">
        <v>1516</v>
      </c>
      <c r="C33" s="946" t="n">
        <f aca="false">D66</f>
        <v>1366169.86500977</v>
      </c>
      <c r="D33" s="961" t="n">
        <f aca="false">D66/Breakout!B120</f>
        <v>0.00437055475510344</v>
      </c>
      <c r="E33" s="556"/>
      <c r="G33" s="936" t="s">
        <v>1517</v>
      </c>
      <c r="H33" s="946" t="n">
        <f aca="false">C37</f>
        <v>33178880</v>
      </c>
      <c r="I33" s="556"/>
      <c r="J33" s="556"/>
    </row>
    <row r="34" customFormat="false" ht="12.75" hidden="false" customHeight="false" outlineLevel="0" collapsed="false">
      <c r="A34" s="556"/>
      <c r="B34" s="936" t="s">
        <v>1518</v>
      </c>
      <c r="C34" s="946" t="n">
        <f aca="false">C66</f>
        <v>7456606.48085979</v>
      </c>
      <c r="D34" s="961" t="n">
        <f aca="false">C66/Breakout!B120</f>
        <v>0.0238546521531009</v>
      </c>
      <c r="E34" s="556"/>
      <c r="G34" s="936" t="s">
        <v>1395</v>
      </c>
      <c r="H34" s="946" t="n">
        <f aca="false">C55+C59</f>
        <v>32155125.3317106</v>
      </c>
      <c r="I34" s="556"/>
      <c r="J34" s="556"/>
    </row>
    <row r="35" customFormat="false" ht="12.75" hidden="false" customHeight="false" outlineLevel="0" collapsed="false">
      <c r="A35" s="556"/>
      <c r="B35" s="936" t="s">
        <v>1416</v>
      </c>
      <c r="C35" s="946" t="n">
        <f aca="false">Breakout!B118</f>
        <v>593834011.527118</v>
      </c>
      <c r="D35" s="556"/>
      <c r="E35" s="556"/>
      <c r="G35" s="936" t="s">
        <v>1519</v>
      </c>
      <c r="H35" s="946" t="n">
        <v>0</v>
      </c>
      <c r="I35" s="556"/>
      <c r="J35" s="556"/>
    </row>
    <row r="36" customFormat="false" ht="12.75" hidden="false" customHeight="false" outlineLevel="0" collapsed="false">
      <c r="A36" s="556"/>
      <c r="B36" s="936" t="s">
        <v>1395</v>
      </c>
      <c r="C36" s="962" t="n">
        <f aca="false">Breakout!C3+Breakout!C4</f>
        <v>0.095</v>
      </c>
      <c r="D36" s="556"/>
      <c r="E36" s="556"/>
      <c r="G36" s="936" t="s">
        <v>684</v>
      </c>
      <c r="H36" s="946" t="n">
        <f aca="false">SUM(H33:H35)</f>
        <v>65334005.3317106</v>
      </c>
      <c r="I36" s="556"/>
      <c r="J36" s="556"/>
    </row>
    <row r="37" customFormat="false" ht="12.75" hidden="false" customHeight="false" outlineLevel="0" collapsed="false">
      <c r="A37" s="556"/>
      <c r="B37" s="936" t="s">
        <v>1520</v>
      </c>
      <c r="C37" s="946" t="n">
        <f aca="false">SUM(Breakout!C96:Breakout!L96)</f>
        <v>33178880</v>
      </c>
      <c r="D37" s="556"/>
      <c r="E37" s="556"/>
      <c r="F37" s="556"/>
      <c r="G37" s="556"/>
      <c r="H37" s="556"/>
      <c r="I37" s="556"/>
      <c r="J37" s="556"/>
    </row>
    <row r="38" customFormat="false" ht="12.75" hidden="false" customHeight="false" outlineLevel="0" collapsed="false">
      <c r="A38" s="556"/>
      <c r="B38" s="936" t="s">
        <v>1521</v>
      </c>
      <c r="C38" s="963" t="n">
        <f aca="false">'RMPM-Whole'!K4</f>
        <v>0.0947</v>
      </c>
      <c r="D38" s="556"/>
      <c r="E38" s="556"/>
      <c r="F38" s="556"/>
      <c r="G38" s="556"/>
      <c r="H38" s="556"/>
      <c r="I38" s="556"/>
      <c r="J38" s="556"/>
    </row>
    <row r="39" customFormat="false" ht="12.75" hidden="false" customHeight="false" outlineLevel="0" collapsed="false">
      <c r="A39" s="556"/>
      <c r="B39" s="556"/>
      <c r="C39" s="556"/>
      <c r="D39" s="556"/>
      <c r="E39" s="556"/>
      <c r="G39" s="556"/>
      <c r="H39" s="556"/>
      <c r="I39" s="556"/>
      <c r="J39" s="556"/>
    </row>
    <row r="40" customFormat="false" ht="12.75" hidden="false" customHeight="false" outlineLevel="0" collapsed="false">
      <c r="A40" s="556"/>
      <c r="B40" s="957" t="s">
        <v>1522</v>
      </c>
      <c r="C40" s="958"/>
      <c r="D40" s="958"/>
      <c r="E40" s="556"/>
      <c r="G40" s="556"/>
      <c r="H40" s="556"/>
      <c r="I40" s="556"/>
      <c r="J40" s="556"/>
    </row>
    <row r="41" customFormat="false" ht="12.75" hidden="false" customHeight="false" outlineLevel="0" collapsed="false">
      <c r="A41" s="556"/>
      <c r="B41" s="556"/>
      <c r="C41" s="556"/>
      <c r="D41" s="556"/>
      <c r="E41" s="556"/>
      <c r="F41" s="556"/>
      <c r="G41" s="556"/>
      <c r="H41" s="556"/>
      <c r="I41" s="556"/>
      <c r="J41" s="556"/>
    </row>
    <row r="42" customFormat="false" ht="26.25" hidden="false" customHeight="false" outlineLevel="0" collapsed="false">
      <c r="A42" s="556"/>
      <c r="B42" s="964" t="s">
        <v>1523</v>
      </c>
      <c r="C42" s="964" t="s">
        <v>1524</v>
      </c>
      <c r="D42" s="964" t="s">
        <v>1525</v>
      </c>
      <c r="E42" s="965" t="s">
        <v>1526</v>
      </c>
      <c r="F42" s="959"/>
      <c r="G42" s="556"/>
      <c r="H42" s="556"/>
      <c r="I42" s="556"/>
      <c r="J42" s="556"/>
    </row>
    <row r="43" customFormat="false" ht="13.5" hidden="false" customHeight="false" outlineLevel="0" collapsed="false">
      <c r="A43" s="556"/>
      <c r="B43" s="936" t="s">
        <v>1527</v>
      </c>
      <c r="C43" s="946" t="n">
        <f aca="false">-'RMPM-Whole'!$DN$10</f>
        <v>38324060.7321644</v>
      </c>
      <c r="D43" s="946" t="n">
        <v>53926500.2746305</v>
      </c>
      <c r="E43" s="962" t="n">
        <f aca="false">(C43-D43)/Breakout!$B$120</f>
        <v>-0.0499142296137908</v>
      </c>
      <c r="F43" s="556"/>
      <c r="G43" s="556"/>
      <c r="H43" s="556"/>
      <c r="I43" s="556"/>
      <c r="J43" s="556"/>
    </row>
    <row r="44" customFormat="false" ht="12.75" hidden="false" customHeight="false" outlineLevel="0" collapsed="false">
      <c r="A44" s="556"/>
      <c r="B44" s="936" t="s">
        <v>1528</v>
      </c>
      <c r="C44" s="946" t="n">
        <f aca="false">'RMPM-Whole'!$DQ$10</f>
        <v>26260918.0744094</v>
      </c>
      <c r="D44" s="946" t="n">
        <v>31173028.966306</v>
      </c>
      <c r="E44" s="962" t="n">
        <f aca="false">(C44-D44)/Breakout!$B$120</f>
        <v>-0.015714480436165</v>
      </c>
      <c r="F44" s="556"/>
      <c r="G44" s="556"/>
      <c r="H44" s="556"/>
      <c r="I44" s="556"/>
      <c r="J44" s="556"/>
    </row>
    <row r="45" customFormat="false" ht="12.75" hidden="false" customHeight="false" outlineLevel="0" collapsed="false">
      <c r="A45" s="556"/>
      <c r="B45" s="936" t="s">
        <v>1529</v>
      </c>
      <c r="C45" s="946" t="n">
        <f aca="false">'RMPM-Whole'!$DR$10</f>
        <v>-1414327.09103307</v>
      </c>
      <c r="D45" s="946" t="n">
        <v>-2290560.60145216</v>
      </c>
      <c r="E45" s="962" t="n">
        <f aca="false">(C45-D45)/Breakout!$B$120</f>
        <v>0.00280318475295585</v>
      </c>
      <c r="F45" s="556"/>
      <c r="G45" s="556"/>
      <c r="H45" s="556"/>
      <c r="I45" s="556"/>
      <c r="J45" s="556"/>
    </row>
    <row r="46" customFormat="false" ht="12.75" hidden="false" customHeight="false" outlineLevel="0" collapsed="false">
      <c r="A46" s="556"/>
      <c r="B46" s="936" t="s">
        <v>1530</v>
      </c>
      <c r="C46" s="946" t="n">
        <f aca="false">'RMPM-Whole'!$BN$10</f>
        <v>37678.0975343123</v>
      </c>
      <c r="D46" s="946" t="n">
        <v>-73591.7883679063</v>
      </c>
      <c r="E46" s="962" t="n">
        <f aca="false">(C46-D46)/Breakout!$B$120</f>
        <v>0.000355966810120118</v>
      </c>
      <c r="F46" s="556"/>
      <c r="G46" s="556"/>
      <c r="H46" s="556"/>
      <c r="I46" s="556"/>
      <c r="J46" s="556"/>
    </row>
    <row r="47" customFormat="false" ht="12.75" hidden="false" customHeight="false" outlineLevel="0" collapsed="false">
      <c r="A47" s="556"/>
      <c r="B47" s="936" t="s">
        <v>1531</v>
      </c>
      <c r="C47" s="946" t="n">
        <f aca="false">'RMPM-Whole'!$BO$10</f>
        <v>3774505.85655134</v>
      </c>
      <c r="D47" s="946" t="n">
        <v>3068894.09340055</v>
      </c>
      <c r="E47" s="962" t="n">
        <f aca="false">(C47-D47)/Breakout!$B$120</f>
        <v>0.00225734363323375</v>
      </c>
      <c r="F47" s="556"/>
      <c r="G47" s="556"/>
      <c r="H47" s="556"/>
      <c r="I47" s="556"/>
      <c r="J47" s="556"/>
    </row>
    <row r="48" customFormat="false" ht="12.75" hidden="false" customHeight="false" outlineLevel="0" collapsed="false">
      <c r="A48" s="556"/>
      <c r="B48" s="936" t="s">
        <v>1532</v>
      </c>
      <c r="C48" s="946" t="n">
        <f aca="false">'RMPM-Whole'!$BP$10</f>
        <v>1525665.94403984</v>
      </c>
      <c r="D48" s="946" t="n">
        <v>741956.159769948</v>
      </c>
      <c r="E48" s="962" t="n">
        <f aca="false">(C48-D48)/Breakout!$B$120</f>
        <v>0.0025071893415226</v>
      </c>
      <c r="F48" s="556"/>
      <c r="G48" s="556"/>
      <c r="H48" s="556"/>
      <c r="I48" s="556"/>
      <c r="J48" s="556"/>
    </row>
    <row r="49" customFormat="false" ht="12.75" hidden="false" customHeight="false" outlineLevel="0" collapsed="false">
      <c r="A49" s="556"/>
      <c r="B49" s="936" t="s">
        <v>1533</v>
      </c>
      <c r="C49" s="946" t="n">
        <f aca="false">'RMPM-Whole'!$BQ$10</f>
        <v>910335.998277505</v>
      </c>
      <c r="D49" s="946" t="n">
        <v>1401378.90788584</v>
      </c>
      <c r="E49" s="962" t="n">
        <f aca="false">(C49-D49)/Breakout!$B$120</f>
        <v>-0.00157091001530266</v>
      </c>
      <c r="F49" s="556"/>
      <c r="G49" s="556"/>
      <c r="H49" s="556"/>
      <c r="I49" s="556"/>
      <c r="J49" s="556"/>
    </row>
    <row r="50" customFormat="false" ht="13.5" hidden="false" customHeight="false" outlineLevel="0" collapsed="false">
      <c r="A50" s="556"/>
      <c r="B50" s="954" t="s">
        <v>1534</v>
      </c>
      <c r="C50" s="966" t="n">
        <f aca="false">'RMPM-Whole'!$BR$10</f>
        <v>1440050.53708548</v>
      </c>
      <c r="D50" s="966" t="n">
        <v>1963586.53600196</v>
      </c>
      <c r="E50" s="962" t="n">
        <f aca="false">(C50-D50)/Breakout!$B$120</f>
        <v>-0.00167485962627049</v>
      </c>
      <c r="F50" s="556"/>
      <c r="G50" s="556"/>
      <c r="H50" s="556"/>
      <c r="I50" s="556"/>
      <c r="J50" s="556"/>
    </row>
    <row r="51" customFormat="false" ht="13.5" hidden="false" customHeight="false" outlineLevel="0" collapsed="false">
      <c r="A51" s="556"/>
      <c r="B51" s="967" t="s">
        <v>1535</v>
      </c>
      <c r="C51" s="968" t="n">
        <f aca="false">SUM(C43:C50)</f>
        <v>70858888.1490292</v>
      </c>
      <c r="D51" s="968" t="n">
        <v>89911192.5481747</v>
      </c>
      <c r="E51" s="969" t="n">
        <f aca="false">SUM(E43:E50)</f>
        <v>-0.0609507951536966</v>
      </c>
      <c r="F51" s="556"/>
      <c r="G51" s="556"/>
      <c r="H51" s="556"/>
      <c r="I51" s="556"/>
      <c r="J51" s="556"/>
    </row>
    <row r="52" customFormat="false" ht="12.75" hidden="false" customHeight="false" outlineLevel="0" collapsed="false">
      <c r="A52" s="556"/>
      <c r="B52" s="556"/>
      <c r="C52" s="576"/>
      <c r="D52" s="576"/>
      <c r="E52" s="421"/>
      <c r="F52" s="556"/>
      <c r="G52" s="556"/>
      <c r="H52" s="556"/>
      <c r="I52" s="556"/>
      <c r="J52" s="556"/>
    </row>
    <row r="53" customFormat="false" ht="13.5" hidden="false" customHeight="false" outlineLevel="0" collapsed="false">
      <c r="A53" s="556"/>
      <c r="B53" s="964" t="s">
        <v>1536</v>
      </c>
      <c r="C53" s="970"/>
      <c r="D53" s="970"/>
      <c r="E53" s="971"/>
      <c r="F53" s="556"/>
      <c r="G53" s="556"/>
      <c r="H53" s="556"/>
      <c r="I53" s="556"/>
      <c r="J53" s="556"/>
    </row>
    <row r="54" customFormat="false" ht="13.5" hidden="false" customHeight="false" outlineLevel="0" collapsed="false">
      <c r="A54" s="556"/>
      <c r="B54" s="972" t="s">
        <v>1000</v>
      </c>
      <c r="C54" s="973" t="n">
        <f aca="false">'RMPM-Whole'!CN11</f>
        <v>2150000</v>
      </c>
      <c r="D54" s="973" t="n">
        <v>2150000</v>
      </c>
      <c r="E54" s="974" t="n">
        <f aca="false">(D54-C54)/Breakout!$B$120</f>
        <v>0</v>
      </c>
      <c r="F54" s="556"/>
      <c r="G54" s="556"/>
      <c r="H54" s="556"/>
      <c r="I54" s="556"/>
      <c r="J54" s="556"/>
    </row>
    <row r="55" customFormat="false" ht="12.75" hidden="false" customHeight="false" outlineLevel="0" collapsed="false">
      <c r="A55" s="556"/>
      <c r="B55" s="975" t="s">
        <v>1445</v>
      </c>
      <c r="C55" s="976" t="n">
        <f aca="false">'RMPM-Whole'!$BQ$5</f>
        <v>13570008.721347</v>
      </c>
      <c r="D55" s="976" t="n">
        <v>18514341.1499986</v>
      </c>
      <c r="E55" s="977" t="n">
        <f aca="false">(D55-C55)/Breakout!$B$120</f>
        <v>0.0158175613152619</v>
      </c>
      <c r="F55" s="556"/>
      <c r="G55" s="556"/>
      <c r="H55" s="556"/>
      <c r="I55" s="556"/>
      <c r="J55" s="556"/>
    </row>
    <row r="56" customFormat="false" ht="12.75" hidden="false" customHeight="false" outlineLevel="0" collapsed="false">
      <c r="A56" s="556"/>
      <c r="B56" s="936" t="s">
        <v>1016</v>
      </c>
      <c r="C56" s="976" t="n">
        <f aca="false">'RMPM-Whole'!$DO$10</f>
        <v>25438949.8329068</v>
      </c>
      <c r="D56" s="976" t="n">
        <v>37579265.2937183</v>
      </c>
      <c r="E56" s="977" t="n">
        <f aca="false">(D56-C56)/Breakout!$B$120</f>
        <v>0.03883844522169</v>
      </c>
      <c r="F56" s="556"/>
      <c r="G56" s="556"/>
      <c r="H56" s="556"/>
      <c r="I56" s="556"/>
      <c r="J56" s="556"/>
    </row>
    <row r="57" customFormat="false" ht="12.75" hidden="false" customHeight="false" outlineLevel="0" collapsed="false">
      <c r="A57" s="556"/>
      <c r="B57" s="978" t="s">
        <v>996</v>
      </c>
      <c r="C57" s="976" t="n">
        <v>0</v>
      </c>
      <c r="D57" s="976" t="n">
        <v>0</v>
      </c>
      <c r="E57" s="977" t="n">
        <f aca="false">(D57-C57)/Breakout!$B$120</f>
        <v>0</v>
      </c>
      <c r="F57" s="556"/>
      <c r="G57" s="556"/>
      <c r="H57" s="556"/>
      <c r="I57" s="556"/>
      <c r="J57" s="556"/>
    </row>
    <row r="58" customFormat="false" ht="12.75" hidden="false" customHeight="false" outlineLevel="0" collapsed="false">
      <c r="A58" s="556"/>
      <c r="B58" s="978" t="s">
        <v>1001</v>
      </c>
      <c r="C58" s="976" t="n">
        <f aca="false">-'RMPM-Whole'!BT10</f>
        <v>3658206.50355203</v>
      </c>
      <c r="D58" s="976" t="n">
        <v>4960232.51107297</v>
      </c>
      <c r="E58" s="977" t="n">
        <f aca="false">(D58-C58)/Breakout!$B$120</f>
        <v>0.00416535022780516</v>
      </c>
      <c r="F58" s="556"/>
      <c r="G58" s="556"/>
      <c r="H58" s="556"/>
      <c r="I58" s="556"/>
      <c r="J58" s="556"/>
    </row>
    <row r="59" customFormat="false" ht="12.75" hidden="false" customHeight="false" outlineLevel="0" collapsed="false">
      <c r="A59" s="556"/>
      <c r="B59" s="936" t="s">
        <v>1051</v>
      </c>
      <c r="C59" s="976" t="n">
        <f aca="false">-'RMPM-Whole'!BS10</f>
        <v>18585116.6103635</v>
      </c>
      <c r="D59" s="976" t="n">
        <v>25341183.7283751</v>
      </c>
      <c r="E59" s="977" t="n">
        <f aca="false">(D59-C59)/Breakout!$B$120</f>
        <v>0.021613535786937</v>
      </c>
      <c r="F59" s="556"/>
      <c r="G59" s="556"/>
      <c r="H59" s="556"/>
      <c r="I59" s="556"/>
      <c r="J59" s="556"/>
    </row>
    <row r="60" customFormat="false" ht="13.5" hidden="false" customHeight="false" outlineLevel="0" collapsed="false">
      <c r="A60" s="556"/>
      <c r="B60" s="954" t="s">
        <v>1537</v>
      </c>
      <c r="C60" s="966" t="n">
        <f aca="false">SUM(C54:C59)</f>
        <v>63402281.6681694</v>
      </c>
      <c r="D60" s="966" t="n">
        <v>88545022.6831649</v>
      </c>
      <c r="E60" s="977" t="n">
        <f aca="false">(D60-C60)/Breakout!$B$120</f>
        <v>0.0804348925516941</v>
      </c>
      <c r="F60" s="556"/>
      <c r="G60" s="556"/>
      <c r="H60" s="556"/>
      <c r="I60" s="556"/>
      <c r="J60" s="556"/>
    </row>
    <row r="61" customFormat="false" ht="13.5" hidden="false" customHeight="false" outlineLevel="0" collapsed="false">
      <c r="A61" s="556"/>
      <c r="B61" s="979" t="s">
        <v>1538</v>
      </c>
      <c r="C61" s="980" t="n">
        <f aca="false">C51-C60</f>
        <v>7456606.48085979</v>
      </c>
      <c r="D61" s="980" t="n">
        <v>1366169.86500977</v>
      </c>
      <c r="E61" s="981" t="n">
        <f aca="false">E54+E60</f>
        <v>0.0804348925516941</v>
      </c>
      <c r="F61" s="556"/>
      <c r="G61" s="556"/>
      <c r="H61" s="556"/>
      <c r="I61" s="556"/>
      <c r="J61" s="556"/>
    </row>
    <row r="62" customFormat="false" ht="12.75" hidden="false" customHeight="false" outlineLevel="0" collapsed="false">
      <c r="A62" s="556"/>
      <c r="B62" s="556"/>
      <c r="C62" s="982"/>
      <c r="D62" s="982"/>
      <c r="E62" s="983"/>
      <c r="F62" s="556"/>
      <c r="G62" s="556"/>
      <c r="H62" s="556"/>
      <c r="I62" s="556"/>
      <c r="J62" s="556"/>
    </row>
    <row r="63" customFormat="false" ht="12.75" hidden="false" customHeight="false" outlineLevel="0" collapsed="false">
      <c r="A63" s="556"/>
      <c r="B63" s="936" t="s">
        <v>1539</v>
      </c>
      <c r="C63" s="946" t="n">
        <v>0</v>
      </c>
      <c r="D63" s="946" t="n">
        <v>0</v>
      </c>
      <c r="E63" s="962" t="n">
        <f aca="false">(C63-D63)/Breakout!$B$120</f>
        <v>0</v>
      </c>
      <c r="F63" s="556"/>
      <c r="G63" s="556"/>
      <c r="H63" s="556"/>
      <c r="I63" s="556"/>
      <c r="J63" s="556"/>
    </row>
    <row r="64" customFormat="false" ht="12.75" hidden="false" customHeight="false" outlineLevel="0" collapsed="false">
      <c r="A64" s="556"/>
      <c r="B64" s="936" t="s">
        <v>1540</v>
      </c>
      <c r="C64" s="946" t="n">
        <v>0</v>
      </c>
      <c r="D64" s="946" t="n">
        <v>0</v>
      </c>
      <c r="E64" s="962" t="n">
        <f aca="false">(C64-D64)/Breakout!$B$120</f>
        <v>0</v>
      </c>
      <c r="F64" s="556"/>
      <c r="G64" s="556"/>
      <c r="H64" s="556"/>
      <c r="I64" s="556"/>
      <c r="J64" s="556"/>
    </row>
    <row r="65" customFormat="false" ht="13.5" hidden="false" customHeight="false" outlineLevel="0" collapsed="false">
      <c r="A65" s="556"/>
      <c r="B65" s="950" t="s">
        <v>1541</v>
      </c>
      <c r="C65" s="970" t="n">
        <v>0</v>
      </c>
      <c r="D65" s="970" t="n">
        <v>0</v>
      </c>
      <c r="E65" s="962" t="n">
        <f aca="false">(C65-D65)/Breakout!$B$120</f>
        <v>0</v>
      </c>
      <c r="F65" s="556"/>
      <c r="G65" s="556"/>
      <c r="H65" s="556"/>
      <c r="I65" s="556"/>
      <c r="J65" s="556"/>
    </row>
    <row r="66" customFormat="false" ht="13.5" hidden="false" customHeight="false" outlineLevel="0" collapsed="false">
      <c r="A66" s="556"/>
      <c r="B66" s="979" t="s">
        <v>1542</v>
      </c>
      <c r="C66" s="980" t="n">
        <f aca="false">C61-SUM(C63:C65)</f>
        <v>7456606.48085979</v>
      </c>
      <c r="D66" s="980" t="n">
        <f aca="false">D61-SUM(D63:D65)</f>
        <v>1366169.86500977</v>
      </c>
      <c r="E66" s="981" t="n">
        <f aca="false">(C66-D66)/Breakout!$B$120</f>
        <v>0.0194840973979975</v>
      </c>
      <c r="F66" s="556"/>
      <c r="G66" s="556"/>
      <c r="H66" s="556"/>
      <c r="I66" s="556"/>
      <c r="J66" s="556"/>
    </row>
    <row r="67" customFormat="false" ht="12.75" hidden="false" customHeight="false" outlineLevel="0" collapsed="false">
      <c r="A67" s="556"/>
      <c r="B67" s="556"/>
      <c r="C67" s="556"/>
      <c r="D67" s="556"/>
      <c r="E67" s="556"/>
      <c r="F67" s="556"/>
      <c r="G67" s="556"/>
      <c r="H67" s="556"/>
      <c r="I67" s="556"/>
      <c r="J67" s="556"/>
    </row>
    <row r="68" customFormat="false" ht="15.75" hidden="false" customHeight="false" outlineLevel="0" collapsed="false">
      <c r="A68" s="556"/>
      <c r="B68" s="933" t="s">
        <v>1543</v>
      </c>
      <c r="C68" s="933"/>
      <c r="D68" s="933"/>
      <c r="E68" s="933"/>
      <c r="F68" s="933"/>
      <c r="G68" s="933"/>
      <c r="H68" s="933"/>
      <c r="I68" s="556"/>
      <c r="J68" s="556"/>
    </row>
    <row r="69" customFormat="false" ht="12.75" hidden="false" customHeight="false" outlineLevel="0" collapsed="false">
      <c r="A69" s="556"/>
      <c r="B69" s="204"/>
      <c r="C69" s="556"/>
      <c r="D69" s="556"/>
      <c r="E69" s="556"/>
      <c r="F69" s="556"/>
      <c r="G69" s="556"/>
      <c r="H69" s="556"/>
      <c r="I69" s="556"/>
      <c r="J69" s="556"/>
    </row>
    <row r="70" customFormat="false" ht="12.75" hidden="false" customHeight="false" outlineLevel="0" collapsed="false">
      <c r="A70" s="556"/>
      <c r="B70" s="556"/>
      <c r="C70" s="556"/>
      <c r="D70" s="556"/>
      <c r="E70" s="556"/>
      <c r="F70" s="556"/>
      <c r="G70" s="556"/>
      <c r="H70" s="556"/>
      <c r="I70" s="556"/>
      <c r="J70" s="556"/>
    </row>
    <row r="71" customFormat="false" ht="12.75" hidden="false" customHeight="false" outlineLevel="0" collapsed="false">
      <c r="A71" s="556"/>
      <c r="B71" s="556"/>
      <c r="C71" s="556"/>
      <c r="D71" s="556"/>
      <c r="E71" s="556"/>
      <c r="F71" s="556"/>
      <c r="G71" s="556"/>
      <c r="H71" s="556"/>
      <c r="I71" s="556"/>
      <c r="J71" s="556"/>
    </row>
    <row r="72" customFormat="false" ht="12.75" hidden="false" customHeight="false" outlineLevel="0" collapsed="false">
      <c r="A72" s="556"/>
      <c r="B72" s="556"/>
      <c r="C72" s="556"/>
      <c r="D72" s="556"/>
      <c r="E72" s="556"/>
      <c r="F72" s="556"/>
      <c r="G72" s="556"/>
      <c r="H72" s="556"/>
      <c r="I72" s="556"/>
      <c r="J72" s="556"/>
    </row>
    <row r="73" customFormat="false" ht="12.75" hidden="false" customHeight="false" outlineLevel="0" collapsed="false">
      <c r="A73" s="556"/>
      <c r="B73" s="556"/>
      <c r="C73" s="556"/>
      <c r="D73" s="556"/>
      <c r="E73" s="556"/>
      <c r="F73" s="556"/>
      <c r="G73" s="556"/>
      <c r="H73" s="556"/>
      <c r="I73" s="556"/>
      <c r="J73" s="556"/>
    </row>
    <row r="74" customFormat="false" ht="12.75" hidden="false" customHeight="false" outlineLevel="0" collapsed="false">
      <c r="A74" s="556"/>
      <c r="B74" s="984"/>
      <c r="C74" s="556"/>
      <c r="D74" s="556"/>
      <c r="E74" s="556"/>
      <c r="F74" s="556"/>
      <c r="G74" s="556"/>
      <c r="H74" s="556"/>
      <c r="I74" s="556"/>
      <c r="J74" s="556"/>
    </row>
    <row r="75" customFormat="false" ht="12.75" hidden="false" customHeight="false" outlineLevel="0" collapsed="false">
      <c r="A75" s="556"/>
      <c r="B75" s="556"/>
      <c r="C75" s="556"/>
      <c r="D75" s="556"/>
      <c r="E75" s="556"/>
      <c r="F75" s="556"/>
      <c r="G75" s="556"/>
      <c r="H75" s="556"/>
      <c r="I75" s="556"/>
      <c r="J75" s="556"/>
    </row>
    <row r="76" customFormat="false" ht="12.75" hidden="false" customHeight="false" outlineLevel="0" collapsed="false">
      <c r="A76" s="556"/>
      <c r="B76" s="556"/>
      <c r="C76" s="556"/>
      <c r="D76" s="556"/>
      <c r="E76" s="556"/>
      <c r="F76" s="556"/>
      <c r="G76" s="556"/>
      <c r="H76" s="556"/>
      <c r="I76" s="556"/>
      <c r="J76" s="556"/>
    </row>
    <row r="77" customFormat="false" ht="12.75" hidden="false" customHeight="false" outlineLevel="0" collapsed="false">
      <c r="A77" s="556"/>
      <c r="B77" s="556"/>
      <c r="C77" s="556"/>
      <c r="D77" s="556"/>
      <c r="E77" s="556"/>
      <c r="F77" s="556"/>
      <c r="G77" s="556"/>
      <c r="H77" s="556"/>
      <c r="I77" s="556"/>
      <c r="J77" s="556"/>
    </row>
    <row r="78" customFormat="false" ht="12.75" hidden="false" customHeight="false" outlineLevel="0" collapsed="false">
      <c r="A78" s="556"/>
      <c r="C78" s="985"/>
      <c r="D78" s="985" t="s">
        <v>1544</v>
      </c>
      <c r="F78" s="985"/>
      <c r="G78" s="985"/>
      <c r="H78" s="985"/>
      <c r="I78" s="556"/>
    </row>
    <row r="79" customFormat="false" ht="12.75" hidden="false" customHeight="false" outlineLevel="0" collapsed="false">
      <c r="A79" s="556"/>
      <c r="B79" s="556"/>
      <c r="C79" s="556"/>
      <c r="D79" s="986"/>
      <c r="E79" s="986"/>
      <c r="F79" s="986" t="s">
        <v>1545</v>
      </c>
      <c r="G79" s="986" t="s">
        <v>1545</v>
      </c>
      <c r="H79" s="986" t="s">
        <v>1546</v>
      </c>
      <c r="I79" s="556"/>
      <c r="J79" s="987" t="s">
        <v>1547</v>
      </c>
      <c r="K79" s="988" t="s">
        <v>1547</v>
      </c>
    </row>
    <row r="80" customFormat="false" ht="12.75" hidden="false" customHeight="false" outlineLevel="0" collapsed="false">
      <c r="A80" s="556"/>
      <c r="B80" s="556"/>
      <c r="C80" s="556"/>
      <c r="D80" s="986" t="s">
        <v>888</v>
      </c>
      <c r="E80" s="986" t="s">
        <v>890</v>
      </c>
      <c r="F80" s="986" t="s">
        <v>888</v>
      </c>
      <c r="G80" s="986" t="s">
        <v>890</v>
      </c>
      <c r="H80" s="781" t="s">
        <v>902</v>
      </c>
      <c r="J80" s="988" t="s">
        <v>1548</v>
      </c>
      <c r="K80" s="987" t="s">
        <v>1549</v>
      </c>
    </row>
    <row r="81" customFormat="false" ht="12.75" hidden="false" customHeight="false" outlineLevel="0" collapsed="false">
      <c r="C81" s="0" t="n">
        <v>1</v>
      </c>
      <c r="D81" s="772" t="n">
        <v>-19257959.9477933</v>
      </c>
      <c r="E81" s="772" t="n">
        <f aca="false">'wholesale services'!$D$129</f>
        <v>-30159911.9790662</v>
      </c>
      <c r="F81" s="772" t="n">
        <f aca="false">'RMPM-Whole'!AT23</f>
        <v>-2980602.04568726</v>
      </c>
      <c r="G81" s="772" t="n">
        <f aca="false">'RMPM-Whole'!AR23</f>
        <v>-1720871.97906623</v>
      </c>
      <c r="H81" s="772" t="n">
        <f aca="false">G81-'RMPM-Whole'!W5</f>
        <v>-1720871.97906623</v>
      </c>
      <c r="J81" s="989" t="n">
        <v>-2980602.04568728</v>
      </c>
      <c r="K81" s="989" t="n">
        <f aca="false">'wholesale services'!$D$140</f>
        <v>-1720871.97906625</v>
      </c>
    </row>
    <row r="82" customFormat="false" ht="12.75" hidden="false" customHeight="false" outlineLevel="0" collapsed="false">
      <c r="C82" s="0" t="n">
        <v>2</v>
      </c>
      <c r="D82" s="772" t="n">
        <v>-14852888.4759239</v>
      </c>
      <c r="E82" s="772" t="n">
        <f aca="false">'wholesale services'!$E$129</f>
        <v>604425.307329811</v>
      </c>
      <c r="F82" s="772" t="n">
        <f aca="false">'RMPM-Whole'!AT35</f>
        <v>-518435.484336602</v>
      </c>
      <c r="G82" s="772" t="n">
        <f aca="false">'RMPM-Whole'!AR35</f>
        <v>1016823.52266933</v>
      </c>
      <c r="H82" s="772" t="n">
        <f aca="false">G82-'RMPM-Whole'!X5</f>
        <v>595936.037237328</v>
      </c>
      <c r="J82" s="989" t="n">
        <v>-791121.056501986</v>
      </c>
      <c r="K82" s="989" t="n">
        <f aca="false">'wholesale services'!$E$140</f>
        <v>595936.037237311</v>
      </c>
    </row>
    <row r="83" customFormat="false" ht="12.75" hidden="false" customHeight="false" outlineLevel="0" collapsed="false">
      <c r="C83" s="0" t="n">
        <v>3</v>
      </c>
      <c r="D83" s="772" t="n">
        <v>6141448.51914571</v>
      </c>
      <c r="E83" s="772" t="n">
        <f aca="false">'wholesale services'!$F$129</f>
        <v>7014652.3875531</v>
      </c>
      <c r="F83" s="772" t="n">
        <f aca="false">'RMPM-Whole'!AT47</f>
        <v>218872.309525279</v>
      </c>
      <c r="G83" s="772" t="n">
        <f aca="false">'RMPM-Whole'!AR47</f>
        <v>1816222.72271316</v>
      </c>
      <c r="H83" s="772" t="n">
        <f aca="false">G83-'RMPM-Whole'!Y5</f>
        <v>1316657.26344211</v>
      </c>
      <c r="J83" s="989" t="n">
        <v>-102817.128163808</v>
      </c>
      <c r="K83" s="989" t="n">
        <f aca="false">'wholesale services'!$F$140</f>
        <v>1316657.2634421</v>
      </c>
    </row>
    <row r="84" customFormat="false" ht="12.75" hidden="false" customHeight="false" outlineLevel="0" collapsed="false">
      <c r="B84" s="441"/>
      <c r="C84" s="0" t="n">
        <v>4</v>
      </c>
      <c r="D84" s="772" t="n">
        <v>6416929.73180544</v>
      </c>
      <c r="E84" s="772" t="n">
        <f aca="false">'wholesale services'!$G$129</f>
        <v>7340312.62834786</v>
      </c>
      <c r="F84" s="772" t="n">
        <f aca="false">'RMPM-Whole'!AT59</f>
        <v>527174.587674624</v>
      </c>
      <c r="G84" s="772" t="n">
        <f aca="false">'RMPM-Whole'!AR59</f>
        <v>2133305.87389621</v>
      </c>
      <c r="H84" s="772" t="n">
        <f aca="false">G84-'RMPM-Whole'!Z5</f>
        <v>1642317.50423687</v>
      </c>
      <c r="J84" s="989" t="n">
        <v>214114.838343046</v>
      </c>
      <c r="K84" s="989" t="n">
        <f aca="false">'wholesale services'!$G$140</f>
        <v>1642317.50423686</v>
      </c>
    </row>
    <row r="85" customFormat="false" ht="12.75" hidden="false" customHeight="false" outlineLevel="0" collapsed="false">
      <c r="C85" s="0" t="n">
        <v>5</v>
      </c>
      <c r="D85" s="772" t="n">
        <v>6695175.36959071</v>
      </c>
      <c r="E85" s="772" t="n">
        <f aca="false">'wholesale services'!$H$129</f>
        <v>7670185.87826215</v>
      </c>
      <c r="F85" s="772" t="n">
        <f aca="false">'RMPM-Whole'!AT71</f>
        <v>837806.33757945</v>
      </c>
      <c r="G85" s="772" t="n">
        <f aca="false">'RMPM-Whole'!AR71</f>
        <v>2452735.11879452</v>
      </c>
      <c r="H85" s="772" t="n">
        <f aca="false">G85-'RMPM-Whole'!AA5</f>
        <v>1972190.75415118</v>
      </c>
      <c r="J85" s="989" t="n">
        <v>535254.640812597</v>
      </c>
      <c r="K85" s="989" t="n">
        <f aca="false">'wholesale services'!$H$140</f>
        <v>1972190.75415115</v>
      </c>
    </row>
    <row r="86" customFormat="false" ht="12.75" hidden="false" customHeight="false" outlineLevel="0" collapsed="false">
      <c r="C86" s="0" t="n">
        <v>6</v>
      </c>
      <c r="D86" s="772" t="n">
        <v>6976564.68995732</v>
      </c>
      <c r="E86" s="772" t="n">
        <f aca="false">'wholesale services'!$I$129</f>
        <v>8004686.64929877</v>
      </c>
      <c r="F86" s="772" t="n">
        <f aca="false">'RMPM-Whole'!AT83</f>
        <v>1151209.1309757</v>
      </c>
      <c r="G86" s="772" t="n">
        <f aca="false">'RMPM-Whole'!AR83</f>
        <v>2774937.92690807</v>
      </c>
      <c r="H86" s="772" t="n">
        <f aca="false">G86-'RMPM-Whole'!AB5</f>
        <v>2306691.52518778</v>
      </c>
      <c r="J86" s="989" t="n">
        <v>861030.814022153</v>
      </c>
      <c r="K86" s="989" t="n">
        <f aca="false">'wholesale services'!$I$140</f>
        <v>2306691.52518777</v>
      </c>
    </row>
    <row r="87" customFormat="false" ht="12.75" hidden="false" customHeight="false" outlineLevel="0" collapsed="false">
      <c r="C87" s="0" t="n">
        <v>7</v>
      </c>
      <c r="D87" s="772" t="n">
        <v>7261474.94061225</v>
      </c>
      <c r="E87" s="772" t="n">
        <f aca="false">'wholesale services'!$J$129</f>
        <v>8344227.62672944</v>
      </c>
      <c r="F87" s="772" t="n">
        <f aca="false">'RMPM-Whole'!AT95</f>
        <v>1467821.95283094</v>
      </c>
      <c r="G87" s="772" t="n">
        <f aca="false">'RMPM-Whole'!AR95</f>
        <v>3100339.25197099</v>
      </c>
      <c r="H87" s="772" t="n">
        <f aca="false">G87-'RMPM-Whole'!AC5</f>
        <v>2646232.50261844</v>
      </c>
      <c r="J87" s="989" t="n">
        <v>1191869.99924087</v>
      </c>
      <c r="K87" s="989" t="n">
        <f aca="false">'wholesale services'!$J$140</f>
        <v>2646232.50261844</v>
      </c>
    </row>
    <row r="88" customFormat="false" ht="12.75" hidden="false" customHeight="false" outlineLevel="0" collapsed="false">
      <c r="C88" s="0" t="n">
        <v>8</v>
      </c>
      <c r="D88" s="772" t="n">
        <v>7548391.06616099</v>
      </c>
      <c r="E88" s="772" t="n">
        <f aca="false">'wholesale services'!$K$129</f>
        <v>8687133.87034115</v>
      </c>
      <c r="F88" s="772" t="n">
        <f aca="false">'RMPM-Whole'!AT107</f>
        <v>1785910.16922375</v>
      </c>
      <c r="G88" s="772" t="n">
        <f aca="false">'RMPM-Whole'!AR107</f>
        <v>3427275.70448068</v>
      </c>
      <c r="H88" s="772" t="n">
        <f aca="false">G88-'RMPM-Whole'!AD5</f>
        <v>2989138.74623012</v>
      </c>
      <c r="J88" s="989" t="n">
        <v>1526025.94100254</v>
      </c>
      <c r="K88" s="989" t="n">
        <f aca="false">'wholesale services'!$K$140</f>
        <v>2989138.74623014</v>
      </c>
    </row>
    <row r="89" customFormat="false" ht="12.75" hidden="false" customHeight="false" outlineLevel="0" collapsed="false">
      <c r="C89" s="0" t="n">
        <v>9</v>
      </c>
      <c r="D89" s="772" t="n">
        <v>7839508.49284841</v>
      </c>
      <c r="E89" s="772" t="n">
        <f aca="false">'wholesale services'!$L$129</f>
        <v>9035825.12576135</v>
      </c>
      <c r="F89" s="772" t="n">
        <f aca="false">'RMPM-Whole'!AT119</f>
        <v>2108000.3753174</v>
      </c>
      <c r="G89" s="772" t="n">
        <f aca="false">'RMPM-Whole'!AR119</f>
        <v>3758177.84942346</v>
      </c>
      <c r="H89" s="772" t="n">
        <f aca="false">G89-'RMPM-Whole'!AE5</f>
        <v>3337830.00165037</v>
      </c>
      <c r="J89" s="989" t="n">
        <v>1866014.34876218</v>
      </c>
      <c r="K89" s="989" t="n">
        <f aca="false">'wholesale services'!$L$140</f>
        <v>3337830.00165035</v>
      </c>
    </row>
    <row r="90" customFormat="false" ht="12.75" hidden="false" customHeight="false" outlineLevel="0" collapsed="false">
      <c r="C90" s="0" t="n">
        <v>10</v>
      </c>
      <c r="D90" s="772" t="n">
        <v>8132263.29751722</v>
      </c>
      <c r="E90" s="772" t="n">
        <f aca="false">'wholesale services'!$M$129</f>
        <v>9387469.92497934</v>
      </c>
      <c r="F90" s="772" t="n">
        <f aca="false">'RMPM-Whole'!AT131</f>
        <v>2431152.71241022</v>
      </c>
      <c r="G90" s="772" t="n">
        <f aca="false">'RMPM-Whole'!AR131</f>
        <v>4090224.30659002</v>
      </c>
      <c r="H90" s="772" t="n">
        <f aca="false">G90-'RMPM-Whole'!AF5</f>
        <v>3689474.80086834</v>
      </c>
      <c r="J90" s="989" t="n">
        <v>2208885.21415357</v>
      </c>
      <c r="K90" s="989" t="n">
        <f aca="false">'wholesale services'!$M$140</f>
        <v>3689474.80086834</v>
      </c>
    </row>
    <row r="91" customFormat="false" ht="12.75" hidden="false" customHeight="false" outlineLevel="0" collapsed="false">
      <c r="J91" s="990"/>
      <c r="K91" s="990"/>
    </row>
    <row r="92" customFormat="false" ht="12.75" hidden="false" customHeight="false" outlineLevel="0" collapsed="false">
      <c r="H92" s="781"/>
      <c r="J92" s="990"/>
      <c r="K92" s="990"/>
    </row>
    <row r="93" customFormat="false" ht="12.75" hidden="false" customHeight="false" outlineLevel="0" collapsed="false">
      <c r="C93" s="0" t="s">
        <v>1076</v>
      </c>
      <c r="F93" s="772" t="n">
        <f aca="false">NPV(Breakout!$C$5,F81:F90)</f>
        <v>1035170.92025002</v>
      </c>
      <c r="G93" s="772" t="n">
        <f aca="false">NPV(Breakout!$C$5,G81:G90)</f>
        <v>9278377.32785163</v>
      </c>
      <c r="H93" s="772" t="n">
        <f aca="false">NPV(Breakout!$C$5,H81:H90)</f>
        <v>7246302.9619303</v>
      </c>
      <c r="I93" s="772"/>
      <c r="J93" s="989" t="n">
        <f aca="false">NPV([4]Breakout!$C$5,J81:J90)</f>
        <v>626556.978732674</v>
      </c>
      <c r="K93" s="989" t="n">
        <f aca="false">NPV(Breakout!$C$5,K81:K90)</f>
        <v>7246302.96193024</v>
      </c>
    </row>
    <row r="97" customFormat="false" ht="12.75" hidden="false" customHeight="false" outlineLevel="0" collapsed="false">
      <c r="J97" s="414" t="s">
        <v>1550</v>
      </c>
    </row>
  </sheetData>
  <mergeCells count="12">
    <mergeCell ref="B3:H3"/>
    <mergeCell ref="E5:F5"/>
    <mergeCell ref="E6:F6"/>
    <mergeCell ref="E7:F7"/>
    <mergeCell ref="E8:F8"/>
    <mergeCell ref="E9:F9"/>
    <mergeCell ref="E10:F10"/>
    <mergeCell ref="B13:H13"/>
    <mergeCell ref="B15:D15"/>
    <mergeCell ref="F15:H15"/>
    <mergeCell ref="G19:H19"/>
    <mergeCell ref="B28:H28"/>
  </mergeCells>
  <printOptions headings="false" gridLines="false" gridLinesSet="true" horizontalCentered="false" verticalCentered="false"/>
  <pageMargins left="0.390277777777778" right="0.179861111111111" top="0.390277777777778" bottom="0.24027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F256"/>
  <sheetViews>
    <sheetView showFormulas="false" showGridLines="true" showRowColHeaders="true" showZeros="true" rightToLeft="false" tabSelected="false" showOutlineSymbols="true" defaultGridColor="true" view="normal" topLeftCell="AJ228" colorId="64" zoomScale="75" zoomScaleNormal="75" zoomScalePageLayoutView="100" workbookViewId="0">
      <selection pane="topLeft" activeCell="AV255" activeCellId="0" sqref="AV255"/>
    </sheetView>
  </sheetViews>
  <sheetFormatPr defaultColWidth="9.0546875" defaultRowHeight="12.75" customHeight="true" zeroHeight="false" outlineLevelRow="0" outlineLevelCol="0"/>
  <cols>
    <col collapsed="false" customWidth="true" hidden="false" outlineLevel="0" max="2" min="1" style="0" width="6.41"/>
    <col collapsed="false" customWidth="true" hidden="false" outlineLevel="0" max="3" min="3" style="0" width="30.28"/>
    <col collapsed="false" customWidth="true" hidden="true" outlineLevel="0" max="4" min="4" style="0" width="24.41"/>
    <col collapsed="false" customWidth="true" hidden="false" outlineLevel="0" max="5" min="5" style="0" width="11.13"/>
    <col collapsed="false" customWidth="true" hidden="false" outlineLevel="0" max="6" min="6" style="0" width="10.28"/>
    <col collapsed="false" customWidth="true" hidden="false" outlineLevel="0" max="7" min="7" style="0" width="14.14"/>
    <col collapsed="false" customWidth="true" hidden="false" outlineLevel="0" max="8" min="8" style="0" width="5.99"/>
    <col collapsed="false" customWidth="true" hidden="false" outlineLevel="0" max="9" min="9" style="0" width="10.85"/>
    <col collapsed="false" customWidth="true" hidden="true" outlineLevel="0" max="10" min="10" style="0" width="17.28"/>
    <col collapsed="false" customWidth="true" hidden="false" outlineLevel="0" max="11" min="11" style="0" width="22.42"/>
    <col collapsed="false" customWidth="true" hidden="false" outlineLevel="0" max="12" min="12" style="0" width="6.85"/>
    <col collapsed="false" customWidth="true" hidden="false" outlineLevel="0" max="13" min="13" style="0" width="4.14"/>
    <col collapsed="false" customWidth="true" hidden="true" outlineLevel="0" max="14" min="14" style="0" width="6.41"/>
    <col collapsed="false" customWidth="true" hidden="true" outlineLevel="0" max="15" min="15" style="0" width="9.7"/>
    <col collapsed="false" customWidth="true" hidden="true" outlineLevel="0" max="16" min="16" style="0" width="8.99"/>
    <col collapsed="false" customWidth="true" hidden="true" outlineLevel="0" max="17" min="17" style="0" width="9.14"/>
    <col collapsed="false" customWidth="true" hidden="false" outlineLevel="0" max="18" min="18" style="0" width="14.85"/>
    <col collapsed="false" customWidth="true" hidden="false" outlineLevel="0" max="19" min="19" style="0" width="11.28"/>
    <col collapsed="false" customWidth="true" hidden="false" outlineLevel="0" max="20" min="20" style="0" width="11.13"/>
    <col collapsed="false" customWidth="true" hidden="false" outlineLevel="0" max="21" min="21" style="0" width="10.41"/>
    <col collapsed="false" customWidth="true" hidden="false" outlineLevel="0" max="22" min="22" style="0" width="11.85"/>
    <col collapsed="false" customWidth="true" hidden="true" outlineLevel="0" max="23" min="23" style="0" width="11.85"/>
    <col collapsed="false" customWidth="true" hidden="false" outlineLevel="0" max="24" min="24" style="0" width="8.99"/>
    <col collapsed="false" customWidth="true" hidden="false" outlineLevel="0" max="25" min="25" style="0" width="14.14"/>
    <col collapsed="false" customWidth="true" hidden="false" outlineLevel="0" max="26" min="26" style="0" width="10.28"/>
    <col collapsed="false" customWidth="true" hidden="false" outlineLevel="0" max="27" min="27" style="0" width="9.41"/>
    <col collapsed="false" customWidth="true" hidden="true" outlineLevel="0" max="28" min="28" style="0" width="11.28"/>
    <col collapsed="false" customWidth="true" hidden="true" outlineLevel="0" max="29" min="29" style="0" width="8.28"/>
    <col collapsed="false" customWidth="true" hidden="true" outlineLevel="0" max="30" min="30" style="0" width="10.85"/>
    <col collapsed="false" customWidth="true" hidden="true" outlineLevel="0" max="31" min="31" style="0" width="10.41"/>
    <col collapsed="false" customWidth="true" hidden="true" outlineLevel="0" max="32" min="32" style="0" width="6.85"/>
    <col collapsed="false" customWidth="true" hidden="true" outlineLevel="0" max="33" min="33" style="0" width="7.56"/>
    <col collapsed="false" customWidth="true" hidden="true" outlineLevel="0" max="34" min="34" style="0" width="11.13"/>
    <col collapsed="false" customWidth="true" hidden="true" outlineLevel="0" max="35" min="35" style="0" width="10.13"/>
    <col collapsed="false" customWidth="true" hidden="false" outlineLevel="0" max="36" min="36" style="0" width="4.99"/>
    <col collapsed="false" customWidth="true" hidden="false" outlineLevel="0" max="37" min="37" style="0" width="11.7"/>
    <col collapsed="false" customWidth="true" hidden="true" outlineLevel="0" max="38" min="38" style="0" width="10.56"/>
    <col collapsed="false" customWidth="true" hidden="false" outlineLevel="0" max="39" min="39" style="0" width="5.99"/>
    <col collapsed="false" customWidth="true" hidden="true" outlineLevel="0" max="40" min="40" style="0" width="38.7"/>
    <col collapsed="false" customWidth="true" hidden="false" outlineLevel="0" max="41" min="41" style="0" width="12.7"/>
    <col collapsed="false" customWidth="true" hidden="true" outlineLevel="0" max="42" min="42" style="0" width="18.28"/>
    <col collapsed="false" customWidth="true" hidden="false" outlineLevel="0" max="43" min="43" style="0" width="18.28"/>
    <col collapsed="false" customWidth="true" hidden="false" outlineLevel="0" max="46" min="44" style="0" width="9.41"/>
    <col collapsed="false" customWidth="true" hidden="false" outlineLevel="0" max="47" min="47" style="0" width="8.28"/>
    <col collapsed="false" customWidth="true" hidden="false" outlineLevel="0" max="49" min="48" style="0" width="6.56"/>
    <col collapsed="false" customWidth="true" hidden="false" outlineLevel="0" max="50" min="50" style="0" width="7.99"/>
    <col collapsed="false" customWidth="true" hidden="false" outlineLevel="0" max="51" min="51" style="0" width="6.56"/>
    <col collapsed="false" customWidth="true" hidden="false" outlineLevel="0" max="54" min="52" style="0" width="8.28"/>
    <col collapsed="false" customWidth="true" hidden="false" outlineLevel="0" max="55" min="55" style="0" width="6.56"/>
    <col collapsed="false" customWidth="true" hidden="false" outlineLevel="0" max="56" min="56" style="0" width="8.28"/>
    <col collapsed="false" customWidth="true" hidden="false" outlineLevel="0" max="57" min="57" style="0" width="6.85"/>
    <col collapsed="false" customWidth="true" hidden="false" outlineLevel="0" max="59" min="58" style="0" width="6.28"/>
    <col collapsed="false" customWidth="true" hidden="false" outlineLevel="0" max="60" min="60" style="0" width="8.28"/>
    <col collapsed="false" customWidth="true" hidden="false" outlineLevel="0" max="61" min="61" style="0" width="6.99"/>
    <col collapsed="false" customWidth="true" hidden="false" outlineLevel="0" max="62" min="62" style="0" width="7.56"/>
    <col collapsed="false" customWidth="true" hidden="false" outlineLevel="0" max="63" min="63" style="0" width="6.28"/>
    <col collapsed="false" customWidth="true" hidden="false" outlineLevel="0" max="64" min="64" style="0" width="11.99"/>
    <col collapsed="false" customWidth="true" hidden="false" outlineLevel="0" max="65" min="65" style="0" width="10.56"/>
    <col collapsed="false" customWidth="true" hidden="false" outlineLevel="0" max="66" min="66" style="0" width="11.56"/>
    <col collapsed="false" customWidth="true" hidden="false" outlineLevel="0" max="67" min="67" style="0" width="9.41"/>
  </cols>
  <sheetData>
    <row r="1" customFormat="false" ht="210" hidden="false" customHeight="true" outlineLevel="0" collapsed="false">
      <c r="A1" s="130" t="s">
        <v>687</v>
      </c>
      <c r="B1" s="130" t="s">
        <v>688</v>
      </c>
      <c r="C1" s="130" t="s">
        <v>9</v>
      </c>
      <c r="D1" s="130" t="s">
        <v>9</v>
      </c>
      <c r="E1" s="130" t="s">
        <v>689</v>
      </c>
      <c r="F1" s="130" t="s">
        <v>690</v>
      </c>
      <c r="G1" s="130" t="s">
        <v>691</v>
      </c>
      <c r="H1" s="130" t="s">
        <v>12</v>
      </c>
      <c r="I1" s="130" t="s">
        <v>692</v>
      </c>
      <c r="J1" s="130" t="s">
        <v>693</v>
      </c>
      <c r="K1" s="130" t="s">
        <v>17</v>
      </c>
      <c r="L1" s="130" t="s">
        <v>7</v>
      </c>
      <c r="M1" s="130" t="s">
        <v>18</v>
      </c>
      <c r="N1" s="130" t="s">
        <v>19</v>
      </c>
      <c r="O1" s="130" t="s">
        <v>694</v>
      </c>
      <c r="P1" s="130" t="s">
        <v>695</v>
      </c>
      <c r="Q1" s="130" t="s">
        <v>22</v>
      </c>
      <c r="R1" s="130" t="s">
        <v>23</v>
      </c>
      <c r="S1" s="130" t="s">
        <v>24</v>
      </c>
      <c r="T1" s="130" t="s">
        <v>689</v>
      </c>
      <c r="U1" s="130" t="s">
        <v>26</v>
      </c>
      <c r="V1" s="130" t="s">
        <v>27</v>
      </c>
      <c r="W1" s="130" t="s">
        <v>28</v>
      </c>
      <c r="X1" s="130" t="s">
        <v>29</v>
      </c>
      <c r="Y1" s="130" t="s">
        <v>30</v>
      </c>
      <c r="Z1" s="130" t="s">
        <v>696</v>
      </c>
      <c r="AA1" s="130" t="s">
        <v>32</v>
      </c>
      <c r="AB1" s="130" t="s">
        <v>33</v>
      </c>
      <c r="AC1" s="130" t="s">
        <v>34</v>
      </c>
      <c r="AD1" s="130" t="s">
        <v>697</v>
      </c>
      <c r="AE1" s="130" t="s">
        <v>698</v>
      </c>
      <c r="AF1" s="130" t="s">
        <v>699</v>
      </c>
      <c r="AG1" s="130" t="s">
        <v>700</v>
      </c>
      <c r="AH1" s="130" t="s">
        <v>39</v>
      </c>
      <c r="AI1" s="130" t="s">
        <v>40</v>
      </c>
      <c r="AJ1" s="130" t="s">
        <v>701</v>
      </c>
      <c r="AK1" s="130" t="s">
        <v>702</v>
      </c>
      <c r="AL1" s="130" t="s">
        <v>692</v>
      </c>
      <c r="AM1" s="130" t="s">
        <v>12</v>
      </c>
      <c r="AN1" s="130" t="s">
        <v>9</v>
      </c>
      <c r="AO1" s="130" t="s">
        <v>703</v>
      </c>
      <c r="AP1" s="130" t="s">
        <v>704</v>
      </c>
      <c r="AQ1" s="130" t="s">
        <v>705</v>
      </c>
      <c r="AR1" s="130" t="s">
        <v>642</v>
      </c>
      <c r="AS1" s="130" t="s">
        <v>643</v>
      </c>
      <c r="AT1" s="130" t="s">
        <v>644</v>
      </c>
      <c r="AU1" s="130" t="s">
        <v>645</v>
      </c>
      <c r="AV1" s="130" t="s">
        <v>646</v>
      </c>
      <c r="AW1" s="130" t="s">
        <v>647</v>
      </c>
      <c r="AX1" s="130" t="s">
        <v>648</v>
      </c>
      <c r="AY1" s="130" t="s">
        <v>649</v>
      </c>
      <c r="AZ1" s="130" t="s">
        <v>650</v>
      </c>
      <c r="BA1" s="130" t="s">
        <v>651</v>
      </c>
      <c r="BB1" s="130" t="s">
        <v>652</v>
      </c>
      <c r="BC1" s="130" t="s">
        <v>653</v>
      </c>
      <c r="BD1" s="130" t="s">
        <v>654</v>
      </c>
      <c r="BE1" s="130" t="s">
        <v>655</v>
      </c>
      <c r="BF1" s="130" t="s">
        <v>656</v>
      </c>
      <c r="BG1" s="130" t="s">
        <v>657</v>
      </c>
      <c r="BH1" s="130" t="s">
        <v>658</v>
      </c>
      <c r="BI1" s="130" t="s">
        <v>659</v>
      </c>
      <c r="BJ1" s="130" t="s">
        <v>660</v>
      </c>
      <c r="BK1" s="130" t="s">
        <v>661</v>
      </c>
      <c r="BL1" s="130" t="s">
        <v>662</v>
      </c>
      <c r="BM1" s="130" t="s">
        <v>663</v>
      </c>
      <c r="BN1" s="130" t="s">
        <v>664</v>
      </c>
      <c r="BO1" s="130" t="s">
        <v>665</v>
      </c>
    </row>
    <row r="2" customFormat="false" ht="15" hidden="false" customHeight="true" outlineLevel="0" collapsed="false">
      <c r="A2" s="131" t="n">
        <v>110</v>
      </c>
      <c r="B2" s="131"/>
      <c r="C2" s="132" t="s">
        <v>45</v>
      </c>
      <c r="D2" s="133" t="s">
        <v>45</v>
      </c>
      <c r="E2" s="134" t="n">
        <f aca="false">IF(I2="regional",IF(R2*0.2975,S2*0.3484),S2*0.1939)</f>
        <v>221768.794</v>
      </c>
      <c r="F2" s="134" t="n">
        <v>0</v>
      </c>
      <c r="G2" s="135" t="n">
        <f aca="false">E2+F2</f>
        <v>221768.794</v>
      </c>
      <c r="H2" s="132"/>
      <c r="I2" s="133" t="s">
        <v>48</v>
      </c>
      <c r="J2" s="133" t="s">
        <v>49</v>
      </c>
      <c r="K2" s="133" t="s">
        <v>50</v>
      </c>
      <c r="L2" s="133"/>
      <c r="M2" s="136" t="n">
        <v>80</v>
      </c>
      <c r="N2" s="136" t="n">
        <v>0.739</v>
      </c>
      <c r="O2" s="136" t="n">
        <v>0.75</v>
      </c>
      <c r="P2" s="136" t="n">
        <v>0.675</v>
      </c>
      <c r="Q2" s="136" t="n">
        <v>0.71</v>
      </c>
      <c r="R2" s="136" t="n">
        <v>746273</v>
      </c>
      <c r="S2" s="136" t="n">
        <v>636535</v>
      </c>
      <c r="T2" s="8" t="n">
        <f aca="false">IF(I2="regional",IF(R2&gt;0,R2*0.2975,S2*0.3484),S2*0.1939)</f>
        <v>222016.2175</v>
      </c>
      <c r="U2" s="136" t="n">
        <v>426315</v>
      </c>
      <c r="V2" s="136" t="n">
        <v>210220</v>
      </c>
      <c r="W2" s="136" t="n">
        <v>3017</v>
      </c>
      <c r="X2" s="136" t="n">
        <v>0</v>
      </c>
      <c r="Y2" s="136" t="n">
        <v>0</v>
      </c>
      <c r="Z2" s="136" t="n">
        <v>0</v>
      </c>
      <c r="AA2" s="136" t="n">
        <v>858551.2175</v>
      </c>
      <c r="AB2" s="136" t="n">
        <v>222016.2175</v>
      </c>
      <c r="AC2" s="136" t="n">
        <v>636535</v>
      </c>
      <c r="AD2" s="136" t="n">
        <v>0</v>
      </c>
      <c r="AE2" s="136" t="n">
        <v>0</v>
      </c>
      <c r="AF2" s="136" t="n">
        <v>0</v>
      </c>
      <c r="AG2" s="136" t="n">
        <v>636535</v>
      </c>
      <c r="AH2" s="136" t="n">
        <v>0</v>
      </c>
      <c r="AI2" s="136" t="n">
        <v>0</v>
      </c>
      <c r="AJ2" s="132" t="n">
        <v>4</v>
      </c>
      <c r="AK2" s="132" t="s">
        <v>706</v>
      </c>
      <c r="AL2" s="133" t="s">
        <v>48</v>
      </c>
      <c r="AM2" s="132"/>
      <c r="AN2" s="133" t="s">
        <v>45</v>
      </c>
      <c r="AO2" s="133" t="n">
        <v>222016.2175</v>
      </c>
      <c r="AP2" s="137" t="n">
        <f aca="false">AR2+AT2+AU2+AV2+AX2+AY2+AZ2+BD2+BF2+BG2+BH2+BJ2+BK2+(BL2+BM2+BN2)/1000+(0.1*BO2)</f>
        <v>153.5589</v>
      </c>
      <c r="AQ2" s="137" t="n">
        <f aca="false">AR2+AT2+AU2+AV2+AX2+AY2+AZ2+BB2+BC2+BD2+BF2+BG2+BH2+BJ2+BK2+(BL2+BM2+BN2)/1000+(0.1*BO2)</f>
        <v>164.5589</v>
      </c>
      <c r="AR2" s="131" t="n">
        <v>42</v>
      </c>
      <c r="AS2" s="131" t="n">
        <v>0</v>
      </c>
      <c r="AT2" s="131" t="n">
        <v>26</v>
      </c>
      <c r="AU2" s="131" t="n">
        <v>33</v>
      </c>
      <c r="AV2" s="131" t="n">
        <v>0</v>
      </c>
      <c r="AW2" s="131" t="n">
        <v>0</v>
      </c>
      <c r="AX2" s="131" t="n">
        <v>0</v>
      </c>
      <c r="AY2" s="131" t="n">
        <v>0</v>
      </c>
      <c r="AZ2" s="131" t="n">
        <v>0</v>
      </c>
      <c r="BA2" s="131" t="n">
        <v>0</v>
      </c>
      <c r="BB2" s="131" t="n">
        <v>7</v>
      </c>
      <c r="BC2" s="131" t="n">
        <v>4</v>
      </c>
      <c r="BD2" s="131" t="n">
        <v>0</v>
      </c>
      <c r="BE2" s="131" t="n">
        <v>0</v>
      </c>
      <c r="BF2" s="131" t="n">
        <v>0</v>
      </c>
      <c r="BG2" s="131" t="n">
        <v>0</v>
      </c>
      <c r="BH2" s="131" t="n">
        <v>0</v>
      </c>
      <c r="BI2" s="131" t="n">
        <v>0</v>
      </c>
      <c r="BJ2" s="131" t="n">
        <v>0</v>
      </c>
      <c r="BK2" s="131" t="n">
        <v>0</v>
      </c>
      <c r="BL2" s="131" t="n">
        <v>8728</v>
      </c>
      <c r="BM2" s="131" t="n">
        <v>0</v>
      </c>
      <c r="BN2" s="131" t="n">
        <v>0</v>
      </c>
      <c r="BO2" s="131" t="n">
        <v>438.309</v>
      </c>
    </row>
    <row r="3" customFormat="false" ht="15" hidden="false" customHeight="true" outlineLevel="0" collapsed="false">
      <c r="A3" s="131" t="n">
        <v>328</v>
      </c>
      <c r="B3" s="131" t="s">
        <v>44</v>
      </c>
      <c r="C3" s="132" t="s">
        <v>52</v>
      </c>
      <c r="D3" s="133" t="s">
        <v>52</v>
      </c>
      <c r="E3" s="134" t="n">
        <f aca="false">IF(I3="regional",IF(R3*0.2975,S3*0.3484),S3*0.1939)</f>
        <v>191628.3616</v>
      </c>
      <c r="F3" s="134" t="n">
        <v>276843</v>
      </c>
      <c r="G3" s="135" t="n">
        <f aca="false">E3+F3</f>
        <v>468471.3616</v>
      </c>
      <c r="H3" s="132"/>
      <c r="I3" s="133" t="s">
        <v>48</v>
      </c>
      <c r="J3" s="133" t="s">
        <v>44</v>
      </c>
      <c r="K3" s="133" t="s">
        <v>55</v>
      </c>
      <c r="L3" s="133" t="s">
        <v>44</v>
      </c>
      <c r="M3" s="136" t="n">
        <v>64</v>
      </c>
      <c r="N3" s="136" t="n">
        <v>0.735</v>
      </c>
      <c r="O3" s="136" t="n">
        <v>0.754</v>
      </c>
      <c r="P3" s="136" t="n">
        <v>0.68</v>
      </c>
      <c r="Q3" s="136" t="n">
        <v>0.704</v>
      </c>
      <c r="R3" s="136" t="n">
        <v>628918</v>
      </c>
      <c r="S3" s="136" t="n">
        <v>550024</v>
      </c>
      <c r="T3" s="8" t="n">
        <f aca="false">IF(I3="regional",IF(R3&gt;0,R3*0.2975,S3*0.3484),S3*0.1939)</f>
        <v>187103.105</v>
      </c>
      <c r="U3" s="136" t="n">
        <v>332773</v>
      </c>
      <c r="V3" s="136" t="n">
        <v>217251</v>
      </c>
      <c r="W3" s="136" t="n">
        <v>3242</v>
      </c>
      <c r="X3" s="136" t="n">
        <v>463946.105</v>
      </c>
      <c r="Y3" s="136" t="n">
        <v>187103.105</v>
      </c>
      <c r="Z3" s="136" t="n">
        <v>276843</v>
      </c>
      <c r="AA3" s="136" t="n">
        <v>273181</v>
      </c>
      <c r="AB3" s="136" t="n">
        <v>0</v>
      </c>
      <c r="AC3" s="136" t="n">
        <v>273181</v>
      </c>
      <c r="AD3" s="136" t="n">
        <v>276843</v>
      </c>
      <c r="AE3" s="136" t="n">
        <v>0</v>
      </c>
      <c r="AF3" s="136" t="n">
        <v>273181</v>
      </c>
      <c r="AG3" s="136" t="n">
        <v>0</v>
      </c>
      <c r="AH3" s="136" t="n">
        <v>189000</v>
      </c>
      <c r="AI3" s="136" t="n">
        <v>222000</v>
      </c>
      <c r="AJ3" s="132" t="s">
        <v>707</v>
      </c>
      <c r="AK3" s="132" t="s">
        <v>708</v>
      </c>
      <c r="AL3" s="133" t="s">
        <v>48</v>
      </c>
      <c r="AM3" s="132"/>
      <c r="AN3" s="133" t="s">
        <v>52</v>
      </c>
      <c r="AO3" s="133" t="n">
        <v>463946.105</v>
      </c>
      <c r="AP3" s="137" t="n">
        <f aca="false">AR3+AT3+AU3+AV3+AX3+AY3+AZ3+BD3+BF3+BG3+BH3+BJ3+BK3+(BL3+BM3+BN3)/1000+(0.1*BO3)</f>
        <v>366.892</v>
      </c>
      <c r="AQ3" s="137" t="n">
        <f aca="false">AR3+AT3+AU3+AV3+AX3+AY3+AZ3+BB3+BC3+BD3+BF3+BG3+BH3+BJ3+BK3+(BL3+BM3+BN3)/1000+(0.1*BO3)</f>
        <v>394.892</v>
      </c>
      <c r="AR3" s="131" t="n">
        <v>181</v>
      </c>
      <c r="AS3" s="131" t="n">
        <v>222</v>
      </c>
      <c r="AT3" s="131" t="n">
        <v>44</v>
      </c>
      <c r="AU3" s="131" t="n">
        <v>19</v>
      </c>
      <c r="AV3" s="131" t="n">
        <v>0</v>
      </c>
      <c r="AW3" s="131" t="n">
        <v>0</v>
      </c>
      <c r="AX3" s="131" t="n">
        <v>0</v>
      </c>
      <c r="AY3" s="131" t="n">
        <v>0</v>
      </c>
      <c r="AZ3" s="131" t="n">
        <v>7</v>
      </c>
      <c r="BA3" s="131" t="n">
        <v>10</v>
      </c>
      <c r="BB3" s="131" t="n">
        <v>28</v>
      </c>
      <c r="BC3" s="131" t="n">
        <v>0</v>
      </c>
      <c r="BD3" s="131" t="n">
        <v>30</v>
      </c>
      <c r="BE3" s="131" t="n">
        <v>0</v>
      </c>
      <c r="BF3" s="131" t="n">
        <v>0</v>
      </c>
      <c r="BG3" s="131" t="n">
        <v>0</v>
      </c>
      <c r="BH3" s="131" t="n">
        <v>34</v>
      </c>
      <c r="BI3" s="131" t="n">
        <v>0</v>
      </c>
      <c r="BJ3" s="131" t="n">
        <v>0</v>
      </c>
      <c r="BK3" s="131" t="n">
        <v>0</v>
      </c>
      <c r="BL3" s="131" t="n">
        <v>0</v>
      </c>
      <c r="BM3" s="131" t="n">
        <v>0</v>
      </c>
      <c r="BN3" s="131" t="n">
        <v>0</v>
      </c>
      <c r="BO3" s="131" t="n">
        <v>518.92</v>
      </c>
    </row>
    <row r="4" customFormat="false" ht="15" hidden="false" customHeight="true" outlineLevel="0" collapsed="false">
      <c r="A4" s="138" t="n">
        <v>115</v>
      </c>
      <c r="B4" s="138"/>
      <c r="C4" s="139" t="s">
        <v>709</v>
      </c>
      <c r="D4" s="140" t="s">
        <v>709</v>
      </c>
      <c r="E4" s="134" t="n">
        <f aca="false">IF(I4="regional",IF(R4*0.2975,S4*0.3484),S4*0.1939)</f>
        <v>0</v>
      </c>
      <c r="F4" s="141"/>
      <c r="G4" s="135" t="n">
        <f aca="false">E4+F4</f>
        <v>0</v>
      </c>
      <c r="H4" s="139" t="s">
        <v>49</v>
      </c>
      <c r="I4" s="140" t="s">
        <v>48</v>
      </c>
      <c r="J4" s="140"/>
      <c r="K4" s="140"/>
      <c r="L4" s="140" t="s">
        <v>44</v>
      </c>
      <c r="M4" s="142"/>
      <c r="N4" s="142"/>
      <c r="O4" s="142"/>
      <c r="P4" s="142"/>
      <c r="Q4" s="142"/>
      <c r="R4" s="142"/>
      <c r="S4" s="142"/>
      <c r="T4" s="8" t="n">
        <f aca="false">IF(I4="regional",IF(R4&gt;0,R4*0.2975,S4*0.3484),S4*0.1939)</f>
        <v>0</v>
      </c>
      <c r="U4" s="142"/>
      <c r="V4" s="142"/>
      <c r="W4" s="142"/>
      <c r="X4" s="142"/>
      <c r="Y4" s="142"/>
      <c r="Z4" s="142"/>
      <c r="AA4" s="142"/>
      <c r="AB4" s="142"/>
      <c r="AC4" s="142"/>
      <c r="AD4" s="142"/>
      <c r="AE4" s="142"/>
      <c r="AF4" s="142"/>
      <c r="AG4" s="142"/>
      <c r="AH4" s="142"/>
      <c r="AI4" s="142"/>
      <c r="AJ4" s="139" t="s">
        <v>710</v>
      </c>
      <c r="AK4" s="139" t="s">
        <v>711</v>
      </c>
      <c r="AL4" s="143" t="s">
        <v>128</v>
      </c>
      <c r="AM4" s="139" t="s">
        <v>49</v>
      </c>
      <c r="AN4" s="143" t="s">
        <v>709</v>
      </c>
      <c r="AO4" s="143" t="n">
        <v>0</v>
      </c>
      <c r="AP4" s="144" t="n">
        <f aca="false">AR4+AT4+AU4+AV4+AX4+AY4+AZ4+BD4+BF4+BG4+BH4+BJ4+BK4+(BL4+BM4+BN4)/1000+(0.1*BO4)</f>
        <v>334</v>
      </c>
      <c r="AQ4" s="137" t="n">
        <f aca="false">AR4+AT4+AU4+AV4+AX4+AY4+AZ4+BB4+BC4+BD4+BF4+BG4+BH4+BJ4+BK4+(BL4+BM4+BN4)/1000+(0.1*BO4)</f>
        <v>380</v>
      </c>
      <c r="AR4" s="145" t="n">
        <v>94</v>
      </c>
      <c r="AS4" s="145" t="n">
        <v>0</v>
      </c>
      <c r="AT4" s="145" t="n">
        <v>125</v>
      </c>
      <c r="AU4" s="145" t="n">
        <v>1</v>
      </c>
      <c r="AV4" s="145" t="n">
        <v>21</v>
      </c>
      <c r="AW4" s="145" t="n">
        <v>6</v>
      </c>
      <c r="AX4" s="145" t="n">
        <v>10</v>
      </c>
      <c r="AY4" s="145" t="n">
        <v>0</v>
      </c>
      <c r="AZ4" s="145" t="n">
        <v>0</v>
      </c>
      <c r="BA4" s="145" t="n">
        <v>0</v>
      </c>
      <c r="BB4" s="145" t="n">
        <v>46</v>
      </c>
      <c r="BC4" s="145" t="n">
        <v>0</v>
      </c>
      <c r="BD4" s="145" t="n">
        <v>-2</v>
      </c>
      <c r="BE4" s="145" t="n">
        <v>0</v>
      </c>
      <c r="BF4" s="145" t="n">
        <v>0</v>
      </c>
      <c r="BG4" s="145" t="n">
        <v>0</v>
      </c>
      <c r="BH4" s="145" t="n">
        <v>41</v>
      </c>
      <c r="BI4" s="145" t="n">
        <v>0</v>
      </c>
      <c r="BJ4" s="145" t="n">
        <v>0</v>
      </c>
      <c r="BK4" s="145" t="n">
        <v>0</v>
      </c>
      <c r="BL4" s="145" t="n">
        <v>0</v>
      </c>
      <c r="BM4" s="145" t="n">
        <v>0</v>
      </c>
      <c r="BN4" s="145" t="n">
        <v>44000</v>
      </c>
      <c r="BO4" s="145" t="n">
        <v>0</v>
      </c>
    </row>
    <row r="5" customFormat="false" ht="15" hidden="false" customHeight="true" outlineLevel="0" collapsed="false">
      <c r="A5" s="131" t="n">
        <v>124</v>
      </c>
      <c r="B5" s="131" t="s">
        <v>44</v>
      </c>
      <c r="C5" s="132" t="s">
        <v>56</v>
      </c>
      <c r="D5" s="133" t="s">
        <v>56</v>
      </c>
      <c r="E5" s="134" t="n">
        <f aca="false">IF(I5="regional",IF(R5*0.2975,S5*0.3484),S5*0.1939)</f>
        <v>220331.9924</v>
      </c>
      <c r="F5" s="134" t="n">
        <v>342809</v>
      </c>
      <c r="G5" s="135" t="n">
        <f aca="false">E5+F5</f>
        <v>563140.9924</v>
      </c>
      <c r="H5" s="132"/>
      <c r="I5" s="133" t="s">
        <v>48</v>
      </c>
      <c r="J5" s="133" t="s">
        <v>44</v>
      </c>
      <c r="K5" s="133" t="s">
        <v>59</v>
      </c>
      <c r="L5" s="133" t="s">
        <v>44</v>
      </c>
      <c r="M5" s="136" t="n">
        <v>107</v>
      </c>
      <c r="N5" s="136" t="n">
        <v>0.935</v>
      </c>
      <c r="O5" s="136" t="n">
        <v>0.934</v>
      </c>
      <c r="P5" s="136" t="n">
        <v>0.747</v>
      </c>
      <c r="Q5" s="136" t="n">
        <v>0.843</v>
      </c>
      <c r="R5" s="136" t="n">
        <v>739600</v>
      </c>
      <c r="S5" s="136" t="n">
        <v>632411</v>
      </c>
      <c r="T5" s="8" t="n">
        <f aca="false">IF(I5="regional",IF(R5&gt;0,R5*0.2975,S5*0.3484),S5*0.1939)</f>
        <v>220031</v>
      </c>
      <c r="U5" s="136" t="n">
        <v>404394</v>
      </c>
      <c r="V5" s="136" t="n">
        <v>228017</v>
      </c>
      <c r="W5" s="136" t="n">
        <v>3500</v>
      </c>
      <c r="X5" s="136" t="n">
        <v>562840</v>
      </c>
      <c r="Y5" s="136" t="n">
        <v>220031</v>
      </c>
      <c r="Z5" s="136" t="n">
        <v>342809</v>
      </c>
      <c r="AA5" s="136" t="n">
        <v>289602</v>
      </c>
      <c r="AB5" s="136" t="n">
        <v>0</v>
      </c>
      <c r="AC5" s="136" t="n">
        <v>289602</v>
      </c>
      <c r="AD5" s="136" t="n">
        <v>342809</v>
      </c>
      <c r="AE5" s="136" t="n">
        <v>0</v>
      </c>
      <c r="AF5" s="136" t="n">
        <v>289602</v>
      </c>
      <c r="AG5" s="136" t="n">
        <v>0</v>
      </c>
      <c r="AH5" s="136" t="n">
        <v>301000</v>
      </c>
      <c r="AI5" s="136" t="n">
        <v>239000</v>
      </c>
      <c r="AJ5" s="132" t="s">
        <v>707</v>
      </c>
      <c r="AK5" s="132" t="s">
        <v>712</v>
      </c>
      <c r="AL5" s="133" t="s">
        <v>48</v>
      </c>
      <c r="AM5" s="132"/>
      <c r="AN5" s="133" t="s">
        <v>56</v>
      </c>
      <c r="AO5" s="133" t="n">
        <v>562840</v>
      </c>
      <c r="AP5" s="137" t="n">
        <f aca="false">AR5+AT5+AU5+AV5+AX5+AY5+AZ5+BD5+BF5+BG5+BH5+BJ5+BK5+(BL5+BM5+BN5)/1000+(0.1*BO5)</f>
        <v>356.4969</v>
      </c>
      <c r="AQ5" s="137" t="n">
        <f aca="false">AR5+AT5+AU5+AV5+AX5+AY5+AZ5+BB5+BC5+BD5+BF5+BG5+BH5+BJ5+BK5+(BL5+BM5+BN5)/1000+(0.1*BO5)</f>
        <v>377.4969</v>
      </c>
      <c r="AR5" s="131" t="n">
        <v>144</v>
      </c>
      <c r="AS5" s="131" t="n">
        <v>239</v>
      </c>
      <c r="AT5" s="131" t="n">
        <v>59</v>
      </c>
      <c r="AU5" s="131" t="n">
        <v>8</v>
      </c>
      <c r="AV5" s="131" t="n">
        <v>0</v>
      </c>
      <c r="AW5" s="131" t="n">
        <v>0</v>
      </c>
      <c r="AX5" s="131" t="n">
        <v>0</v>
      </c>
      <c r="AY5" s="131" t="n">
        <v>0</v>
      </c>
      <c r="AZ5" s="131" t="n">
        <v>11</v>
      </c>
      <c r="BA5" s="131" t="n">
        <v>15</v>
      </c>
      <c r="BB5" s="131" t="n">
        <v>21</v>
      </c>
      <c r="BC5" s="131" t="n">
        <v>0</v>
      </c>
      <c r="BD5" s="131" t="n">
        <v>23</v>
      </c>
      <c r="BE5" s="131" t="n">
        <v>0</v>
      </c>
      <c r="BF5" s="131" t="n">
        <v>0</v>
      </c>
      <c r="BG5" s="131" t="n">
        <v>0</v>
      </c>
      <c r="BH5" s="131" t="n">
        <v>43</v>
      </c>
      <c r="BI5" s="131" t="n">
        <v>0</v>
      </c>
      <c r="BJ5" s="131" t="n">
        <v>0</v>
      </c>
      <c r="BK5" s="131" t="n">
        <v>0</v>
      </c>
      <c r="BL5" s="131" t="n">
        <v>0</v>
      </c>
      <c r="BM5" s="131" t="n">
        <v>0</v>
      </c>
      <c r="BN5" s="131" t="n">
        <v>14564</v>
      </c>
      <c r="BO5" s="131" t="n">
        <v>539.329</v>
      </c>
    </row>
    <row r="6" customFormat="false" ht="15" hidden="false" customHeight="true" outlineLevel="0" collapsed="false">
      <c r="A6" s="131" t="n">
        <v>140</v>
      </c>
      <c r="B6" s="131"/>
      <c r="C6" s="132" t="s">
        <v>64</v>
      </c>
      <c r="D6" s="133" t="s">
        <v>64</v>
      </c>
      <c r="E6" s="134" t="n">
        <f aca="false">IF(I6="regional",IF(R6*0.2975,S6*0.3484),S6*0.1939)</f>
        <v>17620.4686</v>
      </c>
      <c r="F6" s="134" t="n">
        <v>0</v>
      </c>
      <c r="G6" s="135" t="n">
        <f aca="false">E6+F6</f>
        <v>17620.4686</v>
      </c>
      <c r="H6" s="132"/>
      <c r="I6" s="133" t="s">
        <v>62</v>
      </c>
      <c r="J6" s="133" t="s">
        <v>49</v>
      </c>
      <c r="K6" s="133" t="s">
        <v>67</v>
      </c>
      <c r="L6" s="133"/>
      <c r="M6" s="136" t="n">
        <v>5</v>
      </c>
      <c r="N6" s="136" t="n">
        <v>1</v>
      </c>
      <c r="O6" s="136" t="n">
        <v>1</v>
      </c>
      <c r="P6" s="136" t="n">
        <v>0.747</v>
      </c>
      <c r="Q6" s="136" t="n">
        <v>0.843</v>
      </c>
      <c r="R6" s="136" t="n">
        <v>0</v>
      </c>
      <c r="S6" s="136" t="n">
        <v>90874</v>
      </c>
      <c r="T6" s="8" t="n">
        <f aca="false">IF(I6="regional",IF(R6&gt;0,R6*0.2975,S6*0.3484),S6*0.1939)</f>
        <v>17620.4686</v>
      </c>
      <c r="U6" s="136" t="n">
        <v>81047</v>
      </c>
      <c r="V6" s="136" t="n">
        <v>9827</v>
      </c>
      <c r="W6" s="136" t="n">
        <v>488</v>
      </c>
      <c r="X6" s="136" t="n">
        <v>0</v>
      </c>
      <c r="Y6" s="136" t="n">
        <v>0</v>
      </c>
      <c r="Z6" s="136" t="n">
        <v>0</v>
      </c>
      <c r="AA6" s="136" t="n">
        <v>108494.4686</v>
      </c>
      <c r="AB6" s="136" t="n">
        <v>17620.4686</v>
      </c>
      <c r="AC6" s="136" t="n">
        <v>90874</v>
      </c>
      <c r="AD6" s="136" t="n">
        <v>0</v>
      </c>
      <c r="AE6" s="136" t="n">
        <v>0</v>
      </c>
      <c r="AF6" s="136" t="n">
        <v>0</v>
      </c>
      <c r="AG6" s="136" t="n">
        <v>90874</v>
      </c>
      <c r="AH6" s="136" t="n">
        <v>0</v>
      </c>
      <c r="AI6" s="136" t="n">
        <v>0</v>
      </c>
      <c r="AJ6" s="132" t="n">
        <v>4</v>
      </c>
      <c r="AK6" s="132" t="s">
        <v>713</v>
      </c>
      <c r="AL6" s="133" t="s">
        <v>62</v>
      </c>
      <c r="AM6" s="132"/>
      <c r="AN6" s="133" t="s">
        <v>64</v>
      </c>
      <c r="AO6" s="133" t="n">
        <v>17620.4686</v>
      </c>
      <c r="AP6" s="137" t="n">
        <f aca="false">AR6+AT6+AU6+AV6+AX6+AY6+AZ6+BD6+BF6+BG6+BH6+BJ6+BK6+(BL6+BM6+BN6)/1000+(0.1*BO6)</f>
        <v>5</v>
      </c>
      <c r="AQ6" s="137" t="n">
        <f aca="false">AR6+AT6+AU6+AV6+AX6+AY6+AZ6+BB6+BC6+BD6+BF6+BG6+BH6+BJ6+BK6+(BL6+BM6+BN6)/1000+(0.1*BO6)</f>
        <v>6</v>
      </c>
      <c r="AR6" s="131" t="n">
        <v>0</v>
      </c>
      <c r="AS6" s="131" t="n">
        <v>0</v>
      </c>
      <c r="AT6" s="131" t="n">
        <v>5</v>
      </c>
      <c r="AU6" s="131" t="n">
        <v>0</v>
      </c>
      <c r="AV6" s="131" t="n">
        <v>0</v>
      </c>
      <c r="AW6" s="131" t="n">
        <v>0</v>
      </c>
      <c r="AX6" s="131" t="n">
        <v>0</v>
      </c>
      <c r="AY6" s="131" t="n">
        <v>0</v>
      </c>
      <c r="AZ6" s="131" t="n">
        <v>0</v>
      </c>
      <c r="BA6" s="131" t="n">
        <v>0</v>
      </c>
      <c r="BB6" s="131" t="n">
        <v>1</v>
      </c>
      <c r="BC6" s="131" t="n">
        <v>0</v>
      </c>
      <c r="BD6" s="131" t="n">
        <v>0</v>
      </c>
      <c r="BE6" s="131" t="n">
        <v>0</v>
      </c>
      <c r="BF6" s="131" t="n">
        <v>0</v>
      </c>
      <c r="BG6" s="131" t="n">
        <v>0</v>
      </c>
      <c r="BH6" s="131" t="n">
        <v>0</v>
      </c>
      <c r="BI6" s="131" t="n">
        <v>0</v>
      </c>
      <c r="BJ6" s="131" t="n">
        <v>0</v>
      </c>
      <c r="BK6" s="131" t="n">
        <v>0</v>
      </c>
      <c r="BL6" s="131" t="n">
        <v>0</v>
      </c>
      <c r="BM6" s="131" t="n">
        <v>0</v>
      </c>
      <c r="BN6" s="131" t="n">
        <v>0</v>
      </c>
      <c r="BO6" s="131" t="n">
        <v>0</v>
      </c>
    </row>
    <row r="7" customFormat="false" ht="15" hidden="false" customHeight="true" outlineLevel="0" collapsed="false">
      <c r="A7" s="131" t="n">
        <v>4820</v>
      </c>
      <c r="B7" s="131"/>
      <c r="C7" s="132" t="s">
        <v>68</v>
      </c>
      <c r="D7" s="133" t="s">
        <v>68</v>
      </c>
      <c r="E7" s="134" t="n">
        <f aca="false">IF(I7="regional",IF(R7*0.2975,S7*0.3484),S7*0.1939)</f>
        <v>330980</v>
      </c>
      <c r="F7" s="134" t="n">
        <v>0</v>
      </c>
      <c r="G7" s="135" t="n">
        <f aca="false">E7+F7</f>
        <v>330980</v>
      </c>
      <c r="H7" s="132"/>
      <c r="I7" s="133" t="s">
        <v>48</v>
      </c>
      <c r="J7" s="133" t="s">
        <v>49</v>
      </c>
      <c r="K7" s="133" t="s">
        <v>67</v>
      </c>
      <c r="L7" s="133"/>
      <c r="M7" s="136" t="n">
        <v>130</v>
      </c>
      <c r="N7" s="136" t="n">
        <v>0.674</v>
      </c>
      <c r="O7" s="136" t="n">
        <v>0.692</v>
      </c>
      <c r="P7" s="136" t="n">
        <v>0.925</v>
      </c>
      <c r="Q7" s="136" t="n">
        <v>0.952</v>
      </c>
      <c r="R7" s="136" t="n">
        <v>501572</v>
      </c>
      <c r="S7" s="136" t="n">
        <v>950000</v>
      </c>
      <c r="T7" s="8" t="n">
        <f aca="false">IF(I7="regional",IF(R7&gt;0,R7*0.2975,S7*0.3484),S7*0.1939)</f>
        <v>149217.67</v>
      </c>
      <c r="U7" s="136" t="n">
        <v>501572</v>
      </c>
      <c r="V7" s="136" t="n">
        <v>448428</v>
      </c>
      <c r="W7" s="136" t="n">
        <v>5500</v>
      </c>
      <c r="X7" s="136" t="n">
        <v>0</v>
      </c>
      <c r="Y7" s="136" t="n">
        <v>0</v>
      </c>
      <c r="Z7" s="136" t="n">
        <v>0</v>
      </c>
      <c r="AA7" s="136" t="n">
        <v>1099217.67</v>
      </c>
      <c r="AB7" s="136" t="n">
        <v>149217.67</v>
      </c>
      <c r="AC7" s="136" t="n">
        <v>950000</v>
      </c>
      <c r="AD7" s="136" t="n">
        <v>0</v>
      </c>
      <c r="AE7" s="136" t="n">
        <v>0</v>
      </c>
      <c r="AF7" s="136" t="n">
        <v>0</v>
      </c>
      <c r="AG7" s="136" t="n">
        <v>950000</v>
      </c>
      <c r="AH7" s="136" t="n">
        <v>0</v>
      </c>
      <c r="AI7" s="136" t="n">
        <v>0</v>
      </c>
      <c r="AJ7" s="132" t="n">
        <v>4</v>
      </c>
      <c r="AK7" s="132" t="s">
        <v>713</v>
      </c>
      <c r="AL7" s="133" t="s">
        <v>48</v>
      </c>
      <c r="AM7" s="132"/>
      <c r="AN7" s="133" t="s">
        <v>68</v>
      </c>
      <c r="AO7" s="133" t="n">
        <v>149217.67</v>
      </c>
      <c r="AP7" s="137" t="n">
        <f aca="false">AR7+AT7+AU7+AV7+AX7+AY7+AZ7+BD7+BF7+BG7+BH7+BJ7+BK7+(BL7+BM7+BN7)/1000+(0.1*BO7)</f>
        <v>228.306265</v>
      </c>
      <c r="AQ7" s="137" t="n">
        <f aca="false">AR7+AT7+AU7+AV7+AX7+AY7+AZ7+BB7+BC7+BD7+BF7+BG7+BH7+BJ7+BK7+(BL7+BM7+BN7)/1000+(0.1*BO7)</f>
        <v>243.306265</v>
      </c>
      <c r="AR7" s="131" t="n">
        <v>0</v>
      </c>
      <c r="AS7" s="131" t="n">
        <v>0</v>
      </c>
      <c r="AT7" s="131" t="n">
        <v>160</v>
      </c>
      <c r="AU7" s="131" t="n">
        <v>49</v>
      </c>
      <c r="AV7" s="131" t="n">
        <v>0</v>
      </c>
      <c r="AW7" s="131" t="n">
        <v>0</v>
      </c>
      <c r="AX7" s="131" t="n">
        <v>17</v>
      </c>
      <c r="AY7" s="131" t="n">
        <v>2</v>
      </c>
      <c r="AZ7" s="131" t="n">
        <v>0</v>
      </c>
      <c r="BA7" s="131" t="n">
        <v>0</v>
      </c>
      <c r="BB7" s="131" t="n">
        <v>11</v>
      </c>
      <c r="BC7" s="131" t="n">
        <v>4</v>
      </c>
      <c r="BD7" s="131" t="n">
        <v>0</v>
      </c>
      <c r="BE7" s="131" t="n">
        <v>1</v>
      </c>
      <c r="BF7" s="131" t="n">
        <v>0</v>
      </c>
      <c r="BG7" s="131" t="n">
        <v>0</v>
      </c>
      <c r="BH7" s="131" t="n">
        <v>0</v>
      </c>
      <c r="BI7" s="131" t="n">
        <v>0</v>
      </c>
      <c r="BJ7" s="131" t="n">
        <v>0</v>
      </c>
      <c r="BK7" s="131" t="n">
        <v>0</v>
      </c>
      <c r="BL7" s="131" t="n">
        <v>0</v>
      </c>
      <c r="BM7" s="131" t="n">
        <v>0</v>
      </c>
      <c r="BN7" s="131" t="n">
        <v>0</v>
      </c>
      <c r="BO7" s="131" t="n">
        <v>3.06265</v>
      </c>
    </row>
    <row r="8" customFormat="false" ht="15" hidden="false" customHeight="true" outlineLevel="0" collapsed="false">
      <c r="A8" s="131" t="n">
        <v>3116</v>
      </c>
      <c r="B8" s="131"/>
      <c r="C8" s="132" t="s">
        <v>71</v>
      </c>
      <c r="D8" s="133" t="s">
        <v>71</v>
      </c>
      <c r="E8" s="134" t="n">
        <f aca="false">IF(I8="regional",IF(R8*0.2975,S8*0.3484),S8*0.1939)</f>
        <v>24103.5151</v>
      </c>
      <c r="F8" s="134" t="n">
        <v>0</v>
      </c>
      <c r="G8" s="135" t="n">
        <f aca="false">E8+F8</f>
        <v>24103.5151</v>
      </c>
      <c r="H8" s="132"/>
      <c r="I8" s="133" t="s">
        <v>62</v>
      </c>
      <c r="J8" s="133" t="s">
        <v>49</v>
      </c>
      <c r="K8" s="133" t="s">
        <v>67</v>
      </c>
      <c r="L8" s="133"/>
      <c r="M8" s="136" t="n">
        <v>22</v>
      </c>
      <c r="N8" s="136" t="n">
        <v>0.96</v>
      </c>
      <c r="O8" s="136" t="n">
        <v>0.96</v>
      </c>
      <c r="P8" s="136" t="n">
        <v>0.96</v>
      </c>
      <c r="Q8" s="136" t="n">
        <v>0.967</v>
      </c>
      <c r="R8" s="136" t="n">
        <v>0</v>
      </c>
      <c r="S8" s="136" t="n">
        <v>124309</v>
      </c>
      <c r="T8" s="8" t="n">
        <f aca="false">IF(I8="regional",IF(R8&gt;0,R8*0.2975,S8*0.3484),S8*0.1939)</f>
        <v>24103.5151</v>
      </c>
      <c r="U8" s="136" t="n">
        <v>81319</v>
      </c>
      <c r="V8" s="136" t="n">
        <v>42990</v>
      </c>
      <c r="W8" s="136" t="n">
        <v>1102</v>
      </c>
      <c r="X8" s="136" t="n">
        <v>0</v>
      </c>
      <c r="Y8" s="136" t="n">
        <v>0</v>
      </c>
      <c r="Z8" s="136" t="n">
        <v>0</v>
      </c>
      <c r="AA8" s="136" t="n">
        <v>148412.5151</v>
      </c>
      <c r="AB8" s="136" t="n">
        <v>24103.5151</v>
      </c>
      <c r="AC8" s="136" t="n">
        <v>124309</v>
      </c>
      <c r="AD8" s="136" t="n">
        <v>0</v>
      </c>
      <c r="AE8" s="136" t="n">
        <v>0</v>
      </c>
      <c r="AF8" s="136" t="n">
        <v>0</v>
      </c>
      <c r="AG8" s="136" t="n">
        <v>124309</v>
      </c>
      <c r="AH8" s="136" t="n">
        <v>0</v>
      </c>
      <c r="AI8" s="136" t="n">
        <v>0</v>
      </c>
      <c r="AJ8" s="132" t="n">
        <v>4</v>
      </c>
      <c r="AK8" s="132" t="s">
        <v>713</v>
      </c>
      <c r="AL8" s="133" t="s">
        <v>62</v>
      </c>
      <c r="AM8" s="132"/>
      <c r="AN8" s="133" t="s">
        <v>71</v>
      </c>
      <c r="AO8" s="133" t="n">
        <v>24103.5151</v>
      </c>
      <c r="AP8" s="137" t="n">
        <f aca="false">AR8+AT8+AU8+AV8+AX8+AY8+AZ8+BD8+BF8+BG8+BH8+BJ8+BK8+(BL8+BM8+BN8)/1000+(0.1*BO8)</f>
        <v>18</v>
      </c>
      <c r="AQ8" s="137" t="n">
        <f aca="false">AR8+AT8+AU8+AV8+AX8+AY8+AZ8+BB8+BC8+BD8+BF8+BG8+BH8+BJ8+BK8+(BL8+BM8+BN8)/1000+(0.1*BO8)</f>
        <v>40</v>
      </c>
      <c r="AR8" s="131" t="n">
        <v>0</v>
      </c>
      <c r="AS8" s="131" t="n">
        <v>0</v>
      </c>
      <c r="AT8" s="131" t="n">
        <v>5</v>
      </c>
      <c r="AU8" s="131" t="n">
        <v>11</v>
      </c>
      <c r="AV8" s="131" t="n">
        <v>0</v>
      </c>
      <c r="AW8" s="131" t="n">
        <v>0</v>
      </c>
      <c r="AX8" s="131" t="n">
        <v>0</v>
      </c>
      <c r="AY8" s="131" t="n">
        <v>2</v>
      </c>
      <c r="AZ8" s="131" t="n">
        <v>0</v>
      </c>
      <c r="BA8" s="131" t="n">
        <v>5</v>
      </c>
      <c r="BB8" s="131" t="n">
        <v>21</v>
      </c>
      <c r="BC8" s="131" t="n">
        <v>1</v>
      </c>
      <c r="BD8" s="131" t="n">
        <v>0</v>
      </c>
      <c r="BE8" s="131" t="n">
        <v>0</v>
      </c>
      <c r="BF8" s="131" t="n">
        <v>0</v>
      </c>
      <c r="BG8" s="131" t="n">
        <v>0</v>
      </c>
      <c r="BH8" s="131" t="n">
        <v>0</v>
      </c>
      <c r="BI8" s="131" t="n">
        <v>0</v>
      </c>
      <c r="BJ8" s="131" t="n">
        <v>0</v>
      </c>
      <c r="BK8" s="131" t="n">
        <v>0</v>
      </c>
      <c r="BL8" s="131" t="n">
        <v>0</v>
      </c>
      <c r="BM8" s="131" t="n">
        <v>0</v>
      </c>
      <c r="BN8" s="131" t="n">
        <v>0</v>
      </c>
      <c r="BO8" s="131" t="n">
        <v>0</v>
      </c>
    </row>
    <row r="9" customFormat="false" ht="15" hidden="false" customHeight="true" outlineLevel="0" collapsed="false">
      <c r="A9" s="131" t="n">
        <v>9087</v>
      </c>
      <c r="B9" s="131" t="s">
        <v>44</v>
      </c>
      <c r="C9" s="132" t="s">
        <v>73</v>
      </c>
      <c r="D9" s="133" t="s">
        <v>73</v>
      </c>
      <c r="E9" s="134" t="n">
        <f aca="false">IF(I9="regional",IF(R9*0.2975,S9*0.3484),S9*0.1939)</f>
        <v>386706.9284</v>
      </c>
      <c r="F9" s="134" t="n">
        <v>488036</v>
      </c>
      <c r="G9" s="135" t="n">
        <f aca="false">E9+F9</f>
        <v>874742.9284</v>
      </c>
      <c r="H9" s="132" t="s">
        <v>49</v>
      </c>
      <c r="I9" s="133" t="s">
        <v>48</v>
      </c>
      <c r="J9" s="133" t="s">
        <v>44</v>
      </c>
      <c r="K9" s="133" t="s">
        <v>76</v>
      </c>
      <c r="L9" s="133" t="s">
        <v>44</v>
      </c>
      <c r="M9" s="136" t="n">
        <v>141</v>
      </c>
      <c r="N9" s="136" t="n">
        <v>0.986</v>
      </c>
      <c r="O9" s="136" t="n">
        <v>0.986</v>
      </c>
      <c r="P9" s="136" t="n">
        <v>0.956</v>
      </c>
      <c r="Q9" s="136" t="n">
        <v>0.835</v>
      </c>
      <c r="R9" s="136" t="n">
        <v>1385850</v>
      </c>
      <c r="S9" s="136" t="n">
        <v>1109951</v>
      </c>
      <c r="T9" s="8" t="n">
        <f aca="false">IF(I9="regional",IF(R9&gt;0,R9*0.2975,S9*0.3484),S9*0.1939)</f>
        <v>412290.375</v>
      </c>
      <c r="U9" s="136" t="n">
        <v>754956</v>
      </c>
      <c r="V9" s="136" t="n">
        <v>354995</v>
      </c>
      <c r="W9" s="136" t="n">
        <v>4602</v>
      </c>
      <c r="X9" s="136" t="n">
        <v>900326.375</v>
      </c>
      <c r="Y9" s="136" t="n">
        <v>412290.375</v>
      </c>
      <c r="Z9" s="136" t="n">
        <v>488036</v>
      </c>
      <c r="AA9" s="136" t="n">
        <v>621915</v>
      </c>
      <c r="AB9" s="136" t="n">
        <v>0</v>
      </c>
      <c r="AC9" s="136" t="n">
        <v>621915</v>
      </c>
      <c r="AD9" s="136" t="n">
        <v>488036</v>
      </c>
      <c r="AE9" s="136" t="n">
        <v>0</v>
      </c>
      <c r="AF9" s="136" t="n">
        <v>621915</v>
      </c>
      <c r="AG9" s="136" t="n">
        <v>0</v>
      </c>
      <c r="AH9" s="136" t="n">
        <v>660000</v>
      </c>
      <c r="AI9" s="136" t="n">
        <v>449000</v>
      </c>
      <c r="AJ9" s="132" t="s">
        <v>707</v>
      </c>
      <c r="AK9" s="132" t="s">
        <v>714</v>
      </c>
      <c r="AL9" s="133" t="s">
        <v>48</v>
      </c>
      <c r="AM9" s="132" t="s">
        <v>49</v>
      </c>
      <c r="AN9" s="133" t="s">
        <v>73</v>
      </c>
      <c r="AO9" s="133" t="n">
        <v>900326.375</v>
      </c>
      <c r="AP9" s="137" t="n">
        <f aca="false">AR9+AT9+AU9+AV9+AX9+AY9+AZ9+BD9+BF9+BG9+BH9+BJ9+BK9+(BL9+BM9+BN9)/1000+(0.1*BO9)</f>
        <v>928.9139</v>
      </c>
      <c r="AQ9" s="137" t="n">
        <f aca="false">AR9+AT9+AU9+AV9+AX9+AY9+AZ9+BB9+BC9+BD9+BF9+BG9+BH9+BJ9+BK9+(BL9+BM9+BN9)/1000+(0.1*BO9)</f>
        <v>971.9139</v>
      </c>
      <c r="AR9" s="131" t="n">
        <v>229</v>
      </c>
      <c r="AS9" s="131" t="n">
        <v>449</v>
      </c>
      <c r="AT9" s="131" t="n">
        <v>307</v>
      </c>
      <c r="AU9" s="131" t="n">
        <v>50</v>
      </c>
      <c r="AV9" s="131" t="n">
        <v>0</v>
      </c>
      <c r="AW9" s="131" t="n">
        <v>0</v>
      </c>
      <c r="AX9" s="131" t="n">
        <v>0</v>
      </c>
      <c r="AY9" s="131" t="n">
        <v>0</v>
      </c>
      <c r="AZ9" s="131" t="n">
        <v>0</v>
      </c>
      <c r="BA9" s="131" t="n">
        <v>114</v>
      </c>
      <c r="BB9" s="131" t="n">
        <v>43</v>
      </c>
      <c r="BC9" s="131" t="n">
        <v>0</v>
      </c>
      <c r="BD9" s="131" t="n">
        <v>19</v>
      </c>
      <c r="BE9" s="131" t="n">
        <v>0</v>
      </c>
      <c r="BF9" s="131" t="n">
        <v>0</v>
      </c>
      <c r="BG9" s="131" t="n">
        <v>0</v>
      </c>
      <c r="BH9" s="131" t="n">
        <v>146</v>
      </c>
      <c r="BI9" s="131" t="n">
        <v>0</v>
      </c>
      <c r="BJ9" s="131" t="n">
        <v>0</v>
      </c>
      <c r="BK9" s="131" t="n">
        <v>0</v>
      </c>
      <c r="BL9" s="131" t="n">
        <v>0</v>
      </c>
      <c r="BM9" s="131" t="n">
        <v>12926</v>
      </c>
      <c r="BN9" s="131" t="n">
        <v>47091</v>
      </c>
      <c r="BO9" s="131" t="n">
        <v>1178.969</v>
      </c>
    </row>
    <row r="10" customFormat="false" ht="15" hidden="false" customHeight="true" outlineLevel="0" collapsed="false">
      <c r="A10" s="131" t="n">
        <v>145</v>
      </c>
      <c r="B10" s="131" t="s">
        <v>44</v>
      </c>
      <c r="C10" s="132" t="s">
        <v>77</v>
      </c>
      <c r="D10" s="133" t="s">
        <v>77</v>
      </c>
      <c r="E10" s="134" t="n">
        <f aca="false">IF(I10="regional",IF(R10*0.2975,S10*0.3484),S10*0.1939)</f>
        <v>475897.6768</v>
      </c>
      <c r="F10" s="134" t="n">
        <v>638586</v>
      </c>
      <c r="G10" s="135" t="n">
        <f aca="false">E10+F10</f>
        <v>1114483.6768</v>
      </c>
      <c r="H10" s="132"/>
      <c r="I10" s="133" t="s">
        <v>48</v>
      </c>
      <c r="J10" s="133" t="s">
        <v>44</v>
      </c>
      <c r="K10" s="133" t="s">
        <v>78</v>
      </c>
      <c r="L10" s="133" t="s">
        <v>44</v>
      </c>
      <c r="M10" s="136" t="n">
        <v>184</v>
      </c>
      <c r="N10" s="136" t="n">
        <v>0.951</v>
      </c>
      <c r="O10" s="136" t="n">
        <v>0.954</v>
      </c>
      <c r="P10" s="136" t="n">
        <v>0.863</v>
      </c>
      <c r="Q10" s="136" t="n">
        <v>0.921</v>
      </c>
      <c r="R10" s="136" t="n">
        <v>1645545</v>
      </c>
      <c r="S10" s="136" t="n">
        <v>1365952</v>
      </c>
      <c r="T10" s="8" t="n">
        <f aca="false">IF(I10="regional",IF(R10&gt;0,R10*0.2975,S10*0.3484),S10*0.1939)</f>
        <v>489549.6375</v>
      </c>
      <c r="U10" s="136" t="n">
        <v>932372</v>
      </c>
      <c r="V10" s="136" t="n">
        <v>433580</v>
      </c>
      <c r="W10" s="136" t="n">
        <v>5600</v>
      </c>
      <c r="X10" s="136" t="n">
        <v>1128135.638</v>
      </c>
      <c r="Y10" s="136" t="n">
        <v>489549.6375</v>
      </c>
      <c r="Z10" s="136" t="n">
        <v>638586</v>
      </c>
      <c r="AA10" s="136" t="n">
        <v>727366</v>
      </c>
      <c r="AB10" s="136" t="n">
        <v>0</v>
      </c>
      <c r="AC10" s="136" t="n">
        <v>727366</v>
      </c>
      <c r="AD10" s="136" t="n">
        <v>638586</v>
      </c>
      <c r="AE10" s="136" t="n">
        <v>0</v>
      </c>
      <c r="AF10" s="136" t="n">
        <v>727366</v>
      </c>
      <c r="AG10" s="136" t="n">
        <v>0</v>
      </c>
      <c r="AH10" s="136" t="n">
        <v>849000</v>
      </c>
      <c r="AI10" s="136" t="n">
        <v>769000</v>
      </c>
      <c r="AJ10" s="132" t="s">
        <v>707</v>
      </c>
      <c r="AK10" s="132" t="s">
        <v>708</v>
      </c>
      <c r="AL10" s="133" t="s">
        <v>48</v>
      </c>
      <c r="AM10" s="132"/>
      <c r="AN10" s="133" t="s">
        <v>77</v>
      </c>
      <c r="AO10" s="133" t="n">
        <v>1128135.6375</v>
      </c>
      <c r="AP10" s="137" t="n">
        <f aca="false">AR10+AT10+AU10+AV10+AX10+AY10+AZ10+BD10+BF10+BG10+BH10+BJ10+BK10+(BL10+BM10+BN10)/1000+(0.1*BO10)</f>
        <v>866.482556</v>
      </c>
      <c r="AQ10" s="137" t="n">
        <f aca="false">AR10+AT10+AU10+AV10+AX10+AY10+AZ10+BB10+BC10+BD10+BF10+BG10+BH10+BJ10+BK10+(BL10+BM10+BN10)/1000+(0.1*BO10)</f>
        <v>1054.482556</v>
      </c>
      <c r="AR10" s="131" t="n">
        <v>433</v>
      </c>
      <c r="AS10" s="131" t="n">
        <v>769</v>
      </c>
      <c r="AT10" s="131" t="n">
        <v>140</v>
      </c>
      <c r="AU10" s="131" t="n">
        <v>0</v>
      </c>
      <c r="AV10" s="131" t="n">
        <v>0</v>
      </c>
      <c r="AW10" s="131" t="n">
        <v>0</v>
      </c>
      <c r="AX10" s="131" t="n">
        <v>0</v>
      </c>
      <c r="AY10" s="131" t="n">
        <v>0</v>
      </c>
      <c r="AZ10" s="131" t="n">
        <v>6</v>
      </c>
      <c r="BA10" s="131" t="n">
        <v>72</v>
      </c>
      <c r="BB10" s="131" t="n">
        <v>188</v>
      </c>
      <c r="BC10" s="131" t="n">
        <v>0</v>
      </c>
      <c r="BD10" s="131" t="n">
        <v>28</v>
      </c>
      <c r="BE10" s="131" t="n">
        <v>0</v>
      </c>
      <c r="BF10" s="131" t="n">
        <v>0</v>
      </c>
      <c r="BG10" s="131" t="n">
        <v>0</v>
      </c>
      <c r="BH10" s="131" t="n">
        <v>53</v>
      </c>
      <c r="BI10" s="131" t="n">
        <v>2</v>
      </c>
      <c r="BJ10" s="131" t="n">
        <v>0</v>
      </c>
      <c r="BK10" s="131" t="n">
        <v>0</v>
      </c>
      <c r="BL10" s="131" t="n">
        <v>0</v>
      </c>
      <c r="BM10" s="131" t="n">
        <v>0</v>
      </c>
      <c r="BN10" s="131" t="n">
        <v>99001</v>
      </c>
      <c r="BO10" s="131" t="n">
        <v>1074.81556</v>
      </c>
    </row>
    <row r="11" customFormat="false" ht="15" hidden="false" customHeight="true" outlineLevel="0" collapsed="false">
      <c r="A11" s="131" t="n">
        <v>302</v>
      </c>
      <c r="B11" s="131" t="s">
        <v>44</v>
      </c>
      <c r="C11" s="132" t="s">
        <v>79</v>
      </c>
      <c r="D11" s="133" t="s">
        <v>79</v>
      </c>
      <c r="E11" s="134" t="n">
        <f aca="false">IF(I11="regional",IF(R11*0.2975,S11*0.3484),S11*0.1939)</f>
        <v>390424.008</v>
      </c>
      <c r="F11" s="134" t="n">
        <v>0</v>
      </c>
      <c r="G11" s="135" t="n">
        <f aca="false">E11+F11</f>
        <v>390424.008</v>
      </c>
      <c r="H11" s="132"/>
      <c r="I11" s="133" t="s">
        <v>48</v>
      </c>
      <c r="J11" s="133" t="s">
        <v>44</v>
      </c>
      <c r="K11" s="133" t="s">
        <v>82</v>
      </c>
      <c r="L11" s="133"/>
      <c r="M11" s="136" t="n">
        <v>154</v>
      </c>
      <c r="N11" s="136" t="n">
        <v>0.951</v>
      </c>
      <c r="O11" s="136" t="n">
        <v>0.96</v>
      </c>
      <c r="P11" s="136" t="n">
        <v>0.908</v>
      </c>
      <c r="Q11" s="136" t="n">
        <v>0.886</v>
      </c>
      <c r="R11" s="136" t="n">
        <v>1310195</v>
      </c>
      <c r="S11" s="136" t="n">
        <v>1120620</v>
      </c>
      <c r="T11" s="8" t="n">
        <f aca="false">IF(I11="regional",IF(R11&gt;0,R11*0.2975,S11*0.3484),S11*0.1939)</f>
        <v>389783.0125</v>
      </c>
      <c r="U11" s="136" t="n">
        <v>738683</v>
      </c>
      <c r="V11" s="136" t="n">
        <v>381937</v>
      </c>
      <c r="W11" s="136" t="n">
        <v>5768</v>
      </c>
      <c r="X11" s="136" t="n">
        <v>0</v>
      </c>
      <c r="Y11" s="136" t="n">
        <v>0</v>
      </c>
      <c r="Z11" s="136" t="n">
        <v>0</v>
      </c>
      <c r="AA11" s="136" t="n">
        <v>1510403.013</v>
      </c>
      <c r="AB11" s="136" t="n">
        <v>389783.0125</v>
      </c>
      <c r="AC11" s="136" t="n">
        <v>1120620</v>
      </c>
      <c r="AD11" s="136" t="n">
        <v>0</v>
      </c>
      <c r="AE11" s="136" t="n">
        <v>0</v>
      </c>
      <c r="AF11" s="136" t="n">
        <v>1120620</v>
      </c>
      <c r="AG11" s="136" t="n">
        <v>0</v>
      </c>
      <c r="AH11" s="136" t="n">
        <v>714000</v>
      </c>
      <c r="AI11" s="136" t="n">
        <v>605000</v>
      </c>
      <c r="AJ11" s="132" t="n">
        <v>4</v>
      </c>
      <c r="AK11" s="132" t="s">
        <v>706</v>
      </c>
      <c r="AL11" s="133" t="s">
        <v>48</v>
      </c>
      <c r="AM11" s="132"/>
      <c r="AN11" s="133" t="s">
        <v>79</v>
      </c>
      <c r="AO11" s="133" t="n">
        <v>389783.0125</v>
      </c>
      <c r="AP11" s="137" t="n">
        <f aca="false">AR11+AT11+AU11+AV11+AX11+AY11+AZ11+BD11+BF11+BG11+BH11+BJ11+BK11+(BL11+BM11+BN11)/1000+(0.1*BO11)</f>
        <v>234.0072</v>
      </c>
      <c r="AQ11" s="137" t="n">
        <f aca="false">AR11+AT11+AU11+AV11+AX11+AY11+AZ11+BB11+BC11+BD11+BF11+BG11+BH11+BJ11+BK11+(BL11+BM11+BN11)/1000+(0.1*BO11)</f>
        <v>288.0072</v>
      </c>
      <c r="AR11" s="131" t="n">
        <v>47</v>
      </c>
      <c r="AS11" s="131" t="n">
        <v>605</v>
      </c>
      <c r="AT11" s="131" t="n">
        <v>81</v>
      </c>
      <c r="AU11" s="131" t="n">
        <v>11</v>
      </c>
      <c r="AV11" s="131" t="n">
        <v>0</v>
      </c>
      <c r="AW11" s="131" t="n">
        <v>0</v>
      </c>
      <c r="AX11" s="131" t="n">
        <v>5</v>
      </c>
      <c r="AY11" s="131" t="n">
        <v>0</v>
      </c>
      <c r="AZ11" s="131" t="n">
        <v>0</v>
      </c>
      <c r="BA11" s="131" t="n">
        <v>26</v>
      </c>
      <c r="BB11" s="131" t="n">
        <v>52</v>
      </c>
      <c r="BC11" s="131" t="n">
        <v>2</v>
      </c>
      <c r="BD11" s="131" t="n">
        <v>0</v>
      </c>
      <c r="BE11" s="131" t="n">
        <v>0</v>
      </c>
      <c r="BF11" s="131" t="n">
        <v>0</v>
      </c>
      <c r="BG11" s="131" t="n">
        <v>0</v>
      </c>
      <c r="BH11" s="131" t="n">
        <v>0</v>
      </c>
      <c r="BI11" s="131" t="n">
        <v>0</v>
      </c>
      <c r="BJ11" s="131" t="n">
        <v>0</v>
      </c>
      <c r="BK11" s="131" t="n">
        <v>0</v>
      </c>
      <c r="BL11" s="131" t="n">
        <v>5552</v>
      </c>
      <c r="BM11" s="131" t="n">
        <v>0</v>
      </c>
      <c r="BN11" s="131" t="n">
        <v>51913</v>
      </c>
      <c r="BO11" s="131" t="n">
        <v>325.422</v>
      </c>
    </row>
    <row r="12" customFormat="false" ht="15" hidden="false" customHeight="true" outlineLevel="0" collapsed="false">
      <c r="A12" s="131" t="n">
        <v>8099</v>
      </c>
      <c r="B12" s="131"/>
      <c r="C12" s="132" t="s">
        <v>83</v>
      </c>
      <c r="D12" s="133" t="s">
        <v>83</v>
      </c>
      <c r="E12" s="134" t="n">
        <f aca="false">IF(I12="regional",IF(R12*0.2975,S12*0.3484),S12*0.1939)</f>
        <v>223744.9188</v>
      </c>
      <c r="F12" s="134" t="n">
        <v>0</v>
      </c>
      <c r="G12" s="135" t="n">
        <f aca="false">E12+F12</f>
        <v>223744.9188</v>
      </c>
      <c r="H12" s="132"/>
      <c r="I12" s="133" t="s">
        <v>48</v>
      </c>
      <c r="J12" s="133" t="s">
        <v>49</v>
      </c>
      <c r="K12" s="133" t="s">
        <v>86</v>
      </c>
      <c r="L12" s="133"/>
      <c r="M12" s="136" t="n">
        <v>74</v>
      </c>
      <c r="N12" s="136" t="n">
        <v>0.834</v>
      </c>
      <c r="O12" s="136" t="n">
        <v>0.888</v>
      </c>
      <c r="P12" s="136" t="n">
        <v>0.877</v>
      </c>
      <c r="Q12" s="136" t="n">
        <v>0.855</v>
      </c>
      <c r="R12" s="136" t="n">
        <v>664194</v>
      </c>
      <c r="S12" s="136" t="n">
        <v>642207</v>
      </c>
      <c r="T12" s="8" t="n">
        <f aca="false">IF(I12="regional",IF(R12&gt;0,R12*0.2975,S12*0.3484),S12*0.1939)</f>
        <v>197597.715</v>
      </c>
      <c r="U12" s="136" t="n">
        <v>445150</v>
      </c>
      <c r="V12" s="136" t="n">
        <v>197057</v>
      </c>
      <c r="W12" s="136" t="n">
        <v>3589</v>
      </c>
      <c r="X12" s="136" t="n">
        <v>0</v>
      </c>
      <c r="Y12" s="136" t="n">
        <v>0</v>
      </c>
      <c r="Z12" s="136" t="n">
        <v>0</v>
      </c>
      <c r="AA12" s="136" t="n">
        <v>839804.715</v>
      </c>
      <c r="AB12" s="136" t="n">
        <v>197597.715</v>
      </c>
      <c r="AC12" s="136" t="n">
        <v>642207</v>
      </c>
      <c r="AD12" s="136" t="n">
        <v>0</v>
      </c>
      <c r="AE12" s="136" t="n">
        <v>0</v>
      </c>
      <c r="AF12" s="136" t="n">
        <v>0</v>
      </c>
      <c r="AG12" s="136" t="n">
        <v>642207</v>
      </c>
      <c r="AH12" s="136" t="n">
        <v>0</v>
      </c>
      <c r="AI12" s="136" t="n">
        <v>0</v>
      </c>
      <c r="AJ12" s="132" t="n">
        <v>4</v>
      </c>
      <c r="AK12" s="132" t="s">
        <v>706</v>
      </c>
      <c r="AL12" s="133" t="s">
        <v>48</v>
      </c>
      <c r="AM12" s="132"/>
      <c r="AN12" s="133" t="s">
        <v>83</v>
      </c>
      <c r="AO12" s="133" t="n">
        <v>197597.715</v>
      </c>
      <c r="AP12" s="137" t="n">
        <f aca="false">AR12+AT12+AU12+AV12+AX12+AY12+AZ12+BD12+BF12+BG12+BH12+BJ12+BK12+(BL12+BM12+BN12)/1000+(0.1*BO12)</f>
        <v>59</v>
      </c>
      <c r="AQ12" s="137" t="n">
        <f aca="false">AR12+AT12+AU12+AV12+AX12+AY12+AZ12+BB12+BC12+BD12+BF12+BG12+BH12+BJ12+BK12+(BL12+BM12+BN12)/1000+(0.1*BO12)</f>
        <v>65</v>
      </c>
      <c r="AR12" s="131" t="n">
        <v>0</v>
      </c>
      <c r="AS12" s="131" t="n">
        <v>0</v>
      </c>
      <c r="AT12" s="131" t="n">
        <v>2</v>
      </c>
      <c r="AU12" s="131" t="n">
        <v>2</v>
      </c>
      <c r="AV12" s="131" t="n">
        <v>0</v>
      </c>
      <c r="AW12" s="131" t="n">
        <v>0</v>
      </c>
      <c r="AX12" s="131" t="n">
        <v>54</v>
      </c>
      <c r="AY12" s="131" t="n">
        <v>1</v>
      </c>
      <c r="AZ12" s="131" t="n">
        <v>0</v>
      </c>
      <c r="BA12" s="131" t="n">
        <v>0</v>
      </c>
      <c r="BB12" s="131" t="n">
        <v>5</v>
      </c>
      <c r="BC12" s="131" t="n">
        <v>1</v>
      </c>
      <c r="BD12" s="131" t="n">
        <v>0</v>
      </c>
      <c r="BE12" s="131" t="n">
        <v>0</v>
      </c>
      <c r="BF12" s="131" t="n">
        <v>0</v>
      </c>
      <c r="BG12" s="131" t="n">
        <v>0</v>
      </c>
      <c r="BH12" s="131" t="n">
        <v>0</v>
      </c>
      <c r="BI12" s="131" t="n">
        <v>0</v>
      </c>
      <c r="BJ12" s="131" t="n">
        <v>0</v>
      </c>
      <c r="BK12" s="131" t="n">
        <v>0</v>
      </c>
      <c r="BL12" s="131" t="n">
        <v>0</v>
      </c>
      <c r="BM12" s="131" t="n">
        <v>0</v>
      </c>
      <c r="BN12" s="131" t="n">
        <v>0</v>
      </c>
      <c r="BO12" s="131" t="n">
        <v>0</v>
      </c>
    </row>
    <row r="13" customFormat="false" ht="15" hidden="false" customHeight="true" outlineLevel="0" collapsed="false">
      <c r="A13" s="131" t="n">
        <v>8115</v>
      </c>
      <c r="B13" s="131" t="s">
        <v>44</v>
      </c>
      <c r="C13" s="132" t="s">
        <v>87</v>
      </c>
      <c r="D13" s="133" t="s">
        <v>87</v>
      </c>
      <c r="E13" s="134" t="n">
        <f aca="false">IF(I13="regional",IF(R13*0.2975,S13*0.3484),S13*0.1939)</f>
        <v>363662.0104</v>
      </c>
      <c r="F13" s="134" t="n">
        <v>0</v>
      </c>
      <c r="G13" s="135" t="n">
        <f aca="false">E13+F13</f>
        <v>363662.0104</v>
      </c>
      <c r="H13" s="132"/>
      <c r="I13" s="133" t="s">
        <v>48</v>
      </c>
      <c r="J13" s="133" t="s">
        <v>44</v>
      </c>
      <c r="K13" s="133" t="s">
        <v>90</v>
      </c>
      <c r="L13" s="133"/>
      <c r="M13" s="136" t="n">
        <v>158</v>
      </c>
      <c r="N13" s="136" t="n">
        <v>0.878</v>
      </c>
      <c r="O13" s="136" t="n">
        <v>0.894</v>
      </c>
      <c r="P13" s="136" t="n">
        <v>0.887</v>
      </c>
      <c r="Q13" s="136" t="n">
        <v>0.873</v>
      </c>
      <c r="R13" s="136" t="n">
        <v>1193429</v>
      </c>
      <c r="S13" s="136" t="n">
        <v>1043806</v>
      </c>
      <c r="T13" s="8" t="n">
        <f aca="false">IF(I13="regional",IF(R13&gt;0,R13*0.2975,S13*0.3484),S13*0.1939)</f>
        <v>355045.1275</v>
      </c>
      <c r="U13" s="136" t="n">
        <v>541973</v>
      </c>
      <c r="V13" s="136" t="n">
        <v>501833</v>
      </c>
      <c r="W13" s="136" t="n">
        <v>5072</v>
      </c>
      <c r="X13" s="136" t="n">
        <v>0</v>
      </c>
      <c r="Y13" s="136" t="n">
        <v>0</v>
      </c>
      <c r="Z13" s="136" t="n">
        <v>0</v>
      </c>
      <c r="AA13" s="136" t="n">
        <v>1398851.128</v>
      </c>
      <c r="AB13" s="136" t="n">
        <v>355045.1275</v>
      </c>
      <c r="AC13" s="136" t="n">
        <v>1043806</v>
      </c>
      <c r="AD13" s="136" t="n">
        <v>0</v>
      </c>
      <c r="AE13" s="136" t="n">
        <v>0</v>
      </c>
      <c r="AF13" s="136" t="n">
        <v>1043806</v>
      </c>
      <c r="AG13" s="136" t="n">
        <v>0</v>
      </c>
      <c r="AH13" s="136" t="n">
        <v>591000</v>
      </c>
      <c r="AI13" s="136" t="n">
        <v>565000</v>
      </c>
      <c r="AJ13" s="132" t="s">
        <v>715</v>
      </c>
      <c r="AK13" s="132" t="s">
        <v>716</v>
      </c>
      <c r="AL13" s="133" t="s">
        <v>48</v>
      </c>
      <c r="AM13" s="132"/>
      <c r="AN13" s="133" t="s">
        <v>87</v>
      </c>
      <c r="AO13" s="133" t="n">
        <v>355045.1275</v>
      </c>
      <c r="AP13" s="137" t="n">
        <f aca="false">AR13+AT13+AU13+AV13+AX13+AY13+AZ13+BD13+BF13+BG13+BH13+BJ13+BK13+(BL13+BM13+BN13)/1000+(0.1*BO13)</f>
        <v>468.318914</v>
      </c>
      <c r="AQ13" s="137" t="n">
        <f aca="false">AR13+AT13+AU13+AV13+AX13+AY13+AZ13+BB13+BC13+BD13+BF13+BG13+BH13+BJ13+BK13+(BL13+BM13+BN13)/1000+(0.1*BO13)</f>
        <v>541.318914</v>
      </c>
      <c r="AR13" s="131" t="n">
        <v>0</v>
      </c>
      <c r="AS13" s="131" t="n">
        <v>565</v>
      </c>
      <c r="AT13" s="131" t="n">
        <v>346</v>
      </c>
      <c r="AU13" s="131" t="n">
        <v>-20</v>
      </c>
      <c r="AV13" s="131" t="n">
        <v>0</v>
      </c>
      <c r="AW13" s="131" t="n">
        <v>0</v>
      </c>
      <c r="AX13" s="131" t="n">
        <v>83</v>
      </c>
      <c r="AY13" s="131" t="n">
        <v>15</v>
      </c>
      <c r="AZ13" s="131" t="n">
        <v>0</v>
      </c>
      <c r="BA13" s="131" t="n">
        <v>0</v>
      </c>
      <c r="BB13" s="131" t="n">
        <v>66</v>
      </c>
      <c r="BC13" s="131" t="n">
        <v>7</v>
      </c>
      <c r="BD13" s="131" t="n">
        <v>5</v>
      </c>
      <c r="BE13" s="131" t="n">
        <v>0</v>
      </c>
      <c r="BF13" s="131" t="n">
        <v>0</v>
      </c>
      <c r="BG13" s="131" t="n">
        <v>0</v>
      </c>
      <c r="BH13" s="131" t="n">
        <v>0</v>
      </c>
      <c r="BI13" s="131" t="n">
        <v>0</v>
      </c>
      <c r="BJ13" s="131" t="n">
        <v>0</v>
      </c>
      <c r="BK13" s="131" t="n">
        <v>0</v>
      </c>
      <c r="BL13" s="131" t="n">
        <v>0</v>
      </c>
      <c r="BM13" s="131" t="n">
        <v>0</v>
      </c>
      <c r="BN13" s="131" t="n">
        <v>0</v>
      </c>
      <c r="BO13" s="131" t="n">
        <v>393.18914</v>
      </c>
    </row>
    <row r="14" customFormat="false" ht="15" hidden="false" customHeight="true" outlineLevel="0" collapsed="false">
      <c r="A14" s="131" t="n">
        <v>8120</v>
      </c>
      <c r="B14" s="131"/>
      <c r="C14" s="132" t="s">
        <v>92</v>
      </c>
      <c r="D14" s="133" t="s">
        <v>92</v>
      </c>
      <c r="E14" s="134" t="n">
        <f aca="false">IF(I14="regional",IF(R14*0.2975,S14*0.3484),S14*0.1939)</f>
        <v>172162.2084</v>
      </c>
      <c r="F14" s="134" t="n">
        <v>0</v>
      </c>
      <c r="G14" s="135" t="n">
        <f aca="false">E14+F14</f>
        <v>172162.2084</v>
      </c>
      <c r="H14" s="132" t="s">
        <v>49</v>
      </c>
      <c r="I14" s="133" t="s">
        <v>48</v>
      </c>
      <c r="J14" s="133" t="s">
        <v>49</v>
      </c>
      <c r="K14" s="133" t="s">
        <v>95</v>
      </c>
      <c r="L14" s="133"/>
      <c r="M14" s="136" t="n">
        <v>97</v>
      </c>
      <c r="N14" s="136" t="n">
        <v>0.842</v>
      </c>
      <c r="O14" s="136" t="n">
        <v>0.847</v>
      </c>
      <c r="P14" s="136" t="n">
        <v>0.804</v>
      </c>
      <c r="Q14" s="136" t="n">
        <v>0.748</v>
      </c>
      <c r="R14" s="136" t="n">
        <v>620910</v>
      </c>
      <c r="S14" s="136" t="n">
        <v>494151</v>
      </c>
      <c r="T14" s="8" t="n">
        <f aca="false">IF(I14="regional",IF(R14&gt;0,R14*0.2975,S14*0.3484),S14*0.1939)</f>
        <v>184720.725</v>
      </c>
      <c r="U14" s="136" t="n">
        <v>242576</v>
      </c>
      <c r="V14" s="136" t="n">
        <v>251575</v>
      </c>
      <c r="W14" s="136" t="n">
        <v>3127</v>
      </c>
      <c r="X14" s="136" t="n">
        <v>0</v>
      </c>
      <c r="Y14" s="136" t="n">
        <v>0</v>
      </c>
      <c r="Z14" s="136" t="n">
        <v>0</v>
      </c>
      <c r="AA14" s="136" t="n">
        <v>678871.725</v>
      </c>
      <c r="AB14" s="136" t="n">
        <v>184720.725</v>
      </c>
      <c r="AC14" s="136" t="n">
        <v>494151</v>
      </c>
      <c r="AD14" s="136" t="n">
        <v>0</v>
      </c>
      <c r="AE14" s="136" t="n">
        <v>0</v>
      </c>
      <c r="AF14" s="136" t="n">
        <v>0</v>
      </c>
      <c r="AG14" s="136" t="n">
        <v>494151</v>
      </c>
      <c r="AH14" s="136" t="n">
        <v>0</v>
      </c>
      <c r="AI14" s="136" t="n">
        <v>0</v>
      </c>
      <c r="AJ14" s="132" t="s">
        <v>707</v>
      </c>
      <c r="AK14" s="132" t="s">
        <v>712</v>
      </c>
      <c r="AL14" s="133" t="s">
        <v>48</v>
      </c>
      <c r="AM14" s="132" t="s">
        <v>49</v>
      </c>
      <c r="AN14" s="133" t="s">
        <v>92</v>
      </c>
      <c r="AO14" s="133" t="n">
        <v>184720.725</v>
      </c>
      <c r="AP14" s="137" t="n">
        <f aca="false">AR14+AT14+AU14+AV14+AX14+AY14+AZ14+BD14+BF14+BG14+BH14+BJ14+BK14+(BL14+BM14+BN14)/1000+(0.1*BO14)</f>
        <v>236.3856</v>
      </c>
      <c r="AQ14" s="137" t="n">
        <f aca="false">AR14+AT14+AU14+AV14+AX14+AY14+AZ14+BB14+BC14+BD14+BF14+BG14+BH14+BJ14+BK14+(BL14+BM14+BN14)/1000+(0.1*BO14)</f>
        <v>252.3856</v>
      </c>
      <c r="AR14" s="131" t="n">
        <v>0</v>
      </c>
      <c r="AS14" s="131" t="n">
        <v>0</v>
      </c>
      <c r="AT14" s="131" t="n">
        <v>156</v>
      </c>
      <c r="AU14" s="131" t="n">
        <v>0</v>
      </c>
      <c r="AV14" s="131" t="n">
        <v>0</v>
      </c>
      <c r="AW14" s="131" t="n">
        <v>0</v>
      </c>
      <c r="AX14" s="131" t="n">
        <v>23</v>
      </c>
      <c r="AY14" s="131" t="n">
        <v>0</v>
      </c>
      <c r="AZ14" s="131" t="n">
        <v>0</v>
      </c>
      <c r="BA14" s="131" t="n">
        <v>0</v>
      </c>
      <c r="BB14" s="131" t="n">
        <v>16</v>
      </c>
      <c r="BC14" s="131" t="n">
        <v>0</v>
      </c>
      <c r="BD14" s="131" t="n">
        <v>0</v>
      </c>
      <c r="BE14" s="131" t="n">
        <v>0</v>
      </c>
      <c r="BF14" s="131" t="n">
        <v>0</v>
      </c>
      <c r="BG14" s="131" t="n">
        <v>0</v>
      </c>
      <c r="BH14" s="131" t="n">
        <v>0</v>
      </c>
      <c r="BI14" s="131" t="n">
        <v>0</v>
      </c>
      <c r="BJ14" s="131" t="n">
        <v>0</v>
      </c>
      <c r="BK14" s="131" t="n">
        <v>0</v>
      </c>
      <c r="BL14" s="131" t="n">
        <v>0</v>
      </c>
      <c r="BM14" s="131" t="n">
        <v>0</v>
      </c>
      <c r="BN14" s="131" t="n">
        <v>0</v>
      </c>
      <c r="BO14" s="131" t="n">
        <v>573.856</v>
      </c>
    </row>
    <row r="15" customFormat="false" ht="15" hidden="false" customHeight="true" outlineLevel="0" collapsed="false">
      <c r="A15" s="146" t="n">
        <v>572</v>
      </c>
      <c r="B15" s="146"/>
      <c r="C15" s="146" t="s">
        <v>717</v>
      </c>
      <c r="D15" s="147" t="s">
        <v>717</v>
      </c>
      <c r="E15" s="134" t="n">
        <f aca="false">IF(I15="regional",IF(R15*0.2975,S15*0.3484),S15*0.1939)</f>
        <v>0</v>
      </c>
      <c r="F15" s="148"/>
      <c r="G15" s="135" t="n">
        <f aca="false">E15+F15</f>
        <v>0</v>
      </c>
      <c r="H15" s="146"/>
      <c r="I15" s="147" t="s">
        <v>718</v>
      </c>
      <c r="J15" s="147"/>
      <c r="K15" s="147"/>
      <c r="L15" s="147"/>
      <c r="M15" s="147"/>
      <c r="N15" s="147"/>
      <c r="O15" s="147"/>
      <c r="P15" s="147"/>
      <c r="Q15" s="147"/>
      <c r="R15" s="147"/>
      <c r="S15" s="147"/>
      <c r="T15" s="8" t="n">
        <f aca="false">IF(I15="regional",IF(R15&gt;0,R15*0.2975,S15*0.3484),S15*0.1939)</f>
        <v>0</v>
      </c>
      <c r="U15" s="147"/>
      <c r="V15" s="147"/>
      <c r="W15" s="147"/>
      <c r="X15" s="147"/>
      <c r="Y15" s="147"/>
      <c r="Z15" s="147"/>
      <c r="AA15" s="147"/>
      <c r="AB15" s="147"/>
      <c r="AC15" s="147"/>
      <c r="AD15" s="147"/>
      <c r="AE15" s="147"/>
      <c r="AF15" s="147"/>
      <c r="AG15" s="147"/>
      <c r="AH15" s="147"/>
      <c r="AI15" s="147"/>
      <c r="AJ15" s="146"/>
      <c r="AK15" s="146"/>
      <c r="AL15" s="146" t="s">
        <v>718</v>
      </c>
      <c r="AM15" s="146"/>
      <c r="AN15" s="146"/>
      <c r="AO15" s="146"/>
      <c r="AP15" s="149"/>
      <c r="AQ15" s="137" t="n">
        <f aca="false">AR15+AT15+AU15+AV15+AX15+AY15+AZ15+BB15+BC15+BD15+BF15+BG15+BH15+BJ15+BK15+(BL15+BM15+BN15)/1000+(0.1*BO15)</f>
        <v>0</v>
      </c>
      <c r="AR15" s="150"/>
      <c r="AS15" s="150"/>
      <c r="AT15" s="150"/>
      <c r="AU15" s="150"/>
      <c r="AV15" s="146"/>
      <c r="AW15" s="146"/>
      <c r="AX15" s="146"/>
      <c r="AY15" s="146"/>
      <c r="AZ15" s="150"/>
      <c r="BA15" s="150"/>
      <c r="BB15" s="150"/>
      <c r="BC15" s="150"/>
      <c r="BD15" s="150"/>
      <c r="BE15" s="150"/>
      <c r="BF15" s="150"/>
      <c r="BG15" s="150"/>
      <c r="BH15" s="150"/>
      <c r="BI15" s="150"/>
      <c r="BJ15" s="150"/>
      <c r="BK15" s="150"/>
      <c r="BL15" s="146"/>
      <c r="BM15" s="146"/>
      <c r="BN15" s="146"/>
      <c r="BO15" s="146"/>
    </row>
    <row r="16" customFormat="false" ht="15" hidden="false" customHeight="true" outlineLevel="0" collapsed="false">
      <c r="A16" s="151" t="n">
        <v>315</v>
      </c>
      <c r="B16" s="151"/>
      <c r="C16" s="152" t="s">
        <v>719</v>
      </c>
      <c r="D16" s="140" t="s">
        <v>719</v>
      </c>
      <c r="E16" s="134" t="n">
        <f aca="false">IF(I16="regional",IF(R16*0.2975,S16*0.3484),S16*0.1939)</f>
        <v>7486.0912</v>
      </c>
      <c r="F16" s="141"/>
      <c r="G16" s="135" t="n">
        <f aca="false">E16+F16</f>
        <v>7486.0912</v>
      </c>
      <c r="H16" s="139" t="s">
        <v>49</v>
      </c>
      <c r="I16" s="140" t="s">
        <v>718</v>
      </c>
      <c r="J16" s="140"/>
      <c r="K16" s="140"/>
      <c r="L16" s="140"/>
      <c r="M16" s="142"/>
      <c r="N16" s="142"/>
      <c r="O16" s="142"/>
      <c r="P16" s="142"/>
      <c r="Q16" s="142"/>
      <c r="R16" s="142"/>
      <c r="S16" s="142" t="n">
        <v>38608</v>
      </c>
      <c r="T16" s="8" t="n">
        <f aca="false">IF(I16="regional",IF(R16&gt;0,R16*0.2975,S16*0.3484),S16*0.1939)</f>
        <v>7486.0912</v>
      </c>
      <c r="U16" s="142"/>
      <c r="V16" s="142"/>
      <c r="W16" s="142"/>
      <c r="X16" s="142"/>
      <c r="Y16" s="142"/>
      <c r="Z16" s="142"/>
      <c r="AA16" s="142"/>
      <c r="AB16" s="142"/>
      <c r="AC16" s="142"/>
      <c r="AD16" s="142"/>
      <c r="AE16" s="142"/>
      <c r="AF16" s="142"/>
      <c r="AG16" s="142"/>
      <c r="AH16" s="142"/>
      <c r="AI16" s="142"/>
      <c r="AJ16" s="139" t="n">
        <v>4</v>
      </c>
      <c r="AK16" s="139" t="s">
        <v>720</v>
      </c>
      <c r="AL16" s="143" t="s">
        <v>718</v>
      </c>
      <c r="AM16" s="139" t="s">
        <v>49</v>
      </c>
      <c r="AN16" s="153" t="s">
        <v>719</v>
      </c>
      <c r="AO16" s="154" t="n">
        <v>0</v>
      </c>
      <c r="AP16" s="155" t="n">
        <f aca="false">AR16+AT16+AU16+AV16+AX16+AY16+AZ16+BD16+BF16+BG16+BH16+BJ16+BK16+(BL16+BM16+BN16)/1000+(0.1*BO16)</f>
        <v>213</v>
      </c>
      <c r="AQ16" s="137" t="n">
        <f aca="false">AR16+AT16+AU16+AV16+AX16+AY16+AZ16+BB16+BC16+BD16+BF16+BG16+BH16+BJ16+BK16+(BL16+BM16+BN16)/1000+(0.1*BO16)</f>
        <v>213</v>
      </c>
      <c r="AR16" s="156" t="n">
        <v>108</v>
      </c>
      <c r="AS16" s="156" t="n">
        <v>0</v>
      </c>
      <c r="AT16" s="156" t="n">
        <v>7</v>
      </c>
      <c r="AU16" s="156" t="n">
        <v>67</v>
      </c>
      <c r="AV16" s="138" t="n">
        <v>0</v>
      </c>
      <c r="AW16" s="138" t="n">
        <v>0</v>
      </c>
      <c r="AX16" s="138" t="n">
        <v>0</v>
      </c>
      <c r="AY16" s="138" t="n">
        <v>0</v>
      </c>
      <c r="AZ16" s="157" t="n">
        <v>1</v>
      </c>
      <c r="BA16" s="157" t="n">
        <v>0</v>
      </c>
      <c r="BB16" s="157" t="n">
        <v>0</v>
      </c>
      <c r="BC16" s="157" t="n">
        <v>0</v>
      </c>
      <c r="BD16" s="156" t="n">
        <v>1</v>
      </c>
      <c r="BE16" s="156" t="n">
        <v>0</v>
      </c>
      <c r="BF16" s="156" t="n">
        <v>0</v>
      </c>
      <c r="BG16" s="156" t="n">
        <v>0</v>
      </c>
      <c r="BH16" s="156" t="n">
        <v>29</v>
      </c>
      <c r="BI16" s="156" t="n">
        <v>0</v>
      </c>
      <c r="BJ16" s="156" t="n">
        <v>0</v>
      </c>
      <c r="BK16" s="156" t="n">
        <v>0</v>
      </c>
      <c r="BL16" s="138" t="n">
        <v>0</v>
      </c>
      <c r="BM16" s="138" t="n">
        <v>0</v>
      </c>
      <c r="BN16" s="138" t="n">
        <v>0</v>
      </c>
      <c r="BO16" s="151"/>
    </row>
    <row r="17" customFormat="false" ht="15" hidden="false" customHeight="true" outlineLevel="0" collapsed="false">
      <c r="A17" s="131" t="n">
        <v>313</v>
      </c>
      <c r="B17" s="131"/>
      <c r="C17" s="132" t="s">
        <v>96</v>
      </c>
      <c r="D17" s="133" t="s">
        <v>96</v>
      </c>
      <c r="E17" s="134" t="n">
        <f aca="false">IF(I17="regional",IF(R17*0.2975,S17*0.3484),S17*0.1939)</f>
        <v>105402.2949</v>
      </c>
      <c r="F17" s="134" t="n">
        <v>0</v>
      </c>
      <c r="G17" s="135" t="n">
        <f aca="false">E17+F17</f>
        <v>105402.2949</v>
      </c>
      <c r="H17" s="132"/>
      <c r="I17" s="133" t="s">
        <v>62</v>
      </c>
      <c r="J17" s="133"/>
      <c r="K17" s="133" t="s">
        <v>98</v>
      </c>
      <c r="L17" s="133"/>
      <c r="M17" s="136" t="n">
        <v>57</v>
      </c>
      <c r="N17" s="136" t="n">
        <v>0.887</v>
      </c>
      <c r="O17" s="136" t="n">
        <v>0.92</v>
      </c>
      <c r="P17" s="136" t="n">
        <v>0.936</v>
      </c>
      <c r="Q17" s="136" t="n">
        <v>0.896</v>
      </c>
      <c r="R17" s="136" t="n">
        <v>0</v>
      </c>
      <c r="S17" s="136" t="n">
        <v>543591</v>
      </c>
      <c r="T17" s="8" t="n">
        <f aca="false">IF(I17="regional",IF(R17&gt;0,R17*0.2975,S17*0.3484),S17*0.1939)</f>
        <v>105402.2949</v>
      </c>
      <c r="U17" s="136" t="n">
        <v>414515</v>
      </c>
      <c r="V17" s="136" t="n">
        <v>129076</v>
      </c>
      <c r="W17" s="136" t="n">
        <v>2715</v>
      </c>
      <c r="X17" s="136" t="n">
        <v>0</v>
      </c>
      <c r="Y17" s="136" t="n">
        <v>0</v>
      </c>
      <c r="Z17" s="136" t="n">
        <v>0</v>
      </c>
      <c r="AA17" s="136" t="n">
        <v>648993.2949</v>
      </c>
      <c r="AB17" s="136" t="n">
        <v>105402.2949</v>
      </c>
      <c r="AC17" s="136" t="n">
        <v>543591</v>
      </c>
      <c r="AD17" s="136" t="n">
        <v>0</v>
      </c>
      <c r="AE17" s="136" t="n">
        <v>0</v>
      </c>
      <c r="AF17" s="136" t="n">
        <v>0</v>
      </c>
      <c r="AG17" s="136" t="n">
        <v>543591</v>
      </c>
      <c r="AH17" s="136" t="n">
        <v>0</v>
      </c>
      <c r="AI17" s="136" t="n">
        <v>0</v>
      </c>
      <c r="AJ17" s="132" t="n">
        <v>4</v>
      </c>
      <c r="AK17" s="132" t="s">
        <v>706</v>
      </c>
      <c r="AL17" s="133" t="s">
        <v>62</v>
      </c>
      <c r="AM17" s="132"/>
      <c r="AN17" s="133" t="s">
        <v>96</v>
      </c>
      <c r="AO17" s="133" t="n">
        <v>105402.2949</v>
      </c>
      <c r="AP17" s="137" t="n">
        <f aca="false">AR17+AT17+AU17+AV17+AX17+AY17+AZ17+BD17+BF17+BG17+BH17+BJ17+BK17+(BL17+BM17+BN17)/1000+(0.1*BO17)</f>
        <v>32</v>
      </c>
      <c r="AQ17" s="137" t="n">
        <f aca="false">AR17+AT17+AU17+AV17+AX17+AY17+AZ17+BB17+BC17+BD17+BF17+BG17+BH17+BJ17+BK17+(BL17+BM17+BN17)/1000+(0.1*BO17)</f>
        <v>36</v>
      </c>
      <c r="AR17" s="131" t="n">
        <v>0</v>
      </c>
      <c r="AS17" s="131" t="n">
        <v>0</v>
      </c>
      <c r="AT17" s="131" t="n">
        <v>23</v>
      </c>
      <c r="AU17" s="131" t="n">
        <v>5</v>
      </c>
      <c r="AV17" s="131" t="n">
        <v>0</v>
      </c>
      <c r="AW17" s="131" t="n">
        <v>0</v>
      </c>
      <c r="AX17" s="131" t="n">
        <v>0</v>
      </c>
      <c r="AY17" s="131" t="n">
        <v>4</v>
      </c>
      <c r="AZ17" s="131" t="n">
        <v>0</v>
      </c>
      <c r="BA17" s="131" t="n">
        <v>0</v>
      </c>
      <c r="BB17" s="131" t="n">
        <v>3</v>
      </c>
      <c r="BC17" s="131" t="n">
        <v>1</v>
      </c>
      <c r="BD17" s="131" t="n">
        <v>0</v>
      </c>
      <c r="BE17" s="131" t="n">
        <v>0</v>
      </c>
      <c r="BF17" s="131" t="n">
        <v>0</v>
      </c>
      <c r="BG17" s="131" t="n">
        <v>0</v>
      </c>
      <c r="BH17" s="131" t="n">
        <v>0</v>
      </c>
      <c r="BI17" s="131" t="n">
        <v>0</v>
      </c>
      <c r="BJ17" s="131" t="n">
        <v>0</v>
      </c>
      <c r="BK17" s="131" t="n">
        <v>0</v>
      </c>
      <c r="BL17" s="131" t="n">
        <v>0</v>
      </c>
      <c r="BM17" s="131" t="n">
        <v>0</v>
      </c>
      <c r="BN17" s="131" t="n">
        <v>0</v>
      </c>
      <c r="BO17" s="131" t="n">
        <v>0</v>
      </c>
    </row>
    <row r="18" customFormat="false" ht="15" hidden="false" customHeight="true" outlineLevel="0" collapsed="false">
      <c r="A18" s="131" t="n">
        <v>8680</v>
      </c>
      <c r="B18" s="131"/>
      <c r="C18" s="132" t="s">
        <v>99</v>
      </c>
      <c r="D18" s="133" t="s">
        <v>99</v>
      </c>
      <c r="E18" s="134" t="n">
        <f aca="false">IF(I18="regional",IF(R18*0.2975,S18*0.3484),S18*0.1939)</f>
        <v>125258.6244</v>
      </c>
      <c r="F18" s="134" t="n">
        <v>0</v>
      </c>
      <c r="G18" s="135" t="n">
        <f aca="false">E18+F18</f>
        <v>125258.6244</v>
      </c>
      <c r="H18" s="132"/>
      <c r="I18" s="133" t="s">
        <v>62</v>
      </c>
      <c r="J18" s="133" t="s">
        <v>49</v>
      </c>
      <c r="K18" s="133" t="s">
        <v>102</v>
      </c>
      <c r="L18" s="133"/>
      <c r="M18" s="136" t="n">
        <v>63</v>
      </c>
      <c r="N18" s="136" t="n">
        <v>0.952</v>
      </c>
      <c r="O18" s="136" t="n">
        <v>0.926</v>
      </c>
      <c r="P18" s="136" t="n">
        <v>0.941</v>
      </c>
      <c r="Q18" s="136" t="n">
        <v>0.901</v>
      </c>
      <c r="R18" s="136" t="n">
        <v>0</v>
      </c>
      <c r="S18" s="136" t="n">
        <v>645996</v>
      </c>
      <c r="T18" s="8" t="n">
        <f aca="false">IF(I18="regional",IF(R18&gt;0,R18*0.2975,S18*0.3484),S18*0.1939)</f>
        <v>125258.6244</v>
      </c>
      <c r="U18" s="136" t="n">
        <v>396866</v>
      </c>
      <c r="V18" s="136" t="n">
        <v>249130</v>
      </c>
      <c r="W18" s="136" t="n">
        <v>3250</v>
      </c>
      <c r="X18" s="136" t="n">
        <v>0</v>
      </c>
      <c r="Y18" s="136" t="n">
        <v>0</v>
      </c>
      <c r="Z18" s="136" t="n">
        <v>0</v>
      </c>
      <c r="AA18" s="136" t="n">
        <v>771254.6244</v>
      </c>
      <c r="AB18" s="136" t="n">
        <v>125258.6244</v>
      </c>
      <c r="AC18" s="136" t="n">
        <v>645996</v>
      </c>
      <c r="AD18" s="136" t="n">
        <v>0</v>
      </c>
      <c r="AE18" s="136" t="n">
        <v>0</v>
      </c>
      <c r="AF18" s="136" t="n">
        <v>0</v>
      </c>
      <c r="AG18" s="136" t="n">
        <v>645996</v>
      </c>
      <c r="AH18" s="136" t="n">
        <v>0</v>
      </c>
      <c r="AI18" s="136" t="n">
        <v>0</v>
      </c>
      <c r="AJ18" s="132" t="n">
        <v>4</v>
      </c>
      <c r="AK18" s="132" t="s">
        <v>720</v>
      </c>
      <c r="AL18" s="133" t="s">
        <v>62</v>
      </c>
      <c r="AM18" s="132"/>
      <c r="AN18" s="133" t="s">
        <v>99</v>
      </c>
      <c r="AO18" s="133" t="n">
        <v>125258.6244</v>
      </c>
      <c r="AP18" s="137" t="n">
        <f aca="false">AR18+AT18+AU18+AV18+AX18+AY18+AZ18+BD18+BF18+BG18+BH18+BJ18+BK18+(BL18+BM18+BN18)/1000+(0.1*BO18)</f>
        <v>70</v>
      </c>
      <c r="AQ18" s="137" t="n">
        <f aca="false">AR18+AT18+AU18+AV18+AX18+AY18+AZ18+BB18+BC18+BD18+BF18+BG18+BH18+BJ18+BK18+(BL18+BM18+BN18)/1000+(0.1*BO18)</f>
        <v>78</v>
      </c>
      <c r="AR18" s="131" t="n">
        <v>0</v>
      </c>
      <c r="AS18" s="131" t="n">
        <v>0</v>
      </c>
      <c r="AT18" s="131" t="n">
        <v>42</v>
      </c>
      <c r="AU18" s="131" t="n">
        <v>21</v>
      </c>
      <c r="AV18" s="131" t="n">
        <v>0</v>
      </c>
      <c r="AW18" s="131" t="n">
        <v>0</v>
      </c>
      <c r="AX18" s="131" t="n">
        <v>2</v>
      </c>
      <c r="AY18" s="131" t="n">
        <v>5</v>
      </c>
      <c r="AZ18" s="131" t="n">
        <v>0</v>
      </c>
      <c r="BA18" s="131" t="n">
        <v>3</v>
      </c>
      <c r="BB18" s="131" t="n">
        <v>8</v>
      </c>
      <c r="BC18" s="131" t="n">
        <v>0</v>
      </c>
      <c r="BD18" s="131" t="n">
        <v>0</v>
      </c>
      <c r="BE18" s="131" t="n">
        <v>0</v>
      </c>
      <c r="BF18" s="131" t="n">
        <v>0</v>
      </c>
      <c r="BG18" s="131" t="n">
        <v>0</v>
      </c>
      <c r="BH18" s="131" t="n">
        <v>0</v>
      </c>
      <c r="BI18" s="131" t="n">
        <v>0</v>
      </c>
      <c r="BJ18" s="131" t="n">
        <v>0</v>
      </c>
      <c r="BK18" s="131" t="n">
        <v>0</v>
      </c>
      <c r="BL18" s="131" t="n">
        <v>0</v>
      </c>
      <c r="BM18" s="131" t="n">
        <v>0</v>
      </c>
      <c r="BN18" s="131" t="n">
        <v>0</v>
      </c>
      <c r="BO18" s="131" t="n">
        <v>0</v>
      </c>
    </row>
    <row r="19" customFormat="false" ht="15" hidden="false" customHeight="true" outlineLevel="0" collapsed="false">
      <c r="A19" s="131" t="n">
        <v>8142</v>
      </c>
      <c r="B19" s="131"/>
      <c r="C19" s="132" t="s">
        <v>103</v>
      </c>
      <c r="D19" s="133" t="s">
        <v>103</v>
      </c>
      <c r="E19" s="134" t="n">
        <f aca="false">IF(I19="regional",IF(R19*0.2975,S19*0.3484),S19*0.1939)</f>
        <v>371044.9548</v>
      </c>
      <c r="F19" s="134" t="n">
        <v>0</v>
      </c>
      <c r="G19" s="135" t="n">
        <f aca="false">E19+F19</f>
        <v>371044.9548</v>
      </c>
      <c r="H19" s="132"/>
      <c r="I19" s="133" t="s">
        <v>48</v>
      </c>
      <c r="J19" s="133" t="s">
        <v>49</v>
      </c>
      <c r="K19" s="133" t="s">
        <v>105</v>
      </c>
      <c r="L19" s="133"/>
      <c r="M19" s="136" t="n">
        <v>151</v>
      </c>
      <c r="N19" s="136" t="n">
        <v>0.883</v>
      </c>
      <c r="O19" s="136" t="n">
        <v>0.894</v>
      </c>
      <c r="P19" s="136" t="n">
        <v>0.944</v>
      </c>
      <c r="Q19" s="136" t="n">
        <v>0.869</v>
      </c>
      <c r="R19" s="136" t="n">
        <v>1199771</v>
      </c>
      <c r="S19" s="136" t="n">
        <v>1064997</v>
      </c>
      <c r="T19" s="8" t="n">
        <f aca="false">IF(I19="regional",IF(R19&gt;0,R19*0.2975,S19*0.3484),S19*0.1939)</f>
        <v>356931.8725</v>
      </c>
      <c r="U19" s="136" t="n">
        <v>762368</v>
      </c>
      <c r="V19" s="136" t="n">
        <v>302629</v>
      </c>
      <c r="W19" s="136" t="n">
        <v>5510</v>
      </c>
      <c r="X19" s="136" t="n">
        <v>0</v>
      </c>
      <c r="Y19" s="136" t="n">
        <v>0</v>
      </c>
      <c r="Z19" s="136" t="n">
        <v>0</v>
      </c>
      <c r="AA19" s="136" t="n">
        <v>1421928.873</v>
      </c>
      <c r="AB19" s="136" t="n">
        <v>356931.8725</v>
      </c>
      <c r="AC19" s="136" t="n">
        <v>1064997</v>
      </c>
      <c r="AD19" s="136" t="n">
        <v>0</v>
      </c>
      <c r="AE19" s="136" t="n">
        <v>0</v>
      </c>
      <c r="AF19" s="136" t="n">
        <v>0</v>
      </c>
      <c r="AG19" s="136" t="n">
        <v>1064997</v>
      </c>
      <c r="AH19" s="136" t="n">
        <v>0</v>
      </c>
      <c r="AI19" s="136" t="n">
        <v>0</v>
      </c>
      <c r="AJ19" s="132" t="s">
        <v>707</v>
      </c>
      <c r="AK19" s="132" t="s">
        <v>714</v>
      </c>
      <c r="AL19" s="133" t="s">
        <v>48</v>
      </c>
      <c r="AM19" s="132"/>
      <c r="AN19" s="133" t="s">
        <v>103</v>
      </c>
      <c r="AO19" s="133" t="n">
        <v>356931.8725</v>
      </c>
      <c r="AP19" s="137" t="n">
        <f aca="false">AR19+AT19+AU19+AV19+AX19+AY19+AZ19+BD19+BF19+BG19+BH19+BJ19+BK19+(BL19+BM19+BN19)/1000+(0.1*BO19)</f>
        <v>258.0001</v>
      </c>
      <c r="AQ19" s="137" t="n">
        <f aca="false">AR19+AT19+AU19+AV19+AX19+AY19+AZ19+BB19+BC19+BD19+BF19+BG19+BH19+BJ19+BK19+(BL19+BM19+BN19)/1000+(0.1*BO19)</f>
        <v>278.0001</v>
      </c>
      <c r="AR19" s="131" t="n">
        <v>0</v>
      </c>
      <c r="AS19" s="131" t="n">
        <v>0</v>
      </c>
      <c r="AT19" s="131" t="n">
        <v>164</v>
      </c>
      <c r="AU19" s="131" t="n">
        <v>-1</v>
      </c>
      <c r="AV19" s="131" t="n">
        <v>0</v>
      </c>
      <c r="AW19" s="131" t="n">
        <v>0</v>
      </c>
      <c r="AX19" s="131" t="n">
        <v>0</v>
      </c>
      <c r="AY19" s="131" t="n">
        <v>0</v>
      </c>
      <c r="AZ19" s="131" t="n">
        <v>0</v>
      </c>
      <c r="BA19" s="131" t="n">
        <v>0</v>
      </c>
      <c r="BB19" s="131" t="n">
        <v>20</v>
      </c>
      <c r="BC19" s="131" t="n">
        <v>0</v>
      </c>
      <c r="BD19" s="131" t="n">
        <v>0</v>
      </c>
      <c r="BE19" s="131" t="n">
        <v>0</v>
      </c>
      <c r="BF19" s="131" t="n">
        <v>0</v>
      </c>
      <c r="BG19" s="131" t="n">
        <v>0</v>
      </c>
      <c r="BH19" s="131" t="n">
        <v>0</v>
      </c>
      <c r="BI19" s="131" t="n">
        <v>0</v>
      </c>
      <c r="BJ19" s="131" t="n">
        <v>0</v>
      </c>
      <c r="BK19" s="131" t="n">
        <v>0</v>
      </c>
      <c r="BL19" s="131" t="n">
        <v>3949</v>
      </c>
      <c r="BM19" s="131" t="n">
        <v>0</v>
      </c>
      <c r="BN19" s="131" t="n">
        <v>0</v>
      </c>
      <c r="BO19" s="131" t="n">
        <v>910.511</v>
      </c>
    </row>
    <row r="20" customFormat="false" ht="15" hidden="false" customHeight="true" outlineLevel="0" collapsed="false">
      <c r="A20" s="131" t="n">
        <v>4821</v>
      </c>
      <c r="B20" s="131" t="s">
        <v>44</v>
      </c>
      <c r="C20" s="132" t="s">
        <v>106</v>
      </c>
      <c r="D20" s="133" t="s">
        <v>106</v>
      </c>
      <c r="E20" s="134" t="n">
        <f aca="false">IF(I20="regional",IF(R20*0.2975,S20*0.3484),S20*0.1939)</f>
        <v>435500</v>
      </c>
      <c r="F20" s="134" t="n">
        <v>0</v>
      </c>
      <c r="G20" s="135" t="n">
        <f aca="false">E20+F20</f>
        <v>435500</v>
      </c>
      <c r="H20" s="132"/>
      <c r="I20" s="133" t="s">
        <v>48</v>
      </c>
      <c r="J20" s="133" t="s">
        <v>44</v>
      </c>
      <c r="K20" s="133" t="s">
        <v>109</v>
      </c>
      <c r="L20" s="133"/>
      <c r="M20" s="136" t="n">
        <v>181</v>
      </c>
      <c r="N20" s="136" t="n">
        <v>0.951</v>
      </c>
      <c r="O20" s="136" t="n">
        <v>0.977</v>
      </c>
      <c r="P20" s="136" t="n">
        <v>0.925</v>
      </c>
      <c r="Q20" s="136" t="n">
        <v>0.952</v>
      </c>
      <c r="R20" s="136" t="n">
        <v>813000</v>
      </c>
      <c r="S20" s="136" t="n">
        <v>1250000</v>
      </c>
      <c r="T20" s="8" t="n">
        <f aca="false">IF(I20="regional",IF(R20&gt;0,R20*0.2975,S20*0.3484),S20*0.1939)</f>
        <v>241867.5</v>
      </c>
      <c r="U20" s="136" t="n">
        <v>813000</v>
      </c>
      <c r="V20" s="136" t="n">
        <v>437000</v>
      </c>
      <c r="W20" s="136" t="n">
        <v>6115</v>
      </c>
      <c r="X20" s="136" t="n">
        <v>0</v>
      </c>
      <c r="Y20" s="136" t="n">
        <v>0</v>
      </c>
      <c r="Z20" s="136" t="n">
        <v>0</v>
      </c>
      <c r="AA20" s="136" t="n">
        <v>1491867.5</v>
      </c>
      <c r="AB20" s="136" t="n">
        <v>241867.5</v>
      </c>
      <c r="AC20" s="136" t="n">
        <v>1250000</v>
      </c>
      <c r="AD20" s="136" t="n">
        <v>0</v>
      </c>
      <c r="AE20" s="136" t="n">
        <v>0</v>
      </c>
      <c r="AF20" s="136" t="n">
        <v>1250000</v>
      </c>
      <c r="AG20" s="136" t="n">
        <v>0</v>
      </c>
      <c r="AH20" s="136" t="n">
        <v>2217000</v>
      </c>
      <c r="AI20" s="136" t="n">
        <v>1531000</v>
      </c>
      <c r="AJ20" s="132" t="s">
        <v>721</v>
      </c>
      <c r="AK20" s="132" t="s">
        <v>108</v>
      </c>
      <c r="AL20" s="133" t="s">
        <v>48</v>
      </c>
      <c r="AM20" s="132"/>
      <c r="AN20" s="133" t="s">
        <v>106</v>
      </c>
      <c r="AO20" s="133" t="n">
        <v>241867.5</v>
      </c>
      <c r="AP20" s="137" t="n">
        <f aca="false">AR20+AT20+AU20+AV20+AX20+AY20+AZ20+BD20+BF20+BG20+BH20+BJ20+BK20+(BL20+BM20+BN20)/1000+(0.1*BO20)</f>
        <v>333</v>
      </c>
      <c r="AQ20" s="137" t="n">
        <f aca="false">AR20+AT20+AU20+AV20+AX20+AY20+AZ20+BB20+BC20+BD20+BF20+BG20+BH20+BJ20+BK20+(BL20+BM20+BN20)/1000+(0.1*BO20)</f>
        <v>370</v>
      </c>
      <c r="AR20" s="131" t="n">
        <v>17</v>
      </c>
      <c r="AS20" s="131" t="n">
        <v>1531</v>
      </c>
      <c r="AT20" s="131" t="n">
        <v>291</v>
      </c>
      <c r="AU20" s="131" t="n">
        <v>0</v>
      </c>
      <c r="AV20" s="131" t="n">
        <v>0</v>
      </c>
      <c r="AW20" s="131" t="n">
        <v>0</v>
      </c>
      <c r="AX20" s="131" t="n">
        <v>0</v>
      </c>
      <c r="AY20" s="131" t="n">
        <v>0</v>
      </c>
      <c r="AZ20" s="131" t="n">
        <v>0</v>
      </c>
      <c r="BA20" s="131" t="n">
        <v>32</v>
      </c>
      <c r="BB20" s="131" t="n">
        <v>37</v>
      </c>
      <c r="BC20" s="131" t="n">
        <v>0</v>
      </c>
      <c r="BD20" s="131" t="n">
        <v>1</v>
      </c>
      <c r="BE20" s="131" t="n">
        <v>1</v>
      </c>
      <c r="BF20" s="131" t="n">
        <v>0</v>
      </c>
      <c r="BG20" s="131" t="n">
        <v>0</v>
      </c>
      <c r="BH20" s="131" t="n">
        <v>24</v>
      </c>
      <c r="BI20" s="131" t="n">
        <v>0</v>
      </c>
      <c r="BJ20" s="131" t="n">
        <v>0</v>
      </c>
      <c r="BK20" s="131" t="n">
        <v>0</v>
      </c>
      <c r="BL20" s="131" t="n">
        <v>0</v>
      </c>
      <c r="BM20" s="131" t="n">
        <v>0</v>
      </c>
      <c r="BN20" s="131" t="n">
        <v>0</v>
      </c>
      <c r="BO20" s="131" t="n">
        <v>0</v>
      </c>
    </row>
    <row r="21" customFormat="false" ht="15" hidden="false" customHeight="true" outlineLevel="0" collapsed="false">
      <c r="A21" s="131" t="n">
        <v>323</v>
      </c>
      <c r="B21" s="131"/>
      <c r="C21" s="132" t="s">
        <v>110</v>
      </c>
      <c r="D21" s="133" t="s">
        <v>110</v>
      </c>
      <c r="E21" s="134" t="n">
        <f aca="false">IF(I21="regional",IF(R21*0.2975,S21*0.3484),S21*0.1939)</f>
        <v>52140.4856</v>
      </c>
      <c r="F21" s="134" t="n">
        <v>0</v>
      </c>
      <c r="G21" s="135" t="n">
        <f aca="false">E21+F21</f>
        <v>52140.4856</v>
      </c>
      <c r="H21" s="132"/>
      <c r="I21" s="133" t="s">
        <v>62</v>
      </c>
      <c r="J21" s="133" t="s">
        <v>49</v>
      </c>
      <c r="K21" s="133" t="s">
        <v>98</v>
      </c>
      <c r="L21" s="133"/>
      <c r="M21" s="136" t="n">
        <v>20</v>
      </c>
      <c r="N21" s="136" t="n">
        <v>0.582</v>
      </c>
      <c r="O21" s="136" t="n">
        <v>0.559</v>
      </c>
      <c r="P21" s="136" t="n">
        <v>0.658</v>
      </c>
      <c r="Q21" s="136" t="n">
        <v>0.629</v>
      </c>
      <c r="R21" s="136" t="n">
        <v>0</v>
      </c>
      <c r="S21" s="136" t="n">
        <v>268904</v>
      </c>
      <c r="T21" s="8" t="n">
        <f aca="false">IF(I21="regional",IF(R21&gt;0,R21*0.2975,S21*0.3484),S21*0.1939)</f>
        <v>52140.4856</v>
      </c>
      <c r="U21" s="136" t="n">
        <v>216491</v>
      </c>
      <c r="V21" s="136" t="n">
        <v>52413</v>
      </c>
      <c r="W21" s="136" t="n">
        <v>1345</v>
      </c>
      <c r="X21" s="136" t="n">
        <v>0</v>
      </c>
      <c r="Y21" s="136" t="n">
        <v>0</v>
      </c>
      <c r="Z21" s="136" t="n">
        <v>0</v>
      </c>
      <c r="AA21" s="136" t="n">
        <v>321044.4856</v>
      </c>
      <c r="AB21" s="136" t="n">
        <v>52140.4856</v>
      </c>
      <c r="AC21" s="136" t="n">
        <v>268904</v>
      </c>
      <c r="AD21" s="136" t="n">
        <v>0</v>
      </c>
      <c r="AE21" s="136" t="n">
        <v>0</v>
      </c>
      <c r="AF21" s="136" t="n">
        <v>0</v>
      </c>
      <c r="AG21" s="136" t="n">
        <v>268904</v>
      </c>
      <c r="AH21" s="136" t="n">
        <v>0</v>
      </c>
      <c r="AI21" s="136" t="n">
        <v>0</v>
      </c>
      <c r="AJ21" s="132" t="n">
        <v>4</v>
      </c>
      <c r="AK21" s="132" t="s">
        <v>706</v>
      </c>
      <c r="AL21" s="133" t="s">
        <v>62</v>
      </c>
      <c r="AM21" s="132"/>
      <c r="AN21" s="133" t="s">
        <v>110</v>
      </c>
      <c r="AO21" s="133" t="n">
        <v>52140.4856</v>
      </c>
      <c r="AP21" s="137" t="n">
        <f aca="false">AR21+AT21+AU21+AV21+AX21+AY21+AZ21+BD21+BF21+BG21+BH21+BJ21+BK21+(BL21+BM21+BN21)/1000+(0.1*BO21)</f>
        <v>28</v>
      </c>
      <c r="AQ21" s="137" t="n">
        <f aca="false">AR21+AT21+AU21+AV21+AX21+AY21+AZ21+BB21+BC21+BD21+BF21+BG21+BH21+BJ21+BK21+(BL21+BM21+BN21)/1000+(0.1*BO21)</f>
        <v>34</v>
      </c>
      <c r="AR21" s="131" t="n">
        <v>0</v>
      </c>
      <c r="AS21" s="131" t="n">
        <v>0</v>
      </c>
      <c r="AT21" s="131" t="n">
        <v>21</v>
      </c>
      <c r="AU21" s="131" t="n">
        <v>7</v>
      </c>
      <c r="AV21" s="131" t="n">
        <v>0</v>
      </c>
      <c r="AW21" s="131" t="n">
        <v>0</v>
      </c>
      <c r="AX21" s="131" t="n">
        <v>0</v>
      </c>
      <c r="AY21" s="131" t="n">
        <v>0</v>
      </c>
      <c r="AZ21" s="131" t="n">
        <v>0</v>
      </c>
      <c r="BA21" s="131" t="n">
        <v>3</v>
      </c>
      <c r="BB21" s="131" t="n">
        <v>6</v>
      </c>
      <c r="BC21" s="131" t="n">
        <v>0</v>
      </c>
      <c r="BD21" s="131" t="n">
        <v>0</v>
      </c>
      <c r="BE21" s="131" t="n">
        <v>0</v>
      </c>
      <c r="BF21" s="131" t="n">
        <v>0</v>
      </c>
      <c r="BG21" s="131" t="n">
        <v>0</v>
      </c>
      <c r="BH21" s="131" t="n">
        <v>0</v>
      </c>
      <c r="BI21" s="131" t="n">
        <v>0</v>
      </c>
      <c r="BJ21" s="131" t="n">
        <v>0</v>
      </c>
      <c r="BK21" s="131" t="n">
        <v>0</v>
      </c>
      <c r="BL21" s="131" t="n">
        <v>0</v>
      </c>
      <c r="BM21" s="131" t="n">
        <v>0</v>
      </c>
      <c r="BN21" s="131" t="n">
        <v>0</v>
      </c>
      <c r="BO21" s="131" t="n">
        <v>0</v>
      </c>
    </row>
    <row r="22" customFormat="false" ht="15" hidden="false" customHeight="true" outlineLevel="0" collapsed="false">
      <c r="A22" s="131" t="n">
        <v>324</v>
      </c>
      <c r="B22" s="131"/>
      <c r="C22" s="132" t="s">
        <v>112</v>
      </c>
      <c r="D22" s="133" t="s">
        <v>112</v>
      </c>
      <c r="E22" s="134" t="n">
        <f aca="false">IF(I22="regional",IF(R22*0.2975,S22*0.3484),S22*0.1939)</f>
        <v>7930.7039</v>
      </c>
      <c r="F22" s="134" t="n">
        <v>0</v>
      </c>
      <c r="G22" s="135" t="n">
        <f aca="false">E22+F22</f>
        <v>7930.7039</v>
      </c>
      <c r="H22" s="132"/>
      <c r="I22" s="133" t="s">
        <v>62</v>
      </c>
      <c r="J22" s="133"/>
      <c r="K22" s="133" t="s">
        <v>115</v>
      </c>
      <c r="L22" s="133"/>
      <c r="M22" s="136" t="n">
        <v>8</v>
      </c>
      <c r="N22" s="136" t="n">
        <v>0.946</v>
      </c>
      <c r="O22" s="136" t="n">
        <v>0.946</v>
      </c>
      <c r="P22" s="136" t="n">
        <v>1</v>
      </c>
      <c r="Q22" s="136" t="n">
        <v>1</v>
      </c>
      <c r="R22" s="136" t="n">
        <v>0</v>
      </c>
      <c r="S22" s="136" t="n">
        <v>40901</v>
      </c>
      <c r="T22" s="8" t="n">
        <f aca="false">IF(I22="regional",IF(R22&gt;0,R22*0.2975,S22*0.3484),S22*0.1939)</f>
        <v>7930.7039</v>
      </c>
      <c r="U22" s="136" t="n">
        <v>0</v>
      </c>
      <c r="V22" s="136" t="n">
        <v>40901</v>
      </c>
      <c r="W22" s="136" t="n">
        <v>315</v>
      </c>
      <c r="X22" s="136" t="n">
        <v>0</v>
      </c>
      <c r="Y22" s="136" t="n">
        <v>0</v>
      </c>
      <c r="Z22" s="136" t="n">
        <v>0</v>
      </c>
      <c r="AA22" s="136" t="n">
        <v>48831.7039</v>
      </c>
      <c r="AB22" s="136" t="n">
        <v>7930.7039</v>
      </c>
      <c r="AC22" s="136" t="n">
        <v>40901</v>
      </c>
      <c r="AD22" s="136" t="n">
        <v>0</v>
      </c>
      <c r="AE22" s="136" t="n">
        <v>0</v>
      </c>
      <c r="AF22" s="136" t="n">
        <v>0</v>
      </c>
      <c r="AG22" s="136" t="n">
        <v>40901</v>
      </c>
      <c r="AH22" s="136" t="n">
        <v>0</v>
      </c>
      <c r="AI22" s="136" t="n">
        <v>0</v>
      </c>
      <c r="AJ22" s="132" t="n">
        <v>4</v>
      </c>
      <c r="AK22" s="132" t="s">
        <v>720</v>
      </c>
      <c r="AL22" s="133" t="s">
        <v>62</v>
      </c>
      <c r="AM22" s="132"/>
      <c r="AN22" s="133" t="s">
        <v>112</v>
      </c>
      <c r="AO22" s="133" t="n">
        <v>7930.7039</v>
      </c>
      <c r="AP22" s="137" t="n">
        <f aca="false">AR22+AT22+AU22+AV22+AX22+AY22+AZ22+BD22+BF22+BG22+BH22+BJ22+BK22+(BL22+BM22+BN22)/1000+(0.1*BO22)</f>
        <v>8</v>
      </c>
      <c r="AQ22" s="137" t="n">
        <f aca="false">AR22+AT22+AU22+AV22+AX22+AY22+AZ22+BB22+BC22+BD22+BF22+BG22+BH22+BJ22+BK22+(BL22+BM22+BN22)/1000+(0.1*BO22)</f>
        <v>8</v>
      </c>
      <c r="AR22" s="131" t="n">
        <v>0</v>
      </c>
      <c r="AS22" s="131" t="n">
        <v>0</v>
      </c>
      <c r="AT22" s="131" t="n">
        <v>8</v>
      </c>
      <c r="AU22" s="131" t="n">
        <v>0</v>
      </c>
      <c r="AV22" s="131" t="n">
        <v>0</v>
      </c>
      <c r="AW22" s="131" t="n">
        <v>0</v>
      </c>
      <c r="AX22" s="131" t="n">
        <v>0</v>
      </c>
      <c r="AY22" s="131" t="n">
        <v>0</v>
      </c>
      <c r="AZ22" s="131" t="n">
        <v>0</v>
      </c>
      <c r="BA22" s="131" t="n">
        <v>0</v>
      </c>
      <c r="BB22" s="131" t="n">
        <v>0</v>
      </c>
      <c r="BC22" s="131" t="n">
        <v>0</v>
      </c>
      <c r="BD22" s="131" t="n">
        <v>0</v>
      </c>
      <c r="BE22" s="131" t="n">
        <v>0</v>
      </c>
      <c r="BF22" s="131" t="n">
        <v>0</v>
      </c>
      <c r="BG22" s="131" t="n">
        <v>0</v>
      </c>
      <c r="BH22" s="131" t="n">
        <v>0</v>
      </c>
      <c r="BI22" s="131" t="n">
        <v>0</v>
      </c>
      <c r="BJ22" s="131" t="n">
        <v>0</v>
      </c>
      <c r="BK22" s="131" t="n">
        <v>0</v>
      </c>
      <c r="BL22" s="131" t="n">
        <v>0</v>
      </c>
      <c r="BM22" s="131" t="n">
        <v>0</v>
      </c>
      <c r="BN22" s="131" t="n">
        <v>0</v>
      </c>
      <c r="BO22" s="131" t="n">
        <v>0</v>
      </c>
    </row>
    <row r="23" customFormat="false" ht="15" hidden="false" customHeight="true" outlineLevel="0" collapsed="false">
      <c r="A23" s="131" t="n">
        <v>344</v>
      </c>
      <c r="B23" s="131" t="s">
        <v>44</v>
      </c>
      <c r="C23" s="132" t="s">
        <v>116</v>
      </c>
      <c r="D23" s="133" t="s">
        <v>116</v>
      </c>
      <c r="E23" s="134" t="n">
        <f aca="false">IF(I23="regional",IF(R23*0.2975,S23*0.3484),S23*0.1939)</f>
        <v>199045.1008</v>
      </c>
      <c r="F23" s="134" t="n">
        <v>0</v>
      </c>
      <c r="G23" s="135" t="n">
        <f aca="false">E23+F23</f>
        <v>199045.1008</v>
      </c>
      <c r="H23" s="132"/>
      <c r="I23" s="133" t="s">
        <v>48</v>
      </c>
      <c r="J23" s="133" t="s">
        <v>44</v>
      </c>
      <c r="K23" s="133" t="s">
        <v>118</v>
      </c>
      <c r="L23" s="133"/>
      <c r="M23" s="136" t="n">
        <v>90</v>
      </c>
      <c r="N23" s="136" t="n">
        <v>0.818</v>
      </c>
      <c r="O23" s="136" t="n">
        <v>0.974</v>
      </c>
      <c r="P23" s="136" t="n">
        <v>0.963</v>
      </c>
      <c r="Q23" s="136" t="n">
        <v>0.95</v>
      </c>
      <c r="R23" s="136" t="n">
        <v>652078</v>
      </c>
      <c r="S23" s="136" t="n">
        <v>571312</v>
      </c>
      <c r="T23" s="8" t="n">
        <f aca="false">IF(I23="regional",IF(R23&gt;0,R23*0.2975,S23*0.3484),S23*0.1939)</f>
        <v>193993.205</v>
      </c>
      <c r="U23" s="136" t="n">
        <v>378599</v>
      </c>
      <c r="V23" s="136" t="n">
        <v>192713</v>
      </c>
      <c r="W23" s="136" t="n">
        <v>2865</v>
      </c>
      <c r="X23" s="136" t="n">
        <v>0</v>
      </c>
      <c r="Y23" s="136" t="n">
        <v>0</v>
      </c>
      <c r="Z23" s="136" t="n">
        <v>0</v>
      </c>
      <c r="AA23" s="136" t="n">
        <v>765305.205</v>
      </c>
      <c r="AB23" s="136" t="n">
        <v>193993.205</v>
      </c>
      <c r="AC23" s="136" t="n">
        <v>571312</v>
      </c>
      <c r="AD23" s="136" t="n">
        <v>0</v>
      </c>
      <c r="AE23" s="136" t="n">
        <v>0</v>
      </c>
      <c r="AF23" s="136" t="n">
        <v>571312</v>
      </c>
      <c r="AG23" s="136" t="n">
        <v>0</v>
      </c>
      <c r="AH23" s="136" t="n">
        <v>519000</v>
      </c>
      <c r="AI23" s="136" t="n">
        <v>452000</v>
      </c>
      <c r="AJ23" s="132" t="s">
        <v>707</v>
      </c>
      <c r="AK23" s="132" t="s">
        <v>708</v>
      </c>
      <c r="AL23" s="133" t="s">
        <v>48</v>
      </c>
      <c r="AM23" s="132"/>
      <c r="AN23" s="133" t="s">
        <v>116</v>
      </c>
      <c r="AO23" s="133" t="n">
        <v>193993.205</v>
      </c>
      <c r="AP23" s="137" t="n">
        <f aca="false">AR23+AT23+AU23+AV23+AX23+AY23+AZ23+BD23+BF23+BG23+BH23+BJ23+BK23+(BL23+BM23+BN23)/1000+(0.1*BO23)</f>
        <v>176.193175</v>
      </c>
      <c r="AQ23" s="137" t="n">
        <f aca="false">AR23+AT23+AU23+AV23+AX23+AY23+AZ23+BB23+BC23+BD23+BF23+BG23+BH23+BJ23+BK23+(BL23+BM23+BN23)/1000+(0.1*BO23)</f>
        <v>194.193175</v>
      </c>
      <c r="AR23" s="131" t="n">
        <v>0</v>
      </c>
      <c r="AS23" s="131" t="n">
        <v>452</v>
      </c>
      <c r="AT23" s="131" t="n">
        <v>120</v>
      </c>
      <c r="AU23" s="131" t="n">
        <v>0</v>
      </c>
      <c r="AV23" s="131" t="n">
        <v>0</v>
      </c>
      <c r="AW23" s="131" t="n">
        <v>0</v>
      </c>
      <c r="AX23" s="131" t="n">
        <v>0</v>
      </c>
      <c r="AY23" s="131" t="n">
        <v>0</v>
      </c>
      <c r="AZ23" s="131" t="n">
        <v>0</v>
      </c>
      <c r="BA23" s="131" t="n">
        <v>7</v>
      </c>
      <c r="BB23" s="131" t="n">
        <v>18</v>
      </c>
      <c r="BC23" s="131" t="n">
        <v>0</v>
      </c>
      <c r="BD23" s="131" t="n">
        <v>0</v>
      </c>
      <c r="BE23" s="131" t="n">
        <v>0</v>
      </c>
      <c r="BF23" s="131" t="n">
        <v>0</v>
      </c>
      <c r="BG23" s="131" t="n">
        <v>0</v>
      </c>
      <c r="BH23" s="131" t="n">
        <v>0</v>
      </c>
      <c r="BI23" s="131" t="n">
        <v>0</v>
      </c>
      <c r="BJ23" s="131" t="n">
        <v>0</v>
      </c>
      <c r="BK23" s="131" t="n">
        <v>0</v>
      </c>
      <c r="BL23" s="131" t="n">
        <v>9478</v>
      </c>
      <c r="BM23" s="131" t="n">
        <v>0</v>
      </c>
      <c r="BN23" s="131" t="n">
        <v>0</v>
      </c>
      <c r="BO23" s="131" t="n">
        <v>467.15175</v>
      </c>
    </row>
    <row r="24" customFormat="false" ht="15" hidden="false" customHeight="true" outlineLevel="0" collapsed="false">
      <c r="A24" s="131" t="n">
        <v>8178</v>
      </c>
      <c r="B24" s="131"/>
      <c r="C24" s="132" t="s">
        <v>119</v>
      </c>
      <c r="D24" s="133" t="s">
        <v>119</v>
      </c>
      <c r="E24" s="134" t="n">
        <f aca="false">IF(I24="regional",IF(R24*0.2975,S24*0.3484),S24*0.1939)</f>
        <v>267676.7652</v>
      </c>
      <c r="F24" s="134" t="n">
        <v>0</v>
      </c>
      <c r="G24" s="135" t="n">
        <f aca="false">E24+F24</f>
        <v>267676.7652</v>
      </c>
      <c r="H24" s="132"/>
      <c r="I24" s="133" t="s">
        <v>48</v>
      </c>
      <c r="J24" s="133" t="s">
        <v>49</v>
      </c>
      <c r="K24" s="133" t="s">
        <v>90</v>
      </c>
      <c r="L24" s="133"/>
      <c r="M24" s="136" t="n">
        <v>76</v>
      </c>
      <c r="N24" s="136" t="n">
        <v>0.904</v>
      </c>
      <c r="O24" s="136" t="n">
        <v>0.939</v>
      </c>
      <c r="P24" s="136" t="n">
        <v>0.874</v>
      </c>
      <c r="Q24" s="136" t="n">
        <v>0.767</v>
      </c>
      <c r="R24" s="136" t="n">
        <v>857149</v>
      </c>
      <c r="S24" s="136" t="n">
        <v>768303</v>
      </c>
      <c r="T24" s="8" t="n">
        <f aca="false">IF(I24="regional",IF(R24&gt;0,R24*0.2975,S24*0.3484),S24*0.1939)</f>
        <v>255001.8275</v>
      </c>
      <c r="U24" s="136" t="n">
        <v>467626</v>
      </c>
      <c r="V24" s="136" t="n">
        <v>300677</v>
      </c>
      <c r="W24" s="136" t="n">
        <v>4248</v>
      </c>
      <c r="X24" s="136" t="n">
        <v>0</v>
      </c>
      <c r="Y24" s="136" t="n">
        <v>0</v>
      </c>
      <c r="Z24" s="136" t="n">
        <v>0</v>
      </c>
      <c r="AA24" s="136" t="n">
        <v>1023304.828</v>
      </c>
      <c r="AB24" s="136" t="n">
        <v>255001.8275</v>
      </c>
      <c r="AC24" s="136" t="n">
        <v>768303</v>
      </c>
      <c r="AD24" s="136" t="n">
        <v>0</v>
      </c>
      <c r="AE24" s="136" t="n">
        <v>0</v>
      </c>
      <c r="AF24" s="136" t="n">
        <v>0</v>
      </c>
      <c r="AG24" s="136" t="n">
        <v>768303</v>
      </c>
      <c r="AH24" s="136" t="n">
        <v>0</v>
      </c>
      <c r="AI24" s="136" t="n">
        <v>0</v>
      </c>
      <c r="AJ24" s="132" t="s">
        <v>715</v>
      </c>
      <c r="AK24" s="132" t="s">
        <v>716</v>
      </c>
      <c r="AL24" s="133" t="s">
        <v>48</v>
      </c>
      <c r="AM24" s="132"/>
      <c r="AN24" s="133" t="s">
        <v>119</v>
      </c>
      <c r="AO24" s="133" t="n">
        <v>255001.8275</v>
      </c>
      <c r="AP24" s="137" t="n">
        <f aca="false">AR24+AT24+AU24+AV24+AX24+AY24+AZ24+BD24+BF24+BG24+BH24+BJ24+BK24+(BL24+BM24+BN24)/1000+(0.1*BO24)</f>
        <v>117.023595</v>
      </c>
      <c r="AQ24" s="137" t="n">
        <f aca="false">AR24+AT24+AU24+AV24+AX24+AY24+AZ24+BB24+BC24+BD24+BF24+BG24+BH24+BJ24+BK24+(BL24+BM24+BN24)/1000+(0.1*BO24)</f>
        <v>138.023595</v>
      </c>
      <c r="AR24" s="131" t="n">
        <v>0</v>
      </c>
      <c r="AS24" s="131" t="n">
        <v>0</v>
      </c>
      <c r="AT24" s="131" t="n">
        <v>63</v>
      </c>
      <c r="AU24" s="131" t="n">
        <v>10</v>
      </c>
      <c r="AV24" s="131" t="n">
        <v>0</v>
      </c>
      <c r="AW24" s="131" t="n">
        <v>0</v>
      </c>
      <c r="AX24" s="131" t="n">
        <v>11</v>
      </c>
      <c r="AY24" s="131" t="n">
        <v>4</v>
      </c>
      <c r="AZ24" s="131" t="n">
        <v>0</v>
      </c>
      <c r="BA24" s="131" t="n">
        <v>0</v>
      </c>
      <c r="BB24" s="131" t="n">
        <v>18</v>
      </c>
      <c r="BC24" s="131" t="n">
        <v>3</v>
      </c>
      <c r="BD24" s="131" t="n">
        <v>0</v>
      </c>
      <c r="BE24" s="131" t="n">
        <v>0</v>
      </c>
      <c r="BF24" s="131" t="n">
        <v>0</v>
      </c>
      <c r="BG24" s="131" t="n">
        <v>0</v>
      </c>
      <c r="BH24" s="131" t="n">
        <v>0</v>
      </c>
      <c r="BI24" s="131" t="n">
        <v>0</v>
      </c>
      <c r="BJ24" s="131" t="n">
        <v>0</v>
      </c>
      <c r="BK24" s="131" t="n">
        <v>0</v>
      </c>
      <c r="BL24" s="131" t="n">
        <v>0</v>
      </c>
      <c r="BM24" s="131" t="n">
        <v>0</v>
      </c>
      <c r="BN24" s="131" t="n">
        <v>0</v>
      </c>
      <c r="BO24" s="131" t="n">
        <v>290.23595</v>
      </c>
    </row>
    <row r="25" customFormat="false" ht="15" hidden="false" customHeight="true" outlineLevel="0" collapsed="false">
      <c r="A25" s="131" t="n">
        <v>339</v>
      </c>
      <c r="B25" s="131"/>
      <c r="C25" s="132" t="s">
        <v>121</v>
      </c>
      <c r="D25" s="133" t="s">
        <v>121</v>
      </c>
      <c r="E25" s="134" t="n">
        <f aca="false">IF(I25="regional",IF(R25*0.2975,S25*0.3484),S25*0.1939)</f>
        <v>25998.6937</v>
      </c>
      <c r="F25" s="134" t="n">
        <v>0</v>
      </c>
      <c r="G25" s="135" t="n">
        <f aca="false">E25+F25</f>
        <v>25998.6937</v>
      </c>
      <c r="H25" s="132"/>
      <c r="I25" s="133" t="s">
        <v>62</v>
      </c>
      <c r="J25" s="133" t="s">
        <v>49</v>
      </c>
      <c r="K25" s="133" t="s">
        <v>98</v>
      </c>
      <c r="L25" s="133"/>
      <c r="M25" s="136" t="n">
        <v>40</v>
      </c>
      <c r="N25" s="136" t="n">
        <v>0.802</v>
      </c>
      <c r="O25" s="136" t="n">
        <v>0.733</v>
      </c>
      <c r="P25" s="136" t="n">
        <v>0.797</v>
      </c>
      <c r="Q25" s="136" t="n">
        <v>0.807</v>
      </c>
      <c r="R25" s="136" t="n">
        <v>0</v>
      </c>
      <c r="S25" s="136" t="n">
        <v>134083</v>
      </c>
      <c r="T25" s="8" t="n">
        <f aca="false">IF(I25="regional",IF(R25&gt;0,R25*0.2975,S25*0.3484),S25*0.1939)</f>
        <v>25998.6937</v>
      </c>
      <c r="U25" s="136" t="n">
        <v>0</v>
      </c>
      <c r="V25" s="136" t="n">
        <v>134083</v>
      </c>
      <c r="W25" s="136" t="n">
        <v>910</v>
      </c>
      <c r="X25" s="136" t="n">
        <v>0</v>
      </c>
      <c r="Y25" s="136" t="n">
        <v>0</v>
      </c>
      <c r="Z25" s="136" t="n">
        <v>0</v>
      </c>
      <c r="AA25" s="136" t="n">
        <v>160081.6937</v>
      </c>
      <c r="AB25" s="136" t="n">
        <v>25998.6937</v>
      </c>
      <c r="AC25" s="136" t="n">
        <v>134083</v>
      </c>
      <c r="AD25" s="136" t="n">
        <v>0</v>
      </c>
      <c r="AE25" s="136" t="n">
        <v>0</v>
      </c>
      <c r="AF25" s="136" t="n">
        <v>0</v>
      </c>
      <c r="AG25" s="136" t="n">
        <v>134083</v>
      </c>
      <c r="AH25" s="136" t="n">
        <v>0</v>
      </c>
      <c r="AI25" s="136" t="n">
        <v>0</v>
      </c>
      <c r="AJ25" s="132" t="n">
        <v>4</v>
      </c>
      <c r="AK25" s="132" t="s">
        <v>706</v>
      </c>
      <c r="AL25" s="133" t="s">
        <v>62</v>
      </c>
      <c r="AM25" s="132"/>
      <c r="AN25" s="133" t="s">
        <v>121</v>
      </c>
      <c r="AO25" s="133" t="n">
        <v>25998.6937</v>
      </c>
      <c r="AP25" s="137" t="n">
        <f aca="false">AR25+AT25+AU25+AV25+AX25+AY25+AZ25+BD25+BF25+BG25+BH25+BJ25+BK25+(BL25+BM25+BN25)/1000+(0.1*BO25)</f>
        <v>58</v>
      </c>
      <c r="AQ25" s="137" t="n">
        <f aca="false">AR25+AT25+AU25+AV25+AX25+AY25+AZ25+BB25+BC25+BD25+BF25+BG25+BH25+BJ25+BK25+(BL25+BM25+BN25)/1000+(0.1*BO25)</f>
        <v>69</v>
      </c>
      <c r="AR25" s="131" t="n">
        <v>0</v>
      </c>
      <c r="AS25" s="131" t="n">
        <v>0</v>
      </c>
      <c r="AT25" s="131" t="n">
        <v>30</v>
      </c>
      <c r="AU25" s="131" t="n">
        <v>26</v>
      </c>
      <c r="AV25" s="131" t="n">
        <v>0</v>
      </c>
      <c r="AW25" s="131" t="n">
        <v>0</v>
      </c>
      <c r="AX25" s="131" t="n">
        <v>0</v>
      </c>
      <c r="AY25" s="131" t="n">
        <v>2</v>
      </c>
      <c r="AZ25" s="131" t="n">
        <v>0</v>
      </c>
      <c r="BA25" s="131" t="n">
        <v>18</v>
      </c>
      <c r="BB25" s="131" t="n">
        <v>11</v>
      </c>
      <c r="BC25" s="131" t="n">
        <v>0</v>
      </c>
      <c r="BD25" s="131" t="n">
        <v>0</v>
      </c>
      <c r="BE25" s="131" t="n">
        <v>0</v>
      </c>
      <c r="BF25" s="131" t="n">
        <v>0</v>
      </c>
      <c r="BG25" s="131" t="n">
        <v>0</v>
      </c>
      <c r="BH25" s="131" t="n">
        <v>0</v>
      </c>
      <c r="BI25" s="131" t="n">
        <v>0</v>
      </c>
      <c r="BJ25" s="131" t="n">
        <v>0</v>
      </c>
      <c r="BK25" s="131" t="n">
        <v>0</v>
      </c>
      <c r="BL25" s="131" t="n">
        <v>0</v>
      </c>
      <c r="BM25" s="131" t="n">
        <v>0</v>
      </c>
      <c r="BN25" s="131" t="n">
        <v>0</v>
      </c>
      <c r="BO25" s="131" t="n">
        <v>0</v>
      </c>
    </row>
    <row r="26" customFormat="false" ht="15" hidden="false" customHeight="true" outlineLevel="0" collapsed="false">
      <c r="A26" s="131" t="n">
        <v>4822</v>
      </c>
      <c r="B26" s="131"/>
      <c r="C26" s="132" t="s">
        <v>125</v>
      </c>
      <c r="D26" s="133" t="s">
        <v>125</v>
      </c>
      <c r="E26" s="134" t="n">
        <f aca="false">IF(I26="regional",IF(R26*0.2975,S26*0.3484),S26*0.1939)</f>
        <v>437242</v>
      </c>
      <c r="F26" s="134" t="n">
        <v>0</v>
      </c>
      <c r="G26" s="135" t="n">
        <f aca="false">E26+F26</f>
        <v>437242</v>
      </c>
      <c r="H26" s="132"/>
      <c r="I26" s="133" t="s">
        <v>128</v>
      </c>
      <c r="J26" s="133"/>
      <c r="K26" s="133" t="s">
        <v>129</v>
      </c>
      <c r="L26" s="133"/>
      <c r="M26" s="136" t="n">
        <v>175</v>
      </c>
      <c r="N26" s="136" t="n">
        <v>0.965</v>
      </c>
      <c r="O26" s="136" t="n">
        <v>0.981</v>
      </c>
      <c r="P26" s="136" t="n">
        <v>0.925</v>
      </c>
      <c r="Q26" s="136" t="n">
        <v>0.952</v>
      </c>
      <c r="R26" s="136" t="n">
        <v>1580588</v>
      </c>
      <c r="S26" s="136" t="n">
        <v>1255000</v>
      </c>
      <c r="T26" s="8" t="n">
        <f aca="false">IF(I26="regional",IF(R26&gt;0,R26*0.2975,S26*0.3484),S26*0.1939)</f>
        <v>470224.93</v>
      </c>
      <c r="U26" s="136" t="n">
        <v>836500</v>
      </c>
      <c r="V26" s="136" t="n">
        <v>418500</v>
      </c>
      <c r="W26" s="136" t="n">
        <v>6000</v>
      </c>
      <c r="X26" s="136" t="n">
        <v>0</v>
      </c>
      <c r="Y26" s="136" t="n">
        <v>0</v>
      </c>
      <c r="Z26" s="136" t="n">
        <v>0</v>
      </c>
      <c r="AA26" s="136" t="n">
        <v>1725224.93</v>
      </c>
      <c r="AB26" s="136" t="n">
        <v>470224.93</v>
      </c>
      <c r="AC26" s="136" t="n">
        <v>1255000</v>
      </c>
      <c r="AD26" s="136" t="n">
        <v>0</v>
      </c>
      <c r="AE26" s="136" t="n">
        <v>0</v>
      </c>
      <c r="AF26" s="136" t="n">
        <v>0</v>
      </c>
      <c r="AG26" s="136" t="n">
        <v>1255000</v>
      </c>
      <c r="AH26" s="136" t="n">
        <v>0</v>
      </c>
      <c r="AI26" s="136" t="n">
        <v>0</v>
      </c>
      <c r="AJ26" s="132" t="n">
        <v>4</v>
      </c>
      <c r="AK26" s="132" t="s">
        <v>722</v>
      </c>
      <c r="AL26" s="133" t="s">
        <v>128</v>
      </c>
      <c r="AM26" s="132"/>
      <c r="AN26" s="133" t="s">
        <v>125</v>
      </c>
      <c r="AO26" s="133" t="n">
        <v>470224.93</v>
      </c>
      <c r="AP26" s="137" t="n">
        <f aca="false">AR26+AT26+AU26+AV26+AX26+AY26+AZ26+BD26+BF26+BG26+BH26+BJ26+BK26+(BL26+BM26+BN26)/1000+(0.1*BO26)</f>
        <v>477.830865</v>
      </c>
      <c r="AQ26" s="137" t="n">
        <f aca="false">AR26+AT26+AU26+AV26+AX26+AY26+AZ26+BB26+BC26+BD26+BF26+BG26+BH26+BJ26+BK26+(BL26+BM26+BN26)/1000+(0.1*BO26)</f>
        <v>504.830865</v>
      </c>
      <c r="AR26" s="131" t="n">
        <v>0</v>
      </c>
      <c r="AS26" s="131" t="n">
        <v>0</v>
      </c>
      <c r="AT26" s="131" t="n">
        <v>431</v>
      </c>
      <c r="AU26" s="131" t="n">
        <v>1</v>
      </c>
      <c r="AV26" s="131" t="n">
        <v>0</v>
      </c>
      <c r="AW26" s="131" t="n">
        <v>0</v>
      </c>
      <c r="AX26" s="131" t="n">
        <v>27</v>
      </c>
      <c r="AY26" s="131" t="n">
        <v>0</v>
      </c>
      <c r="AZ26" s="131" t="n">
        <v>0</v>
      </c>
      <c r="BA26" s="131" t="n">
        <v>0</v>
      </c>
      <c r="BB26" s="131" t="n">
        <v>27</v>
      </c>
      <c r="BC26" s="131" t="n">
        <v>0</v>
      </c>
      <c r="BD26" s="131" t="n">
        <v>0</v>
      </c>
      <c r="BE26" s="131" t="n">
        <v>0</v>
      </c>
      <c r="BF26" s="131" t="n">
        <v>0</v>
      </c>
      <c r="BG26" s="131" t="n">
        <v>0</v>
      </c>
      <c r="BH26" s="131" t="n">
        <v>0</v>
      </c>
      <c r="BI26" s="131" t="n">
        <v>0</v>
      </c>
      <c r="BJ26" s="131" t="n">
        <v>0</v>
      </c>
      <c r="BK26" s="131" t="n">
        <v>0</v>
      </c>
      <c r="BL26" s="131" t="n">
        <v>0</v>
      </c>
      <c r="BM26" s="131" t="n">
        <v>0</v>
      </c>
      <c r="BN26" s="131" t="n">
        <v>0</v>
      </c>
      <c r="BO26" s="131" t="n">
        <v>188.30865</v>
      </c>
    </row>
    <row r="27" customFormat="false" ht="15" hidden="false" customHeight="true" outlineLevel="0" collapsed="false">
      <c r="A27" s="131" t="n">
        <v>8700</v>
      </c>
      <c r="B27" s="131" t="s">
        <v>44</v>
      </c>
      <c r="C27" s="132" t="s">
        <v>131</v>
      </c>
      <c r="D27" s="133" t="s">
        <v>131</v>
      </c>
      <c r="E27" s="134" t="n">
        <f aca="false">IF(I27="regional",IF(R27*0.2975,S27*0.3484),S27*0.1939)</f>
        <v>498259.7308</v>
      </c>
      <c r="F27" s="134" t="n">
        <v>0</v>
      </c>
      <c r="G27" s="135" t="n">
        <f aca="false">E27+F27</f>
        <v>498259.7308</v>
      </c>
      <c r="H27" s="132"/>
      <c r="I27" s="133" t="s">
        <v>48</v>
      </c>
      <c r="J27" s="133" t="s">
        <v>44</v>
      </c>
      <c r="K27" s="133" t="s">
        <v>115</v>
      </c>
      <c r="L27" s="133"/>
      <c r="M27" s="136" t="n">
        <v>125</v>
      </c>
      <c r="N27" s="136" t="n">
        <v>0.879</v>
      </c>
      <c r="O27" s="136" t="n">
        <v>0.852</v>
      </c>
      <c r="P27" s="136" t="n">
        <v>0.875</v>
      </c>
      <c r="Q27" s="136" t="n">
        <v>0.938</v>
      </c>
      <c r="R27" s="136" t="n">
        <v>1445650</v>
      </c>
      <c r="S27" s="136" t="n">
        <v>1430137</v>
      </c>
      <c r="T27" s="8" t="n">
        <f aca="false">IF(I27="regional",IF(R27&gt;0,R27*0.2975,S27*0.3484),S27*0.1939)</f>
        <v>430080.875</v>
      </c>
      <c r="U27" s="136" t="n">
        <v>1078896</v>
      </c>
      <c r="V27" s="136" t="n">
        <v>351241</v>
      </c>
      <c r="W27" s="136" t="n">
        <v>7558</v>
      </c>
      <c r="X27" s="136" t="n">
        <v>0</v>
      </c>
      <c r="Y27" s="136" t="n">
        <v>0</v>
      </c>
      <c r="Z27" s="136" t="n">
        <v>0</v>
      </c>
      <c r="AA27" s="136" t="n">
        <v>1860217.875</v>
      </c>
      <c r="AB27" s="136" t="n">
        <v>430080.875</v>
      </c>
      <c r="AC27" s="136" t="n">
        <v>1430137</v>
      </c>
      <c r="AD27" s="136" t="n">
        <v>0</v>
      </c>
      <c r="AE27" s="136" t="n">
        <v>0</v>
      </c>
      <c r="AF27" s="136" t="n">
        <v>1430137</v>
      </c>
      <c r="AG27" s="136" t="n">
        <v>0</v>
      </c>
      <c r="AH27" s="136" t="n">
        <v>527000</v>
      </c>
      <c r="AI27" s="136" t="n">
        <v>519000</v>
      </c>
      <c r="AJ27" s="132" t="n">
        <v>4</v>
      </c>
      <c r="AK27" s="132" t="s">
        <v>720</v>
      </c>
      <c r="AL27" s="133" t="s">
        <v>48</v>
      </c>
      <c r="AM27" s="132"/>
      <c r="AN27" s="133" t="s">
        <v>131</v>
      </c>
      <c r="AO27" s="133" t="n">
        <v>430080.875</v>
      </c>
      <c r="AP27" s="137" t="n">
        <f aca="false">AR27+AT27+AU27+AV27+AX27+AY27+AZ27+BD27+BF27+BG27+BH27+BJ27+BK27+(BL27+BM27+BN27)/1000+(0.1*BO27)</f>
        <v>158.6151</v>
      </c>
      <c r="AQ27" s="137" t="n">
        <f aca="false">AR27+AT27+AU27+AV27+AX27+AY27+AZ27+BB27+BC27+BD27+BF27+BG27+BH27+BJ27+BK27+(BL27+BM27+BN27)/1000+(0.1*BO27)</f>
        <v>163.6151</v>
      </c>
      <c r="AR27" s="131" t="n">
        <v>19</v>
      </c>
      <c r="AS27" s="131" t="n">
        <v>519</v>
      </c>
      <c r="AT27" s="131" t="n">
        <v>49</v>
      </c>
      <c r="AU27" s="131" t="n">
        <v>30</v>
      </c>
      <c r="AV27" s="131" t="n">
        <v>0</v>
      </c>
      <c r="AW27" s="131" t="n">
        <v>0</v>
      </c>
      <c r="AX27" s="131" t="n">
        <v>4</v>
      </c>
      <c r="AY27" s="131" t="n">
        <v>3</v>
      </c>
      <c r="AZ27" s="131" t="n">
        <v>0</v>
      </c>
      <c r="BA27" s="131" t="n">
        <v>0</v>
      </c>
      <c r="BB27" s="131" t="n">
        <v>4</v>
      </c>
      <c r="BC27" s="131" t="n">
        <v>1</v>
      </c>
      <c r="BD27" s="131" t="n">
        <v>0</v>
      </c>
      <c r="BE27" s="131" t="n">
        <v>0</v>
      </c>
      <c r="BF27" s="131" t="n">
        <v>0</v>
      </c>
      <c r="BG27" s="131" t="n">
        <v>0</v>
      </c>
      <c r="BH27" s="131" t="n">
        <v>0</v>
      </c>
      <c r="BI27" s="131" t="n">
        <v>0</v>
      </c>
      <c r="BJ27" s="131" t="n">
        <v>0</v>
      </c>
      <c r="BK27" s="131" t="n">
        <v>0</v>
      </c>
      <c r="BL27" s="131" t="n">
        <v>0</v>
      </c>
      <c r="BM27" s="131" t="n">
        <v>0</v>
      </c>
      <c r="BN27" s="131" t="n">
        <v>0</v>
      </c>
      <c r="BO27" s="131" t="n">
        <v>536.151</v>
      </c>
    </row>
    <row r="28" customFormat="false" ht="15" hidden="false" customHeight="true" outlineLevel="0" collapsed="false">
      <c r="A28" s="131" t="n">
        <v>512</v>
      </c>
      <c r="B28" s="131"/>
      <c r="C28" s="132" t="s">
        <v>132</v>
      </c>
      <c r="D28" s="133" t="s">
        <v>132</v>
      </c>
      <c r="E28" s="134" t="n">
        <f aca="false">IF(I28="regional",IF(R28*0.2975,S28*0.3484),S28*0.1939)</f>
        <v>6325.4058</v>
      </c>
      <c r="F28" s="134" t="n">
        <v>0</v>
      </c>
      <c r="G28" s="135" t="n">
        <f aca="false">E28+F28</f>
        <v>6325.4058</v>
      </c>
      <c r="H28" s="132"/>
      <c r="I28" s="133" t="s">
        <v>62</v>
      </c>
      <c r="J28" s="133"/>
      <c r="K28" s="133" t="s">
        <v>134</v>
      </c>
      <c r="L28" s="133"/>
      <c r="M28" s="136" t="n">
        <v>0</v>
      </c>
      <c r="N28" s="136" t="n">
        <v>1</v>
      </c>
      <c r="O28" s="136" t="n">
        <v>1</v>
      </c>
      <c r="P28" s="136" t="n">
        <v>1</v>
      </c>
      <c r="Q28" s="136" t="n">
        <v>1</v>
      </c>
      <c r="R28" s="136" t="n">
        <v>0</v>
      </c>
      <c r="S28" s="136" t="n">
        <v>32622</v>
      </c>
      <c r="T28" s="8" t="n">
        <f aca="false">IF(I28="regional",IF(R28&gt;0,R28*0.2975,S28*0.3484),S28*0.1939)</f>
        <v>6325.4058</v>
      </c>
      <c r="U28" s="136" t="n">
        <v>32622</v>
      </c>
      <c r="V28" s="136" t="n">
        <v>0</v>
      </c>
      <c r="W28" s="136" t="n">
        <v>200</v>
      </c>
      <c r="X28" s="136" t="n">
        <v>0</v>
      </c>
      <c r="Y28" s="136" t="n">
        <v>0</v>
      </c>
      <c r="Z28" s="136" t="n">
        <v>0</v>
      </c>
      <c r="AA28" s="136" t="n">
        <v>38947.4058</v>
      </c>
      <c r="AB28" s="136" t="n">
        <v>6325.4058</v>
      </c>
      <c r="AC28" s="136" t="n">
        <v>32622</v>
      </c>
      <c r="AD28" s="136" t="n">
        <v>0</v>
      </c>
      <c r="AE28" s="136" t="n">
        <v>0</v>
      </c>
      <c r="AF28" s="136" t="n">
        <v>0</v>
      </c>
      <c r="AG28" s="136" t="n">
        <v>32622</v>
      </c>
      <c r="AH28" s="136" t="n">
        <v>0</v>
      </c>
      <c r="AI28" s="136" t="n">
        <v>0</v>
      </c>
      <c r="AJ28" s="132" t="s">
        <v>707</v>
      </c>
      <c r="AK28" s="132" t="s">
        <v>708</v>
      </c>
      <c r="AL28" s="133" t="s">
        <v>62</v>
      </c>
      <c r="AM28" s="132"/>
      <c r="AN28" s="133" t="s">
        <v>132</v>
      </c>
      <c r="AO28" s="133" t="n">
        <v>6325.4058</v>
      </c>
      <c r="AP28" s="137" t="n">
        <f aca="false">AR28+AT28+AU28+AV28+AX28+AY28+AZ28+BD28+BF28+BG28+BH28+BJ28+BK28+(BL28+BM28+BN28)/1000+(0.1*BO28)</f>
        <v>81.1793</v>
      </c>
      <c r="AQ28" s="137" t="n">
        <f aca="false">AR28+AT28+AU28+AV28+AX28+AY28+AZ28+BB28+BC28+BD28+BF28+BG28+BH28+BJ28+BK28+(BL28+BM28+BN28)/1000+(0.1*BO28)</f>
        <v>81.1793</v>
      </c>
      <c r="AR28" s="131" t="n">
        <v>0</v>
      </c>
      <c r="AS28" s="131" t="n">
        <v>0</v>
      </c>
      <c r="AT28" s="131" t="n">
        <v>7</v>
      </c>
      <c r="AU28" s="131" t="n">
        <v>0</v>
      </c>
      <c r="AV28" s="131" t="n">
        <v>0</v>
      </c>
      <c r="AW28" s="131" t="n">
        <v>0</v>
      </c>
      <c r="AX28" s="131" t="n">
        <v>0</v>
      </c>
      <c r="AY28" s="131" t="n">
        <v>0</v>
      </c>
      <c r="AZ28" s="131" t="n">
        <v>0</v>
      </c>
      <c r="BA28" s="131" t="n">
        <v>0</v>
      </c>
      <c r="BB28" s="131" t="n">
        <v>0</v>
      </c>
      <c r="BC28" s="131" t="n">
        <v>0</v>
      </c>
      <c r="BD28" s="131" t="n">
        <v>73</v>
      </c>
      <c r="BE28" s="131" t="n">
        <v>0</v>
      </c>
      <c r="BF28" s="131" t="n">
        <v>0</v>
      </c>
      <c r="BG28" s="131" t="n">
        <v>0</v>
      </c>
      <c r="BH28" s="131" t="n">
        <v>0</v>
      </c>
      <c r="BI28" s="131" t="n">
        <v>0</v>
      </c>
      <c r="BJ28" s="131" t="n">
        <v>0</v>
      </c>
      <c r="BK28" s="131" t="n">
        <v>0</v>
      </c>
      <c r="BL28" s="131" t="n">
        <v>0</v>
      </c>
      <c r="BM28" s="131" t="n">
        <v>0</v>
      </c>
      <c r="BN28" s="131" t="n">
        <v>0</v>
      </c>
      <c r="BO28" s="131" t="n">
        <v>11.793</v>
      </c>
    </row>
    <row r="29" customFormat="false" ht="15" hidden="false" customHeight="true" outlineLevel="0" collapsed="false">
      <c r="A29" s="131" t="n">
        <v>8245</v>
      </c>
      <c r="B29" s="131"/>
      <c r="C29" s="132" t="s">
        <v>135</v>
      </c>
      <c r="D29" s="133" t="s">
        <v>135</v>
      </c>
      <c r="E29" s="134" t="n">
        <f aca="false">IF(I29="regional",IF(R29*0.2975,S29*0.3484),S29*0.1939)</f>
        <v>448547.9284</v>
      </c>
      <c r="F29" s="134" t="n">
        <v>0</v>
      </c>
      <c r="G29" s="135" t="n">
        <f aca="false">E29+F29</f>
        <v>448547.9284</v>
      </c>
      <c r="H29" s="132" t="s">
        <v>44</v>
      </c>
      <c r="I29" s="133" t="s">
        <v>48</v>
      </c>
      <c r="J29" s="133" t="s">
        <v>49</v>
      </c>
      <c r="K29" s="133" t="s">
        <v>138</v>
      </c>
      <c r="L29" s="133"/>
      <c r="M29" s="136" t="n">
        <v>190</v>
      </c>
      <c r="N29" s="136" t="n">
        <v>0.88</v>
      </c>
      <c r="O29" s="136" t="n">
        <v>0.893</v>
      </c>
      <c r="P29" s="136" t="n">
        <v>0.849</v>
      </c>
      <c r="Q29" s="136" t="n">
        <v>0.855</v>
      </c>
      <c r="R29" s="136" t="n">
        <v>1447842</v>
      </c>
      <c r="S29" s="136" t="n">
        <v>1287451</v>
      </c>
      <c r="T29" s="8" t="n">
        <f aca="false">IF(I29="regional",IF(R29&gt;0,R29*0.2975,S29*0.3484),S29*0.1939)</f>
        <v>430732.995</v>
      </c>
      <c r="U29" s="136" t="n">
        <v>816613</v>
      </c>
      <c r="V29" s="136" t="n">
        <v>470838</v>
      </c>
      <c r="W29" s="136" t="n">
        <v>5760</v>
      </c>
      <c r="X29" s="136" t="n">
        <v>0</v>
      </c>
      <c r="Y29" s="136" t="n">
        <v>0</v>
      </c>
      <c r="Z29" s="136" t="n">
        <v>0</v>
      </c>
      <c r="AA29" s="136" t="n">
        <v>1718183.995</v>
      </c>
      <c r="AB29" s="136" t="n">
        <v>430732.995</v>
      </c>
      <c r="AC29" s="136" t="n">
        <v>1287451</v>
      </c>
      <c r="AD29" s="136" t="n">
        <v>0</v>
      </c>
      <c r="AE29" s="136" t="n">
        <v>0</v>
      </c>
      <c r="AF29" s="136" t="n">
        <v>0</v>
      </c>
      <c r="AG29" s="136" t="n">
        <v>1287451</v>
      </c>
      <c r="AH29" s="136" t="n">
        <v>0</v>
      </c>
      <c r="AI29" s="136" t="n">
        <v>0</v>
      </c>
      <c r="AJ29" s="132" t="s">
        <v>715</v>
      </c>
      <c r="AK29" s="132" t="s">
        <v>716</v>
      </c>
      <c r="AL29" s="133" t="s">
        <v>48</v>
      </c>
      <c r="AM29" s="132"/>
      <c r="AN29" s="133" t="s">
        <v>135</v>
      </c>
      <c r="AO29" s="133" t="n">
        <v>430732.995</v>
      </c>
      <c r="AP29" s="137" t="n">
        <f aca="false">AR29+AT29+AU29+AV29+AX29+AY29+AZ29+BD29+BF29+BG29+BH29+BJ29+BK29+(BL29+BM29+BN29)/1000+(0.1*BO29)</f>
        <v>730.5747</v>
      </c>
      <c r="AQ29" s="137" t="n">
        <f aca="false">AR29+AT29+AU29+AV29+AX29+AY29+AZ29+BB29+BC29+BD29+BF29+BG29+BH29+BJ29+BK29+(BL29+BM29+BN29)/1000+(0.1*BO29)</f>
        <v>902.5747</v>
      </c>
      <c r="AR29" s="131" t="n">
        <v>0</v>
      </c>
      <c r="AS29" s="131" t="n">
        <v>0</v>
      </c>
      <c r="AT29" s="131" t="n">
        <v>443</v>
      </c>
      <c r="AU29" s="131" t="n">
        <v>116</v>
      </c>
      <c r="AV29" s="131" t="n">
        <v>0</v>
      </c>
      <c r="AW29" s="131" t="n">
        <v>0</v>
      </c>
      <c r="AX29" s="131" t="n">
        <v>31</v>
      </c>
      <c r="AY29" s="131" t="n">
        <v>4</v>
      </c>
      <c r="AZ29" s="131" t="n">
        <v>0</v>
      </c>
      <c r="BA29" s="131" t="n">
        <v>0</v>
      </c>
      <c r="BB29" s="131" t="n">
        <v>158</v>
      </c>
      <c r="BC29" s="131" t="n">
        <v>14</v>
      </c>
      <c r="BD29" s="131" t="n">
        <v>0</v>
      </c>
      <c r="BE29" s="131" t="n">
        <v>0</v>
      </c>
      <c r="BF29" s="131" t="n">
        <v>0</v>
      </c>
      <c r="BG29" s="131" t="n">
        <v>0</v>
      </c>
      <c r="BH29" s="131" t="n">
        <v>19</v>
      </c>
      <c r="BI29" s="131" t="n">
        <v>0</v>
      </c>
      <c r="BJ29" s="131" t="n">
        <v>0</v>
      </c>
      <c r="BK29" s="131" t="n">
        <v>0</v>
      </c>
      <c r="BL29" s="131" t="n">
        <v>0</v>
      </c>
      <c r="BM29" s="131" t="n">
        <v>0</v>
      </c>
      <c r="BN29" s="131" t="n">
        <v>0</v>
      </c>
      <c r="BO29" s="131" t="n">
        <v>1175.747</v>
      </c>
    </row>
    <row r="30" customFormat="false" ht="15" hidden="false" customHeight="true" outlineLevel="0" collapsed="false">
      <c r="A30" s="131" t="n">
        <v>513</v>
      </c>
      <c r="B30" s="131"/>
      <c r="C30" s="132" t="s">
        <v>139</v>
      </c>
      <c r="D30" s="133" t="s">
        <v>139</v>
      </c>
      <c r="E30" s="134" t="n">
        <f aca="false">IF(I30="regional",IF(R30*0.2975,S30*0.3484),S30*0.1939)</f>
        <v>143297.6168</v>
      </c>
      <c r="F30" s="134" t="n">
        <v>0</v>
      </c>
      <c r="G30" s="135" t="n">
        <f aca="false">E30+F30</f>
        <v>143297.6168</v>
      </c>
      <c r="H30" s="132"/>
      <c r="I30" s="133" t="s">
        <v>48</v>
      </c>
      <c r="J30" s="133" t="s">
        <v>49</v>
      </c>
      <c r="K30" s="133" t="s">
        <v>141</v>
      </c>
      <c r="L30" s="133"/>
      <c r="M30" s="136" t="n">
        <v>54</v>
      </c>
      <c r="N30" s="136" t="n">
        <v>0.784</v>
      </c>
      <c r="O30" s="136" t="n">
        <v>0.787</v>
      </c>
      <c r="P30" s="136" t="n">
        <v>0.838</v>
      </c>
      <c r="Q30" s="136" t="n">
        <v>0.52</v>
      </c>
      <c r="R30" s="136" t="n">
        <v>449345</v>
      </c>
      <c r="S30" s="136" t="n">
        <v>411302</v>
      </c>
      <c r="T30" s="8" t="n">
        <f aca="false">IF(I30="regional",IF(R30&gt;0,R30*0.2975,S30*0.3484),S30*0.1939)</f>
        <v>133680.1375</v>
      </c>
      <c r="U30" s="136" t="n">
        <v>301514</v>
      </c>
      <c r="V30" s="136" t="n">
        <v>109788</v>
      </c>
      <c r="W30" s="136" t="n">
        <v>2575</v>
      </c>
      <c r="X30" s="136" t="n">
        <v>0</v>
      </c>
      <c r="Y30" s="136" t="n">
        <v>0</v>
      </c>
      <c r="Z30" s="136" t="n">
        <v>0</v>
      </c>
      <c r="AA30" s="136" t="n">
        <v>544982.1375</v>
      </c>
      <c r="AB30" s="136" t="n">
        <v>133680.1375</v>
      </c>
      <c r="AC30" s="136" t="n">
        <v>411302</v>
      </c>
      <c r="AD30" s="136" t="n">
        <v>0</v>
      </c>
      <c r="AE30" s="136" t="n">
        <v>0</v>
      </c>
      <c r="AF30" s="136" t="n">
        <v>0</v>
      </c>
      <c r="AG30" s="136" t="n">
        <v>411302</v>
      </c>
      <c r="AH30" s="136" t="n">
        <v>0</v>
      </c>
      <c r="AI30" s="136" t="n">
        <v>0</v>
      </c>
      <c r="AJ30" s="132" t="n">
        <v>4</v>
      </c>
      <c r="AK30" s="132" t="s">
        <v>720</v>
      </c>
      <c r="AL30" s="133" t="s">
        <v>723</v>
      </c>
      <c r="AM30" s="132"/>
      <c r="AN30" s="133" t="s">
        <v>139</v>
      </c>
      <c r="AO30" s="133" t="n">
        <v>133680.1375</v>
      </c>
      <c r="AP30" s="137" t="n">
        <f aca="false">AR30+AT30+AU30+AV30+AX30+AY30+AZ30+BD30+BF30+BG30+BH30+BJ30+BK30+(BL30+BM30+BN30)/1000+(0.1*BO30)</f>
        <v>163</v>
      </c>
      <c r="AQ30" s="137" t="n">
        <f aca="false">AR30+AT30+AU30+AV30+AX30+AY30+AZ30+BB30+BC30+BD30+BF30+BG30+BH30+BJ30+BK30+(BL30+BM30+BN30)/1000+(0.1*BO30)</f>
        <v>169</v>
      </c>
      <c r="AR30" s="131" t="n">
        <v>41</v>
      </c>
      <c r="AS30" s="131" t="n">
        <v>0</v>
      </c>
      <c r="AT30" s="131" t="n">
        <v>109</v>
      </c>
      <c r="AU30" s="131" t="n">
        <v>13</v>
      </c>
      <c r="AV30" s="131" t="n">
        <v>0</v>
      </c>
      <c r="AW30" s="131" t="n">
        <v>5</v>
      </c>
      <c r="AX30" s="131" t="n">
        <v>0</v>
      </c>
      <c r="AY30" s="131" t="n">
        <v>0</v>
      </c>
      <c r="AZ30" s="131" t="n">
        <v>0</v>
      </c>
      <c r="BA30" s="131" t="n">
        <v>10</v>
      </c>
      <c r="BB30" s="131" t="n">
        <v>6</v>
      </c>
      <c r="BC30" s="131" t="n">
        <v>0</v>
      </c>
      <c r="BD30" s="131" t="n">
        <v>0</v>
      </c>
      <c r="BE30" s="131" t="n">
        <v>0</v>
      </c>
      <c r="BF30" s="131" t="n">
        <v>0</v>
      </c>
      <c r="BG30" s="131" t="n">
        <v>0</v>
      </c>
      <c r="BH30" s="131" t="n">
        <v>0</v>
      </c>
      <c r="BI30" s="131" t="n">
        <v>0</v>
      </c>
      <c r="BJ30" s="131" t="n">
        <v>0</v>
      </c>
      <c r="BK30" s="131" t="n">
        <v>0</v>
      </c>
      <c r="BL30" s="131" t="n">
        <v>0</v>
      </c>
      <c r="BM30" s="131" t="n">
        <v>0</v>
      </c>
      <c r="BN30" s="131" t="n">
        <v>0</v>
      </c>
      <c r="BO30" s="131" t="n">
        <v>0</v>
      </c>
    </row>
    <row r="31" customFormat="false" ht="15" hidden="false" customHeight="true" outlineLevel="0" collapsed="false">
      <c r="A31" s="131" t="n">
        <v>516</v>
      </c>
      <c r="B31" s="131"/>
      <c r="C31" s="132" t="s">
        <v>142</v>
      </c>
      <c r="D31" s="133" t="s">
        <v>142</v>
      </c>
      <c r="E31" s="134" t="n">
        <f aca="false">IF(I31="regional",IF(R31*0.2975,S31*0.3484),S31*0.1939)</f>
        <v>89346.9871</v>
      </c>
      <c r="F31" s="134" t="n">
        <v>0</v>
      </c>
      <c r="G31" s="135" t="n">
        <f aca="false">E31+F31</f>
        <v>89346.9871</v>
      </c>
      <c r="H31" s="132"/>
      <c r="I31" s="133" t="s">
        <v>62</v>
      </c>
      <c r="J31" s="133" t="s">
        <v>49</v>
      </c>
      <c r="K31" s="133" t="s">
        <v>144</v>
      </c>
      <c r="L31" s="133"/>
      <c r="M31" s="136" t="n">
        <v>41</v>
      </c>
      <c r="N31" s="136" t="n">
        <v>1</v>
      </c>
      <c r="O31" s="136" t="n">
        <v>1</v>
      </c>
      <c r="P31" s="136" t="n">
        <v>1</v>
      </c>
      <c r="Q31" s="136" t="n">
        <v>0.381</v>
      </c>
      <c r="R31" s="136" t="n">
        <v>0</v>
      </c>
      <c r="S31" s="136" t="n">
        <v>460789</v>
      </c>
      <c r="T31" s="8" t="n">
        <f aca="false">IF(I31="regional",IF(R31&gt;0,R31*0.2975,S31*0.3484),S31*0.1939)</f>
        <v>89346.9871</v>
      </c>
      <c r="U31" s="136" t="n">
        <v>127899</v>
      </c>
      <c r="V31" s="136" t="n">
        <v>332890</v>
      </c>
      <c r="W31" s="136" t="n">
        <v>2300</v>
      </c>
      <c r="X31" s="136" t="n">
        <v>0</v>
      </c>
      <c r="Y31" s="136" t="n">
        <v>0</v>
      </c>
      <c r="Z31" s="136" t="n">
        <v>0</v>
      </c>
      <c r="AA31" s="136" t="n">
        <v>550135.9871</v>
      </c>
      <c r="AB31" s="136" t="n">
        <v>89346.9871</v>
      </c>
      <c r="AC31" s="136" t="n">
        <v>460789</v>
      </c>
      <c r="AD31" s="136" t="n">
        <v>0</v>
      </c>
      <c r="AE31" s="136" t="n">
        <v>0</v>
      </c>
      <c r="AF31" s="136" t="n">
        <v>0</v>
      </c>
      <c r="AG31" s="136" t="n">
        <v>460789</v>
      </c>
      <c r="AH31" s="136" t="n">
        <v>0</v>
      </c>
      <c r="AI31" s="136" t="n">
        <v>0</v>
      </c>
      <c r="AJ31" s="132" t="s">
        <v>707</v>
      </c>
      <c r="AK31" s="132" t="s">
        <v>712</v>
      </c>
      <c r="AL31" s="133" t="s">
        <v>62</v>
      </c>
      <c r="AM31" s="132"/>
      <c r="AN31" s="133" t="s">
        <v>142</v>
      </c>
      <c r="AO31" s="133" t="n">
        <v>89346.9871</v>
      </c>
      <c r="AP31" s="137" t="n">
        <f aca="false">AR31+AT31+AU31+AV31+AX31+AY31+AZ31+BD31+BF31+BG31+BH31+BJ31+BK31+(BL31+BM31+BN31)/1000+(0.1*BO31)</f>
        <v>1</v>
      </c>
      <c r="AQ31" s="137" t="n">
        <f aca="false">AR31+AT31+AU31+AV31+AX31+AY31+AZ31+BB31+BC31+BD31+BF31+BG31+BH31+BJ31+BK31+(BL31+BM31+BN31)/1000+(0.1*BO31)</f>
        <v>1</v>
      </c>
      <c r="AR31" s="131" t="n">
        <v>0</v>
      </c>
      <c r="AS31" s="131" t="n">
        <v>0</v>
      </c>
      <c r="AT31" s="131" t="n">
        <v>1</v>
      </c>
      <c r="AU31" s="131" t="n">
        <v>0</v>
      </c>
      <c r="AV31" s="131" t="n">
        <v>0</v>
      </c>
      <c r="AW31" s="131" t="n">
        <v>0</v>
      </c>
      <c r="AX31" s="131" t="n">
        <v>0</v>
      </c>
      <c r="AY31" s="131" t="n">
        <v>0</v>
      </c>
      <c r="AZ31" s="131" t="n">
        <v>0</v>
      </c>
      <c r="BA31" s="131" t="n">
        <v>0</v>
      </c>
      <c r="BB31" s="131" t="n">
        <v>0</v>
      </c>
      <c r="BC31" s="131" t="n">
        <v>0</v>
      </c>
      <c r="BD31" s="131" t="n">
        <v>0</v>
      </c>
      <c r="BE31" s="131" t="n">
        <v>0</v>
      </c>
      <c r="BF31" s="131" t="n">
        <v>0</v>
      </c>
      <c r="BG31" s="131" t="n">
        <v>0</v>
      </c>
      <c r="BH31" s="131" t="n">
        <v>0</v>
      </c>
      <c r="BI31" s="131" t="n">
        <v>0</v>
      </c>
      <c r="BJ31" s="131" t="n">
        <v>0</v>
      </c>
      <c r="BK31" s="131" t="n">
        <v>0</v>
      </c>
      <c r="BL31" s="131" t="n">
        <v>0</v>
      </c>
      <c r="BM31" s="131" t="n">
        <v>0</v>
      </c>
      <c r="BN31" s="131" t="n">
        <v>0</v>
      </c>
      <c r="BO31" s="131" t="n">
        <v>0</v>
      </c>
    </row>
    <row r="32" customFormat="false" ht="15" hidden="false" customHeight="true" outlineLevel="0" collapsed="false">
      <c r="A32" s="131" t="n">
        <v>4661</v>
      </c>
      <c r="B32" s="131" t="s">
        <v>44</v>
      </c>
      <c r="C32" s="132" t="s">
        <v>145</v>
      </c>
      <c r="D32" s="133" t="s">
        <v>145</v>
      </c>
      <c r="E32" s="134" t="n">
        <f aca="false">IF(I32="regional",IF(R32*0.2975,S32*0.3484),S32*0.1939)</f>
        <v>199847.1176</v>
      </c>
      <c r="F32" s="134" t="n">
        <v>0</v>
      </c>
      <c r="G32" s="135" t="n">
        <f aca="false">E32+F32</f>
        <v>199847.1176</v>
      </c>
      <c r="H32" s="132"/>
      <c r="I32" s="133" t="s">
        <v>48</v>
      </c>
      <c r="J32" s="133" t="s">
        <v>44</v>
      </c>
      <c r="K32" s="133" t="s">
        <v>148</v>
      </c>
      <c r="L32" s="133"/>
      <c r="M32" s="136" t="n">
        <v>86</v>
      </c>
      <c r="N32" s="136" t="n">
        <v>0.926</v>
      </c>
      <c r="O32" s="136" t="n">
        <v>0.946</v>
      </c>
      <c r="P32" s="136" t="n">
        <v>0.928</v>
      </c>
      <c r="Q32" s="136" t="n">
        <v>0.952</v>
      </c>
      <c r="R32" s="136" t="n">
        <v>651334</v>
      </c>
      <c r="S32" s="136" t="n">
        <v>573614</v>
      </c>
      <c r="T32" s="8" t="n">
        <f aca="false">IF(I32="regional",IF(R32&gt;0,R32*0.2975,S32*0.3484),S32*0.1939)</f>
        <v>193771.865</v>
      </c>
      <c r="U32" s="136" t="n">
        <v>381153</v>
      </c>
      <c r="V32" s="136" t="n">
        <v>192461</v>
      </c>
      <c r="W32" s="136" t="n">
        <v>3375</v>
      </c>
      <c r="X32" s="136" t="n">
        <v>0</v>
      </c>
      <c r="Y32" s="136" t="n">
        <v>0</v>
      </c>
      <c r="Z32" s="136" t="n">
        <v>0</v>
      </c>
      <c r="AA32" s="136" t="n">
        <v>767385.865</v>
      </c>
      <c r="AB32" s="136" t="n">
        <v>193771.865</v>
      </c>
      <c r="AC32" s="136" t="n">
        <v>573614</v>
      </c>
      <c r="AD32" s="136" t="n">
        <v>0</v>
      </c>
      <c r="AE32" s="136" t="n">
        <v>0</v>
      </c>
      <c r="AF32" s="136" t="n">
        <v>573614</v>
      </c>
      <c r="AG32" s="136" t="n">
        <v>0</v>
      </c>
      <c r="AH32" s="136" t="n">
        <v>540000</v>
      </c>
      <c r="AI32" s="136" t="n">
        <v>321000</v>
      </c>
      <c r="AJ32" s="132" t="s">
        <v>707</v>
      </c>
      <c r="AK32" s="132" t="s">
        <v>712</v>
      </c>
      <c r="AL32" s="133" t="s">
        <v>48</v>
      </c>
      <c r="AM32" s="132"/>
      <c r="AN32" s="133" t="s">
        <v>145</v>
      </c>
      <c r="AO32" s="133" t="n">
        <v>193771.865</v>
      </c>
      <c r="AP32" s="137" t="n">
        <f aca="false">AR32+AT32+AU32+AV32+AX32+AY32+AZ32+BD32+BF32+BG32+BH32+BJ32+BK32+(BL32+BM32+BN32)/1000+(0.1*BO32)</f>
        <v>151.3286</v>
      </c>
      <c r="AQ32" s="137" t="n">
        <f aca="false">AR32+AT32+AU32+AV32+AX32+AY32+AZ32+BB32+BC32+BD32+BF32+BG32+BH32+BJ32+BK32+(BL32+BM32+BN32)/1000+(0.1*BO32)</f>
        <v>151.3286</v>
      </c>
      <c r="AR32" s="131" t="n">
        <v>0</v>
      </c>
      <c r="AS32" s="131" t="n">
        <v>321</v>
      </c>
      <c r="AT32" s="131" t="n">
        <v>113</v>
      </c>
      <c r="AU32" s="131" t="n">
        <v>0</v>
      </c>
      <c r="AV32" s="131" t="n">
        <v>0</v>
      </c>
      <c r="AW32" s="131" t="n">
        <v>0</v>
      </c>
      <c r="AX32" s="131" t="n">
        <v>0</v>
      </c>
      <c r="AY32" s="131" t="n">
        <v>0</v>
      </c>
      <c r="AZ32" s="131" t="n">
        <v>0</v>
      </c>
      <c r="BA32" s="131" t="n">
        <v>34</v>
      </c>
      <c r="BB32" s="131" t="n">
        <v>0</v>
      </c>
      <c r="BC32" s="131" t="n">
        <v>0</v>
      </c>
      <c r="BD32" s="131" t="n">
        <v>0</v>
      </c>
      <c r="BE32" s="131" t="n">
        <v>0</v>
      </c>
      <c r="BF32" s="131" t="n">
        <v>0</v>
      </c>
      <c r="BG32" s="131" t="n">
        <v>0</v>
      </c>
      <c r="BH32" s="131" t="n">
        <v>15</v>
      </c>
      <c r="BI32" s="131" t="n">
        <v>0</v>
      </c>
      <c r="BJ32" s="131" t="n">
        <v>0</v>
      </c>
      <c r="BK32" s="131" t="n">
        <v>0</v>
      </c>
      <c r="BL32" s="131" t="n">
        <v>0</v>
      </c>
      <c r="BM32" s="131" t="n">
        <v>0</v>
      </c>
      <c r="BN32" s="131" t="n">
        <v>0</v>
      </c>
      <c r="BO32" s="131" t="n">
        <v>233.286</v>
      </c>
    </row>
    <row r="33" customFormat="false" ht="15" hidden="false" customHeight="true" outlineLevel="0" collapsed="false">
      <c r="A33" s="131" t="n">
        <v>8250</v>
      </c>
      <c r="B33" s="131"/>
      <c r="C33" s="132" t="s">
        <v>149</v>
      </c>
      <c r="D33" s="133" t="s">
        <v>149</v>
      </c>
      <c r="E33" s="134" t="n">
        <f aca="false">IF(I33="regional",IF(R33*0.2975,S33*0.3484),S33*0.1939)</f>
        <v>149007.196</v>
      </c>
      <c r="F33" s="134" t="n">
        <v>0</v>
      </c>
      <c r="G33" s="135" t="n">
        <f aca="false">E33+F33</f>
        <v>149007.196</v>
      </c>
      <c r="H33" s="132"/>
      <c r="I33" s="133" t="s">
        <v>48</v>
      </c>
      <c r="J33" s="133" t="s">
        <v>49</v>
      </c>
      <c r="K33" s="133" t="s">
        <v>152</v>
      </c>
      <c r="L33" s="133"/>
      <c r="M33" s="136" t="n">
        <v>72</v>
      </c>
      <c r="N33" s="136" t="n">
        <v>0.749</v>
      </c>
      <c r="O33" s="136" t="n">
        <v>0.746</v>
      </c>
      <c r="P33" s="136" t="n">
        <v>0.692</v>
      </c>
      <c r="Q33" s="136" t="n">
        <v>0.632</v>
      </c>
      <c r="R33" s="136" t="n">
        <v>530152</v>
      </c>
      <c r="S33" s="136" t="n">
        <v>427690</v>
      </c>
      <c r="T33" s="8" t="n">
        <f aca="false">IF(I33="regional",IF(R33&gt;0,R33*0.2975,S33*0.3484),S33*0.1939)</f>
        <v>157720.22</v>
      </c>
      <c r="U33" s="136" t="n">
        <v>213572</v>
      </c>
      <c r="V33" s="136" t="n">
        <v>214118</v>
      </c>
      <c r="W33" s="136" t="n">
        <v>2692</v>
      </c>
      <c r="X33" s="136" t="n">
        <v>0</v>
      </c>
      <c r="Y33" s="136" t="n">
        <v>0</v>
      </c>
      <c r="Z33" s="136" t="n">
        <v>0</v>
      </c>
      <c r="AA33" s="136" t="n">
        <v>585410.22</v>
      </c>
      <c r="AB33" s="136" t="n">
        <v>157720.22</v>
      </c>
      <c r="AC33" s="136" t="n">
        <v>427690</v>
      </c>
      <c r="AD33" s="136" t="n">
        <v>0</v>
      </c>
      <c r="AE33" s="136" t="n">
        <v>0</v>
      </c>
      <c r="AF33" s="136" t="n">
        <v>0</v>
      </c>
      <c r="AG33" s="136" t="n">
        <v>427690</v>
      </c>
      <c r="AH33" s="136" t="n">
        <v>0</v>
      </c>
      <c r="AI33" s="136" t="n">
        <v>0</v>
      </c>
      <c r="AJ33" s="132" t="n">
        <v>4</v>
      </c>
      <c r="AK33" s="132" t="s">
        <v>724</v>
      </c>
      <c r="AL33" s="133" t="s">
        <v>48</v>
      </c>
      <c r="AM33" s="132"/>
      <c r="AN33" s="133" t="s">
        <v>149</v>
      </c>
      <c r="AO33" s="133" t="n">
        <v>157720.22</v>
      </c>
      <c r="AP33" s="137" t="n">
        <f aca="false">AR33+AT33+AU33+AV33+AX33+AY33+AZ33+BD33+BF33+BG33+BH33+BJ33+BK33+(BL33+BM33+BN33)/1000+(0.1*BO33)</f>
        <v>226</v>
      </c>
      <c r="AQ33" s="137" t="n">
        <f aca="false">AR33+AT33+AU33+AV33+AX33+AY33+AZ33+BB33+BC33+BD33+BF33+BG33+BH33+BJ33+BK33+(BL33+BM33+BN33)/1000+(0.1*BO33)</f>
        <v>244</v>
      </c>
      <c r="AR33" s="131" t="n">
        <v>0</v>
      </c>
      <c r="AS33" s="131" t="n">
        <v>0</v>
      </c>
      <c r="AT33" s="131" t="n">
        <v>166</v>
      </c>
      <c r="AU33" s="131" t="n">
        <v>28</v>
      </c>
      <c r="AV33" s="131" t="n">
        <v>0</v>
      </c>
      <c r="AW33" s="131" t="n">
        <v>0</v>
      </c>
      <c r="AX33" s="131" t="n">
        <v>23</v>
      </c>
      <c r="AY33" s="131" t="n">
        <v>9</v>
      </c>
      <c r="AZ33" s="131" t="n">
        <v>0</v>
      </c>
      <c r="BA33" s="131" t="n">
        <v>0</v>
      </c>
      <c r="BB33" s="131" t="n">
        <v>15</v>
      </c>
      <c r="BC33" s="131" t="n">
        <v>3</v>
      </c>
      <c r="BD33" s="131" t="n">
        <v>0</v>
      </c>
      <c r="BE33" s="131" t="n">
        <v>0</v>
      </c>
      <c r="BF33" s="131" t="n">
        <v>0</v>
      </c>
      <c r="BG33" s="131" t="n">
        <v>0</v>
      </c>
      <c r="BH33" s="131" t="n">
        <v>0</v>
      </c>
      <c r="BI33" s="131" t="n">
        <v>0</v>
      </c>
      <c r="BJ33" s="131" t="n">
        <v>0</v>
      </c>
      <c r="BK33" s="131" t="n">
        <v>0</v>
      </c>
      <c r="BL33" s="131" t="n">
        <v>0</v>
      </c>
      <c r="BM33" s="131" t="n">
        <v>0</v>
      </c>
      <c r="BN33" s="131" t="n">
        <v>0</v>
      </c>
      <c r="BO33" s="131" t="n">
        <v>0</v>
      </c>
    </row>
    <row r="34" customFormat="false" ht="15" hidden="false" customHeight="true" outlineLevel="0" collapsed="false">
      <c r="A34" s="131" t="n">
        <v>8253</v>
      </c>
      <c r="B34" s="131" t="s">
        <v>44</v>
      </c>
      <c r="C34" s="132" t="s">
        <v>153</v>
      </c>
      <c r="D34" s="133" t="s">
        <v>153</v>
      </c>
      <c r="E34" s="134" t="n">
        <f aca="false">IF(I34="regional",IF(R34*0.2975,S34*0.3484),S34*0.1939)</f>
        <v>218015.1324</v>
      </c>
      <c r="F34" s="134" t="n">
        <v>0</v>
      </c>
      <c r="G34" s="135" t="n">
        <f aca="false">E34+F34</f>
        <v>218015.1324</v>
      </c>
      <c r="H34" s="132"/>
      <c r="I34" s="133" t="s">
        <v>48</v>
      </c>
      <c r="J34" s="133" t="s">
        <v>44</v>
      </c>
      <c r="K34" s="133" t="s">
        <v>155</v>
      </c>
      <c r="L34" s="133"/>
      <c r="M34" s="136" t="n">
        <v>77</v>
      </c>
      <c r="N34" s="136" t="n">
        <v>0.944</v>
      </c>
      <c r="O34" s="136" t="n">
        <v>0.975</v>
      </c>
      <c r="P34" s="136" t="n">
        <v>0.978</v>
      </c>
      <c r="Q34" s="136" t="n">
        <v>0.906</v>
      </c>
      <c r="R34" s="136" t="n">
        <v>540019</v>
      </c>
      <c r="S34" s="136" t="n">
        <v>625761</v>
      </c>
      <c r="T34" s="8" t="n">
        <f aca="false">IF(I34="regional",IF(R34&gt;0,R34*0.2975,S34*0.3484),S34*0.1939)</f>
        <v>160655.6525</v>
      </c>
      <c r="U34" s="136" t="n">
        <v>361767</v>
      </c>
      <c r="V34" s="136" t="n">
        <v>263994</v>
      </c>
      <c r="W34" s="136" t="n">
        <v>3224</v>
      </c>
      <c r="X34" s="136" t="n">
        <v>0</v>
      </c>
      <c r="Y34" s="136" t="n">
        <v>0</v>
      </c>
      <c r="Z34" s="136" t="n">
        <v>0</v>
      </c>
      <c r="AA34" s="136" t="n">
        <v>786416.6525</v>
      </c>
      <c r="AB34" s="136" t="n">
        <v>160655.6525</v>
      </c>
      <c r="AC34" s="136" t="n">
        <v>625761</v>
      </c>
      <c r="AD34" s="136" t="n">
        <v>0</v>
      </c>
      <c r="AE34" s="136" t="n">
        <v>0</v>
      </c>
      <c r="AF34" s="136" t="n">
        <v>625761</v>
      </c>
      <c r="AG34" s="136" t="n">
        <v>0</v>
      </c>
      <c r="AH34" s="136" t="n">
        <v>589000</v>
      </c>
      <c r="AI34" s="136" t="n">
        <v>559000</v>
      </c>
      <c r="AJ34" s="132" t="s">
        <v>715</v>
      </c>
      <c r="AK34" s="132" t="s">
        <v>716</v>
      </c>
      <c r="AL34" s="133" t="s">
        <v>48</v>
      </c>
      <c r="AM34" s="132"/>
      <c r="AN34" s="133" t="s">
        <v>153</v>
      </c>
      <c r="AO34" s="133" t="n">
        <v>160655.6525</v>
      </c>
      <c r="AP34" s="137" t="n">
        <f aca="false">AR34+AT34+AU34+AV34+AX34+AY34+AZ34+BD34+BF34+BG34+BH34+BJ34+BK34+(BL34+BM34+BN34)/1000+(0.1*BO34)</f>
        <v>253.751</v>
      </c>
      <c r="AQ34" s="137" t="n">
        <f aca="false">AR34+AT34+AU34+AV34+AX34+AY34+AZ34+BB34+BC34+BD34+BF34+BG34+BH34+BJ34+BK34+(BL34+BM34+BN34)/1000+(0.1*BO34)</f>
        <v>273.751</v>
      </c>
      <c r="AR34" s="131" t="n">
        <v>0</v>
      </c>
      <c r="AS34" s="131" t="n">
        <v>559</v>
      </c>
      <c r="AT34" s="131" t="n">
        <v>213</v>
      </c>
      <c r="AU34" s="131" t="n">
        <v>-30</v>
      </c>
      <c r="AV34" s="131" t="n">
        <v>0</v>
      </c>
      <c r="AW34" s="131" t="n">
        <v>0</v>
      </c>
      <c r="AX34" s="131" t="n">
        <v>24</v>
      </c>
      <c r="AY34" s="131" t="n">
        <v>0</v>
      </c>
      <c r="AZ34" s="131" t="n">
        <v>0</v>
      </c>
      <c r="BA34" s="131" t="n">
        <v>19</v>
      </c>
      <c r="BB34" s="131" t="n">
        <v>20</v>
      </c>
      <c r="BC34" s="131" t="n">
        <v>0</v>
      </c>
      <c r="BD34" s="131" t="n">
        <v>0</v>
      </c>
      <c r="BE34" s="131" t="n">
        <v>0</v>
      </c>
      <c r="BF34" s="131" t="n">
        <v>0</v>
      </c>
      <c r="BG34" s="131" t="n">
        <v>0</v>
      </c>
      <c r="BH34" s="131" t="n">
        <v>0</v>
      </c>
      <c r="BI34" s="131" t="n">
        <v>0</v>
      </c>
      <c r="BJ34" s="131" t="n">
        <v>0</v>
      </c>
      <c r="BK34" s="131" t="n">
        <v>0</v>
      </c>
      <c r="BL34" s="131" t="n">
        <v>0</v>
      </c>
      <c r="BM34" s="131" t="n">
        <v>0</v>
      </c>
      <c r="BN34" s="131" t="n">
        <v>0</v>
      </c>
      <c r="BO34" s="131" t="n">
        <v>467.51</v>
      </c>
    </row>
    <row r="35" customFormat="false" ht="15" hidden="false" customHeight="true" outlineLevel="0" collapsed="false">
      <c r="A35" s="131" t="n">
        <v>8266</v>
      </c>
      <c r="B35" s="131"/>
      <c r="C35" s="132" t="s">
        <v>156</v>
      </c>
      <c r="D35" s="133" t="s">
        <v>156</v>
      </c>
      <c r="E35" s="134" t="n">
        <f aca="false">IF(I35="regional",IF(R35*0.2975,S35*0.3484),S35*0.1939)</f>
        <v>57554.1736</v>
      </c>
      <c r="F35" s="134" t="n">
        <v>0</v>
      </c>
      <c r="G35" s="135" t="n">
        <f aca="false">E35+F35</f>
        <v>57554.1736</v>
      </c>
      <c r="H35" s="132"/>
      <c r="I35" s="133" t="s">
        <v>62</v>
      </c>
      <c r="J35" s="133" t="s">
        <v>49</v>
      </c>
      <c r="K35" s="133" t="s">
        <v>148</v>
      </c>
      <c r="L35" s="133"/>
      <c r="M35" s="136" t="n">
        <v>0</v>
      </c>
      <c r="N35" s="136" t="n">
        <v>1</v>
      </c>
      <c r="O35" s="136" t="n">
        <v>1</v>
      </c>
      <c r="P35" s="136" t="n">
        <v>0.943</v>
      </c>
      <c r="Q35" s="136" t="n">
        <v>0.977</v>
      </c>
      <c r="R35" s="136" t="n">
        <v>0</v>
      </c>
      <c r="S35" s="136" t="n">
        <v>296824</v>
      </c>
      <c r="T35" s="8" t="n">
        <f aca="false">IF(I35="regional",IF(R35&gt;0,R35*0.2975,S35*0.3484),S35*0.1939)</f>
        <v>57554.1736</v>
      </c>
      <c r="U35" s="136" t="n">
        <v>235962</v>
      </c>
      <c r="V35" s="136" t="n">
        <v>60862</v>
      </c>
      <c r="W35" s="136" t="n">
        <v>1500</v>
      </c>
      <c r="X35" s="136" t="n">
        <v>0</v>
      </c>
      <c r="Y35" s="136" t="n">
        <v>0</v>
      </c>
      <c r="Z35" s="136" t="n">
        <v>0</v>
      </c>
      <c r="AA35" s="136" t="n">
        <v>354378.1736</v>
      </c>
      <c r="AB35" s="136" t="n">
        <v>57554.1736</v>
      </c>
      <c r="AC35" s="136" t="n">
        <v>296824</v>
      </c>
      <c r="AD35" s="136" t="n">
        <v>0</v>
      </c>
      <c r="AE35" s="136" t="n">
        <v>0</v>
      </c>
      <c r="AF35" s="136" t="n">
        <v>0</v>
      </c>
      <c r="AG35" s="136" t="n">
        <v>296824</v>
      </c>
      <c r="AH35" s="136" t="n">
        <v>0</v>
      </c>
      <c r="AI35" s="136" t="n">
        <v>0</v>
      </c>
      <c r="AJ35" s="132" t="s">
        <v>707</v>
      </c>
      <c r="AK35" s="132" t="s">
        <v>712</v>
      </c>
      <c r="AL35" s="133" t="s">
        <v>62</v>
      </c>
      <c r="AM35" s="132"/>
      <c r="AN35" s="133" t="s">
        <v>156</v>
      </c>
      <c r="AO35" s="133" t="n">
        <v>57554.1736</v>
      </c>
      <c r="AP35" s="137" t="n">
        <f aca="false">AR35+AT35+AU35+AV35+AX35+AY35+AZ35+BD35+BF35+BG35+BH35+BJ35+BK35+(BL35+BM35+BN35)/1000+(0.1*BO35)</f>
        <v>27.7175</v>
      </c>
      <c r="AQ35" s="137" t="n">
        <f aca="false">AR35+AT35+AU35+AV35+AX35+AY35+AZ35+BB35+BC35+BD35+BF35+BG35+BH35+BJ35+BK35+(BL35+BM35+BN35)/1000+(0.1*BO35)</f>
        <v>23.7175</v>
      </c>
      <c r="AR35" s="131" t="n">
        <v>0</v>
      </c>
      <c r="AS35" s="131" t="n">
        <v>0</v>
      </c>
      <c r="AT35" s="131" t="n">
        <v>21</v>
      </c>
      <c r="AU35" s="131" t="n">
        <v>0</v>
      </c>
      <c r="AV35" s="131" t="n">
        <v>0</v>
      </c>
      <c r="AW35" s="131" t="n">
        <v>0</v>
      </c>
      <c r="AX35" s="131" t="n">
        <v>0</v>
      </c>
      <c r="AY35" s="131" t="n">
        <v>0</v>
      </c>
      <c r="AZ35" s="131" t="n">
        <v>0</v>
      </c>
      <c r="BA35" s="131" t="n">
        <v>0</v>
      </c>
      <c r="BB35" s="131" t="n">
        <v>-4</v>
      </c>
      <c r="BC35" s="131" t="n">
        <v>0</v>
      </c>
      <c r="BD35" s="131" t="n">
        <v>0</v>
      </c>
      <c r="BE35" s="131" t="n">
        <v>0</v>
      </c>
      <c r="BF35" s="131" t="n">
        <v>0</v>
      </c>
      <c r="BG35" s="131" t="n">
        <v>0</v>
      </c>
      <c r="BH35" s="131" t="n">
        <v>0</v>
      </c>
      <c r="BI35" s="131" t="n">
        <v>0</v>
      </c>
      <c r="BJ35" s="131" t="n">
        <v>0</v>
      </c>
      <c r="BK35" s="131" t="n">
        <v>0</v>
      </c>
      <c r="BL35" s="131" t="n">
        <v>0</v>
      </c>
      <c r="BM35" s="131" t="n">
        <v>0</v>
      </c>
      <c r="BN35" s="131" t="n">
        <v>0</v>
      </c>
      <c r="BO35" s="131" t="n">
        <v>67.175</v>
      </c>
    </row>
    <row r="36" customFormat="false" ht="15" hidden="false" customHeight="true" outlineLevel="0" collapsed="false">
      <c r="A36" s="131" t="n">
        <v>9888</v>
      </c>
      <c r="B36" s="131" t="s">
        <v>44</v>
      </c>
      <c r="C36" s="132" t="s">
        <v>158</v>
      </c>
      <c r="D36" s="133" t="s">
        <v>158</v>
      </c>
      <c r="E36" s="134" t="n">
        <f aca="false">IF(I36="regional",IF(R36*0.2975,S36*0.3484),S36*0.1939)</f>
        <v>245422.7152</v>
      </c>
      <c r="F36" s="134" t="n">
        <v>0</v>
      </c>
      <c r="G36" s="135" t="n">
        <f aca="false">E36+F36</f>
        <v>245422.7152</v>
      </c>
      <c r="H36" s="132" t="s">
        <v>49</v>
      </c>
      <c r="I36" s="133" t="s">
        <v>48</v>
      </c>
      <c r="J36" s="133" t="s">
        <v>44</v>
      </c>
      <c r="K36" s="133" t="s">
        <v>148</v>
      </c>
      <c r="L36" s="133"/>
      <c r="M36" s="136" t="n">
        <v>132</v>
      </c>
      <c r="N36" s="136" t="n">
        <v>0.853</v>
      </c>
      <c r="O36" s="136" t="n">
        <v>0.853</v>
      </c>
      <c r="P36" s="136" t="n">
        <v>0.831</v>
      </c>
      <c r="Q36" s="136" t="n">
        <v>0.761</v>
      </c>
      <c r="R36" s="136" t="n">
        <v>743297</v>
      </c>
      <c r="S36" s="136" t="n">
        <v>704428</v>
      </c>
      <c r="T36" s="8" t="n">
        <f aca="false">IF(I36="regional",IF(R36&gt;0,R36*0.2975,S36*0.3484),S36*0.1939)</f>
        <v>221130.8575</v>
      </c>
      <c r="U36" s="136" t="n">
        <v>429463</v>
      </c>
      <c r="V36" s="136" t="n">
        <v>274965</v>
      </c>
      <c r="W36" s="136" t="n">
        <v>3525</v>
      </c>
      <c r="X36" s="136" t="n">
        <v>0</v>
      </c>
      <c r="Y36" s="136" t="n">
        <v>0</v>
      </c>
      <c r="Z36" s="136" t="n">
        <v>0</v>
      </c>
      <c r="AA36" s="136" t="n">
        <v>925558.8575</v>
      </c>
      <c r="AB36" s="136" t="n">
        <v>221130.8575</v>
      </c>
      <c r="AC36" s="136" t="n">
        <v>704428</v>
      </c>
      <c r="AD36" s="136" t="n">
        <v>0</v>
      </c>
      <c r="AE36" s="136" t="n">
        <v>0</v>
      </c>
      <c r="AF36" s="136" t="n">
        <v>704428</v>
      </c>
      <c r="AG36" s="136" t="n">
        <v>0</v>
      </c>
      <c r="AH36" s="136" t="n">
        <v>763000</v>
      </c>
      <c r="AI36" s="136" t="n">
        <v>589000</v>
      </c>
      <c r="AJ36" s="132" t="s">
        <v>707</v>
      </c>
      <c r="AK36" s="132" t="s">
        <v>712</v>
      </c>
      <c r="AL36" s="133" t="s">
        <v>48</v>
      </c>
      <c r="AM36" s="132" t="s">
        <v>49</v>
      </c>
      <c r="AN36" s="133" t="s">
        <v>158</v>
      </c>
      <c r="AO36" s="133" t="n">
        <v>221130.8575</v>
      </c>
      <c r="AP36" s="137" t="n">
        <f aca="false">AR36+AT36+AU36+AV36+AX36+AY36+AZ36+BD36+BF36+BG36+BH36+BJ36+BK36+(BL36+BM36+BN36)/1000+(0.1*BO36)</f>
        <v>241.9283</v>
      </c>
      <c r="AQ36" s="137" t="n">
        <f aca="false">AR36+AT36+AU36+AV36+AX36+AY36+AZ36+BB36+BC36+BD36+BF36+BG36+BH36+BJ36+BK36+(BL36+BM36+BN36)/1000+(0.1*BO36)</f>
        <v>269.9283</v>
      </c>
      <c r="AR36" s="131" t="n">
        <v>0</v>
      </c>
      <c r="AS36" s="131" t="n">
        <v>589</v>
      </c>
      <c r="AT36" s="131" t="n">
        <v>155</v>
      </c>
      <c r="AU36" s="131" t="n">
        <v>0</v>
      </c>
      <c r="AV36" s="131" t="n">
        <v>0</v>
      </c>
      <c r="AW36" s="131" t="n">
        <v>0</v>
      </c>
      <c r="AX36" s="131" t="n">
        <v>14</v>
      </c>
      <c r="AY36" s="131" t="n">
        <v>0</v>
      </c>
      <c r="AZ36" s="131" t="n">
        <v>0</v>
      </c>
      <c r="BA36" s="131" t="n">
        <v>0</v>
      </c>
      <c r="BB36" s="131" t="n">
        <v>28</v>
      </c>
      <c r="BC36" s="131" t="n">
        <v>0</v>
      </c>
      <c r="BD36" s="131" t="n">
        <v>0</v>
      </c>
      <c r="BE36" s="131" t="n">
        <v>0</v>
      </c>
      <c r="BF36" s="131" t="n">
        <v>0</v>
      </c>
      <c r="BG36" s="131" t="n">
        <v>0</v>
      </c>
      <c r="BH36" s="131" t="n">
        <v>0</v>
      </c>
      <c r="BI36" s="131" t="n">
        <v>0</v>
      </c>
      <c r="BJ36" s="131" t="n">
        <v>0</v>
      </c>
      <c r="BK36" s="131" t="n">
        <v>0</v>
      </c>
      <c r="BL36" s="131" t="n">
        <v>0</v>
      </c>
      <c r="BM36" s="131" t="n">
        <v>0</v>
      </c>
      <c r="BN36" s="131" t="n">
        <v>0</v>
      </c>
      <c r="BO36" s="131" t="n">
        <v>729.283</v>
      </c>
    </row>
    <row r="37" customFormat="false" ht="15" hidden="false" customHeight="true" outlineLevel="0" collapsed="false">
      <c r="A37" s="131" t="n">
        <v>511</v>
      </c>
      <c r="B37" s="131" t="s">
        <v>44</v>
      </c>
      <c r="C37" s="132" t="s">
        <v>159</v>
      </c>
      <c r="D37" s="133" t="s">
        <v>159</v>
      </c>
      <c r="E37" s="134" t="n">
        <f aca="false">IF(I37="regional",IF(R37*0.2975,S37*0.3484),S37*0.1939)</f>
        <v>407128.7428</v>
      </c>
      <c r="F37" s="134" t="n">
        <v>561163</v>
      </c>
      <c r="G37" s="135" t="n">
        <f aca="false">E37+F37</f>
        <v>968291.7428</v>
      </c>
      <c r="H37" s="132"/>
      <c r="I37" s="133" t="s">
        <v>48</v>
      </c>
      <c r="J37" s="133" t="s">
        <v>44</v>
      </c>
      <c r="K37" s="133" t="s">
        <v>160</v>
      </c>
      <c r="L37" s="133" t="s">
        <v>44</v>
      </c>
      <c r="M37" s="136" t="n">
        <v>146</v>
      </c>
      <c r="N37" s="136" t="n">
        <v>0.924</v>
      </c>
      <c r="O37" s="136" t="n">
        <v>0.972</v>
      </c>
      <c r="P37" s="136" t="n">
        <v>0.933</v>
      </c>
      <c r="Q37" s="136" t="n">
        <v>0.894</v>
      </c>
      <c r="R37" s="136" t="n">
        <v>1446933</v>
      </c>
      <c r="S37" s="136" t="n">
        <v>1168567</v>
      </c>
      <c r="T37" s="8" t="n">
        <f aca="false">IF(I37="regional",IF(R37&gt;0,R37*0.2975,S37*0.3484),S37*0.1939)</f>
        <v>430462.5675</v>
      </c>
      <c r="U37" s="136" t="n">
        <v>793716</v>
      </c>
      <c r="V37" s="136" t="n">
        <v>374851</v>
      </c>
      <c r="W37" s="136" t="n">
        <v>6000</v>
      </c>
      <c r="X37" s="136" t="n">
        <v>991625.5675</v>
      </c>
      <c r="Y37" s="136" t="n">
        <v>430462.5675</v>
      </c>
      <c r="Z37" s="136" t="n">
        <v>561163</v>
      </c>
      <c r="AA37" s="136" t="n">
        <v>607404</v>
      </c>
      <c r="AB37" s="136" t="n">
        <v>0</v>
      </c>
      <c r="AC37" s="136" t="n">
        <v>607404</v>
      </c>
      <c r="AD37" s="136" t="n">
        <v>561163</v>
      </c>
      <c r="AE37" s="136" t="n">
        <v>0</v>
      </c>
      <c r="AF37" s="136" t="n">
        <v>607404</v>
      </c>
      <c r="AG37" s="136" t="n">
        <v>0</v>
      </c>
      <c r="AH37" s="136" t="n">
        <v>1182000</v>
      </c>
      <c r="AI37" s="136" t="n">
        <v>990000</v>
      </c>
      <c r="AJ37" s="132" t="s">
        <v>707</v>
      </c>
      <c r="AK37" s="132" t="s">
        <v>708</v>
      </c>
      <c r="AL37" s="133" t="s">
        <v>48</v>
      </c>
      <c r="AM37" s="132"/>
      <c r="AN37" s="133" t="s">
        <v>159</v>
      </c>
      <c r="AO37" s="133" t="n">
        <v>991625.5675</v>
      </c>
      <c r="AP37" s="137" t="n">
        <f aca="false">AR37+AT37+AU37+AV37+AX37+AY37+AZ37+BD37+BF37+BG37+BH37+BJ37+BK37+(BL37+BM37+BN37)/1000+(0.1*BO37)</f>
        <v>952.4919</v>
      </c>
      <c r="AQ37" s="137" t="n">
        <f aca="false">AR37+AT37+AU37+AV37+AX37+AY37+AZ37+BB37+BC37+BD37+BF37+BG37+BH37+BJ37+BK37+(BL37+BM37+BN37)/1000+(0.1*BO37)</f>
        <v>979.4919</v>
      </c>
      <c r="AR37" s="131" t="n">
        <v>472</v>
      </c>
      <c r="AS37" s="131" t="n">
        <v>990</v>
      </c>
      <c r="AT37" s="131" t="n">
        <v>176</v>
      </c>
      <c r="AU37" s="131" t="n">
        <v>0</v>
      </c>
      <c r="AV37" s="131" t="n">
        <v>0</v>
      </c>
      <c r="AW37" s="131" t="n">
        <v>0</v>
      </c>
      <c r="AX37" s="131" t="n">
        <v>0</v>
      </c>
      <c r="AY37" s="131" t="n">
        <v>0</v>
      </c>
      <c r="AZ37" s="131" t="n">
        <v>13</v>
      </c>
      <c r="BA37" s="131" t="n">
        <v>37</v>
      </c>
      <c r="BB37" s="131" t="n">
        <v>27</v>
      </c>
      <c r="BC37" s="131" t="n">
        <v>0</v>
      </c>
      <c r="BD37" s="131" t="n">
        <v>73</v>
      </c>
      <c r="BE37" s="131" t="n">
        <v>0</v>
      </c>
      <c r="BF37" s="131" t="n">
        <v>0</v>
      </c>
      <c r="BG37" s="131" t="n">
        <v>0</v>
      </c>
      <c r="BH37" s="131" t="n">
        <v>35</v>
      </c>
      <c r="BI37" s="131" t="n">
        <v>3</v>
      </c>
      <c r="BJ37" s="131" t="n">
        <v>0</v>
      </c>
      <c r="BK37" s="131" t="n">
        <v>0</v>
      </c>
      <c r="BL37" s="131" t="n">
        <v>13964</v>
      </c>
      <c r="BM37" s="131" t="n">
        <v>72134</v>
      </c>
      <c r="BN37" s="131" t="n">
        <v>16000</v>
      </c>
      <c r="BO37" s="131" t="n">
        <v>813.939</v>
      </c>
    </row>
    <row r="38" customFormat="false" ht="15" hidden="false" customHeight="true" outlineLevel="0" collapsed="false">
      <c r="A38" s="131" t="n">
        <v>564</v>
      </c>
      <c r="B38" s="131" t="s">
        <v>44</v>
      </c>
      <c r="C38" s="132" t="s">
        <v>161</v>
      </c>
      <c r="D38" s="133" t="s">
        <v>161</v>
      </c>
      <c r="E38" s="134" t="n">
        <f aca="false">IF(I38="regional",IF(R38*0.2975,S38*0.3484),S38*0.1939)</f>
        <v>275212.6572</v>
      </c>
      <c r="F38" s="134" t="n">
        <v>0</v>
      </c>
      <c r="G38" s="135" t="n">
        <f aca="false">E38+F38</f>
        <v>275212.6572</v>
      </c>
      <c r="H38" s="132" t="s">
        <v>49</v>
      </c>
      <c r="I38" s="133" t="s">
        <v>48</v>
      </c>
      <c r="J38" s="133" t="s">
        <v>44</v>
      </c>
      <c r="K38" s="133" t="s">
        <v>115</v>
      </c>
      <c r="L38" s="133"/>
      <c r="M38" s="136" t="n">
        <v>90</v>
      </c>
      <c r="N38" s="136" t="n">
        <v>0.961</v>
      </c>
      <c r="O38" s="136" t="n">
        <v>0.946</v>
      </c>
      <c r="P38" s="136" t="n">
        <v>0.962</v>
      </c>
      <c r="Q38" s="136" t="n">
        <v>0.944</v>
      </c>
      <c r="R38" s="136" t="n">
        <v>1126844</v>
      </c>
      <c r="S38" s="136" t="n">
        <v>789933</v>
      </c>
      <c r="T38" s="8" t="n">
        <f aca="false">IF(I38="regional",IF(R38&gt;0,R38*0.2975,S38*0.3484),S38*0.1939)</f>
        <v>335236.09</v>
      </c>
      <c r="U38" s="136" t="n">
        <v>350000</v>
      </c>
      <c r="V38" s="136" t="n">
        <v>439933</v>
      </c>
      <c r="W38" s="136" t="n">
        <v>3000</v>
      </c>
      <c r="X38" s="136" t="n">
        <v>0</v>
      </c>
      <c r="Y38" s="136" t="n">
        <v>0</v>
      </c>
      <c r="Z38" s="136" t="n">
        <v>0</v>
      </c>
      <c r="AA38" s="136" t="n">
        <v>1125169.09</v>
      </c>
      <c r="AB38" s="136" t="n">
        <v>335236.09</v>
      </c>
      <c r="AC38" s="136" t="n">
        <v>789933</v>
      </c>
      <c r="AD38" s="136" t="n">
        <v>0</v>
      </c>
      <c r="AE38" s="136" t="n">
        <v>0</v>
      </c>
      <c r="AF38" s="136" t="n">
        <v>789933</v>
      </c>
      <c r="AG38" s="136" t="n">
        <v>0</v>
      </c>
      <c r="AH38" s="136" t="n">
        <v>794000</v>
      </c>
      <c r="AI38" s="136" t="n">
        <v>652000</v>
      </c>
      <c r="AJ38" s="132" t="n">
        <v>4</v>
      </c>
      <c r="AK38" s="132" t="s">
        <v>720</v>
      </c>
      <c r="AL38" s="133" t="s">
        <v>48</v>
      </c>
      <c r="AM38" s="132" t="s">
        <v>49</v>
      </c>
      <c r="AN38" s="133" t="s">
        <v>161</v>
      </c>
      <c r="AO38" s="133" t="n">
        <v>335236.09</v>
      </c>
      <c r="AP38" s="137" t="n">
        <f aca="false">AR38+AT38+AU38+AV38+AX38+AY38+AZ38+BD38+BF38+BG38+BH38+BJ38+BK38+(BL38+BM38+BN38)/1000+(0.1*BO38)</f>
        <v>1774</v>
      </c>
      <c r="AQ38" s="137" t="n">
        <f aca="false">AR38+AT38+AU38+AV38+AX38+AY38+AZ38+BB38+BC38+BD38+BF38+BG38+BH38+BJ38+BK38+(BL38+BM38+BN38)/1000+(0.1*BO38)</f>
        <v>1815</v>
      </c>
      <c r="AR38" s="158" t="n">
        <v>344</v>
      </c>
      <c r="AS38" s="158" t="n">
        <v>652</v>
      </c>
      <c r="AT38" s="158" t="n">
        <v>164</v>
      </c>
      <c r="AU38" s="158" t="n">
        <v>0</v>
      </c>
      <c r="AV38" s="131" t="n">
        <v>0</v>
      </c>
      <c r="AW38" s="131" t="n">
        <v>0</v>
      </c>
      <c r="AX38" s="131" t="n">
        <v>1</v>
      </c>
      <c r="AY38" s="131" t="n">
        <v>0</v>
      </c>
      <c r="AZ38" s="158" t="n">
        <v>1107</v>
      </c>
      <c r="BA38" s="158" t="n">
        <v>52</v>
      </c>
      <c r="BB38" s="158" t="n">
        <v>41</v>
      </c>
      <c r="BC38" s="158" t="n">
        <v>0</v>
      </c>
      <c r="BD38" s="131" t="n">
        <v>46</v>
      </c>
      <c r="BE38" s="131" t="n">
        <v>0</v>
      </c>
      <c r="BF38" s="131" t="n">
        <v>0</v>
      </c>
      <c r="BG38" s="131" t="n">
        <v>0</v>
      </c>
      <c r="BH38" s="131" t="n">
        <v>112</v>
      </c>
      <c r="BI38" s="131" t="n">
        <v>1</v>
      </c>
      <c r="BJ38" s="131" t="n">
        <v>0</v>
      </c>
      <c r="BK38" s="131" t="n">
        <v>0</v>
      </c>
      <c r="BL38" s="131" t="n">
        <v>0</v>
      </c>
      <c r="BM38" s="131" t="n">
        <v>0</v>
      </c>
      <c r="BN38" s="131" t="n">
        <v>0</v>
      </c>
      <c r="BO38" s="131" t="n">
        <v>0</v>
      </c>
      <c r="BP38" s="159"/>
      <c r="BQ38" s="159"/>
      <c r="BR38" s="159"/>
      <c r="BS38" s="159"/>
      <c r="BT38" s="159"/>
      <c r="BU38" s="159"/>
      <c r="BV38" s="159"/>
      <c r="BW38" s="159"/>
      <c r="BX38" s="159"/>
      <c r="BY38" s="159"/>
      <c r="BZ38" s="159"/>
      <c r="CA38" s="159"/>
      <c r="CB38" s="159"/>
      <c r="CC38" s="159"/>
      <c r="CD38" s="159"/>
      <c r="CE38" s="159"/>
    </row>
    <row r="39" customFormat="false" ht="15" hidden="false" customHeight="true" outlineLevel="0" collapsed="false">
      <c r="A39" s="151" t="n">
        <v>566</v>
      </c>
      <c r="B39" s="151"/>
      <c r="C39" s="152" t="s">
        <v>161</v>
      </c>
      <c r="D39" s="140" t="s">
        <v>161</v>
      </c>
      <c r="E39" s="134" t="n">
        <f aca="false">IF(I39="regional",IF(R39*0.2975,S39*0.3484),S39*0.1939)</f>
        <v>0</v>
      </c>
      <c r="F39" s="141"/>
      <c r="G39" s="135" t="n">
        <f aca="false">E39+F39</f>
        <v>0</v>
      </c>
      <c r="H39" s="139" t="s">
        <v>49</v>
      </c>
      <c r="I39" s="140" t="s">
        <v>718</v>
      </c>
      <c r="J39" s="140"/>
      <c r="K39" s="140"/>
      <c r="L39" s="140"/>
      <c r="M39" s="142"/>
      <c r="N39" s="142"/>
      <c r="O39" s="142"/>
      <c r="P39" s="142"/>
      <c r="Q39" s="142"/>
      <c r="R39" s="142"/>
      <c r="S39" s="142"/>
      <c r="T39" s="8" t="n">
        <f aca="false">IF(I39="regional",IF(R39&gt;0,R39*0.2975,S39*0.3484),S39*0.1939)</f>
        <v>0</v>
      </c>
      <c r="U39" s="142"/>
      <c r="V39" s="142"/>
      <c r="W39" s="142"/>
      <c r="X39" s="142"/>
      <c r="Y39" s="142"/>
      <c r="Z39" s="142"/>
      <c r="AA39" s="142"/>
      <c r="AB39" s="142"/>
      <c r="AC39" s="142"/>
      <c r="AD39" s="142"/>
      <c r="AE39" s="142"/>
      <c r="AF39" s="142"/>
      <c r="AG39" s="142"/>
      <c r="AH39" s="142"/>
      <c r="AI39" s="142"/>
      <c r="AJ39" s="139" t="n">
        <v>4</v>
      </c>
      <c r="AK39" s="139" t="s">
        <v>720</v>
      </c>
      <c r="AL39" s="154" t="s">
        <v>718</v>
      </c>
      <c r="AM39" s="139" t="s">
        <v>49</v>
      </c>
      <c r="AN39" s="154" t="s">
        <v>725</v>
      </c>
      <c r="AO39" s="154" t="n">
        <v>0</v>
      </c>
      <c r="AP39" s="155" t="n">
        <v>0</v>
      </c>
      <c r="AQ39" s="137" t="n">
        <f aca="false">AR39+AT39+AU39+AV39+AX39+AY39+AZ39+BB39+BC39+BD39+BF39+BG39+BH39+BJ39+BK39+(BL39+BM39+BN39)/1000+(0.1*BO39)</f>
        <v>77</v>
      </c>
      <c r="AR39" s="156" t="n">
        <v>44</v>
      </c>
      <c r="AS39" s="156" t="n">
        <v>0</v>
      </c>
      <c r="AT39" s="156" t="n">
        <v>24</v>
      </c>
      <c r="AU39" s="156" t="n">
        <v>0</v>
      </c>
      <c r="AV39" s="138" t="n">
        <v>0</v>
      </c>
      <c r="AW39" s="138" t="n">
        <v>0</v>
      </c>
      <c r="AX39" s="138" t="n">
        <v>0</v>
      </c>
      <c r="AY39" s="138" t="n">
        <v>0</v>
      </c>
      <c r="AZ39" s="156" t="n">
        <v>0</v>
      </c>
      <c r="BA39" s="156" t="n">
        <v>0</v>
      </c>
      <c r="BB39" s="156" t="n">
        <v>9</v>
      </c>
      <c r="BC39" s="156" t="n">
        <v>0</v>
      </c>
      <c r="BD39" s="138" t="n">
        <v>0</v>
      </c>
      <c r="BE39" s="138" t="n">
        <v>0</v>
      </c>
      <c r="BF39" s="138" t="n">
        <v>0</v>
      </c>
      <c r="BG39" s="138" t="n">
        <v>0</v>
      </c>
      <c r="BH39" s="138" t="n">
        <v>0</v>
      </c>
      <c r="BI39" s="138" t="n">
        <v>0</v>
      </c>
      <c r="BJ39" s="138" t="n">
        <v>0</v>
      </c>
      <c r="BK39" s="138" t="n">
        <v>0</v>
      </c>
      <c r="BL39" s="138" t="n">
        <v>0</v>
      </c>
      <c r="BM39" s="138" t="n">
        <v>0</v>
      </c>
      <c r="BN39" s="138" t="n">
        <v>0</v>
      </c>
      <c r="BO39" s="151" t="n">
        <v>0</v>
      </c>
      <c r="BS39" s="160"/>
      <c r="BT39" s="160"/>
      <c r="BU39" s="160"/>
      <c r="BV39" s="160"/>
      <c r="BW39" s="160"/>
      <c r="BX39" s="160"/>
      <c r="BY39" s="160"/>
      <c r="BZ39" s="160"/>
      <c r="CA39" s="160"/>
      <c r="CB39" s="160"/>
      <c r="CC39" s="160"/>
      <c r="CD39" s="160"/>
      <c r="CE39" s="160"/>
    </row>
    <row r="40" customFormat="false" ht="15" hidden="false" customHeight="true" outlineLevel="0" collapsed="false">
      <c r="A40" s="131" t="n">
        <v>526</v>
      </c>
      <c r="B40" s="131" t="s">
        <v>44</v>
      </c>
      <c r="C40" s="132" t="s">
        <v>726</v>
      </c>
      <c r="D40" s="133" t="s">
        <v>162</v>
      </c>
      <c r="E40" s="134" t="n">
        <f aca="false">IF(I40="regional",IF(R40*0.2975,S40*0.3484),S40*0.1939)</f>
        <v>0</v>
      </c>
      <c r="F40" s="134" t="n">
        <v>137606</v>
      </c>
      <c r="G40" s="135" t="n">
        <f aca="false">E40+F40</f>
        <v>137606</v>
      </c>
      <c r="H40" s="132" t="s">
        <v>49</v>
      </c>
      <c r="I40" s="133" t="s">
        <v>48</v>
      </c>
      <c r="J40" s="133" t="s">
        <v>44</v>
      </c>
      <c r="K40" s="133" t="s">
        <v>115</v>
      </c>
      <c r="L40" s="133" t="s">
        <v>44</v>
      </c>
      <c r="M40" s="136" t="n">
        <v>10</v>
      </c>
      <c r="N40" s="136" t="n">
        <v>0.55</v>
      </c>
      <c r="O40" s="136" t="n">
        <v>0.55</v>
      </c>
      <c r="P40" s="136" t="n">
        <v>0.536</v>
      </c>
      <c r="Q40" s="136" t="n">
        <v>0.777</v>
      </c>
      <c r="R40" s="136" t="n">
        <v>0</v>
      </c>
      <c r="S40" s="136" t="n">
        <v>69958</v>
      </c>
      <c r="T40" s="8" t="n">
        <f aca="false">IF(I40="regional",IF(R40&gt;0,R40*0.2975,S40*0.3484),S40*0.1939)</f>
        <v>24373.3672</v>
      </c>
      <c r="U40" s="136" t="n">
        <v>0</v>
      </c>
      <c r="V40" s="136" t="n">
        <v>69958</v>
      </c>
      <c r="W40" s="136" t="n">
        <v>0</v>
      </c>
      <c r="X40" s="136" t="n">
        <v>161979.3672</v>
      </c>
      <c r="Y40" s="136" t="n">
        <v>24373.3672</v>
      </c>
      <c r="Z40" s="136" t="n">
        <v>137606</v>
      </c>
      <c r="AA40" s="136" t="n">
        <v>-67648</v>
      </c>
      <c r="AB40" s="136" t="n">
        <v>0</v>
      </c>
      <c r="AC40" s="136" t="n">
        <v>-67648</v>
      </c>
      <c r="AD40" s="136" t="n">
        <v>137606</v>
      </c>
      <c r="AE40" s="136" t="n">
        <v>0</v>
      </c>
      <c r="AF40" s="136" t="n">
        <v>-67648</v>
      </c>
      <c r="AG40" s="136" t="n">
        <v>0</v>
      </c>
      <c r="AH40" s="136" t="n">
        <v>47000</v>
      </c>
      <c r="AI40" s="136" t="n">
        <v>39000</v>
      </c>
      <c r="AJ40" s="132" t="n">
        <v>4</v>
      </c>
      <c r="AK40" s="132" t="s">
        <v>720</v>
      </c>
      <c r="AL40" s="133" t="s">
        <v>48</v>
      </c>
      <c r="AM40" s="132" t="s">
        <v>49</v>
      </c>
      <c r="AN40" s="133" t="s">
        <v>162</v>
      </c>
      <c r="AO40" s="133" t="n">
        <v>161979.3672</v>
      </c>
      <c r="AP40" s="137" t="n">
        <f aca="false">AR40+AT40+AU40+AV40+AX40+AY40+AZ40+BD40+BF40+BG40+BH40+BJ40+BK40+(BL40+BM40+BN40)/1000+(0.1*BO40)</f>
        <v>415.496</v>
      </c>
      <c r="AQ40" s="137" t="n">
        <f aca="false">AR40+AT40+AU40+AV40+AX40+AY40+AZ40+BB40+BC40+BD40+BF40+BG40+BH40+BJ40+BK40+(BL40+BM40+BN40)/1000+(0.1*BO40)</f>
        <v>426.496</v>
      </c>
      <c r="AR40" s="131" t="n">
        <v>206</v>
      </c>
      <c r="AS40" s="131" t="n">
        <v>39</v>
      </c>
      <c r="AT40" s="131" t="n">
        <v>46</v>
      </c>
      <c r="AU40" s="131" t="n">
        <v>0</v>
      </c>
      <c r="AV40" s="131" t="n">
        <v>0</v>
      </c>
      <c r="AW40" s="131" t="n">
        <v>0</v>
      </c>
      <c r="AX40" s="131" t="n">
        <v>0</v>
      </c>
      <c r="AY40" s="131" t="n">
        <v>0</v>
      </c>
      <c r="AZ40" s="131" t="n">
        <v>0</v>
      </c>
      <c r="BA40" s="131" t="n">
        <v>3</v>
      </c>
      <c r="BB40" s="131" t="n">
        <v>11</v>
      </c>
      <c r="BC40" s="131" t="n">
        <v>0</v>
      </c>
      <c r="BD40" s="131" t="n">
        <v>17</v>
      </c>
      <c r="BE40" s="131" t="n">
        <v>0</v>
      </c>
      <c r="BF40" s="131" t="n">
        <v>0</v>
      </c>
      <c r="BG40" s="131" t="n">
        <v>0</v>
      </c>
      <c r="BH40" s="131" t="n">
        <v>55</v>
      </c>
      <c r="BI40" s="131" t="n">
        <v>1</v>
      </c>
      <c r="BJ40" s="131" t="n">
        <v>0</v>
      </c>
      <c r="BK40" s="131" t="n">
        <v>0</v>
      </c>
      <c r="BL40" s="131" t="n">
        <v>20631</v>
      </c>
      <c r="BM40" s="131" t="n">
        <v>0</v>
      </c>
      <c r="BN40" s="131" t="n">
        <v>70865</v>
      </c>
      <c r="BO40" s="131" t="n">
        <v>0</v>
      </c>
    </row>
    <row r="41" customFormat="false" ht="15" hidden="false" customHeight="true" outlineLevel="0" collapsed="false">
      <c r="A41" s="131" t="n">
        <v>548</v>
      </c>
      <c r="B41" s="131"/>
      <c r="C41" s="132" t="s">
        <v>163</v>
      </c>
      <c r="D41" s="133" t="s">
        <v>163</v>
      </c>
      <c r="E41" s="134" t="n">
        <f aca="false">IF(I41="regional",IF(R41*0.2975,S41*0.3484),S41*0.1939)</f>
        <v>50647.8434</v>
      </c>
      <c r="F41" s="134" t="n">
        <v>0</v>
      </c>
      <c r="G41" s="135" t="n">
        <f aca="false">E41+F41</f>
        <v>50647.8434</v>
      </c>
      <c r="H41" s="132" t="s">
        <v>49</v>
      </c>
      <c r="I41" s="133" t="s">
        <v>62</v>
      </c>
      <c r="J41" s="133"/>
      <c r="K41" s="133" t="s">
        <v>165</v>
      </c>
      <c r="L41" s="133"/>
      <c r="M41" s="136" t="n">
        <v>0</v>
      </c>
      <c r="N41" s="136" t="n">
        <v>0.938</v>
      </c>
      <c r="O41" s="136" t="n">
        <v>0.952</v>
      </c>
      <c r="P41" s="136" t="n">
        <v>0.996</v>
      </c>
      <c r="Q41" s="136" t="n">
        <v>0.973</v>
      </c>
      <c r="R41" s="136" t="n">
        <v>0</v>
      </c>
      <c r="S41" s="136" t="n">
        <v>261206</v>
      </c>
      <c r="T41" s="8" t="n">
        <f aca="false">IF(I41="regional",IF(R41&gt;0,R41*0.2975,S41*0.3484),S41*0.1939)</f>
        <v>50647.8434</v>
      </c>
      <c r="U41" s="136" t="n">
        <v>206680</v>
      </c>
      <c r="V41" s="136" t="n">
        <v>54526</v>
      </c>
      <c r="W41" s="136" t="n">
        <v>1262</v>
      </c>
      <c r="X41" s="136" t="n">
        <v>0</v>
      </c>
      <c r="Y41" s="136" t="n">
        <v>0</v>
      </c>
      <c r="Z41" s="136" t="n">
        <v>0</v>
      </c>
      <c r="AA41" s="136" t="n">
        <v>311853.8434</v>
      </c>
      <c r="AB41" s="136" t="n">
        <v>50647.8434</v>
      </c>
      <c r="AC41" s="136" t="n">
        <v>261206</v>
      </c>
      <c r="AD41" s="136" t="n">
        <v>0</v>
      </c>
      <c r="AE41" s="136" t="n">
        <v>0</v>
      </c>
      <c r="AF41" s="136" t="n">
        <v>0</v>
      </c>
      <c r="AG41" s="136" t="n">
        <v>261206</v>
      </c>
      <c r="AH41" s="136" t="n">
        <v>0</v>
      </c>
      <c r="AI41" s="136" t="n">
        <v>0</v>
      </c>
      <c r="AJ41" s="132" t="n">
        <v>4</v>
      </c>
      <c r="AK41" s="132" t="s">
        <v>724</v>
      </c>
      <c r="AL41" s="133" t="s">
        <v>62</v>
      </c>
      <c r="AM41" s="132" t="s">
        <v>49</v>
      </c>
      <c r="AN41" s="133" t="s">
        <v>163</v>
      </c>
      <c r="AO41" s="133" t="n">
        <v>50647.8434</v>
      </c>
      <c r="AP41" s="137" t="n">
        <f aca="false">AR41+AT41+AU41+AV41+AX41+AY41+AZ41+BD41+BF41+BG41+BH41+BJ41+BK41+(BL41+BM41+BN41)/1000+(0.1*BO41)</f>
        <v>32</v>
      </c>
      <c r="AQ41" s="137" t="n">
        <f aca="false">AR41+AT41+AU41+AV41+AX41+AY41+AZ41+BB41+BC41+BD41+BF41+BG41+BH41+BJ41+BK41+(BL41+BM41+BN41)/1000+(0.1*BO41)</f>
        <v>32</v>
      </c>
      <c r="AR41" s="131" t="n">
        <v>0</v>
      </c>
      <c r="AS41" s="131" t="n">
        <v>0</v>
      </c>
      <c r="AT41" s="131" t="n">
        <v>32</v>
      </c>
      <c r="AU41" s="131" t="n">
        <v>0</v>
      </c>
      <c r="AV41" s="131" t="n">
        <v>0</v>
      </c>
      <c r="AW41" s="131" t="n">
        <v>0</v>
      </c>
      <c r="AX41" s="131" t="n">
        <v>0</v>
      </c>
      <c r="AY41" s="131" t="n">
        <v>0</v>
      </c>
      <c r="AZ41" s="131" t="n">
        <v>0</v>
      </c>
      <c r="BA41" s="131" t="n">
        <v>23</v>
      </c>
      <c r="BB41" s="131" t="n">
        <v>0</v>
      </c>
      <c r="BC41" s="131" t="n">
        <v>0</v>
      </c>
      <c r="BD41" s="131" t="n">
        <v>0</v>
      </c>
      <c r="BE41" s="131" t="n">
        <v>0</v>
      </c>
      <c r="BF41" s="131" t="n">
        <v>0</v>
      </c>
      <c r="BG41" s="131" t="n">
        <v>0</v>
      </c>
      <c r="BH41" s="131" t="n">
        <v>0</v>
      </c>
      <c r="BI41" s="131" t="n">
        <v>0</v>
      </c>
      <c r="BJ41" s="131" t="n">
        <v>0</v>
      </c>
      <c r="BK41" s="131" t="n">
        <v>0</v>
      </c>
      <c r="BL41" s="131" t="n">
        <v>0</v>
      </c>
      <c r="BM41" s="131" t="n">
        <v>0</v>
      </c>
      <c r="BN41" s="131" t="n">
        <v>0</v>
      </c>
      <c r="BO41" s="131" t="n">
        <v>0</v>
      </c>
    </row>
    <row r="42" customFormat="false" ht="15" hidden="false" customHeight="true" outlineLevel="0" collapsed="false">
      <c r="A42" s="131" t="n">
        <v>540</v>
      </c>
      <c r="B42" s="131" t="s">
        <v>44</v>
      </c>
      <c r="C42" s="132" t="s">
        <v>168</v>
      </c>
      <c r="D42" s="133" t="s">
        <v>168</v>
      </c>
      <c r="E42" s="134" t="n">
        <f aca="false">IF(I42="regional",IF(R42*0.2975,S42*0.3484),S42*0.1939)</f>
        <v>242178.4144</v>
      </c>
      <c r="F42" s="134" t="n">
        <v>0</v>
      </c>
      <c r="G42" s="135" t="n">
        <f aca="false">E42+F42</f>
        <v>242178.4144</v>
      </c>
      <c r="H42" s="132"/>
      <c r="I42" s="133" t="s">
        <v>48</v>
      </c>
      <c r="J42" s="133" t="s">
        <v>44</v>
      </c>
      <c r="K42" s="133" t="s">
        <v>170</v>
      </c>
      <c r="L42" s="133"/>
      <c r="M42" s="136" t="n">
        <v>101</v>
      </c>
      <c r="N42" s="136" t="n">
        <v>0.913</v>
      </c>
      <c r="O42" s="136" t="n">
        <v>0.918</v>
      </c>
      <c r="P42" s="136" t="n">
        <v>0.858</v>
      </c>
      <c r="Q42" s="136" t="n">
        <v>0.861</v>
      </c>
      <c r="R42" s="136" t="n">
        <v>812507</v>
      </c>
      <c r="S42" s="136" t="n">
        <v>695116</v>
      </c>
      <c r="T42" s="8" t="n">
        <f aca="false">IF(I42="regional",IF(R42&gt;0,R42*0.2975,S42*0.3484),S42*0.1939)</f>
        <v>241720.8325</v>
      </c>
      <c r="U42" s="136" t="n">
        <v>440253</v>
      </c>
      <c r="V42" s="136" t="n">
        <v>254863</v>
      </c>
      <c r="W42" s="136" t="n">
        <v>3568</v>
      </c>
      <c r="X42" s="136" t="n">
        <v>0</v>
      </c>
      <c r="Y42" s="136" t="n">
        <v>0</v>
      </c>
      <c r="Z42" s="136" t="n">
        <v>0</v>
      </c>
      <c r="AA42" s="136" t="n">
        <v>936836.8325</v>
      </c>
      <c r="AB42" s="136" t="n">
        <v>241720.8325</v>
      </c>
      <c r="AC42" s="136" t="n">
        <v>695116</v>
      </c>
      <c r="AD42" s="136" t="n">
        <v>0</v>
      </c>
      <c r="AE42" s="136" t="n">
        <v>0</v>
      </c>
      <c r="AF42" s="136" t="n">
        <v>695116</v>
      </c>
      <c r="AG42" s="136" t="n">
        <v>0</v>
      </c>
      <c r="AH42" s="136" t="n">
        <v>341000</v>
      </c>
      <c r="AI42" s="136" t="n">
        <v>282000</v>
      </c>
      <c r="AJ42" s="132" t="n">
        <v>4</v>
      </c>
      <c r="AK42" s="132" t="s">
        <v>720</v>
      </c>
      <c r="AL42" s="133" t="s">
        <v>48</v>
      </c>
      <c r="AM42" s="132"/>
      <c r="AN42" s="133" t="s">
        <v>168</v>
      </c>
      <c r="AO42" s="133" t="n">
        <v>241720.8325</v>
      </c>
      <c r="AP42" s="137" t="n">
        <f aca="false">AR42+AT42+AU42+AV42+AX42+AY42+AZ42+BD42+BF42+BG42+BH42+BJ42+BK42+(BL42+BM42+BN42)/1000+(0.1*BO42)</f>
        <v>129.26</v>
      </c>
      <c r="AQ42" s="137" t="n">
        <f aca="false">AR42+AT42+AU42+AV42+AX42+AY42+AZ42+BB42+BC42+BD42+BF42+BG42+BH42+BJ42+BK42+(BL42+BM42+BN42)/1000+(0.1*BO42)</f>
        <v>144.26</v>
      </c>
      <c r="AR42" s="131" t="n">
        <v>29</v>
      </c>
      <c r="AS42" s="131" t="n">
        <v>282</v>
      </c>
      <c r="AT42" s="131" t="n">
        <v>63</v>
      </c>
      <c r="AU42" s="131" t="n">
        <v>13</v>
      </c>
      <c r="AV42" s="131" t="n">
        <v>0</v>
      </c>
      <c r="AW42" s="131" t="n">
        <v>0</v>
      </c>
      <c r="AX42" s="131" t="n">
        <v>4</v>
      </c>
      <c r="AY42" s="131" t="n">
        <v>5</v>
      </c>
      <c r="AZ42" s="131" t="n">
        <v>0</v>
      </c>
      <c r="BA42" s="131" t="n">
        <v>13</v>
      </c>
      <c r="BB42" s="131" t="n">
        <v>13</v>
      </c>
      <c r="BC42" s="131" t="n">
        <v>2</v>
      </c>
      <c r="BD42" s="131" t="n">
        <v>-2</v>
      </c>
      <c r="BE42" s="131" t="n">
        <v>0</v>
      </c>
      <c r="BF42" s="131" t="n">
        <v>0</v>
      </c>
      <c r="BG42" s="131" t="n">
        <v>0</v>
      </c>
      <c r="BH42" s="131" t="n">
        <v>0</v>
      </c>
      <c r="BI42" s="131" t="n">
        <v>1</v>
      </c>
      <c r="BJ42" s="131" t="n">
        <v>0</v>
      </c>
      <c r="BK42" s="131" t="n">
        <v>0</v>
      </c>
      <c r="BL42" s="131" t="n">
        <v>0</v>
      </c>
      <c r="BM42" s="131" t="n">
        <v>0</v>
      </c>
      <c r="BN42" s="131" t="n">
        <v>17260</v>
      </c>
      <c r="BO42" s="131" t="n">
        <v>0</v>
      </c>
    </row>
    <row r="43" customFormat="false" ht="15" hidden="false" customHeight="true" outlineLevel="0" collapsed="false">
      <c r="A43" s="131" t="n">
        <v>8262</v>
      </c>
      <c r="B43" s="131"/>
      <c r="C43" s="132" t="s">
        <v>171</v>
      </c>
      <c r="D43" s="133" t="s">
        <v>171</v>
      </c>
      <c r="E43" s="134" t="n">
        <f aca="false">IF(I43="regional",IF(R43*0.2975,S43*0.3484),S43*0.1939)</f>
        <v>262793.5908</v>
      </c>
      <c r="F43" s="134" t="n">
        <v>0</v>
      </c>
      <c r="G43" s="135" t="n">
        <f aca="false">E43+F43</f>
        <v>262793.5908</v>
      </c>
      <c r="H43" s="132"/>
      <c r="I43" s="133" t="s">
        <v>48</v>
      </c>
      <c r="J43" s="133" t="s">
        <v>49</v>
      </c>
      <c r="K43" s="133" t="s">
        <v>174</v>
      </c>
      <c r="L43" s="133"/>
      <c r="M43" s="136" t="n">
        <v>105</v>
      </c>
      <c r="N43" s="136" t="n">
        <v>0.96</v>
      </c>
      <c r="O43" s="136" t="n">
        <v>0.96</v>
      </c>
      <c r="P43" s="136" t="n">
        <v>0.887</v>
      </c>
      <c r="Q43" s="136" t="n">
        <v>0.866</v>
      </c>
      <c r="R43" s="136" t="n">
        <v>796952</v>
      </c>
      <c r="S43" s="136" t="n">
        <v>754287</v>
      </c>
      <c r="T43" s="8" t="n">
        <f aca="false">IF(I43="regional",IF(R43&gt;0,R43*0.2975,S43*0.3484),S43*0.1939)</f>
        <v>237093.22</v>
      </c>
      <c r="U43" s="136" t="n">
        <v>431052</v>
      </c>
      <c r="V43" s="136" t="n">
        <v>323235</v>
      </c>
      <c r="W43" s="136" t="n">
        <v>4914</v>
      </c>
      <c r="X43" s="136" t="n">
        <v>0</v>
      </c>
      <c r="Y43" s="136" t="n">
        <v>0</v>
      </c>
      <c r="Z43" s="136" t="n">
        <v>0</v>
      </c>
      <c r="AA43" s="136" t="n">
        <v>991380.22</v>
      </c>
      <c r="AB43" s="136" t="n">
        <v>237093.22</v>
      </c>
      <c r="AC43" s="136" t="n">
        <v>754287</v>
      </c>
      <c r="AD43" s="136" t="n">
        <v>0</v>
      </c>
      <c r="AE43" s="136" t="n">
        <v>0</v>
      </c>
      <c r="AF43" s="136" t="n">
        <v>0</v>
      </c>
      <c r="AG43" s="136" t="n">
        <v>754287</v>
      </c>
      <c r="AH43" s="136" t="n">
        <v>0</v>
      </c>
      <c r="AI43" s="136" t="n">
        <v>0</v>
      </c>
      <c r="AJ43" s="132" t="n">
        <v>4</v>
      </c>
      <c r="AK43" s="132" t="s">
        <v>711</v>
      </c>
      <c r="AL43" s="133" t="s">
        <v>48</v>
      </c>
      <c r="AM43" s="132"/>
      <c r="AN43" s="133" t="s">
        <v>171</v>
      </c>
      <c r="AO43" s="133" t="n">
        <v>237093.22</v>
      </c>
      <c r="AP43" s="137" t="n">
        <f aca="false">AR43+AT43+AU43+AV43+AX43+AY43+AZ43+BD43+BF43+BG43+BH43+BJ43+BK43+(BL43+BM43+BN43)/1000+(0.1*BO43)</f>
        <v>141.9112</v>
      </c>
      <c r="AQ43" s="137" t="n">
        <f aca="false">AR43+AT43+AU43+AV43+AX43+AY43+AZ43+BB43+BC43+BD43+BF43+BG43+BH43+BJ43+BK43+(BL43+BM43+BN43)/1000+(0.1*BO43)</f>
        <v>170.9112</v>
      </c>
      <c r="AR43" s="131" t="n">
        <v>0</v>
      </c>
      <c r="AS43" s="131" t="n">
        <v>0</v>
      </c>
      <c r="AT43" s="131" t="n">
        <v>84</v>
      </c>
      <c r="AU43" s="131" t="n">
        <v>-3</v>
      </c>
      <c r="AV43" s="131" t="n">
        <v>0</v>
      </c>
      <c r="AW43" s="131" t="n">
        <v>0</v>
      </c>
      <c r="AX43" s="131" t="n">
        <v>7</v>
      </c>
      <c r="AY43" s="131" t="n">
        <v>0</v>
      </c>
      <c r="AZ43" s="131" t="n">
        <v>0</v>
      </c>
      <c r="BA43" s="131" t="n">
        <v>0</v>
      </c>
      <c r="BB43" s="131" t="n">
        <v>29</v>
      </c>
      <c r="BC43" s="131" t="n">
        <v>0</v>
      </c>
      <c r="BD43" s="131" t="n">
        <v>0</v>
      </c>
      <c r="BE43" s="131" t="n">
        <v>0</v>
      </c>
      <c r="BF43" s="131" t="n">
        <v>0</v>
      </c>
      <c r="BG43" s="131" t="n">
        <v>0</v>
      </c>
      <c r="BH43" s="131" t="n">
        <v>0</v>
      </c>
      <c r="BI43" s="131" t="n">
        <v>0</v>
      </c>
      <c r="BJ43" s="131" t="n">
        <v>0</v>
      </c>
      <c r="BK43" s="131" t="n">
        <v>0</v>
      </c>
      <c r="BL43" s="131" t="n">
        <v>0</v>
      </c>
      <c r="BM43" s="131" t="n">
        <v>0</v>
      </c>
      <c r="BN43" s="131" t="n">
        <v>0</v>
      </c>
      <c r="BO43" s="131" t="n">
        <v>539.112</v>
      </c>
    </row>
    <row r="44" customFormat="false" ht="15" hidden="false" customHeight="true" outlineLevel="0" collapsed="false">
      <c r="A44" s="131" t="n">
        <v>9862</v>
      </c>
      <c r="B44" s="131"/>
      <c r="C44" s="132" t="s">
        <v>175</v>
      </c>
      <c r="D44" s="133" t="s">
        <v>175</v>
      </c>
      <c r="E44" s="134" t="n">
        <f aca="false">IF(I44="regional",IF(R44*0.2975,S44*0.3484),S44*0.1939)</f>
        <v>328388.9492</v>
      </c>
      <c r="F44" s="134" t="n">
        <v>0</v>
      </c>
      <c r="G44" s="135" t="n">
        <f aca="false">E44+F44</f>
        <v>328388.9492</v>
      </c>
      <c r="H44" s="132" t="s">
        <v>49</v>
      </c>
      <c r="I44" s="133" t="s">
        <v>48</v>
      </c>
      <c r="J44" s="133" t="s">
        <v>49</v>
      </c>
      <c r="K44" s="133" t="s">
        <v>105</v>
      </c>
      <c r="L44" s="133"/>
      <c r="M44" s="136" t="n">
        <v>149</v>
      </c>
      <c r="N44" s="136" t="n">
        <v>0.871</v>
      </c>
      <c r="O44" s="136" t="n">
        <v>0.9</v>
      </c>
      <c r="P44" s="136" t="n">
        <v>0.844</v>
      </c>
      <c r="Q44" s="136" t="n">
        <v>0.863</v>
      </c>
      <c r="R44" s="136" t="n">
        <v>1101419</v>
      </c>
      <c r="S44" s="136" t="n">
        <v>942563</v>
      </c>
      <c r="T44" s="8" t="n">
        <f aca="false">IF(I44="regional",IF(R44&gt;0,R44*0.2975,S44*0.3484),S44*0.1939)</f>
        <v>327672.1525</v>
      </c>
      <c r="U44" s="136" t="n">
        <v>648144</v>
      </c>
      <c r="V44" s="136" t="n">
        <v>294419</v>
      </c>
      <c r="W44" s="136" t="n">
        <v>4683</v>
      </c>
      <c r="X44" s="136" t="n">
        <v>0</v>
      </c>
      <c r="Y44" s="136" t="n">
        <v>0</v>
      </c>
      <c r="Z44" s="136" t="n">
        <v>0</v>
      </c>
      <c r="AA44" s="136" t="n">
        <v>1270235.153</v>
      </c>
      <c r="AB44" s="136" t="n">
        <v>327672.1525</v>
      </c>
      <c r="AC44" s="136" t="n">
        <v>942563</v>
      </c>
      <c r="AD44" s="136" t="n">
        <v>0</v>
      </c>
      <c r="AE44" s="136" t="n">
        <v>0</v>
      </c>
      <c r="AF44" s="136" t="n">
        <v>0</v>
      </c>
      <c r="AG44" s="136" t="n">
        <v>942563</v>
      </c>
      <c r="AH44" s="136" t="n">
        <v>0</v>
      </c>
      <c r="AI44" s="136" t="n">
        <v>0</v>
      </c>
      <c r="AJ44" s="132" t="s">
        <v>707</v>
      </c>
      <c r="AK44" s="132" t="s">
        <v>714</v>
      </c>
      <c r="AL44" s="133" t="s">
        <v>48</v>
      </c>
      <c r="AM44" s="132" t="s">
        <v>49</v>
      </c>
      <c r="AN44" s="133" t="s">
        <v>175</v>
      </c>
      <c r="AO44" s="133" t="n">
        <v>327672.1525</v>
      </c>
      <c r="AP44" s="137" t="n">
        <f aca="false">AR44+AT44+AU44+AV44+AX44+AY44+AZ44+BD44+BF44+BG44+BH44+BJ44+BK44+(BL44+BM44+BN44)/1000+(0.1*BO44)</f>
        <v>335.1547</v>
      </c>
      <c r="AQ44" s="137" t="n">
        <f aca="false">AR44+AT44+AU44+AV44+AX44+AY44+AZ44+BB44+BC44+BD44+BF44+BG44+BH44+BJ44+BK44+(BL44+BM44+BN44)/1000+(0.1*BO44)</f>
        <v>352.1547</v>
      </c>
      <c r="AR44" s="131" t="n">
        <v>0</v>
      </c>
      <c r="AS44" s="131" t="n">
        <v>0</v>
      </c>
      <c r="AT44" s="131" t="n">
        <v>234</v>
      </c>
      <c r="AU44" s="131" t="n">
        <v>2</v>
      </c>
      <c r="AV44" s="131" t="n">
        <v>0</v>
      </c>
      <c r="AW44" s="131" t="n">
        <v>0</v>
      </c>
      <c r="AX44" s="131" t="n">
        <v>0</v>
      </c>
      <c r="AY44" s="131" t="n">
        <v>0</v>
      </c>
      <c r="AZ44" s="131" t="n">
        <v>0</v>
      </c>
      <c r="BA44" s="131" t="n">
        <v>0</v>
      </c>
      <c r="BB44" s="131" t="n">
        <v>10</v>
      </c>
      <c r="BC44" s="131" t="n">
        <v>7</v>
      </c>
      <c r="BD44" s="131" t="n">
        <v>0</v>
      </c>
      <c r="BE44" s="131" t="n">
        <v>0</v>
      </c>
      <c r="BF44" s="131" t="n">
        <v>0</v>
      </c>
      <c r="BG44" s="131" t="n">
        <v>0</v>
      </c>
      <c r="BH44" s="131" t="n">
        <v>0</v>
      </c>
      <c r="BI44" s="131" t="n">
        <v>0</v>
      </c>
      <c r="BJ44" s="131" t="n">
        <v>0</v>
      </c>
      <c r="BK44" s="131" t="n">
        <v>0</v>
      </c>
      <c r="BL44" s="131" t="n">
        <v>12000</v>
      </c>
      <c r="BM44" s="131" t="n">
        <v>0</v>
      </c>
      <c r="BN44" s="131" t="n">
        <v>0</v>
      </c>
      <c r="BO44" s="131" t="n">
        <v>871.547</v>
      </c>
    </row>
    <row r="45" customFormat="false" ht="15" hidden="false" customHeight="true" outlineLevel="0" collapsed="false">
      <c r="A45" s="131" t="n">
        <v>552</v>
      </c>
      <c r="B45" s="131"/>
      <c r="C45" s="132" t="s">
        <v>177</v>
      </c>
      <c r="D45" s="133" t="s">
        <v>177</v>
      </c>
      <c r="E45" s="134" t="n">
        <f aca="false">IF(I45="regional",IF(R45*0.2975,S45*0.3484),S45*0.1939)</f>
        <v>297235.718</v>
      </c>
      <c r="F45" s="134" t="n">
        <v>0</v>
      </c>
      <c r="G45" s="135" t="n">
        <f aca="false">E45+F45</f>
        <v>297235.718</v>
      </c>
      <c r="H45" s="132"/>
      <c r="I45" s="133" t="s">
        <v>48</v>
      </c>
      <c r="J45" s="133"/>
      <c r="K45" s="133" t="s">
        <v>179</v>
      </c>
      <c r="L45" s="133"/>
      <c r="M45" s="136" t="n">
        <v>0</v>
      </c>
      <c r="N45" s="136" t="n">
        <v>0.886</v>
      </c>
      <c r="O45" s="136" t="n">
        <v>0.909</v>
      </c>
      <c r="P45" s="136" t="n">
        <v>0.903</v>
      </c>
      <c r="Q45" s="136" t="n">
        <v>0.905</v>
      </c>
      <c r="R45" s="136" t="n">
        <v>988224</v>
      </c>
      <c r="S45" s="136" t="n">
        <v>853145</v>
      </c>
      <c r="T45" s="8" t="n">
        <f aca="false">IF(I45="regional",IF(R45&gt;0,R45*0.2975,S45*0.3484),S45*0.1939)</f>
        <v>293996.64</v>
      </c>
      <c r="U45" s="136" t="n">
        <v>497632</v>
      </c>
      <c r="V45" s="136" t="n">
        <v>355513</v>
      </c>
      <c r="W45" s="136" t="n">
        <v>5500</v>
      </c>
      <c r="X45" s="136" t="n">
        <v>0</v>
      </c>
      <c r="Y45" s="136" t="n">
        <v>0</v>
      </c>
      <c r="Z45" s="136" t="n">
        <v>0</v>
      </c>
      <c r="AA45" s="136" t="n">
        <v>1147141.64</v>
      </c>
      <c r="AB45" s="136" t="n">
        <v>293996.64</v>
      </c>
      <c r="AC45" s="136" t="n">
        <v>853145</v>
      </c>
      <c r="AD45" s="136" t="n">
        <v>0</v>
      </c>
      <c r="AE45" s="136" t="n">
        <v>0</v>
      </c>
      <c r="AF45" s="136" t="n">
        <v>0</v>
      </c>
      <c r="AG45" s="136" t="n">
        <v>853145</v>
      </c>
      <c r="AH45" s="136" t="n">
        <v>0</v>
      </c>
      <c r="AI45" s="136" t="n">
        <v>0</v>
      </c>
      <c r="AJ45" s="132" t="s">
        <v>707</v>
      </c>
      <c r="AK45" s="132" t="s">
        <v>714</v>
      </c>
      <c r="AL45" s="133" t="s">
        <v>48</v>
      </c>
      <c r="AM45" s="132"/>
      <c r="AN45" s="133" t="s">
        <v>177</v>
      </c>
      <c r="AO45" s="133" t="n">
        <v>293996.64</v>
      </c>
      <c r="AP45" s="137" t="n">
        <f aca="false">AR45+AT45+AU45+AV45+AX45+AY45+AZ45+BD45+BF45+BG45+BH45+BJ45+BK45+(BL45+BM45+BN45)/1000+(0.1*BO45)</f>
        <v>252.5066</v>
      </c>
      <c r="AQ45" s="137" t="n">
        <f aca="false">AR45+AT45+AU45+AV45+AX45+AY45+AZ45+BB45+BC45+BD45+BF45+BG45+BH45+BJ45+BK45+(BL45+BM45+BN45)/1000+(0.1*BO45)</f>
        <v>260.5066</v>
      </c>
      <c r="AR45" s="131" t="n">
        <v>0</v>
      </c>
      <c r="AS45" s="131" t="n">
        <v>0</v>
      </c>
      <c r="AT45" s="131" t="n">
        <v>186</v>
      </c>
      <c r="AU45" s="131" t="n">
        <v>2</v>
      </c>
      <c r="AV45" s="131" t="n">
        <v>0</v>
      </c>
      <c r="AW45" s="131" t="n">
        <v>0</v>
      </c>
      <c r="AX45" s="131" t="n">
        <v>0</v>
      </c>
      <c r="AY45" s="131" t="n">
        <v>0</v>
      </c>
      <c r="AZ45" s="131" t="n">
        <v>0</v>
      </c>
      <c r="BA45" s="131" t="n">
        <v>0</v>
      </c>
      <c r="BB45" s="131" t="n">
        <v>8</v>
      </c>
      <c r="BC45" s="131" t="n">
        <v>0</v>
      </c>
      <c r="BD45" s="131" t="n">
        <v>0</v>
      </c>
      <c r="BE45" s="131" t="n">
        <v>0</v>
      </c>
      <c r="BF45" s="131" t="n">
        <v>0</v>
      </c>
      <c r="BG45" s="131" t="n">
        <v>0</v>
      </c>
      <c r="BH45" s="131" t="n">
        <v>0</v>
      </c>
      <c r="BI45" s="131" t="n">
        <v>0</v>
      </c>
      <c r="BJ45" s="131" t="n">
        <v>0</v>
      </c>
      <c r="BK45" s="131" t="n">
        <v>0</v>
      </c>
      <c r="BL45" s="131" t="n">
        <v>0</v>
      </c>
      <c r="BM45" s="131" t="n">
        <v>0</v>
      </c>
      <c r="BN45" s="131" t="n">
        <v>0</v>
      </c>
      <c r="BO45" s="131" t="n">
        <v>645.066</v>
      </c>
    </row>
    <row r="46" customFormat="false" ht="15" hidden="false" customHeight="true" outlineLevel="0" collapsed="false">
      <c r="A46" s="131" t="n">
        <v>549</v>
      </c>
      <c r="B46" s="131" t="s">
        <v>44</v>
      </c>
      <c r="C46" s="132" t="s">
        <v>180</v>
      </c>
      <c r="D46" s="133" t="s">
        <v>180</v>
      </c>
      <c r="E46" s="134" t="n">
        <f aca="false">IF(I46="regional",IF(R46*0.2975,S46*0.3484),S46*0.1939)</f>
        <v>362238.448</v>
      </c>
      <c r="F46" s="134" t="n">
        <v>392500</v>
      </c>
      <c r="G46" s="135" t="n">
        <f aca="false">E46+F46</f>
        <v>754738.448</v>
      </c>
      <c r="H46" s="132"/>
      <c r="I46" s="133" t="s">
        <v>48</v>
      </c>
      <c r="J46" s="133" t="s">
        <v>44</v>
      </c>
      <c r="K46" s="133" t="s">
        <v>183</v>
      </c>
      <c r="L46" s="133" t="s">
        <v>44</v>
      </c>
      <c r="M46" s="136" t="n">
        <v>120</v>
      </c>
      <c r="N46" s="136" t="n">
        <v>0.878</v>
      </c>
      <c r="O46" s="136" t="n">
        <v>0.878</v>
      </c>
      <c r="P46" s="136" t="n">
        <v>0.903</v>
      </c>
      <c r="Q46" s="136" t="n">
        <v>0.905</v>
      </c>
      <c r="R46" s="136" t="n">
        <v>1134980</v>
      </c>
      <c r="S46" s="136" t="n">
        <v>1039720</v>
      </c>
      <c r="T46" s="8" t="n">
        <f aca="false">IF(I46="regional",IF(R46&gt;0,R46*0.2975,S46*0.3484),S46*0.1939)</f>
        <v>337656.55</v>
      </c>
      <c r="U46" s="136" t="n">
        <v>631556</v>
      </c>
      <c r="V46" s="136" t="n">
        <v>408164</v>
      </c>
      <c r="W46" s="136" t="n">
        <v>4800</v>
      </c>
      <c r="X46" s="136" t="n">
        <v>730156.55</v>
      </c>
      <c r="Y46" s="136" t="n">
        <v>337656.55</v>
      </c>
      <c r="Z46" s="136" t="n">
        <v>392500</v>
      </c>
      <c r="AA46" s="136" t="n">
        <v>647220</v>
      </c>
      <c r="AB46" s="136" t="n">
        <v>0</v>
      </c>
      <c r="AC46" s="136" t="n">
        <v>647220</v>
      </c>
      <c r="AD46" s="136" t="n">
        <v>392500</v>
      </c>
      <c r="AE46" s="136" t="n">
        <v>0</v>
      </c>
      <c r="AF46" s="136" t="n">
        <v>647220</v>
      </c>
      <c r="AG46" s="136" t="n">
        <v>0</v>
      </c>
      <c r="AH46" s="136" t="n">
        <v>1026000</v>
      </c>
      <c r="AI46" s="136" t="n">
        <v>475000</v>
      </c>
      <c r="AJ46" s="132" t="s">
        <v>721</v>
      </c>
      <c r="AK46" s="132" t="s">
        <v>727</v>
      </c>
      <c r="AL46" s="133" t="s">
        <v>48</v>
      </c>
      <c r="AM46" s="132"/>
      <c r="AN46" s="133" t="s">
        <v>180</v>
      </c>
      <c r="AO46" s="133" t="n">
        <v>730156.55</v>
      </c>
      <c r="AP46" s="137" t="n">
        <f aca="false">AR46+AT46+AU46+AV46+AX46+AY46+AZ46+BD46+BF46+BG46+BH46+BJ46+BK46+(BL46+BM46+BN46)/1000+(0.1*BO46)</f>
        <v>544.8272</v>
      </c>
      <c r="AQ46" s="137" t="n">
        <f aca="false">AR46+AT46+AU46+AV46+AX46+AY46+AZ46+BB46+BC46+BD46+BF46+BG46+BH46+BJ46+BK46+(BL46+BM46+BN46)/1000+(0.1*BO46)</f>
        <v>590.8272</v>
      </c>
      <c r="AR46" s="131" t="n">
        <v>273</v>
      </c>
      <c r="AS46" s="131" t="n">
        <v>475</v>
      </c>
      <c r="AT46" s="131" t="n">
        <v>119</v>
      </c>
      <c r="AU46" s="131" t="n">
        <v>0</v>
      </c>
      <c r="AV46" s="131" t="n">
        <v>0</v>
      </c>
      <c r="AW46" s="131" t="n">
        <v>0</v>
      </c>
      <c r="AX46" s="131" t="n">
        <v>0</v>
      </c>
      <c r="AY46" s="131" t="n">
        <v>0</v>
      </c>
      <c r="AZ46" s="131" t="n">
        <v>8</v>
      </c>
      <c r="BA46" s="131" t="n">
        <v>23</v>
      </c>
      <c r="BB46" s="131" t="n">
        <v>46</v>
      </c>
      <c r="BC46" s="131" t="n">
        <v>0</v>
      </c>
      <c r="BD46" s="131" t="n">
        <v>19</v>
      </c>
      <c r="BE46" s="131" t="n">
        <v>0</v>
      </c>
      <c r="BF46" s="131" t="n">
        <v>0</v>
      </c>
      <c r="BG46" s="131" t="n">
        <v>0</v>
      </c>
      <c r="BH46" s="131" t="n">
        <v>40</v>
      </c>
      <c r="BI46" s="131" t="n">
        <v>1</v>
      </c>
      <c r="BJ46" s="131" t="n">
        <v>0</v>
      </c>
      <c r="BK46" s="131" t="n">
        <v>0</v>
      </c>
      <c r="BL46" s="131" t="n">
        <v>0</v>
      </c>
      <c r="BM46" s="131" t="n">
        <v>0</v>
      </c>
      <c r="BN46" s="131" t="n">
        <v>0</v>
      </c>
      <c r="BO46" s="131" t="n">
        <v>858.272</v>
      </c>
    </row>
    <row r="47" customFormat="false" ht="15" hidden="false" customHeight="true" outlineLevel="0" collapsed="false">
      <c r="A47" s="131" t="n">
        <v>2315</v>
      </c>
      <c r="B47" s="131"/>
      <c r="C47" s="132" t="s">
        <v>185</v>
      </c>
      <c r="D47" s="133" t="s">
        <v>185</v>
      </c>
      <c r="E47" s="134" t="n">
        <f aca="false">IF(I47="regional",IF(R47*0.2975,S47*0.3484),S47*0.1939)</f>
        <v>82122.6609</v>
      </c>
      <c r="F47" s="134" t="n">
        <v>525332</v>
      </c>
      <c r="G47" s="135" t="n">
        <f aca="false">E47+F47</f>
        <v>607454.6609</v>
      </c>
      <c r="H47" s="132"/>
      <c r="I47" s="133" t="s">
        <v>62</v>
      </c>
      <c r="J47" s="133"/>
      <c r="K47" s="133" t="s">
        <v>187</v>
      </c>
      <c r="L47" s="133" t="s">
        <v>44</v>
      </c>
      <c r="M47" s="136" t="n">
        <v>23</v>
      </c>
      <c r="N47" s="136" t="n">
        <v>0.796</v>
      </c>
      <c r="O47" s="136" t="n">
        <v>0.777</v>
      </c>
      <c r="P47" s="136" t="n">
        <v>0.808</v>
      </c>
      <c r="Q47" s="136" t="n">
        <v>1</v>
      </c>
      <c r="R47" s="136" t="n">
        <v>0</v>
      </c>
      <c r="S47" s="136" t="n">
        <v>423531</v>
      </c>
      <c r="T47" s="8" t="n">
        <f aca="false">IF(I47="regional",IF(R47&gt;0,R47*0.2975,S47*0.3484),S47*0.1939)</f>
        <v>82122.6609</v>
      </c>
      <c r="U47" s="136" t="n">
        <v>320402</v>
      </c>
      <c r="V47" s="136" t="n">
        <v>103129</v>
      </c>
      <c r="W47" s="136" t="n">
        <v>1487</v>
      </c>
      <c r="X47" s="136" t="n">
        <v>607454.6609</v>
      </c>
      <c r="Y47" s="136" t="n">
        <v>82122.6609</v>
      </c>
      <c r="Z47" s="136" t="n">
        <v>525332</v>
      </c>
      <c r="AA47" s="136" t="n">
        <v>-101801</v>
      </c>
      <c r="AB47" s="136" t="n">
        <v>0</v>
      </c>
      <c r="AC47" s="136" t="n">
        <v>-101801</v>
      </c>
      <c r="AD47" s="136" t="n">
        <v>0</v>
      </c>
      <c r="AE47" s="136" t="n">
        <v>525332</v>
      </c>
      <c r="AF47" s="136" t="n">
        <v>0</v>
      </c>
      <c r="AG47" s="136" t="n">
        <v>-101801</v>
      </c>
      <c r="AH47" s="136" t="n">
        <v>0</v>
      </c>
      <c r="AI47" s="136" t="n">
        <v>0</v>
      </c>
      <c r="AJ47" s="132" t="n">
        <v>4</v>
      </c>
      <c r="AK47" s="132" t="s">
        <v>706</v>
      </c>
      <c r="AL47" s="133" t="s">
        <v>62</v>
      </c>
      <c r="AM47" s="132"/>
      <c r="AN47" s="133" t="s">
        <v>185</v>
      </c>
      <c r="AO47" s="133" t="n">
        <v>607454.6609</v>
      </c>
      <c r="AP47" s="137" t="n">
        <f aca="false">AR47+AT47+AU47+AV47+AX47+AY47+AZ47+BD47+BF47+BG47+BH47+BJ47+BK47+(BL47+BM47+BN47)/1000+(0.1*BO47)</f>
        <v>33</v>
      </c>
      <c r="AQ47" s="137" t="n">
        <f aca="false">AR47+AT47+AU47+AV47+AX47+AY47+AZ47+BB47+BC47+BD47+BF47+BG47+BH47+BJ47+BK47+(BL47+BM47+BN47)/1000+(0.1*BO47)</f>
        <v>35</v>
      </c>
      <c r="AR47" s="131" t="n">
        <v>0</v>
      </c>
      <c r="AS47" s="131" t="n">
        <v>0</v>
      </c>
      <c r="AT47" s="131" t="n">
        <v>20</v>
      </c>
      <c r="AU47" s="131" t="n">
        <v>9</v>
      </c>
      <c r="AV47" s="131" t="n">
        <v>0</v>
      </c>
      <c r="AW47" s="131" t="n">
        <v>0</v>
      </c>
      <c r="AX47" s="131" t="n">
        <v>0</v>
      </c>
      <c r="AY47" s="131" t="n">
        <v>4</v>
      </c>
      <c r="AZ47" s="131" t="n">
        <v>0</v>
      </c>
      <c r="BA47" s="131" t="n">
        <v>28</v>
      </c>
      <c r="BB47" s="131" t="n">
        <v>2</v>
      </c>
      <c r="BC47" s="131" t="n">
        <v>0</v>
      </c>
      <c r="BD47" s="131" t="n">
        <v>0</v>
      </c>
      <c r="BE47" s="131" t="n">
        <v>0</v>
      </c>
      <c r="BF47" s="131" t="n">
        <v>0</v>
      </c>
      <c r="BG47" s="131" t="n">
        <v>0</v>
      </c>
      <c r="BH47" s="131" t="n">
        <v>0</v>
      </c>
      <c r="BI47" s="131" t="n">
        <v>0</v>
      </c>
      <c r="BJ47" s="131" t="n">
        <v>0</v>
      </c>
      <c r="BK47" s="131" t="n">
        <v>0</v>
      </c>
      <c r="BL47" s="131" t="n">
        <v>0</v>
      </c>
      <c r="BM47" s="131" t="n">
        <v>0</v>
      </c>
      <c r="BN47" s="131" t="n">
        <v>0</v>
      </c>
      <c r="BO47" s="131" t="n">
        <v>0</v>
      </c>
    </row>
    <row r="48" customFormat="false" ht="15" hidden="false" customHeight="true" outlineLevel="0" collapsed="false">
      <c r="A48" s="131" t="n">
        <v>582</v>
      </c>
      <c r="B48" s="131" t="s">
        <v>44</v>
      </c>
      <c r="C48" s="132" t="s">
        <v>188</v>
      </c>
      <c r="D48" s="133" t="s">
        <v>188</v>
      </c>
      <c r="E48" s="134" t="n">
        <f aca="false">IF(I48="regional",IF(R48*0.2975,S48*0.3484),S48*0.1939)</f>
        <v>303619.4512</v>
      </c>
      <c r="F48" s="134" t="n">
        <v>570437</v>
      </c>
      <c r="G48" s="135" t="n">
        <f aca="false">E48+F48</f>
        <v>874056.4512</v>
      </c>
      <c r="H48" s="132"/>
      <c r="I48" s="133" t="s">
        <v>48</v>
      </c>
      <c r="J48" s="133" t="s">
        <v>44</v>
      </c>
      <c r="K48" s="133" t="s">
        <v>191</v>
      </c>
      <c r="L48" s="133" t="s">
        <v>44</v>
      </c>
      <c r="M48" s="136" t="n">
        <v>110</v>
      </c>
      <c r="N48" s="136" t="n">
        <v>0.813</v>
      </c>
      <c r="O48" s="136" t="n">
        <v>0.906</v>
      </c>
      <c r="P48" s="136" t="n">
        <v>0.906</v>
      </c>
      <c r="Q48" s="136" t="n">
        <v>0.905</v>
      </c>
      <c r="R48" s="136" t="n">
        <v>1132740</v>
      </c>
      <c r="S48" s="136" t="n">
        <v>871468</v>
      </c>
      <c r="T48" s="8" t="n">
        <f aca="false">IF(I48="regional",IF(R48&gt;0,R48*0.2975,S48*0.3484),S48*0.1939)</f>
        <v>336990.15</v>
      </c>
      <c r="U48" s="136" t="n">
        <v>609669</v>
      </c>
      <c r="V48" s="136" t="n">
        <v>261799</v>
      </c>
      <c r="W48" s="136" t="n">
        <v>3500</v>
      </c>
      <c r="X48" s="136" t="n">
        <v>907427.15</v>
      </c>
      <c r="Y48" s="136" t="n">
        <v>336990.15</v>
      </c>
      <c r="Z48" s="136" t="n">
        <v>570437</v>
      </c>
      <c r="AA48" s="136" t="n">
        <v>301031</v>
      </c>
      <c r="AB48" s="136" t="n">
        <v>0</v>
      </c>
      <c r="AC48" s="136" t="n">
        <v>301031</v>
      </c>
      <c r="AD48" s="136" t="n">
        <v>570437</v>
      </c>
      <c r="AE48" s="136" t="n">
        <v>0</v>
      </c>
      <c r="AF48" s="136" t="n">
        <v>301031</v>
      </c>
      <c r="AG48" s="136" t="n">
        <v>0</v>
      </c>
      <c r="AH48" s="136" t="n">
        <v>435000</v>
      </c>
      <c r="AI48" s="136" t="n">
        <v>367000</v>
      </c>
      <c r="AJ48" s="132" t="n">
        <v>4</v>
      </c>
      <c r="AK48" s="132" t="s">
        <v>728</v>
      </c>
      <c r="AL48" s="133" t="s">
        <v>48</v>
      </c>
      <c r="AM48" s="132"/>
      <c r="AN48" s="133" t="s">
        <v>188</v>
      </c>
      <c r="AO48" s="133" t="n">
        <v>907427.15</v>
      </c>
      <c r="AP48" s="137" t="n">
        <f aca="false">AR48+AT48+AU48+AV48+AX48+AY48+AZ48+BD48+BF48+BG48+BH48+BJ48+BK48+(BL48+BM48+BN48)/1000+(0.1*BO48)</f>
        <v>490.274</v>
      </c>
      <c r="AQ48" s="137" t="n">
        <f aca="false">AR48+AT48+AU48+AV48+AX48+AY48+AZ48+BB48+BC48+BD48+BF48+BG48+BH48+BJ48+BK48+(BL48+BM48+BN48)/1000+(0.1*BO48)</f>
        <v>510.274</v>
      </c>
      <c r="AR48" s="131" t="n">
        <v>168</v>
      </c>
      <c r="AS48" s="131" t="n">
        <v>367</v>
      </c>
      <c r="AT48" s="131" t="n">
        <v>103</v>
      </c>
      <c r="AU48" s="131" t="n">
        <v>0</v>
      </c>
      <c r="AV48" s="131" t="n">
        <v>9</v>
      </c>
      <c r="AW48" s="131" t="n">
        <v>15</v>
      </c>
      <c r="AX48" s="131" t="n">
        <v>0</v>
      </c>
      <c r="AY48" s="131" t="n">
        <v>0</v>
      </c>
      <c r="AZ48" s="131" t="n">
        <v>14</v>
      </c>
      <c r="BA48" s="131" t="n">
        <v>5</v>
      </c>
      <c r="BB48" s="131" t="n">
        <v>20</v>
      </c>
      <c r="BC48" s="131" t="n">
        <v>0</v>
      </c>
      <c r="BD48" s="131" t="n">
        <v>92</v>
      </c>
      <c r="BE48" s="131" t="n">
        <v>0</v>
      </c>
      <c r="BF48" s="131" t="n">
        <v>0</v>
      </c>
      <c r="BG48" s="131" t="n">
        <v>0</v>
      </c>
      <c r="BH48" s="131" t="n">
        <v>94</v>
      </c>
      <c r="BI48" s="131" t="n">
        <v>0</v>
      </c>
      <c r="BJ48" s="131" t="n">
        <v>0</v>
      </c>
      <c r="BK48" s="131" t="n">
        <v>0</v>
      </c>
      <c r="BL48" s="131" t="n">
        <v>10274</v>
      </c>
      <c r="BM48" s="131" t="n">
        <v>0</v>
      </c>
      <c r="BN48" s="131" t="n">
        <v>0</v>
      </c>
      <c r="BO48" s="131" t="n">
        <v>0</v>
      </c>
    </row>
    <row r="49" customFormat="false" ht="15" hidden="false" customHeight="true" outlineLevel="0" collapsed="false">
      <c r="A49" s="131" t="n">
        <v>584</v>
      </c>
      <c r="B49" s="131"/>
      <c r="C49" s="132" t="s">
        <v>675</v>
      </c>
      <c r="D49" s="133" t="s">
        <v>675</v>
      </c>
      <c r="E49" s="134" t="n">
        <f aca="false">IF(I49="regional",IF(R49*0.2975,S49*0.3484),S49*0.1939)</f>
        <v>53042.7023</v>
      </c>
      <c r="F49" s="134" t="n">
        <v>0</v>
      </c>
      <c r="G49" s="135" t="n">
        <f aca="false">E49+F49</f>
        <v>53042.7023</v>
      </c>
      <c r="H49" s="132" t="s">
        <v>49</v>
      </c>
      <c r="I49" s="133" t="s">
        <v>62</v>
      </c>
      <c r="J49" s="133"/>
      <c r="K49" s="133" t="s">
        <v>98</v>
      </c>
      <c r="L49" s="133"/>
      <c r="M49" s="136" t="n">
        <v>15</v>
      </c>
      <c r="N49" s="136" t="n">
        <v>0.594</v>
      </c>
      <c r="O49" s="136" t="n">
        <v>0.576</v>
      </c>
      <c r="P49" s="136" t="n">
        <v>0.501</v>
      </c>
      <c r="Q49" s="136" t="n">
        <v>0.62</v>
      </c>
      <c r="R49" s="136" t="n">
        <v>0</v>
      </c>
      <c r="S49" s="136" t="n">
        <v>273557</v>
      </c>
      <c r="T49" s="8" t="n">
        <f aca="false">IF(I49="regional",IF(R49&gt;0,R49*0.2975,S49*0.3484),S49*0.1939)</f>
        <v>53042.7023</v>
      </c>
      <c r="U49" s="136" t="n">
        <v>229188</v>
      </c>
      <c r="V49" s="136" t="n">
        <v>44369</v>
      </c>
      <c r="W49" s="136" t="n">
        <v>1400</v>
      </c>
      <c r="X49" s="136" t="n">
        <v>0</v>
      </c>
      <c r="Y49" s="136" t="n">
        <v>0</v>
      </c>
      <c r="Z49" s="136" t="n">
        <v>0</v>
      </c>
      <c r="AA49" s="136" t="n">
        <v>326599.7023</v>
      </c>
      <c r="AB49" s="136" t="n">
        <v>53042.7023</v>
      </c>
      <c r="AC49" s="136" t="n">
        <v>273557</v>
      </c>
      <c r="AD49" s="136" t="n">
        <v>0</v>
      </c>
      <c r="AE49" s="136" t="n">
        <v>0</v>
      </c>
      <c r="AF49" s="136" t="n">
        <v>0</v>
      </c>
      <c r="AG49" s="136" t="n">
        <v>273557</v>
      </c>
      <c r="AH49" s="136" t="n">
        <v>0</v>
      </c>
      <c r="AI49" s="136" t="n">
        <v>0</v>
      </c>
      <c r="AJ49" s="132" t="n">
        <v>4</v>
      </c>
      <c r="AK49" s="132" t="s">
        <v>706</v>
      </c>
      <c r="AL49" s="133" t="s">
        <v>62</v>
      </c>
      <c r="AM49" s="132" t="s">
        <v>49</v>
      </c>
      <c r="AN49" s="133" t="s">
        <v>675</v>
      </c>
      <c r="AO49" s="133" t="n">
        <v>53042.7023</v>
      </c>
      <c r="AP49" s="137" t="n">
        <f aca="false">AR49+AT49+AU49+AV49+AX49+AY49+AZ49+BD49+BF49+BG49+BH49+BJ49+BK49+(BL49+BM49+BN49)/1000+(0.1*BO49)</f>
        <v>26</v>
      </c>
      <c r="AQ49" s="137" t="n">
        <f aca="false">AR49+AT49+AU49+AV49+AX49+AY49+AZ49+BB49+BC49+BD49+BF49+BG49+BH49+BJ49+BK49+(BL49+BM49+BN49)/1000+(0.1*BO49)</f>
        <v>28</v>
      </c>
      <c r="AR49" s="131" t="n">
        <v>0</v>
      </c>
      <c r="AS49" s="131" t="n">
        <v>0</v>
      </c>
      <c r="AT49" s="131" t="n">
        <v>11</v>
      </c>
      <c r="AU49" s="131" t="n">
        <v>11</v>
      </c>
      <c r="AV49" s="131" t="n">
        <v>0</v>
      </c>
      <c r="AW49" s="131" t="n">
        <v>0</v>
      </c>
      <c r="AX49" s="131" t="n">
        <v>0</v>
      </c>
      <c r="AY49" s="131" t="n">
        <v>4</v>
      </c>
      <c r="AZ49" s="131" t="n">
        <v>0</v>
      </c>
      <c r="BA49" s="131" t="n">
        <v>5</v>
      </c>
      <c r="BB49" s="131" t="n">
        <v>2</v>
      </c>
      <c r="BC49" s="131" t="n">
        <v>0</v>
      </c>
      <c r="BD49" s="131" t="n">
        <v>0</v>
      </c>
      <c r="BE49" s="131" t="n">
        <v>0</v>
      </c>
      <c r="BF49" s="131" t="n">
        <v>0</v>
      </c>
      <c r="BG49" s="131" t="n">
        <v>0</v>
      </c>
      <c r="BH49" s="131" t="n">
        <v>0</v>
      </c>
      <c r="BI49" s="131" t="n">
        <v>0</v>
      </c>
      <c r="BJ49" s="131" t="n">
        <v>0</v>
      </c>
      <c r="BK49" s="131" t="n">
        <v>0</v>
      </c>
      <c r="BL49" s="131" t="n">
        <v>0</v>
      </c>
      <c r="BM49" s="131" t="n">
        <v>0</v>
      </c>
      <c r="BN49" s="131" t="n">
        <v>0</v>
      </c>
      <c r="BO49" s="131" t="n">
        <v>0</v>
      </c>
    </row>
    <row r="50" customFormat="false" ht="15" hidden="false" customHeight="true" outlineLevel="0" collapsed="false">
      <c r="A50" s="131" t="n">
        <v>8287</v>
      </c>
      <c r="B50" s="131"/>
      <c r="C50" s="132" t="s">
        <v>194</v>
      </c>
      <c r="D50" s="133" t="s">
        <v>194</v>
      </c>
      <c r="E50" s="134" t="n">
        <f aca="false">IF(I50="regional",IF(R50*0.2975,S50*0.3484),S50*0.1939)</f>
        <v>148151.1772</v>
      </c>
      <c r="F50" s="134" t="n">
        <v>172758</v>
      </c>
      <c r="G50" s="135" t="n">
        <f aca="false">E50+F50</f>
        <v>320909.1772</v>
      </c>
      <c r="H50" s="132"/>
      <c r="I50" s="133" t="s">
        <v>48</v>
      </c>
      <c r="J50" s="133" t="s">
        <v>49</v>
      </c>
      <c r="K50" s="133" t="s">
        <v>196</v>
      </c>
      <c r="L50" s="133" t="s">
        <v>44</v>
      </c>
      <c r="M50" s="136" t="n">
        <v>66</v>
      </c>
      <c r="N50" s="136" t="n">
        <v>0.778</v>
      </c>
      <c r="O50" s="136" t="n">
        <v>0.771</v>
      </c>
      <c r="P50" s="136" t="n">
        <v>0.71</v>
      </c>
      <c r="Q50" s="136" t="n">
        <v>0.745</v>
      </c>
      <c r="R50" s="136" t="n">
        <v>537158</v>
      </c>
      <c r="S50" s="136" t="n">
        <v>425233</v>
      </c>
      <c r="T50" s="8" t="n">
        <f aca="false">IF(I50="regional",IF(R50&gt;0,R50*0.2975,S50*0.3484),S50*0.1939)</f>
        <v>159804.505</v>
      </c>
      <c r="U50" s="136" t="n">
        <v>302495</v>
      </c>
      <c r="V50" s="136" t="n">
        <v>122738</v>
      </c>
      <c r="W50" s="136" t="n">
        <v>2275</v>
      </c>
      <c r="X50" s="136" t="n">
        <v>332562.505</v>
      </c>
      <c r="Y50" s="136" t="n">
        <v>159804.505</v>
      </c>
      <c r="Z50" s="136" t="n">
        <v>172758</v>
      </c>
      <c r="AA50" s="136" t="n">
        <v>252475</v>
      </c>
      <c r="AB50" s="136" t="n">
        <v>0</v>
      </c>
      <c r="AC50" s="136" t="n">
        <v>252475</v>
      </c>
      <c r="AD50" s="136" t="n">
        <v>0</v>
      </c>
      <c r="AE50" s="136" t="n">
        <v>172758</v>
      </c>
      <c r="AF50" s="136" t="n">
        <v>0</v>
      </c>
      <c r="AG50" s="136" t="n">
        <v>252475</v>
      </c>
      <c r="AH50" s="136" t="n">
        <v>0</v>
      </c>
      <c r="AI50" s="136" t="n">
        <v>0</v>
      </c>
      <c r="AJ50" s="132" t="s">
        <v>707</v>
      </c>
      <c r="AK50" s="132" t="s">
        <v>714</v>
      </c>
      <c r="AL50" s="133" t="s">
        <v>48</v>
      </c>
      <c r="AM50" s="132"/>
      <c r="AN50" s="133" t="s">
        <v>194</v>
      </c>
      <c r="AO50" s="133" t="n">
        <v>332562.505</v>
      </c>
      <c r="AP50" s="137" t="n">
        <f aca="false">AR50+AT50+AU50+AV50+AX50+AY50+AZ50+BD50+BF50+BG50+BH50+BJ50+BK50+(BL50+BM50+BN50)/1000+(0.1*BO50)</f>
        <v>273.5605</v>
      </c>
      <c r="AQ50" s="137" t="n">
        <f aca="false">AR50+AT50+AU50+AV50+AX50+AY50+AZ50+BB50+BC50+BD50+BF50+BG50+BH50+BJ50+BK50+(BL50+BM50+BN50)/1000+(0.1*BO50)</f>
        <v>330.5605</v>
      </c>
      <c r="AR50" s="131" t="n">
        <v>147</v>
      </c>
      <c r="AS50" s="131" t="n">
        <v>0</v>
      </c>
      <c r="AT50" s="131" t="n">
        <v>35</v>
      </c>
      <c r="AU50" s="131" t="n">
        <v>4</v>
      </c>
      <c r="AV50" s="131" t="n">
        <v>0</v>
      </c>
      <c r="AW50" s="131" t="n">
        <v>0</v>
      </c>
      <c r="AX50" s="131" t="n">
        <v>0</v>
      </c>
      <c r="AY50" s="131" t="n">
        <v>0</v>
      </c>
      <c r="AZ50" s="131" t="n">
        <v>0</v>
      </c>
      <c r="BA50" s="131" t="n">
        <v>0</v>
      </c>
      <c r="BB50" s="131" t="n">
        <v>57</v>
      </c>
      <c r="BC50" s="131" t="n">
        <v>0</v>
      </c>
      <c r="BD50" s="131" t="n">
        <v>11</v>
      </c>
      <c r="BE50" s="131" t="n">
        <v>1</v>
      </c>
      <c r="BF50" s="131" t="n">
        <v>0</v>
      </c>
      <c r="BG50" s="131" t="n">
        <v>0</v>
      </c>
      <c r="BH50" s="131" t="n">
        <v>3</v>
      </c>
      <c r="BI50" s="131" t="n">
        <v>0</v>
      </c>
      <c r="BJ50" s="131" t="n">
        <v>0</v>
      </c>
      <c r="BK50" s="131" t="n">
        <v>0</v>
      </c>
      <c r="BL50" s="131" t="n">
        <v>0</v>
      </c>
      <c r="BM50" s="131" t="n">
        <v>37550</v>
      </c>
      <c r="BN50" s="131" t="n">
        <v>0</v>
      </c>
      <c r="BO50" s="131" t="n">
        <v>360.105</v>
      </c>
    </row>
    <row r="51" customFormat="false" ht="15" hidden="false" customHeight="true" outlineLevel="0" collapsed="false">
      <c r="A51" s="131" t="n">
        <v>735</v>
      </c>
      <c r="B51" s="131" t="s">
        <v>44</v>
      </c>
      <c r="C51" s="132" t="s">
        <v>197</v>
      </c>
      <c r="D51" s="133" t="s">
        <v>197</v>
      </c>
      <c r="E51" s="134" t="n">
        <f aca="false">IF(I51="regional",IF(R51*0.2975,S51*0.3484),S51*0.1939)</f>
        <v>486219.0268</v>
      </c>
      <c r="F51" s="134" t="n">
        <v>0</v>
      </c>
      <c r="G51" s="135" t="n">
        <f aca="false">E51+F51</f>
        <v>486219.0268</v>
      </c>
      <c r="H51" s="132" t="s">
        <v>49</v>
      </c>
      <c r="I51" s="133" t="s">
        <v>48</v>
      </c>
      <c r="J51" s="133" t="s">
        <v>49</v>
      </c>
      <c r="K51" s="133" t="s">
        <v>105</v>
      </c>
      <c r="L51" s="133"/>
      <c r="M51" s="136" t="n">
        <v>0</v>
      </c>
      <c r="N51" s="136" t="n">
        <v>0.914</v>
      </c>
      <c r="O51" s="136" t="n">
        <v>0.924</v>
      </c>
      <c r="P51" s="136" t="n">
        <v>0.899</v>
      </c>
      <c r="Q51" s="136" t="n">
        <v>0.91</v>
      </c>
      <c r="R51" s="136" t="n">
        <v>1461040</v>
      </c>
      <c r="S51" s="136" t="n">
        <v>1395577</v>
      </c>
      <c r="T51" s="8" t="n">
        <f aca="false">IF(I51="regional",IF(R51&gt;0,R51*0.2975,S51*0.3484),S51*0.1939)</f>
        <v>434659.4</v>
      </c>
      <c r="U51" s="136" t="n">
        <v>1062072</v>
      </c>
      <c r="V51" s="136" t="n">
        <v>333505</v>
      </c>
      <c r="W51" s="136" t="n">
        <v>7800</v>
      </c>
      <c r="X51" s="136" t="n">
        <v>0</v>
      </c>
      <c r="Y51" s="136" t="n">
        <v>0</v>
      </c>
      <c r="Z51" s="136" t="n">
        <v>0</v>
      </c>
      <c r="AA51" s="136" t="n">
        <v>1830236.4</v>
      </c>
      <c r="AB51" s="136" t="n">
        <v>434659.4</v>
      </c>
      <c r="AC51" s="136" t="n">
        <v>1395577</v>
      </c>
      <c r="AD51" s="136" t="n">
        <v>0</v>
      </c>
      <c r="AE51" s="136" t="n">
        <v>0</v>
      </c>
      <c r="AF51" s="136" t="n">
        <v>0</v>
      </c>
      <c r="AG51" s="136" t="n">
        <v>1395577</v>
      </c>
      <c r="AH51" s="136" t="n">
        <v>0</v>
      </c>
      <c r="AI51" s="136" t="n">
        <v>0</v>
      </c>
      <c r="AJ51" s="132" t="s">
        <v>707</v>
      </c>
      <c r="AK51" s="132" t="s">
        <v>714</v>
      </c>
      <c r="AL51" s="133" t="s">
        <v>48</v>
      </c>
      <c r="AM51" s="132" t="s">
        <v>49</v>
      </c>
      <c r="AN51" s="133" t="s">
        <v>197</v>
      </c>
      <c r="AO51" s="133" t="n">
        <v>434659.4</v>
      </c>
      <c r="AP51" s="137" t="n">
        <f aca="false">AR51+AT51+AU51+AV51+AX51+AY51+AZ51+BD51+BF51+BG51+BH51+BJ51+BK51+(BL51+BM51+BN51)/1000+(0.1*BO51)</f>
        <v>555.72</v>
      </c>
      <c r="AQ51" s="137" t="n">
        <f aca="false">AR51+AT51+AU51+AV51+AX51+AY51+AZ51+BB51+BC51+BD51+BF51+BG51+BH51+BJ51+BK51+(BL51+BM51+BN51)/1000+(0.1*BO51)</f>
        <v>588.72</v>
      </c>
      <c r="AR51" s="131" t="n">
        <v>0</v>
      </c>
      <c r="AS51" s="131" t="n">
        <v>0</v>
      </c>
      <c r="AT51" s="131" t="n">
        <v>469</v>
      </c>
      <c r="AU51" s="131" t="n">
        <v>0</v>
      </c>
      <c r="AV51" s="131" t="n">
        <v>0</v>
      </c>
      <c r="AW51" s="131" t="n">
        <v>0</v>
      </c>
      <c r="AX51" s="131" t="n">
        <v>0</v>
      </c>
      <c r="AY51" s="131" t="n">
        <v>0</v>
      </c>
      <c r="AZ51" s="131" t="n">
        <v>0</v>
      </c>
      <c r="BA51" s="131" t="n">
        <v>0</v>
      </c>
      <c r="BB51" s="131" t="n">
        <v>33</v>
      </c>
      <c r="BC51" s="131" t="n">
        <v>0</v>
      </c>
      <c r="BD51" s="131" t="n">
        <v>0</v>
      </c>
      <c r="BE51" s="131" t="n">
        <v>0</v>
      </c>
      <c r="BF51" s="131" t="n">
        <v>0</v>
      </c>
      <c r="BG51" s="131" t="n">
        <v>0</v>
      </c>
      <c r="BH51" s="131" t="n">
        <v>0</v>
      </c>
      <c r="BI51" s="131" t="n">
        <v>0</v>
      </c>
      <c r="BJ51" s="131" t="n">
        <v>0</v>
      </c>
      <c r="BK51" s="131" t="n">
        <v>0</v>
      </c>
      <c r="BL51" s="131" t="n">
        <v>0</v>
      </c>
      <c r="BM51" s="131" t="n">
        <v>0</v>
      </c>
      <c r="BN51" s="131" t="n">
        <v>0</v>
      </c>
      <c r="BO51" s="131" t="n">
        <v>867.2</v>
      </c>
    </row>
    <row r="52" customFormat="false" ht="15" hidden="false" customHeight="true" outlineLevel="0" collapsed="false">
      <c r="A52" s="131" t="n">
        <v>8158</v>
      </c>
      <c r="B52" s="131"/>
      <c r="C52" s="132" t="s">
        <v>199</v>
      </c>
      <c r="D52" s="133" t="s">
        <v>199</v>
      </c>
      <c r="E52" s="134" t="n">
        <f aca="false">IF(I52="regional",IF(R52*0.2975,S52*0.3484),S52*0.1939)</f>
        <v>232880.3152</v>
      </c>
      <c r="F52" s="134" t="n">
        <v>0</v>
      </c>
      <c r="G52" s="135" t="n">
        <f aca="false">E52+F52</f>
        <v>232880.3152</v>
      </c>
      <c r="H52" s="132"/>
      <c r="I52" s="133" t="s">
        <v>48</v>
      </c>
      <c r="J52" s="133" t="s">
        <v>49</v>
      </c>
      <c r="K52" s="133" t="s">
        <v>105</v>
      </c>
      <c r="L52" s="133"/>
      <c r="M52" s="136" t="n">
        <v>105</v>
      </c>
      <c r="N52" s="136" t="n">
        <v>0.826</v>
      </c>
      <c r="O52" s="136" t="n">
        <v>0.845</v>
      </c>
      <c r="P52" s="136" t="n">
        <v>0.856</v>
      </c>
      <c r="Q52" s="136" t="n">
        <v>0.822</v>
      </c>
      <c r="R52" s="136" t="n">
        <v>711794</v>
      </c>
      <c r="S52" s="136" t="n">
        <v>668428</v>
      </c>
      <c r="T52" s="8" t="n">
        <f aca="false">IF(I52="regional",IF(R52&gt;0,R52*0.2975,S52*0.3484),S52*0.1939)</f>
        <v>211758.715</v>
      </c>
      <c r="U52" s="136" t="n">
        <v>435467</v>
      </c>
      <c r="V52" s="136" t="n">
        <v>232961</v>
      </c>
      <c r="W52" s="136" t="n">
        <v>3850</v>
      </c>
      <c r="X52" s="136" t="n">
        <v>0</v>
      </c>
      <c r="Y52" s="136" t="n">
        <v>0</v>
      </c>
      <c r="Z52" s="136" t="n">
        <v>0</v>
      </c>
      <c r="AA52" s="136" t="n">
        <v>880186.715</v>
      </c>
      <c r="AB52" s="136" t="n">
        <v>211758.715</v>
      </c>
      <c r="AC52" s="136" t="n">
        <v>668428</v>
      </c>
      <c r="AD52" s="136" t="n">
        <v>0</v>
      </c>
      <c r="AE52" s="136" t="n">
        <v>0</v>
      </c>
      <c r="AF52" s="136" t="n">
        <v>0</v>
      </c>
      <c r="AG52" s="136" t="n">
        <v>668428</v>
      </c>
      <c r="AH52" s="136" t="n">
        <v>0</v>
      </c>
      <c r="AI52" s="136" t="n">
        <v>0</v>
      </c>
      <c r="AJ52" s="132" t="s">
        <v>707</v>
      </c>
      <c r="AK52" s="132" t="s">
        <v>714</v>
      </c>
      <c r="AL52" s="133" t="s">
        <v>48</v>
      </c>
      <c r="AM52" s="132"/>
      <c r="AN52" s="133" t="s">
        <v>199</v>
      </c>
      <c r="AO52" s="133" t="n">
        <v>211758.715</v>
      </c>
      <c r="AP52" s="137" t="n">
        <f aca="false">AR52+AT52+AU52+AV52+AX52+AY52+AZ52+BD52+BF52+BG52+BH52+BJ52+BK52+(BL52+BM52+BN52)/1000+(0.1*BO52)</f>
        <v>226.1508</v>
      </c>
      <c r="AQ52" s="137" t="n">
        <f aca="false">AR52+AT52+AU52+AV52+AX52+AY52+AZ52+BB52+BC52+BD52+BF52+BG52+BH52+BJ52+BK52+(BL52+BM52+BN52)/1000+(0.1*BO52)</f>
        <v>243.1508</v>
      </c>
      <c r="AR52" s="131" t="n">
        <v>0</v>
      </c>
      <c r="AS52" s="131" t="n">
        <v>0</v>
      </c>
      <c r="AT52" s="131" t="n">
        <v>166</v>
      </c>
      <c r="AU52" s="131" t="n">
        <v>6</v>
      </c>
      <c r="AV52" s="131" t="n">
        <v>0</v>
      </c>
      <c r="AW52" s="131" t="n">
        <v>0</v>
      </c>
      <c r="AX52" s="131" t="n">
        <v>2</v>
      </c>
      <c r="AY52" s="131" t="n">
        <v>0</v>
      </c>
      <c r="AZ52" s="131" t="n">
        <v>0</v>
      </c>
      <c r="BA52" s="131" t="n">
        <v>0</v>
      </c>
      <c r="BB52" s="131" t="n">
        <v>14</v>
      </c>
      <c r="BC52" s="131" t="n">
        <v>3</v>
      </c>
      <c r="BD52" s="131" t="n">
        <v>0</v>
      </c>
      <c r="BE52" s="131" t="n">
        <v>0</v>
      </c>
      <c r="BF52" s="131" t="n">
        <v>0</v>
      </c>
      <c r="BG52" s="131" t="n">
        <v>0</v>
      </c>
      <c r="BH52" s="131" t="n">
        <v>0</v>
      </c>
      <c r="BI52" s="131" t="n">
        <v>0</v>
      </c>
      <c r="BJ52" s="131" t="n">
        <v>0</v>
      </c>
      <c r="BK52" s="131" t="n">
        <v>0</v>
      </c>
      <c r="BL52" s="131" t="n">
        <v>0</v>
      </c>
      <c r="BM52" s="131" t="n">
        <v>0</v>
      </c>
      <c r="BN52" s="131" t="n">
        <v>0</v>
      </c>
      <c r="BO52" s="131" t="n">
        <v>521.508</v>
      </c>
    </row>
    <row r="53" customFormat="false" ht="15" hidden="false" customHeight="true" outlineLevel="0" collapsed="false">
      <c r="A53" s="131" t="n">
        <v>8185</v>
      </c>
      <c r="B53" s="131"/>
      <c r="C53" s="132" t="s">
        <v>201</v>
      </c>
      <c r="D53" s="133" t="s">
        <v>201</v>
      </c>
      <c r="E53" s="134" t="n">
        <f aca="false">IF(I53="regional",IF(R53*0.2975,S53*0.3484),S53*0.1939)</f>
        <v>350101.2372</v>
      </c>
      <c r="F53" s="134" t="n">
        <v>0</v>
      </c>
      <c r="G53" s="135" t="n">
        <f aca="false">E53+F53</f>
        <v>350101.2372</v>
      </c>
      <c r="H53" s="132"/>
      <c r="I53" s="133" t="s">
        <v>48</v>
      </c>
      <c r="J53" s="133" t="s">
        <v>49</v>
      </c>
      <c r="K53" s="133" t="s">
        <v>203</v>
      </c>
      <c r="L53" s="133"/>
      <c r="M53" s="136" t="n">
        <v>114</v>
      </c>
      <c r="N53" s="136" t="n">
        <v>0.659</v>
      </c>
      <c r="O53" s="136" t="n">
        <v>0.654</v>
      </c>
      <c r="P53" s="136" t="n">
        <v>0.86</v>
      </c>
      <c r="Q53" s="136" t="n">
        <v>0.838</v>
      </c>
      <c r="R53" s="136" t="n">
        <v>1106360</v>
      </c>
      <c r="S53" s="136" t="n">
        <v>1004883</v>
      </c>
      <c r="T53" s="8" t="n">
        <f aca="false">IF(I53="regional",IF(R53&gt;0,R53*0.2975,S53*0.3484),S53*0.1939)</f>
        <v>329142.1</v>
      </c>
      <c r="U53" s="136" t="n">
        <v>715584</v>
      </c>
      <c r="V53" s="136" t="n">
        <v>289299</v>
      </c>
      <c r="W53" s="136" t="n">
        <v>5946</v>
      </c>
      <c r="X53" s="136" t="n">
        <v>0</v>
      </c>
      <c r="Y53" s="136" t="n">
        <v>0</v>
      </c>
      <c r="Z53" s="136" t="n">
        <v>0</v>
      </c>
      <c r="AA53" s="136" t="n">
        <v>1334025.1</v>
      </c>
      <c r="AB53" s="136" t="n">
        <v>329142.1</v>
      </c>
      <c r="AC53" s="136" t="n">
        <v>1004883</v>
      </c>
      <c r="AD53" s="136" t="n">
        <v>0</v>
      </c>
      <c r="AE53" s="136" t="n">
        <v>0</v>
      </c>
      <c r="AF53" s="136" t="n">
        <v>0</v>
      </c>
      <c r="AG53" s="136" t="n">
        <v>1004883</v>
      </c>
      <c r="AH53" s="136" t="n">
        <v>0</v>
      </c>
      <c r="AI53" s="136" t="n">
        <v>0</v>
      </c>
      <c r="AJ53" s="132" t="n">
        <v>4</v>
      </c>
      <c r="AK53" s="132" t="s">
        <v>724</v>
      </c>
      <c r="AL53" s="133" t="s">
        <v>48</v>
      </c>
      <c r="AM53" s="132"/>
      <c r="AN53" s="133" t="s">
        <v>201</v>
      </c>
      <c r="AO53" s="133" t="n">
        <v>329142.1</v>
      </c>
      <c r="AP53" s="137" t="n">
        <f aca="false">AR53+AT53+AU53+AV53+AX53+AY53+AZ53+BD53+BF53+BG53+BH53+BJ53+BK53+(BL53+BM53+BN53)/1000+(0.1*BO53)</f>
        <v>316</v>
      </c>
      <c r="AQ53" s="137" t="n">
        <f aca="false">AR53+AT53+AU53+AV53+AX53+AY53+AZ53+BB53+BC53+BD53+BF53+BG53+BH53+BJ53+BK53+(BL53+BM53+BN53)/1000+(0.1*BO53)</f>
        <v>367</v>
      </c>
      <c r="AR53" s="131" t="n">
        <v>0</v>
      </c>
      <c r="AS53" s="131" t="n">
        <v>0</v>
      </c>
      <c r="AT53" s="131" t="n">
        <v>295</v>
      </c>
      <c r="AU53" s="131" t="n">
        <v>3</v>
      </c>
      <c r="AV53" s="131" t="n">
        <v>0</v>
      </c>
      <c r="AW53" s="131" t="n">
        <v>0</v>
      </c>
      <c r="AX53" s="131" t="n">
        <v>18</v>
      </c>
      <c r="AY53" s="131" t="n">
        <v>0</v>
      </c>
      <c r="AZ53" s="131" t="n">
        <v>0</v>
      </c>
      <c r="BA53" s="131" t="n">
        <v>0</v>
      </c>
      <c r="BB53" s="131" t="n">
        <v>51</v>
      </c>
      <c r="BC53" s="131" t="n">
        <v>0</v>
      </c>
      <c r="BD53" s="131" t="n">
        <v>0</v>
      </c>
      <c r="BE53" s="131" t="n">
        <v>0</v>
      </c>
      <c r="BF53" s="131" t="n">
        <v>0</v>
      </c>
      <c r="BG53" s="131" t="n">
        <v>0</v>
      </c>
      <c r="BH53" s="131" t="n">
        <v>0</v>
      </c>
      <c r="BI53" s="131" t="n">
        <v>0</v>
      </c>
      <c r="BJ53" s="131" t="n">
        <v>0</v>
      </c>
      <c r="BK53" s="131" t="n">
        <v>0</v>
      </c>
      <c r="BL53" s="131" t="n">
        <v>0</v>
      </c>
      <c r="BM53" s="131" t="n">
        <v>0</v>
      </c>
      <c r="BN53" s="131" t="n">
        <v>0</v>
      </c>
      <c r="BO53" s="131" t="n">
        <v>0</v>
      </c>
    </row>
    <row r="54" customFormat="false" ht="15" hidden="false" customHeight="true" outlineLevel="0" collapsed="false">
      <c r="A54" s="131" t="n">
        <v>914</v>
      </c>
      <c r="B54" s="131"/>
      <c r="C54" s="132" t="s">
        <v>204</v>
      </c>
      <c r="D54" s="133" t="s">
        <v>204</v>
      </c>
      <c r="E54" s="134" t="n">
        <f aca="false">IF(I54="regional",IF(R54*0.2975,S54*0.3484),S54*0.1939)</f>
        <v>0</v>
      </c>
      <c r="F54" s="134" t="n">
        <v>411697</v>
      </c>
      <c r="G54" s="135" t="n">
        <f aca="false">E54+F54</f>
        <v>411697</v>
      </c>
      <c r="H54" s="132"/>
      <c r="I54" s="133" t="s">
        <v>48</v>
      </c>
      <c r="J54" s="133" t="s">
        <v>49</v>
      </c>
      <c r="K54" s="133" t="s">
        <v>205</v>
      </c>
      <c r="L54" s="133" t="s">
        <v>44</v>
      </c>
      <c r="M54" s="136" t="n">
        <v>63</v>
      </c>
      <c r="N54" s="136" t="n">
        <v>0.74</v>
      </c>
      <c r="O54" s="136" t="n">
        <v>0.743</v>
      </c>
      <c r="P54" s="136" t="n">
        <v>0.783</v>
      </c>
      <c r="Q54" s="136" t="n">
        <v>0.835</v>
      </c>
      <c r="R54" s="136" t="n">
        <v>0</v>
      </c>
      <c r="S54" s="136" t="n">
        <v>452535</v>
      </c>
      <c r="T54" s="8" t="n">
        <f aca="false">IF(I54="regional",IF(R54&gt;0,R54*0.2975,S54*0.3484),S54*0.1939)</f>
        <v>157663.194</v>
      </c>
      <c r="U54" s="136" t="n">
        <v>242442</v>
      </c>
      <c r="V54" s="136" t="n">
        <v>210093</v>
      </c>
      <c r="W54" s="136" t="n">
        <v>2500</v>
      </c>
      <c r="X54" s="136" t="n">
        <v>569360.194</v>
      </c>
      <c r="Y54" s="136" t="n">
        <v>157663.194</v>
      </c>
      <c r="Z54" s="136" t="n">
        <v>411697</v>
      </c>
      <c r="AA54" s="136" t="n">
        <v>40838</v>
      </c>
      <c r="AB54" s="136" t="n">
        <v>0</v>
      </c>
      <c r="AC54" s="136" t="n">
        <v>40838</v>
      </c>
      <c r="AD54" s="136" t="n">
        <v>0</v>
      </c>
      <c r="AE54" s="136" t="n">
        <v>411697</v>
      </c>
      <c r="AF54" s="136" t="n">
        <v>0</v>
      </c>
      <c r="AG54" s="136" t="n">
        <v>40838</v>
      </c>
      <c r="AH54" s="136" t="n">
        <v>0</v>
      </c>
      <c r="AI54" s="136" t="n">
        <v>0</v>
      </c>
      <c r="AJ54" s="132" t="n">
        <v>4</v>
      </c>
      <c r="AK54" s="132" t="s">
        <v>720</v>
      </c>
      <c r="AL54" s="133" t="s">
        <v>62</v>
      </c>
      <c r="AM54" s="132"/>
      <c r="AN54" s="133" t="s">
        <v>204</v>
      </c>
      <c r="AO54" s="133" t="n">
        <v>569360.194</v>
      </c>
      <c r="AP54" s="137" t="n">
        <f aca="false">AR54+AT54+AU54+AV54+AX54+AY54+AZ54+BD54+BF54+BG54+BH54+BJ54+BK54+(BL54+BM54+BN54)/1000+(0.1*BO54)</f>
        <v>371</v>
      </c>
      <c r="AQ54" s="137" t="n">
        <f aca="false">AR54+AT54+AU54+AV54+AX54+AY54+AZ54+BB54+BC54+BD54+BF54+BG54+BH54+BJ54+BK54+(BL54+BM54+BN54)/1000+(0.1*BO54)</f>
        <v>383</v>
      </c>
      <c r="AR54" s="131" t="n">
        <v>120</v>
      </c>
      <c r="AS54" s="131" t="n">
        <v>0</v>
      </c>
      <c r="AT54" s="131" t="n">
        <v>47</v>
      </c>
      <c r="AU54" s="131" t="n">
        <v>26</v>
      </c>
      <c r="AV54" s="131" t="n">
        <v>32</v>
      </c>
      <c r="AW54" s="131" t="n">
        <v>4</v>
      </c>
      <c r="AX54" s="131" t="n">
        <v>0</v>
      </c>
      <c r="AY54" s="131" t="n">
        <v>0</v>
      </c>
      <c r="AZ54" s="131" t="n">
        <v>6</v>
      </c>
      <c r="BA54" s="131" t="n">
        <v>0</v>
      </c>
      <c r="BB54" s="131" t="n">
        <v>9</v>
      </c>
      <c r="BC54" s="131" t="n">
        <v>3</v>
      </c>
      <c r="BD54" s="131" t="n">
        <v>35</v>
      </c>
      <c r="BE54" s="131" t="n">
        <v>0</v>
      </c>
      <c r="BF54" s="131" t="n">
        <v>0</v>
      </c>
      <c r="BG54" s="131" t="n">
        <v>0</v>
      </c>
      <c r="BH54" s="131" t="n">
        <v>105</v>
      </c>
      <c r="BI54" s="131" t="n">
        <v>0</v>
      </c>
      <c r="BJ54" s="131" t="n">
        <v>0</v>
      </c>
      <c r="BK54" s="131" t="n">
        <v>0</v>
      </c>
      <c r="BL54" s="131" t="n">
        <v>0</v>
      </c>
      <c r="BM54" s="131" t="n">
        <v>0</v>
      </c>
      <c r="BN54" s="131" t="n">
        <v>0</v>
      </c>
      <c r="BO54" s="131" t="n">
        <v>0</v>
      </c>
    </row>
    <row r="55" customFormat="false" ht="15" hidden="false" customHeight="true" outlineLevel="0" collapsed="false">
      <c r="A55" s="131" t="n">
        <v>3937</v>
      </c>
      <c r="B55" s="131" t="s">
        <v>44</v>
      </c>
      <c r="C55" s="132" t="s">
        <v>206</v>
      </c>
      <c r="D55" s="133" t="s">
        <v>206</v>
      </c>
      <c r="E55" s="134" t="n">
        <f aca="false">IF(I55="regional",IF(R55*0.2975,S55*0.3484),S55*0.1939)</f>
        <v>241887.8488</v>
      </c>
      <c r="F55" s="134" t="n">
        <v>488909</v>
      </c>
      <c r="G55" s="135" t="n">
        <f aca="false">E55+F55</f>
        <v>730796.8488</v>
      </c>
      <c r="H55" s="132"/>
      <c r="I55" s="133" t="s">
        <v>48</v>
      </c>
      <c r="J55" s="133" t="s">
        <v>44</v>
      </c>
      <c r="K55" s="133" t="s">
        <v>209</v>
      </c>
      <c r="L55" s="133" t="s">
        <v>44</v>
      </c>
      <c r="M55" s="136" t="n">
        <v>106</v>
      </c>
      <c r="N55" s="136" t="n">
        <v>0.731</v>
      </c>
      <c r="O55" s="136" t="n">
        <v>0.748</v>
      </c>
      <c r="P55" s="136" t="n">
        <v>0.733</v>
      </c>
      <c r="Q55" s="136" t="n">
        <v>0.849</v>
      </c>
      <c r="R55" s="136" t="n">
        <v>929007</v>
      </c>
      <c r="S55" s="136" t="n">
        <v>694282</v>
      </c>
      <c r="T55" s="8" t="n">
        <f aca="false">IF(I55="regional",IF(R55&gt;0,R55*0.2975,S55*0.3484),S55*0.1939)</f>
        <v>276379.5825</v>
      </c>
      <c r="U55" s="136" t="n">
        <v>452877</v>
      </c>
      <c r="V55" s="136" t="n">
        <v>241405</v>
      </c>
      <c r="W55" s="136" t="n">
        <v>5000</v>
      </c>
      <c r="X55" s="136" t="n">
        <v>765288.5825</v>
      </c>
      <c r="Y55" s="136" t="n">
        <v>276379.5825</v>
      </c>
      <c r="Z55" s="136" t="n">
        <v>488909</v>
      </c>
      <c r="AA55" s="136" t="n">
        <v>205373</v>
      </c>
      <c r="AB55" s="136" t="n">
        <v>0</v>
      </c>
      <c r="AC55" s="136" t="n">
        <v>205373</v>
      </c>
      <c r="AD55" s="136" t="n">
        <v>488909</v>
      </c>
      <c r="AE55" s="136" t="n">
        <v>0</v>
      </c>
      <c r="AF55" s="136" t="n">
        <v>205373</v>
      </c>
      <c r="AG55" s="136" t="n">
        <v>0</v>
      </c>
      <c r="AH55" s="136" t="n">
        <v>193000</v>
      </c>
      <c r="AI55" s="136" t="n">
        <v>181000</v>
      </c>
      <c r="AJ55" s="132" t="s">
        <v>707</v>
      </c>
      <c r="AK55" s="132" t="s">
        <v>729</v>
      </c>
      <c r="AL55" s="133" t="s">
        <v>48</v>
      </c>
      <c r="AM55" s="132"/>
      <c r="AN55" s="133" t="s">
        <v>206</v>
      </c>
      <c r="AO55" s="133" t="n">
        <v>765288.5825</v>
      </c>
      <c r="AP55" s="137" t="n">
        <f aca="false">AR55+AT55+AU55+AV55+AX55+AY55+AZ55+BD55+BF55+BG55+BH55+BJ55+BK55+(BL55+BM55+BN55)/1000+(0.1*BO55)</f>
        <v>605.477994</v>
      </c>
      <c r="AQ55" s="137" t="n">
        <f aca="false">AR55+AT55+AU55+AV55+AX55+AY55+AZ55+BB55+BC55+BD55+BF55+BG55+BH55+BJ55+BK55+(BL55+BM55+BN55)/1000+(0.1*BO55)</f>
        <v>723.477994</v>
      </c>
      <c r="AR55" s="131" t="n">
        <v>121</v>
      </c>
      <c r="AS55" s="131" t="n">
        <v>181</v>
      </c>
      <c r="AT55" s="131" t="n">
        <v>81</v>
      </c>
      <c r="AU55" s="131" t="n">
        <v>6</v>
      </c>
      <c r="AV55" s="131" t="n">
        <v>202</v>
      </c>
      <c r="AW55" s="131" t="n">
        <v>7</v>
      </c>
      <c r="AX55" s="131" t="n">
        <v>0</v>
      </c>
      <c r="AY55" s="131" t="n">
        <v>0</v>
      </c>
      <c r="AZ55" s="131" t="n">
        <v>18</v>
      </c>
      <c r="BA55" s="131" t="n">
        <v>27</v>
      </c>
      <c r="BB55" s="131" t="n">
        <v>118</v>
      </c>
      <c r="BC55" s="131" t="n">
        <v>0</v>
      </c>
      <c r="BD55" s="131" t="n">
        <v>54</v>
      </c>
      <c r="BE55" s="131" t="n">
        <v>0</v>
      </c>
      <c r="BF55" s="131" t="n">
        <v>0</v>
      </c>
      <c r="BG55" s="131" t="n">
        <v>0</v>
      </c>
      <c r="BH55" s="131" t="n">
        <v>114</v>
      </c>
      <c r="BI55" s="131" t="n">
        <v>0</v>
      </c>
      <c r="BJ55" s="131" t="n">
        <v>0</v>
      </c>
      <c r="BK55" s="131" t="n">
        <v>0</v>
      </c>
      <c r="BL55" s="131" t="n">
        <v>0</v>
      </c>
      <c r="BM55" s="131" t="n">
        <v>0</v>
      </c>
      <c r="BN55" s="131" t="n">
        <v>0</v>
      </c>
      <c r="BO55" s="131" t="n">
        <v>94.77994</v>
      </c>
    </row>
    <row r="56" customFormat="false" ht="15" hidden="false" customHeight="true" outlineLevel="0" collapsed="false">
      <c r="A56" s="131" t="n">
        <v>4773</v>
      </c>
      <c r="B56" s="131" t="s">
        <v>44</v>
      </c>
      <c r="C56" s="132" t="s">
        <v>210</v>
      </c>
      <c r="D56" s="133" t="s">
        <v>210</v>
      </c>
      <c r="E56" s="134" t="n">
        <f aca="false">IF(I56="regional",IF(R56*0.2975,S56*0.3484),S56*0.1939)</f>
        <v>338518.6792</v>
      </c>
      <c r="F56" s="134" t="n">
        <v>0</v>
      </c>
      <c r="G56" s="135" t="n">
        <f aca="false">E56+F56</f>
        <v>338518.6792</v>
      </c>
      <c r="H56" s="132" t="s">
        <v>49</v>
      </c>
      <c r="I56" s="133" t="s">
        <v>48</v>
      </c>
      <c r="J56" s="133" t="s">
        <v>44</v>
      </c>
      <c r="K56" s="133" t="s">
        <v>212</v>
      </c>
      <c r="L56" s="133"/>
      <c r="M56" s="136" t="n">
        <v>125</v>
      </c>
      <c r="N56" s="136" t="n">
        <v>0.881</v>
      </c>
      <c r="O56" s="136" t="n">
        <v>0.891</v>
      </c>
      <c r="P56" s="136" t="n">
        <v>0.925</v>
      </c>
      <c r="Q56" s="136" t="n">
        <v>0.952</v>
      </c>
      <c r="R56" s="136" t="n">
        <v>1011912</v>
      </c>
      <c r="S56" s="136" t="n">
        <v>971638</v>
      </c>
      <c r="T56" s="8" t="n">
        <f aca="false">IF(I56="regional",IF(R56&gt;0,R56*0.2975,S56*0.3484),S56*0.1939)</f>
        <v>301043.82</v>
      </c>
      <c r="U56" s="136" t="n">
        <v>541264</v>
      </c>
      <c r="V56" s="136" t="n">
        <v>430374</v>
      </c>
      <c r="W56" s="136" t="n">
        <v>5075</v>
      </c>
      <c r="X56" s="136" t="n">
        <v>0</v>
      </c>
      <c r="Y56" s="136" t="n">
        <v>0</v>
      </c>
      <c r="Z56" s="136" t="n">
        <v>0</v>
      </c>
      <c r="AA56" s="136" t="n">
        <v>1272681.82</v>
      </c>
      <c r="AB56" s="136" t="n">
        <v>301043.82</v>
      </c>
      <c r="AC56" s="136" t="n">
        <v>971638</v>
      </c>
      <c r="AD56" s="136" t="n">
        <v>0</v>
      </c>
      <c r="AE56" s="136" t="n">
        <v>0</v>
      </c>
      <c r="AF56" s="136" t="n">
        <v>971638</v>
      </c>
      <c r="AG56" s="136" t="n">
        <v>0</v>
      </c>
      <c r="AH56" s="136" t="n">
        <v>634000</v>
      </c>
      <c r="AI56" s="136" t="n">
        <v>453000</v>
      </c>
      <c r="AJ56" s="132" t="n">
        <v>4</v>
      </c>
      <c r="AK56" s="132" t="s">
        <v>720</v>
      </c>
      <c r="AL56" s="133" t="s">
        <v>48</v>
      </c>
      <c r="AM56" s="132" t="s">
        <v>49</v>
      </c>
      <c r="AN56" s="133" t="s">
        <v>210</v>
      </c>
      <c r="AO56" s="133" t="n">
        <v>301043.82</v>
      </c>
      <c r="AP56" s="137" t="n">
        <f aca="false">AR56+AT56+AU56+AV56+AX56+AY56+AZ56+BD56+BF56+BG56+BH56+BJ56+BK56+(BL56+BM56+BN56)/1000+(0.1*BO56)</f>
        <v>298.648</v>
      </c>
      <c r="AQ56" s="137" t="n">
        <f aca="false">AR56+AT56+AU56+AV56+AX56+AY56+AZ56+BB56+BC56+BD56+BF56+BG56+BH56+BJ56+BK56+(BL56+BM56+BN56)/1000+(0.1*BO56)</f>
        <v>311.648</v>
      </c>
      <c r="AR56" s="131" t="n">
        <v>71</v>
      </c>
      <c r="AS56" s="131" t="n">
        <v>453</v>
      </c>
      <c r="AT56" s="131" t="n">
        <v>133</v>
      </c>
      <c r="AU56" s="131" t="n">
        <v>0</v>
      </c>
      <c r="AV56" s="131" t="n">
        <v>0</v>
      </c>
      <c r="AW56" s="131" t="n">
        <v>23</v>
      </c>
      <c r="AX56" s="131" t="n">
        <v>5</v>
      </c>
      <c r="AY56" s="131" t="n">
        <v>0</v>
      </c>
      <c r="AZ56" s="131" t="n">
        <v>0</v>
      </c>
      <c r="BA56" s="131" t="n">
        <v>26</v>
      </c>
      <c r="BB56" s="131" t="n">
        <v>13</v>
      </c>
      <c r="BC56" s="131" t="n">
        <v>0</v>
      </c>
      <c r="BD56" s="131" t="n">
        <v>0</v>
      </c>
      <c r="BE56" s="131" t="n">
        <v>0</v>
      </c>
      <c r="BF56" s="131" t="n">
        <v>0</v>
      </c>
      <c r="BG56" s="131" t="n">
        <v>0</v>
      </c>
      <c r="BH56" s="131" t="n">
        <v>0</v>
      </c>
      <c r="BI56" s="131" t="n">
        <v>3</v>
      </c>
      <c r="BJ56" s="131" t="n">
        <v>0</v>
      </c>
      <c r="BK56" s="131" t="n">
        <v>0</v>
      </c>
      <c r="BL56" s="131" t="n">
        <v>44824</v>
      </c>
      <c r="BM56" s="131" t="n">
        <v>0</v>
      </c>
      <c r="BN56" s="131" t="n">
        <v>44824</v>
      </c>
      <c r="BO56" s="131" t="n">
        <v>0</v>
      </c>
      <c r="CC56" s="160"/>
      <c r="CD56" s="160"/>
      <c r="CE56" s="160"/>
      <c r="CF56" s="160"/>
      <c r="CG56" s="160"/>
      <c r="CH56" s="160"/>
      <c r="CI56" s="160"/>
      <c r="CJ56" s="160"/>
      <c r="CK56" s="160"/>
      <c r="CL56" s="160"/>
      <c r="CM56" s="160"/>
      <c r="CN56" s="160"/>
      <c r="CO56" s="160"/>
      <c r="CP56" s="160"/>
      <c r="CQ56" s="160"/>
      <c r="CR56" s="160"/>
      <c r="CS56" s="160"/>
      <c r="CT56" s="160"/>
      <c r="CU56" s="160"/>
      <c r="CV56" s="160"/>
      <c r="CW56" s="160"/>
      <c r="CX56" s="160"/>
      <c r="CY56" s="160"/>
      <c r="CZ56" s="160"/>
      <c r="DA56" s="160"/>
      <c r="DB56" s="160"/>
      <c r="DC56" s="160"/>
      <c r="DD56" s="160"/>
      <c r="DE56" s="160"/>
      <c r="DF56" s="160"/>
      <c r="DG56" s="160"/>
      <c r="DH56" s="160"/>
      <c r="DI56" s="160"/>
      <c r="DJ56" s="160"/>
      <c r="DK56" s="160"/>
      <c r="DL56" s="160"/>
      <c r="DM56" s="160"/>
      <c r="DN56" s="160"/>
      <c r="DO56" s="160"/>
      <c r="DP56" s="160"/>
      <c r="DQ56" s="160"/>
      <c r="DR56" s="160"/>
      <c r="DS56" s="160"/>
      <c r="DT56" s="160"/>
      <c r="DU56" s="160"/>
      <c r="DV56" s="160"/>
      <c r="DW56" s="160"/>
      <c r="DX56" s="160"/>
      <c r="DY56" s="160"/>
      <c r="DZ56" s="160"/>
      <c r="EA56" s="160"/>
      <c r="EB56" s="160"/>
      <c r="EC56" s="160"/>
      <c r="ED56" s="160"/>
      <c r="EE56" s="160"/>
      <c r="EF56" s="160"/>
      <c r="EG56" s="160"/>
      <c r="EH56" s="160"/>
      <c r="EI56" s="160"/>
      <c r="EJ56" s="160"/>
      <c r="EK56" s="160"/>
      <c r="EL56" s="160"/>
      <c r="EM56" s="160"/>
      <c r="EN56" s="160"/>
      <c r="EO56" s="160"/>
      <c r="EP56" s="160"/>
      <c r="EQ56" s="160"/>
      <c r="ER56" s="160"/>
      <c r="ES56" s="160"/>
      <c r="ET56" s="160"/>
      <c r="EU56" s="160"/>
      <c r="EV56" s="160"/>
      <c r="EW56" s="160"/>
      <c r="EX56" s="160"/>
      <c r="EY56" s="160"/>
      <c r="EZ56" s="160"/>
      <c r="FA56" s="160"/>
      <c r="FB56" s="160"/>
      <c r="FC56" s="160"/>
      <c r="FD56" s="160"/>
      <c r="FE56" s="160"/>
      <c r="FF56" s="160"/>
      <c r="FG56" s="160"/>
      <c r="FH56" s="160"/>
      <c r="FI56" s="160"/>
      <c r="FJ56" s="160"/>
      <c r="FK56" s="160"/>
      <c r="FL56" s="160"/>
      <c r="FM56" s="160"/>
      <c r="FN56" s="160"/>
      <c r="FO56" s="160"/>
      <c r="FP56" s="160"/>
      <c r="FQ56" s="160"/>
      <c r="FR56" s="160"/>
      <c r="FS56" s="160"/>
      <c r="FT56" s="160"/>
      <c r="FU56" s="160"/>
      <c r="FV56" s="160"/>
      <c r="FW56" s="160"/>
      <c r="FX56" s="160"/>
      <c r="FY56" s="160"/>
      <c r="FZ56" s="160"/>
      <c r="GA56" s="160"/>
      <c r="GB56" s="160"/>
      <c r="GC56" s="160"/>
      <c r="GD56" s="160"/>
      <c r="GE56" s="160"/>
      <c r="GF56" s="160"/>
      <c r="GG56" s="160"/>
      <c r="GH56" s="160"/>
      <c r="GI56" s="160"/>
      <c r="GJ56" s="160"/>
      <c r="GK56" s="160"/>
      <c r="GL56" s="160"/>
      <c r="GM56" s="160"/>
      <c r="GN56" s="160"/>
      <c r="GO56" s="160"/>
      <c r="GP56" s="160"/>
      <c r="GQ56" s="160"/>
      <c r="GR56" s="160"/>
      <c r="GS56" s="160"/>
      <c r="GT56" s="160"/>
      <c r="GU56" s="160"/>
    </row>
    <row r="57" customFormat="false" ht="15" hidden="false" customHeight="true" outlineLevel="0" collapsed="false">
      <c r="A57" s="131" t="n">
        <v>918</v>
      </c>
      <c r="B57" s="131"/>
      <c r="C57" s="132" t="s">
        <v>213</v>
      </c>
      <c r="D57" s="133" t="s">
        <v>213</v>
      </c>
      <c r="E57" s="134" t="n">
        <f aca="false">IF(I57="regional",IF(R57*0.2975,S57*0.3484),S57*0.1939)</f>
        <v>36891.6079</v>
      </c>
      <c r="F57" s="134" t="n">
        <v>0</v>
      </c>
      <c r="G57" s="135" t="n">
        <f aca="false">E57+F57</f>
        <v>36891.6079</v>
      </c>
      <c r="H57" s="132"/>
      <c r="I57" s="133" t="s">
        <v>62</v>
      </c>
      <c r="J57" s="133"/>
      <c r="K57" s="133" t="s">
        <v>214</v>
      </c>
      <c r="L57" s="133"/>
      <c r="M57" s="136" t="n">
        <v>8</v>
      </c>
      <c r="N57" s="136" t="n">
        <v>0.935</v>
      </c>
      <c r="O57" s="136" t="n">
        <v>0.935</v>
      </c>
      <c r="P57" s="136" t="n">
        <v>0.935</v>
      </c>
      <c r="Q57" s="136" t="n">
        <v>0.856</v>
      </c>
      <c r="R57" s="136" t="n">
        <v>0</v>
      </c>
      <c r="S57" s="136" t="n">
        <v>190261</v>
      </c>
      <c r="T57" s="8" t="n">
        <f aca="false">IF(I57="regional",IF(R57&gt;0,R57*0.2975,S57*0.3484),S57*0.1939)</f>
        <v>36891.6079</v>
      </c>
      <c r="U57" s="136" t="n">
        <v>152451</v>
      </c>
      <c r="V57" s="136" t="n">
        <v>37810</v>
      </c>
      <c r="W57" s="136" t="n">
        <v>950</v>
      </c>
      <c r="X57" s="136" t="n">
        <v>0</v>
      </c>
      <c r="Y57" s="136" t="n">
        <v>0</v>
      </c>
      <c r="Z57" s="136" t="n">
        <v>0</v>
      </c>
      <c r="AA57" s="136" t="n">
        <v>227152.6079</v>
      </c>
      <c r="AB57" s="136" t="n">
        <v>36891.6079</v>
      </c>
      <c r="AC57" s="136" t="n">
        <v>190261</v>
      </c>
      <c r="AD57" s="136" t="n">
        <v>0</v>
      </c>
      <c r="AE57" s="136" t="n">
        <v>0</v>
      </c>
      <c r="AF57" s="136" t="n">
        <v>0</v>
      </c>
      <c r="AG57" s="136" t="n">
        <v>190261</v>
      </c>
      <c r="AH57" s="136" t="n">
        <v>0</v>
      </c>
      <c r="AI57" s="136" t="n">
        <v>0</v>
      </c>
      <c r="AJ57" s="132" t="s">
        <v>707</v>
      </c>
      <c r="AK57" s="132" t="s">
        <v>729</v>
      </c>
      <c r="AL57" s="133" t="s">
        <v>62</v>
      </c>
      <c r="AM57" s="132"/>
      <c r="AN57" s="133" t="s">
        <v>213</v>
      </c>
      <c r="AO57" s="133" t="n">
        <v>36891.6079</v>
      </c>
      <c r="AP57" s="137" t="n">
        <f aca="false">AR57+AT57+AU57+AV57+AX57+AY57+AZ57+BD57+BF57+BG57+BH57+BJ57+BK57+(BL57+BM57+BN57)/1000+(0.1*BO57)</f>
        <v>6</v>
      </c>
      <c r="AQ57" s="137" t="n">
        <f aca="false">AR57+AT57+AU57+AV57+AX57+AY57+AZ57+BB57+BC57+BD57+BF57+BG57+BH57+BJ57+BK57+(BL57+BM57+BN57)/1000+(0.1*BO57)</f>
        <v>8</v>
      </c>
      <c r="AR57" s="131" t="n">
        <v>0</v>
      </c>
      <c r="AS57" s="131" t="n">
        <v>0</v>
      </c>
      <c r="AT57" s="131" t="n">
        <v>6</v>
      </c>
      <c r="AU57" s="131" t="n">
        <v>0</v>
      </c>
      <c r="AV57" s="131" t="n">
        <v>0</v>
      </c>
      <c r="AW57" s="131" t="n">
        <v>0</v>
      </c>
      <c r="AX57" s="131" t="n">
        <v>0</v>
      </c>
      <c r="AY57" s="131" t="n">
        <v>0</v>
      </c>
      <c r="AZ57" s="131" t="n">
        <v>0</v>
      </c>
      <c r="BA57" s="131" t="n">
        <v>11</v>
      </c>
      <c r="BB57" s="131" t="n">
        <v>2</v>
      </c>
      <c r="BC57" s="131" t="n">
        <v>0</v>
      </c>
      <c r="BD57" s="131" t="n">
        <v>0</v>
      </c>
      <c r="BE57" s="131" t="n">
        <v>0</v>
      </c>
      <c r="BF57" s="131" t="n">
        <v>0</v>
      </c>
      <c r="BG57" s="131" t="n">
        <v>0</v>
      </c>
      <c r="BH57" s="131" t="n">
        <v>0</v>
      </c>
      <c r="BI57" s="131" t="n">
        <v>0</v>
      </c>
      <c r="BJ57" s="131" t="n">
        <v>0</v>
      </c>
      <c r="BK57" s="131" t="n">
        <v>0</v>
      </c>
      <c r="BL57" s="131" t="n">
        <v>0</v>
      </c>
      <c r="BM57" s="131" t="n">
        <v>0</v>
      </c>
      <c r="BN57" s="131" t="n">
        <v>0</v>
      </c>
      <c r="BO57" s="131" t="n">
        <v>0</v>
      </c>
      <c r="CC57" s="160"/>
      <c r="CD57" s="160"/>
      <c r="CE57" s="160"/>
      <c r="CF57" s="160"/>
      <c r="CG57" s="160"/>
      <c r="CH57" s="160"/>
      <c r="CI57" s="160"/>
      <c r="CJ57" s="160"/>
      <c r="CK57" s="160"/>
      <c r="CL57" s="160"/>
      <c r="CM57" s="160"/>
      <c r="CN57" s="160"/>
      <c r="CO57" s="160"/>
      <c r="CP57" s="160"/>
      <c r="CQ57" s="160"/>
      <c r="CR57" s="160"/>
      <c r="CS57" s="160"/>
      <c r="CT57" s="160"/>
      <c r="CU57" s="160"/>
      <c r="CV57" s="160"/>
      <c r="CW57" s="160"/>
      <c r="CX57" s="160"/>
      <c r="CY57" s="160"/>
      <c r="CZ57" s="160"/>
      <c r="DA57" s="160"/>
      <c r="DB57" s="160"/>
      <c r="DC57" s="160"/>
      <c r="DD57" s="160"/>
      <c r="DE57" s="160"/>
      <c r="DF57" s="160"/>
      <c r="DG57" s="160"/>
      <c r="DH57" s="160"/>
      <c r="DI57" s="160"/>
      <c r="DJ57" s="160"/>
      <c r="DK57" s="160"/>
      <c r="DL57" s="160"/>
      <c r="DM57" s="160"/>
      <c r="DN57" s="160"/>
      <c r="DO57" s="160"/>
      <c r="DP57" s="160"/>
      <c r="DQ57" s="160"/>
      <c r="DR57" s="160"/>
      <c r="DS57" s="160"/>
      <c r="DT57" s="160"/>
      <c r="DU57" s="160"/>
      <c r="DV57" s="160"/>
      <c r="DW57" s="160"/>
      <c r="DX57" s="160"/>
      <c r="DY57" s="160"/>
      <c r="DZ57" s="160"/>
      <c r="EA57" s="160"/>
      <c r="EB57" s="160"/>
      <c r="EC57" s="160"/>
      <c r="ED57" s="160"/>
      <c r="EE57" s="160"/>
      <c r="EF57" s="160"/>
      <c r="EG57" s="160"/>
      <c r="EH57" s="160"/>
      <c r="EI57" s="160"/>
      <c r="EJ57" s="160"/>
      <c r="EK57" s="160"/>
      <c r="EL57" s="160"/>
      <c r="EM57" s="160"/>
      <c r="EN57" s="160"/>
      <c r="EO57" s="160"/>
      <c r="EP57" s="160"/>
      <c r="EQ57" s="160"/>
      <c r="ER57" s="160"/>
      <c r="ES57" s="160"/>
      <c r="ET57" s="160"/>
      <c r="EU57" s="160"/>
      <c r="EV57" s="160"/>
      <c r="EW57" s="160"/>
      <c r="EX57" s="160"/>
      <c r="EY57" s="160"/>
      <c r="EZ57" s="160"/>
      <c r="FA57" s="160"/>
      <c r="FB57" s="160"/>
      <c r="FC57" s="160"/>
      <c r="FD57" s="160"/>
      <c r="FE57" s="160"/>
      <c r="FF57" s="160"/>
      <c r="FG57" s="160"/>
      <c r="FH57" s="160"/>
      <c r="FI57" s="160"/>
      <c r="FJ57" s="160"/>
      <c r="FK57" s="160"/>
      <c r="FL57" s="160"/>
      <c r="FM57" s="160"/>
      <c r="FN57" s="160"/>
      <c r="FO57" s="160"/>
      <c r="FP57" s="160"/>
      <c r="FQ57" s="160"/>
      <c r="FR57" s="160"/>
      <c r="FS57" s="160"/>
      <c r="FT57" s="160"/>
      <c r="FU57" s="160"/>
      <c r="FV57" s="160"/>
      <c r="FW57" s="160"/>
      <c r="FX57" s="160"/>
      <c r="FY57" s="160"/>
      <c r="FZ57" s="160"/>
      <c r="GA57" s="160"/>
      <c r="GB57" s="160"/>
      <c r="GC57" s="160"/>
      <c r="GD57" s="160"/>
      <c r="GE57" s="160"/>
      <c r="GF57" s="160"/>
      <c r="GG57" s="160"/>
      <c r="GH57" s="160"/>
      <c r="GI57" s="160"/>
      <c r="GJ57" s="160"/>
      <c r="GK57" s="160"/>
      <c r="GL57" s="160"/>
      <c r="GM57" s="160"/>
      <c r="GN57" s="160"/>
      <c r="GO57" s="160"/>
      <c r="GP57" s="160"/>
      <c r="GQ57" s="160"/>
      <c r="GR57" s="160"/>
      <c r="GS57" s="160"/>
      <c r="GT57" s="160"/>
      <c r="GU57" s="160"/>
    </row>
    <row r="58" customFormat="false" ht="15" hidden="false" customHeight="true" outlineLevel="0" collapsed="false">
      <c r="A58" s="131" t="n">
        <v>4662</v>
      </c>
      <c r="B58" s="131"/>
      <c r="C58" s="132" t="s">
        <v>215</v>
      </c>
      <c r="D58" s="133" t="s">
        <v>215</v>
      </c>
      <c r="E58" s="134" t="n">
        <f aca="false">IF(I58="regional",IF(R58*0.2975,S58*0.3484),S58*0.1939)</f>
        <v>340902.432</v>
      </c>
      <c r="F58" s="134" t="n">
        <v>0</v>
      </c>
      <c r="G58" s="135" t="n">
        <f aca="false">E58+F58</f>
        <v>340902.432</v>
      </c>
      <c r="H58" s="132"/>
      <c r="I58" s="133" t="s">
        <v>48</v>
      </c>
      <c r="J58" s="133" t="s">
        <v>49</v>
      </c>
      <c r="K58" s="133" t="s">
        <v>105</v>
      </c>
      <c r="L58" s="133"/>
      <c r="M58" s="136" t="n">
        <v>134</v>
      </c>
      <c r="N58" s="136" t="n">
        <v>0.933</v>
      </c>
      <c r="O58" s="136" t="n">
        <v>0.933</v>
      </c>
      <c r="P58" s="136" t="n">
        <v>0.868</v>
      </c>
      <c r="Q58" s="136" t="n">
        <v>0.952</v>
      </c>
      <c r="R58" s="136" t="n">
        <v>1024679</v>
      </c>
      <c r="S58" s="136" t="n">
        <v>978480</v>
      </c>
      <c r="T58" s="8" t="n">
        <f aca="false">IF(I58="regional",IF(R58&gt;0,R58*0.2975,S58*0.3484),S58*0.1939)</f>
        <v>304842.0025</v>
      </c>
      <c r="U58" s="136" t="n">
        <v>685167</v>
      </c>
      <c r="V58" s="136" t="n">
        <v>293313</v>
      </c>
      <c r="W58" s="136" t="n">
        <v>6030</v>
      </c>
      <c r="X58" s="136" t="n">
        <v>0</v>
      </c>
      <c r="Y58" s="136" t="n">
        <v>0</v>
      </c>
      <c r="Z58" s="136" t="n">
        <v>0</v>
      </c>
      <c r="AA58" s="136" t="n">
        <v>1283322.003</v>
      </c>
      <c r="AB58" s="136" t="n">
        <v>304842.0025</v>
      </c>
      <c r="AC58" s="136" t="n">
        <v>978480</v>
      </c>
      <c r="AD58" s="136" t="n">
        <v>0</v>
      </c>
      <c r="AE58" s="136" t="n">
        <v>0</v>
      </c>
      <c r="AF58" s="136" t="n">
        <v>0</v>
      </c>
      <c r="AG58" s="136" t="n">
        <v>978480</v>
      </c>
      <c r="AH58" s="136" t="n">
        <v>0</v>
      </c>
      <c r="AI58" s="136" t="n">
        <v>0</v>
      </c>
      <c r="AJ58" s="132" t="s">
        <v>707</v>
      </c>
      <c r="AK58" s="132" t="s">
        <v>714</v>
      </c>
      <c r="AL58" s="133" t="s">
        <v>48</v>
      </c>
      <c r="AM58" s="132"/>
      <c r="AN58" s="133" t="s">
        <v>215</v>
      </c>
      <c r="AO58" s="133" t="n">
        <v>304842.0025</v>
      </c>
      <c r="AP58" s="137" t="n">
        <f aca="false">AR58+AT58+AU58+AV58+AX58+AY58+AZ58+BD58+BF58+BG58+BH58+BJ58+BK58+(BL58+BM58+BN58)/1000+(0.1*BO58)</f>
        <v>231.2799</v>
      </c>
      <c r="AQ58" s="137" t="n">
        <f aca="false">AR58+AT58+AU58+AV58+AX58+AY58+AZ58+BB58+BC58+BD58+BF58+BG58+BH58+BJ58+BK58+(BL58+BM58+BN58)/1000+(0.1*BO58)</f>
        <v>257.2799</v>
      </c>
      <c r="AR58" s="131" t="n">
        <v>0</v>
      </c>
      <c r="AS58" s="131" t="n">
        <v>0</v>
      </c>
      <c r="AT58" s="131" t="n">
        <v>155</v>
      </c>
      <c r="AU58" s="131" t="n">
        <v>1</v>
      </c>
      <c r="AV58" s="131" t="n">
        <v>0</v>
      </c>
      <c r="AW58" s="131" t="n">
        <v>0</v>
      </c>
      <c r="AX58" s="131" t="n">
        <v>0</v>
      </c>
      <c r="AY58" s="131" t="n">
        <v>0</v>
      </c>
      <c r="AZ58" s="131" t="n">
        <v>0</v>
      </c>
      <c r="BA58" s="131" t="n">
        <v>0</v>
      </c>
      <c r="BB58" s="131" t="n">
        <v>26</v>
      </c>
      <c r="BC58" s="131" t="n">
        <v>0</v>
      </c>
      <c r="BD58" s="131" t="n">
        <v>0</v>
      </c>
      <c r="BE58" s="131" t="n">
        <v>0</v>
      </c>
      <c r="BF58" s="131" t="n">
        <v>0</v>
      </c>
      <c r="BG58" s="131" t="n">
        <v>0</v>
      </c>
      <c r="BH58" s="131" t="n">
        <v>0</v>
      </c>
      <c r="BI58" s="131" t="n">
        <v>0</v>
      </c>
      <c r="BJ58" s="131" t="n">
        <v>0</v>
      </c>
      <c r="BK58" s="131" t="n">
        <v>0</v>
      </c>
      <c r="BL58" s="131" t="n">
        <v>36252</v>
      </c>
      <c r="BM58" s="131" t="n">
        <v>0</v>
      </c>
      <c r="BN58" s="131" t="n">
        <v>0</v>
      </c>
      <c r="BO58" s="131" t="n">
        <v>390.279</v>
      </c>
      <c r="CC58" s="160"/>
      <c r="CD58" s="160"/>
      <c r="CE58" s="160"/>
      <c r="CF58" s="160"/>
      <c r="CG58" s="160"/>
      <c r="CH58" s="160"/>
      <c r="CI58" s="160"/>
      <c r="CJ58" s="160"/>
      <c r="CK58" s="160"/>
      <c r="CL58" s="160"/>
      <c r="CM58" s="160"/>
      <c r="CN58" s="160"/>
      <c r="CO58" s="160"/>
      <c r="CP58" s="160"/>
      <c r="CQ58" s="160"/>
      <c r="CR58" s="160"/>
      <c r="CS58" s="160"/>
      <c r="CT58" s="160"/>
      <c r="CU58" s="160"/>
      <c r="CV58" s="160"/>
      <c r="CW58" s="160"/>
      <c r="CX58" s="160"/>
      <c r="CY58" s="160"/>
      <c r="CZ58" s="160"/>
      <c r="DA58" s="160"/>
      <c r="DB58" s="160"/>
      <c r="DC58" s="160"/>
      <c r="DD58" s="160"/>
      <c r="DE58" s="160"/>
      <c r="DF58" s="160"/>
      <c r="DG58" s="160"/>
      <c r="DH58" s="160"/>
      <c r="DI58" s="160"/>
      <c r="DJ58" s="160"/>
      <c r="DK58" s="160"/>
      <c r="DL58" s="160"/>
      <c r="DM58" s="160"/>
      <c r="DN58" s="160"/>
      <c r="DO58" s="160"/>
      <c r="DP58" s="160"/>
      <c r="DQ58" s="160"/>
      <c r="DR58" s="160"/>
      <c r="DS58" s="160"/>
      <c r="DT58" s="160"/>
      <c r="DU58" s="160"/>
      <c r="DV58" s="160"/>
      <c r="DW58" s="160"/>
      <c r="DX58" s="160"/>
      <c r="DY58" s="160"/>
      <c r="DZ58" s="160"/>
      <c r="EA58" s="160"/>
      <c r="EB58" s="160"/>
      <c r="EC58" s="160"/>
      <c r="ED58" s="160"/>
      <c r="EE58" s="160"/>
      <c r="EF58" s="160"/>
      <c r="EG58" s="160"/>
      <c r="EH58" s="160"/>
      <c r="EI58" s="160"/>
      <c r="EJ58" s="160"/>
      <c r="EK58" s="160"/>
      <c r="EL58" s="160"/>
      <c r="EM58" s="160"/>
      <c r="EN58" s="160"/>
      <c r="EO58" s="160"/>
      <c r="EP58" s="160"/>
      <c r="EQ58" s="160"/>
      <c r="ER58" s="160"/>
      <c r="ES58" s="160"/>
      <c r="ET58" s="160"/>
      <c r="EU58" s="160"/>
      <c r="EV58" s="160"/>
      <c r="EW58" s="160"/>
      <c r="EX58" s="160"/>
      <c r="EY58" s="160"/>
      <c r="EZ58" s="160"/>
      <c r="FA58" s="160"/>
      <c r="FB58" s="160"/>
      <c r="FC58" s="160"/>
      <c r="FD58" s="160"/>
      <c r="FE58" s="160"/>
      <c r="FF58" s="160"/>
      <c r="FG58" s="160"/>
      <c r="FH58" s="160"/>
      <c r="FI58" s="160"/>
      <c r="FJ58" s="160"/>
      <c r="FK58" s="160"/>
      <c r="FL58" s="160"/>
      <c r="FM58" s="160"/>
      <c r="FN58" s="160"/>
      <c r="FO58" s="160"/>
      <c r="FP58" s="160"/>
      <c r="FQ58" s="160"/>
      <c r="FR58" s="160"/>
      <c r="FS58" s="160"/>
      <c r="FT58" s="160"/>
      <c r="FU58" s="160"/>
      <c r="FV58" s="160"/>
      <c r="FW58" s="160"/>
      <c r="FX58" s="160"/>
      <c r="FY58" s="160"/>
      <c r="FZ58" s="160"/>
      <c r="GA58" s="160"/>
      <c r="GB58" s="160"/>
      <c r="GC58" s="160"/>
      <c r="GD58" s="160"/>
      <c r="GE58" s="160"/>
      <c r="GF58" s="160"/>
      <c r="GG58" s="160"/>
      <c r="GH58" s="160"/>
      <c r="GI58" s="160"/>
      <c r="GJ58" s="160"/>
      <c r="GK58" s="160"/>
      <c r="GL58" s="160"/>
      <c r="GM58" s="160"/>
      <c r="GN58" s="160"/>
      <c r="GO58" s="160"/>
      <c r="GP58" s="160"/>
      <c r="GQ58" s="160"/>
      <c r="GR58" s="160"/>
      <c r="GS58" s="160"/>
      <c r="GT58" s="160"/>
      <c r="GU58" s="160"/>
    </row>
    <row r="59" customFormat="false" ht="15" hidden="false" customHeight="true" outlineLevel="0" collapsed="false">
      <c r="A59" s="131" t="n">
        <v>1101</v>
      </c>
      <c r="B59" s="131"/>
      <c r="C59" s="132" t="s">
        <v>676</v>
      </c>
      <c r="D59" s="133" t="s">
        <v>676</v>
      </c>
      <c r="E59" s="134" t="n">
        <f aca="false">IF(I59="regional",IF(R59*0.2975,S59*0.3484),S59*0.1939)</f>
        <v>46396.392</v>
      </c>
      <c r="F59" s="134" t="n">
        <v>0</v>
      </c>
      <c r="G59" s="135" t="n">
        <f aca="false">E59+F59</f>
        <v>46396.392</v>
      </c>
      <c r="H59" s="132" t="s">
        <v>49</v>
      </c>
      <c r="I59" s="133" t="s">
        <v>62</v>
      </c>
      <c r="J59" s="133"/>
      <c r="K59" s="133" t="s">
        <v>148</v>
      </c>
      <c r="L59" s="133"/>
      <c r="M59" s="136" t="n">
        <v>20</v>
      </c>
      <c r="N59" s="136" t="n">
        <v>0.955</v>
      </c>
      <c r="O59" s="136" t="n">
        <v>0.955</v>
      </c>
      <c r="P59" s="136" t="n">
        <v>0.941</v>
      </c>
      <c r="Q59" s="136" t="n">
        <v>0.924</v>
      </c>
      <c r="R59" s="136" t="n">
        <v>0</v>
      </c>
      <c r="S59" s="136" t="n">
        <v>239280</v>
      </c>
      <c r="T59" s="8" t="n">
        <f aca="false">IF(I59="regional",IF(R59&gt;0,R59*0.2975,S59*0.3484),S59*0.1939)</f>
        <v>46396.392</v>
      </c>
      <c r="U59" s="136" t="n">
        <v>178124</v>
      </c>
      <c r="V59" s="136" t="n">
        <v>61156</v>
      </c>
      <c r="W59" s="136" t="n">
        <v>1210</v>
      </c>
      <c r="X59" s="136" t="n">
        <v>0</v>
      </c>
      <c r="Y59" s="136" t="n">
        <v>0</v>
      </c>
      <c r="Z59" s="136" t="n">
        <v>0</v>
      </c>
      <c r="AA59" s="136" t="n">
        <v>285676.392</v>
      </c>
      <c r="AB59" s="136" t="n">
        <v>46396.392</v>
      </c>
      <c r="AC59" s="136" t="n">
        <v>239280</v>
      </c>
      <c r="AD59" s="136" t="n">
        <v>0</v>
      </c>
      <c r="AE59" s="136" t="n">
        <v>0</v>
      </c>
      <c r="AF59" s="136" t="n">
        <v>0</v>
      </c>
      <c r="AG59" s="136" t="n">
        <v>239280</v>
      </c>
      <c r="AH59" s="136" t="n">
        <v>0</v>
      </c>
      <c r="AI59" s="136" t="n">
        <v>0</v>
      </c>
      <c r="AJ59" s="132" t="s">
        <v>707</v>
      </c>
      <c r="AK59" s="132" t="s">
        <v>712</v>
      </c>
      <c r="AL59" s="133" t="s">
        <v>62</v>
      </c>
      <c r="AM59" s="132" t="s">
        <v>49</v>
      </c>
      <c r="AN59" s="133" t="s">
        <v>676</v>
      </c>
      <c r="AO59" s="133" t="n">
        <v>46396.392</v>
      </c>
      <c r="AP59" s="137" t="n">
        <f aca="false">AR59+AT59+AU59+AV59+AX59+AY59+AZ59+BD59+BF59+BG59+BH59+BJ59+BK59+(BL59+BM59+BN59)/1000+(0.1*BO59)</f>
        <v>13</v>
      </c>
      <c r="AQ59" s="137" t="n">
        <f aca="false">AR59+AT59+AU59+AV59+AX59+AY59+AZ59+BB59+BC59+BD59+BF59+BG59+BH59+BJ59+BK59+(BL59+BM59+BN59)/1000+(0.1*BO59)</f>
        <v>29</v>
      </c>
      <c r="AR59" s="131" t="n">
        <v>0</v>
      </c>
      <c r="AS59" s="131" t="n">
        <v>0</v>
      </c>
      <c r="AT59" s="131" t="n">
        <v>12</v>
      </c>
      <c r="AU59" s="131" t="n">
        <v>0</v>
      </c>
      <c r="AV59" s="131" t="n">
        <v>0</v>
      </c>
      <c r="AW59" s="131" t="n">
        <v>0</v>
      </c>
      <c r="AX59" s="131" t="n">
        <v>0</v>
      </c>
      <c r="AY59" s="131" t="n">
        <v>1</v>
      </c>
      <c r="AZ59" s="131" t="n">
        <v>0</v>
      </c>
      <c r="BA59" s="131" t="n">
        <v>6</v>
      </c>
      <c r="BB59" s="131" t="n">
        <v>16</v>
      </c>
      <c r="BC59" s="131" t="n">
        <v>0</v>
      </c>
      <c r="BD59" s="131" t="n">
        <v>0</v>
      </c>
      <c r="BE59" s="131" t="n">
        <v>0</v>
      </c>
      <c r="BF59" s="131" t="n">
        <v>0</v>
      </c>
      <c r="BG59" s="131" t="n">
        <v>0</v>
      </c>
      <c r="BH59" s="131" t="n">
        <v>0</v>
      </c>
      <c r="BI59" s="131" t="n">
        <v>0</v>
      </c>
      <c r="BJ59" s="131" t="n">
        <v>0</v>
      </c>
      <c r="BK59" s="131" t="n">
        <v>0</v>
      </c>
      <c r="BL59" s="131" t="n">
        <v>0</v>
      </c>
      <c r="BM59" s="131" t="n">
        <v>0</v>
      </c>
      <c r="BN59" s="131" t="n">
        <v>0</v>
      </c>
      <c r="BO59" s="131" t="n">
        <v>0</v>
      </c>
      <c r="CC59" s="160"/>
      <c r="CD59" s="160"/>
      <c r="CE59" s="160"/>
      <c r="CF59" s="160"/>
      <c r="CG59" s="160"/>
      <c r="CH59" s="160"/>
      <c r="CI59" s="160"/>
      <c r="CJ59" s="160"/>
      <c r="CK59" s="160"/>
      <c r="CL59" s="160"/>
      <c r="CM59" s="160"/>
      <c r="CN59" s="160"/>
      <c r="CO59" s="160"/>
      <c r="CP59" s="160"/>
      <c r="CQ59" s="160"/>
      <c r="CR59" s="160"/>
      <c r="CS59" s="160"/>
      <c r="CT59" s="160"/>
      <c r="CU59" s="160"/>
      <c r="CV59" s="160"/>
      <c r="CW59" s="160"/>
      <c r="CX59" s="160"/>
      <c r="CY59" s="160"/>
      <c r="CZ59" s="160"/>
      <c r="DA59" s="160"/>
      <c r="DB59" s="160"/>
      <c r="DC59" s="160"/>
      <c r="DD59" s="160"/>
      <c r="DE59" s="160"/>
      <c r="DF59" s="160"/>
      <c r="DG59" s="160"/>
      <c r="DH59" s="160"/>
      <c r="DI59" s="160"/>
      <c r="DJ59" s="160"/>
      <c r="DK59" s="160"/>
      <c r="DL59" s="160"/>
      <c r="DM59" s="160"/>
      <c r="DN59" s="160"/>
      <c r="DO59" s="160"/>
      <c r="DP59" s="160"/>
      <c r="DQ59" s="160"/>
      <c r="DR59" s="160"/>
      <c r="DS59" s="160"/>
      <c r="DT59" s="160"/>
      <c r="DU59" s="160"/>
      <c r="DV59" s="160"/>
      <c r="DW59" s="160"/>
      <c r="DX59" s="160"/>
      <c r="DY59" s="160"/>
      <c r="DZ59" s="160"/>
      <c r="EA59" s="160"/>
      <c r="EB59" s="160"/>
      <c r="EC59" s="160"/>
      <c r="ED59" s="160"/>
      <c r="EE59" s="160"/>
      <c r="EF59" s="160"/>
      <c r="EG59" s="160"/>
      <c r="EH59" s="160"/>
      <c r="EI59" s="160"/>
      <c r="EJ59" s="160"/>
      <c r="EK59" s="160"/>
      <c r="EL59" s="160"/>
      <c r="EM59" s="160"/>
      <c r="EN59" s="160"/>
      <c r="EO59" s="160"/>
      <c r="EP59" s="160"/>
      <c r="EQ59" s="160"/>
      <c r="ER59" s="160"/>
      <c r="ES59" s="160"/>
      <c r="ET59" s="160"/>
      <c r="EU59" s="160"/>
      <c r="EV59" s="160"/>
      <c r="EW59" s="160"/>
      <c r="EX59" s="160"/>
      <c r="EY59" s="160"/>
      <c r="EZ59" s="160"/>
      <c r="FA59" s="160"/>
      <c r="FB59" s="160"/>
      <c r="FC59" s="160"/>
      <c r="FD59" s="160"/>
      <c r="FE59" s="160"/>
      <c r="FF59" s="160"/>
      <c r="FG59" s="160"/>
      <c r="FH59" s="160"/>
      <c r="FI59" s="160"/>
      <c r="FJ59" s="160"/>
      <c r="FK59" s="160"/>
      <c r="FL59" s="160"/>
      <c r="FM59" s="160"/>
      <c r="FN59" s="160"/>
      <c r="FO59" s="160"/>
      <c r="FP59" s="160"/>
      <c r="FQ59" s="160"/>
      <c r="FR59" s="160"/>
      <c r="FS59" s="160"/>
      <c r="FT59" s="160"/>
      <c r="FU59" s="160"/>
      <c r="FV59" s="160"/>
      <c r="FW59" s="160"/>
      <c r="FX59" s="160"/>
      <c r="FY59" s="160"/>
      <c r="FZ59" s="160"/>
      <c r="GA59" s="160"/>
      <c r="GB59" s="160"/>
      <c r="GC59" s="160"/>
      <c r="GD59" s="160"/>
      <c r="GE59" s="160"/>
      <c r="GF59" s="160"/>
      <c r="GG59" s="160"/>
      <c r="GH59" s="160"/>
      <c r="GI59" s="160"/>
      <c r="GJ59" s="160"/>
      <c r="GK59" s="160"/>
      <c r="GL59" s="160"/>
      <c r="GM59" s="160"/>
      <c r="GN59" s="160"/>
      <c r="GO59" s="160"/>
      <c r="GP59" s="160"/>
      <c r="GQ59" s="160"/>
      <c r="GR59" s="160"/>
      <c r="GS59" s="160"/>
      <c r="GT59" s="160"/>
      <c r="GU59" s="160"/>
    </row>
    <row r="60" customFormat="false" ht="15" hidden="false" customHeight="true" outlineLevel="0" collapsed="false">
      <c r="A60" s="131" t="n">
        <v>1116</v>
      </c>
      <c r="B60" s="131" t="s">
        <v>44</v>
      </c>
      <c r="C60" s="132" t="s">
        <v>221</v>
      </c>
      <c r="D60" s="133" t="s">
        <v>221</v>
      </c>
      <c r="E60" s="134" t="n">
        <f aca="false">IF(I60="regional",IF(R60*0.2975,S60*0.3484),S60*0.1939)</f>
        <v>286174.7148</v>
      </c>
      <c r="F60" s="134" t="n">
        <v>647222</v>
      </c>
      <c r="G60" s="135" t="n">
        <f aca="false">E60+F60</f>
        <v>933396.7148</v>
      </c>
      <c r="H60" s="132" t="s">
        <v>49</v>
      </c>
      <c r="I60" s="133" t="s">
        <v>48</v>
      </c>
      <c r="J60" s="133" t="s">
        <v>44</v>
      </c>
      <c r="K60" s="133" t="s">
        <v>223</v>
      </c>
      <c r="L60" s="133" t="s">
        <v>44</v>
      </c>
      <c r="M60" s="136" t="n">
        <v>162</v>
      </c>
      <c r="N60" s="136" t="n">
        <v>0.992</v>
      </c>
      <c r="O60" s="136" t="n">
        <v>0.996</v>
      </c>
      <c r="P60" s="136" t="n">
        <v>0.995</v>
      </c>
      <c r="Q60" s="136" t="n">
        <v>0.985</v>
      </c>
      <c r="R60" s="136" t="n">
        <v>1272159</v>
      </c>
      <c r="S60" s="136" t="n">
        <v>821397</v>
      </c>
      <c r="T60" s="8" t="n">
        <f aca="false">IF(I60="regional",IF(R60&gt;0,R60*0.2975,S60*0.3484),S60*0.1939)</f>
        <v>378467.3025</v>
      </c>
      <c r="U60" s="136" t="n">
        <v>472729</v>
      </c>
      <c r="V60" s="136" t="n">
        <v>348668</v>
      </c>
      <c r="W60" s="136" t="n">
        <v>4110</v>
      </c>
      <c r="X60" s="136" t="n">
        <v>1025689.303</v>
      </c>
      <c r="Y60" s="136" t="n">
        <v>378467.3025</v>
      </c>
      <c r="Z60" s="136" t="n">
        <v>647222</v>
      </c>
      <c r="AA60" s="136" t="n">
        <v>174175</v>
      </c>
      <c r="AB60" s="136" t="n">
        <v>0</v>
      </c>
      <c r="AC60" s="136" t="n">
        <v>174175</v>
      </c>
      <c r="AD60" s="136" t="n">
        <v>647222</v>
      </c>
      <c r="AE60" s="136" t="n">
        <v>0</v>
      </c>
      <c r="AF60" s="136" t="n">
        <v>174175</v>
      </c>
      <c r="AG60" s="136" t="n">
        <v>0</v>
      </c>
      <c r="AH60" s="136" t="n">
        <v>857000</v>
      </c>
      <c r="AI60" s="136" t="n">
        <v>518000</v>
      </c>
      <c r="AJ60" s="132" t="s">
        <v>707</v>
      </c>
      <c r="AK60" s="132" t="s">
        <v>712</v>
      </c>
      <c r="AL60" s="133" t="s">
        <v>48</v>
      </c>
      <c r="AM60" s="132" t="s">
        <v>49</v>
      </c>
      <c r="AN60" s="133" t="s">
        <v>221</v>
      </c>
      <c r="AO60" s="133" t="n">
        <v>1025689.3025</v>
      </c>
      <c r="AP60" s="137" t="n">
        <f aca="false">AR60+AT60+AU60+AV60+AX60+AY60+AZ60+BD60+BF60+BG60+BH60+BJ60+BK60+(BL60+BM60+BN60)/1000+(0.1*BO60)</f>
        <v>1051.5845</v>
      </c>
      <c r="AQ60" s="137" t="n">
        <f aca="false">AR60+AT60+AU60+AV60+AX60+AY60+AZ60+BB60+BC60+BD60+BF60+BG60+BH60+BJ60+BK60+(BL60+BM60+BN60)/1000+(0.1*BO60)</f>
        <v>1196.5845</v>
      </c>
      <c r="AR60" s="131" t="n">
        <v>364</v>
      </c>
      <c r="AS60" s="131" t="n">
        <v>518</v>
      </c>
      <c r="AT60" s="131" t="n">
        <v>235</v>
      </c>
      <c r="AU60" s="131" t="n">
        <v>0</v>
      </c>
      <c r="AV60" s="131" t="n">
        <v>5</v>
      </c>
      <c r="AW60" s="131" t="n">
        <v>86</v>
      </c>
      <c r="AX60" s="131" t="n">
        <v>0</v>
      </c>
      <c r="AY60" s="131" t="n">
        <v>0</v>
      </c>
      <c r="AZ60" s="131" t="n">
        <v>9</v>
      </c>
      <c r="BA60" s="131" t="n">
        <v>66</v>
      </c>
      <c r="BB60" s="131" t="n">
        <v>145</v>
      </c>
      <c r="BC60" s="131" t="n">
        <v>0</v>
      </c>
      <c r="BD60" s="131" t="n">
        <v>102</v>
      </c>
      <c r="BE60" s="131" t="n">
        <v>0</v>
      </c>
      <c r="BF60" s="131" t="n">
        <v>0</v>
      </c>
      <c r="BG60" s="131" t="n">
        <v>0</v>
      </c>
      <c r="BH60" s="131" t="n">
        <v>140</v>
      </c>
      <c r="BI60" s="131" t="n">
        <v>0</v>
      </c>
      <c r="BJ60" s="131" t="n">
        <v>0</v>
      </c>
      <c r="BK60" s="131" t="n">
        <v>0</v>
      </c>
      <c r="BL60" s="131" t="n">
        <v>2010</v>
      </c>
      <c r="BM60" s="131" t="n">
        <v>25000</v>
      </c>
      <c r="BN60" s="131" t="n">
        <v>0</v>
      </c>
      <c r="BO60" s="131" t="n">
        <v>1695.745</v>
      </c>
      <c r="CC60" s="160"/>
      <c r="CD60" s="160"/>
      <c r="CE60" s="160"/>
      <c r="CF60" s="160"/>
      <c r="CG60" s="160"/>
      <c r="CH60" s="160"/>
      <c r="CI60" s="160"/>
      <c r="CJ60" s="160"/>
      <c r="CK60" s="160"/>
      <c r="CL60" s="160"/>
      <c r="CM60" s="160"/>
      <c r="CN60" s="160"/>
      <c r="CO60" s="160"/>
      <c r="CP60" s="160"/>
      <c r="CQ60" s="160"/>
      <c r="CR60" s="160"/>
      <c r="CS60" s="160"/>
      <c r="CT60" s="160"/>
      <c r="CU60" s="160"/>
      <c r="CV60" s="160"/>
      <c r="CW60" s="160"/>
      <c r="CX60" s="160"/>
      <c r="CY60" s="160"/>
      <c r="CZ60" s="160"/>
      <c r="DA60" s="160"/>
      <c r="DB60" s="160"/>
      <c r="DC60" s="160"/>
      <c r="DD60" s="160"/>
      <c r="DE60" s="160"/>
      <c r="DF60" s="160"/>
      <c r="DG60" s="160"/>
      <c r="DH60" s="160"/>
      <c r="DI60" s="160"/>
      <c r="DJ60" s="160"/>
      <c r="DK60" s="160"/>
      <c r="DL60" s="160"/>
      <c r="DM60" s="160"/>
      <c r="DN60" s="160"/>
      <c r="DO60" s="160"/>
      <c r="DP60" s="160"/>
      <c r="DQ60" s="160"/>
      <c r="DR60" s="160"/>
      <c r="DS60" s="160"/>
      <c r="DT60" s="160"/>
      <c r="DU60" s="160"/>
      <c r="DV60" s="160"/>
      <c r="DW60" s="160"/>
      <c r="DX60" s="160"/>
      <c r="DY60" s="160"/>
      <c r="DZ60" s="160"/>
      <c r="EA60" s="160"/>
      <c r="EB60" s="160"/>
      <c r="EC60" s="160"/>
      <c r="ED60" s="160"/>
      <c r="EE60" s="160"/>
      <c r="EF60" s="160"/>
      <c r="EG60" s="160"/>
      <c r="EH60" s="160"/>
      <c r="EI60" s="160"/>
      <c r="EJ60" s="160"/>
      <c r="EK60" s="160"/>
      <c r="EL60" s="160"/>
      <c r="EM60" s="160"/>
      <c r="EN60" s="160"/>
      <c r="EO60" s="160"/>
      <c r="EP60" s="160"/>
      <c r="EQ60" s="160"/>
      <c r="ER60" s="160"/>
      <c r="ES60" s="160"/>
      <c r="ET60" s="160"/>
      <c r="EU60" s="160"/>
      <c r="EV60" s="160"/>
      <c r="EW60" s="160"/>
      <c r="EX60" s="160"/>
      <c r="EY60" s="160"/>
      <c r="EZ60" s="160"/>
      <c r="FA60" s="160"/>
      <c r="FB60" s="160"/>
      <c r="FC60" s="160"/>
      <c r="FD60" s="160"/>
      <c r="FE60" s="160"/>
      <c r="FF60" s="160"/>
      <c r="FG60" s="160"/>
      <c r="FH60" s="160"/>
      <c r="FI60" s="160"/>
      <c r="FJ60" s="160"/>
      <c r="FK60" s="160"/>
      <c r="FL60" s="160"/>
      <c r="FM60" s="160"/>
      <c r="FN60" s="160"/>
      <c r="FO60" s="160"/>
      <c r="FP60" s="160"/>
      <c r="FQ60" s="160"/>
      <c r="FR60" s="160"/>
      <c r="FS60" s="160"/>
      <c r="FT60" s="160"/>
      <c r="FU60" s="160"/>
      <c r="FV60" s="160"/>
      <c r="FW60" s="160"/>
      <c r="FX60" s="160"/>
      <c r="FY60" s="160"/>
      <c r="FZ60" s="160"/>
      <c r="GA60" s="160"/>
      <c r="GB60" s="160"/>
      <c r="GC60" s="160"/>
      <c r="GD60" s="160"/>
      <c r="GE60" s="160"/>
      <c r="GF60" s="160"/>
      <c r="GG60" s="160"/>
      <c r="GH60" s="160"/>
      <c r="GI60" s="160"/>
      <c r="GJ60" s="160"/>
      <c r="GK60" s="160"/>
      <c r="GL60" s="160"/>
      <c r="GM60" s="160"/>
      <c r="GN60" s="160"/>
      <c r="GO60" s="160"/>
      <c r="GP60" s="160"/>
      <c r="GQ60" s="160"/>
      <c r="GR60" s="160"/>
      <c r="GS60" s="160"/>
      <c r="GT60" s="160"/>
      <c r="GU60" s="160"/>
    </row>
    <row r="61" customFormat="false" ht="15" hidden="false" customHeight="true" outlineLevel="0" collapsed="false">
      <c r="A61" s="131" t="n">
        <v>2110</v>
      </c>
      <c r="B61" s="131"/>
      <c r="C61" s="132" t="s">
        <v>226</v>
      </c>
      <c r="D61" s="133" t="s">
        <v>226</v>
      </c>
      <c r="E61" s="134" t="n">
        <f aca="false">IF(I61="regional",IF(R61*0.2975,S61*0.3484),S61*0.1939)</f>
        <v>208009.0844</v>
      </c>
      <c r="F61" s="134" t="n">
        <v>0</v>
      </c>
      <c r="G61" s="135" t="n">
        <f aca="false">E61+F61</f>
        <v>208009.0844</v>
      </c>
      <c r="H61" s="132"/>
      <c r="I61" s="133" t="s">
        <v>48</v>
      </c>
      <c r="J61" s="133"/>
      <c r="K61" s="133"/>
      <c r="L61" s="133"/>
      <c r="M61" s="136" t="n">
        <v>100</v>
      </c>
      <c r="N61" s="136" t="n">
        <v>0.705</v>
      </c>
      <c r="O61" s="136" t="n">
        <v>0.717</v>
      </c>
      <c r="P61" s="136" t="n">
        <v>0.746</v>
      </c>
      <c r="Q61" s="136" t="n">
        <v>0.736</v>
      </c>
      <c r="R61" s="136" t="n">
        <v>774371</v>
      </c>
      <c r="S61" s="136" t="n">
        <v>597041</v>
      </c>
      <c r="T61" s="8" t="n">
        <f aca="false">IF(I61="regional",IF(R61&gt;0,R61*0.2975,S61*0.3484),S61*0.1939)</f>
        <v>230375.3725</v>
      </c>
      <c r="U61" s="136" t="n">
        <v>249721</v>
      </c>
      <c r="V61" s="136" t="n">
        <v>347320</v>
      </c>
      <c r="W61" s="136" t="n">
        <v>3559</v>
      </c>
      <c r="X61" s="136" t="n">
        <v>0</v>
      </c>
      <c r="Y61" s="136" t="n">
        <v>0</v>
      </c>
      <c r="Z61" s="136" t="n">
        <v>0</v>
      </c>
      <c r="AA61" s="136" t="n">
        <v>827416.3725</v>
      </c>
      <c r="AB61" s="136" t="n">
        <v>230375.3725</v>
      </c>
      <c r="AC61" s="136" t="n">
        <v>597041</v>
      </c>
      <c r="AD61" s="136" t="n">
        <v>0</v>
      </c>
      <c r="AE61" s="136" t="n">
        <v>0</v>
      </c>
      <c r="AF61" s="136" t="n">
        <v>0</v>
      </c>
      <c r="AG61" s="136" t="n">
        <v>597041</v>
      </c>
      <c r="AH61" s="136" t="n">
        <v>0</v>
      </c>
      <c r="AI61" s="136" t="n">
        <v>0</v>
      </c>
      <c r="AJ61" s="132" t="n">
        <v>4</v>
      </c>
      <c r="AK61" s="132" t="s">
        <v>720</v>
      </c>
      <c r="AL61" s="133" t="s">
        <v>48</v>
      </c>
      <c r="AM61" s="132"/>
      <c r="AN61" s="133" t="s">
        <v>226</v>
      </c>
      <c r="AO61" s="133" t="n">
        <v>230375.3725</v>
      </c>
      <c r="AP61" s="137" t="n">
        <f aca="false">AR61+AT61+AU61+AV61+AX61+AY61+AZ61+BD61+BF61+BG61+BH61+BJ61+BK61+(BL61+BM61+BN61)/1000+(0.1*BO61)</f>
        <v>114</v>
      </c>
      <c r="AQ61" s="137" t="n">
        <f aca="false">AR61+AT61+AU61+AV61+AX61+AY61+AZ61+BB61+BC61+BD61+BF61+BG61+BH61+BJ61+BK61+(BL61+BM61+BN61)/1000+(0.1*BO61)</f>
        <v>124</v>
      </c>
      <c r="AR61" s="161" t="n">
        <v>0</v>
      </c>
      <c r="AS61" s="161" t="n">
        <v>0</v>
      </c>
      <c r="AT61" s="161" t="n">
        <v>107</v>
      </c>
      <c r="AU61" s="161" t="n">
        <v>7</v>
      </c>
      <c r="AV61" s="131" t="n">
        <v>0</v>
      </c>
      <c r="AW61" s="131" t="n">
        <v>0</v>
      </c>
      <c r="AX61" s="131" t="n">
        <v>0</v>
      </c>
      <c r="AY61" s="131" t="n">
        <v>0</v>
      </c>
      <c r="AZ61" s="162" t="n">
        <v>0</v>
      </c>
      <c r="BA61" s="162" t="n">
        <v>0</v>
      </c>
      <c r="BB61" s="162" t="n">
        <v>8</v>
      </c>
      <c r="BC61" s="162" t="n">
        <v>2</v>
      </c>
      <c r="BD61" s="131" t="n">
        <v>0</v>
      </c>
      <c r="BE61" s="131" t="n">
        <v>0</v>
      </c>
      <c r="BF61" s="131" t="n">
        <v>0</v>
      </c>
      <c r="BG61" s="131" t="n">
        <v>0</v>
      </c>
      <c r="BH61" s="131" t="n">
        <v>0</v>
      </c>
      <c r="BI61" s="131" t="n">
        <v>0</v>
      </c>
      <c r="BJ61" s="131" t="n">
        <v>0</v>
      </c>
      <c r="BK61" s="131" t="n">
        <v>0</v>
      </c>
      <c r="BL61" s="131" t="n">
        <v>0</v>
      </c>
      <c r="BM61" s="131" t="n">
        <v>0</v>
      </c>
      <c r="BN61" s="131" t="n">
        <v>0</v>
      </c>
      <c r="BO61" s="131" t="n">
        <v>0</v>
      </c>
      <c r="CC61" s="160"/>
      <c r="CD61" s="160"/>
      <c r="CE61" s="160"/>
      <c r="CF61" s="160"/>
      <c r="CG61" s="160"/>
      <c r="CH61" s="160"/>
      <c r="CI61" s="160"/>
      <c r="CJ61" s="160"/>
      <c r="CK61" s="160"/>
      <c r="CL61" s="160"/>
      <c r="CM61" s="160"/>
      <c r="CN61" s="160"/>
      <c r="CO61" s="160"/>
      <c r="CP61" s="160"/>
      <c r="CQ61" s="160"/>
      <c r="CR61" s="160"/>
      <c r="CS61" s="160"/>
      <c r="CT61" s="160"/>
      <c r="CU61" s="160"/>
      <c r="CV61" s="160"/>
      <c r="CW61" s="160"/>
      <c r="CX61" s="160"/>
      <c r="CY61" s="160"/>
      <c r="CZ61" s="160"/>
      <c r="DA61" s="160"/>
      <c r="DB61" s="160"/>
      <c r="DC61" s="160"/>
      <c r="DD61" s="160"/>
      <c r="DE61" s="160"/>
      <c r="DF61" s="160"/>
      <c r="DG61" s="160"/>
      <c r="DH61" s="160"/>
      <c r="DI61" s="160"/>
      <c r="DJ61" s="160"/>
      <c r="DK61" s="160"/>
      <c r="DL61" s="160"/>
      <c r="DM61" s="160"/>
      <c r="DN61" s="160"/>
      <c r="DO61" s="160"/>
      <c r="DP61" s="160"/>
      <c r="DQ61" s="160"/>
      <c r="DR61" s="160"/>
      <c r="DS61" s="160"/>
      <c r="DT61" s="160"/>
      <c r="DU61" s="160"/>
      <c r="DV61" s="160"/>
      <c r="DW61" s="160"/>
      <c r="DX61" s="160"/>
      <c r="DY61" s="160"/>
      <c r="DZ61" s="160"/>
      <c r="EA61" s="160"/>
      <c r="EB61" s="160"/>
      <c r="EC61" s="160"/>
      <c r="ED61" s="160"/>
      <c r="EE61" s="160"/>
      <c r="EF61" s="160"/>
      <c r="EG61" s="160"/>
      <c r="EH61" s="160"/>
      <c r="EI61" s="160"/>
      <c r="EJ61" s="160"/>
      <c r="EK61" s="160"/>
      <c r="EL61" s="160"/>
      <c r="EM61" s="160"/>
      <c r="EN61" s="160"/>
      <c r="EO61" s="160"/>
      <c r="EP61" s="160"/>
      <c r="EQ61" s="160"/>
      <c r="ER61" s="160"/>
      <c r="ES61" s="160"/>
      <c r="ET61" s="160"/>
      <c r="EU61" s="160"/>
      <c r="EV61" s="160"/>
      <c r="EW61" s="160"/>
      <c r="EX61" s="160"/>
      <c r="EY61" s="160"/>
      <c r="EZ61" s="160"/>
      <c r="FA61" s="160"/>
      <c r="FB61" s="160"/>
      <c r="FC61" s="160"/>
      <c r="FD61" s="160"/>
      <c r="FE61" s="160"/>
      <c r="FF61" s="160"/>
      <c r="FG61" s="160"/>
      <c r="FH61" s="160"/>
      <c r="FI61" s="160"/>
      <c r="FJ61" s="160"/>
      <c r="FK61" s="160"/>
      <c r="FL61" s="160"/>
      <c r="FM61" s="160"/>
      <c r="FN61" s="160"/>
      <c r="FO61" s="160"/>
      <c r="FP61" s="160"/>
      <c r="FQ61" s="160"/>
      <c r="FR61" s="160"/>
      <c r="FS61" s="160"/>
      <c r="FT61" s="160"/>
      <c r="FU61" s="160"/>
      <c r="FV61" s="160"/>
      <c r="FW61" s="160"/>
      <c r="FX61" s="160"/>
      <c r="FY61" s="160"/>
      <c r="FZ61" s="160"/>
      <c r="GA61" s="160"/>
      <c r="GB61" s="160"/>
      <c r="GC61" s="160"/>
      <c r="GD61" s="160"/>
      <c r="GE61" s="160"/>
      <c r="GF61" s="160"/>
      <c r="GG61" s="160"/>
      <c r="GH61" s="160"/>
      <c r="GI61" s="160"/>
      <c r="GJ61" s="160"/>
      <c r="GK61" s="160"/>
      <c r="GL61" s="160"/>
      <c r="GM61" s="160"/>
      <c r="GN61" s="160"/>
      <c r="GO61" s="160"/>
      <c r="GP61" s="160"/>
      <c r="GQ61" s="160"/>
      <c r="GR61" s="160"/>
      <c r="GS61" s="160"/>
      <c r="GT61" s="160"/>
      <c r="GU61" s="160"/>
    </row>
    <row r="62" customFormat="false" ht="15" hidden="false" customHeight="true" outlineLevel="0" collapsed="false">
      <c r="A62" s="131" t="n">
        <v>8544</v>
      </c>
      <c r="B62" s="131"/>
      <c r="C62" s="132" t="s">
        <v>227</v>
      </c>
      <c r="D62" s="133" t="s">
        <v>227</v>
      </c>
      <c r="E62" s="134" t="n">
        <f aca="false">IF(I62="regional",IF(R62*0.2975,S62*0.3484),S62*0.1939)</f>
        <v>390092.3312</v>
      </c>
      <c r="F62" s="134" t="n">
        <v>0</v>
      </c>
      <c r="G62" s="135" t="n">
        <f aca="false">E62+F62</f>
        <v>390092.3312</v>
      </c>
      <c r="H62" s="132" t="s">
        <v>49</v>
      </c>
      <c r="I62" s="133" t="s">
        <v>48</v>
      </c>
      <c r="J62" s="133"/>
      <c r="K62" s="133" t="s">
        <v>229</v>
      </c>
      <c r="L62" s="133"/>
      <c r="M62" s="136" t="n">
        <v>177</v>
      </c>
      <c r="N62" s="136" t="n">
        <v>0.941</v>
      </c>
      <c r="O62" s="136" t="n">
        <v>0.955</v>
      </c>
      <c r="P62" s="136" t="n">
        <v>0.973</v>
      </c>
      <c r="Q62" s="136" t="n">
        <v>0.962</v>
      </c>
      <c r="R62" s="136" t="n">
        <v>1160738</v>
      </c>
      <c r="S62" s="136" t="n">
        <v>1119668</v>
      </c>
      <c r="T62" s="8" t="n">
        <f aca="false">IF(I62="regional",IF(R62&gt;0,R62*0.2975,S62*0.3484),S62*0.1939)</f>
        <v>345319.555</v>
      </c>
      <c r="U62" s="136" t="n">
        <v>741368</v>
      </c>
      <c r="V62" s="136" t="n">
        <v>378300</v>
      </c>
      <c r="W62" s="136" t="n">
        <v>5600</v>
      </c>
      <c r="X62" s="136" t="n">
        <v>0</v>
      </c>
      <c r="Y62" s="136" t="n">
        <v>0</v>
      </c>
      <c r="Z62" s="136" t="n">
        <v>0</v>
      </c>
      <c r="AA62" s="136" t="n">
        <v>1464987.555</v>
      </c>
      <c r="AB62" s="136" t="n">
        <v>345319.555</v>
      </c>
      <c r="AC62" s="136" t="n">
        <v>1119668</v>
      </c>
      <c r="AD62" s="136" t="n">
        <v>0</v>
      </c>
      <c r="AE62" s="136" t="n">
        <v>0</v>
      </c>
      <c r="AF62" s="136" t="n">
        <v>0</v>
      </c>
      <c r="AG62" s="136" t="n">
        <v>1119668</v>
      </c>
      <c r="AH62" s="136" t="n">
        <v>0</v>
      </c>
      <c r="AI62" s="136" t="n">
        <v>0</v>
      </c>
      <c r="AJ62" s="132" t="s">
        <v>707</v>
      </c>
      <c r="AK62" s="132" t="s">
        <v>714</v>
      </c>
      <c r="AL62" s="133" t="s">
        <v>48</v>
      </c>
      <c r="AM62" s="132" t="s">
        <v>49</v>
      </c>
      <c r="AN62" s="133" t="s">
        <v>227</v>
      </c>
      <c r="AO62" s="133" t="n">
        <v>345319.555</v>
      </c>
      <c r="AP62" s="137" t="n">
        <f aca="false">AR62+AT62+AU62+AV62+AX62+AY62+AZ62+BD62+BF62+BG62+BH62+BJ62+BK62+(BL62+BM62+BN62)/1000+(0.1*BO62)</f>
        <v>472.1234</v>
      </c>
      <c r="AQ62" s="137" t="n">
        <f aca="false">AR62+AT62+AU62+AV62+AX62+AY62+AZ62+BB62+BC62+BD62+BF62+BG62+BH62+BJ62+BK62+(BL62+BM62+BN62)/1000+(0.1*BO62)</f>
        <v>514.1234</v>
      </c>
      <c r="AR62" s="131" t="n">
        <v>0</v>
      </c>
      <c r="AS62" s="131" t="n">
        <v>0</v>
      </c>
      <c r="AT62" s="131" t="n">
        <v>344</v>
      </c>
      <c r="AU62" s="131" t="n">
        <v>0</v>
      </c>
      <c r="AV62" s="131" t="n">
        <v>0</v>
      </c>
      <c r="AW62" s="131" t="n">
        <v>0</v>
      </c>
      <c r="AX62" s="131" t="n">
        <v>0</v>
      </c>
      <c r="AY62" s="131" t="n">
        <v>0</v>
      </c>
      <c r="AZ62" s="131" t="n">
        <v>0</v>
      </c>
      <c r="BA62" s="131" t="n">
        <v>0</v>
      </c>
      <c r="BB62" s="131" t="n">
        <v>42</v>
      </c>
      <c r="BC62" s="131" t="n">
        <v>0</v>
      </c>
      <c r="BD62" s="131" t="n">
        <v>0</v>
      </c>
      <c r="BE62" s="131" t="n">
        <v>0</v>
      </c>
      <c r="BF62" s="131" t="n">
        <v>0</v>
      </c>
      <c r="BG62" s="131" t="n">
        <v>0</v>
      </c>
      <c r="BH62" s="131" t="n">
        <v>0</v>
      </c>
      <c r="BI62" s="131" t="n">
        <v>0</v>
      </c>
      <c r="BJ62" s="131" t="n">
        <v>0</v>
      </c>
      <c r="BK62" s="131" t="n">
        <v>0</v>
      </c>
      <c r="BL62" s="131" t="n">
        <v>0</v>
      </c>
      <c r="BM62" s="131" t="n">
        <v>0</v>
      </c>
      <c r="BN62" s="131" t="n">
        <v>0</v>
      </c>
      <c r="BO62" s="131" t="n">
        <v>1281.234</v>
      </c>
      <c r="CC62" s="160"/>
      <c r="CD62" s="160"/>
      <c r="CE62" s="160"/>
      <c r="CF62" s="160"/>
      <c r="CG62" s="160"/>
      <c r="CH62" s="160"/>
      <c r="CI62" s="160"/>
      <c r="CJ62" s="160"/>
      <c r="CK62" s="160"/>
      <c r="CL62" s="160"/>
      <c r="CM62" s="160"/>
      <c r="CN62" s="160"/>
      <c r="CO62" s="160"/>
      <c r="CP62" s="160"/>
      <c r="CQ62" s="160"/>
      <c r="CR62" s="160"/>
      <c r="CS62" s="160"/>
      <c r="CT62" s="160"/>
      <c r="CU62" s="160"/>
      <c r="CV62" s="160"/>
      <c r="CW62" s="160"/>
      <c r="CX62" s="160"/>
      <c r="CY62" s="160"/>
      <c r="CZ62" s="160"/>
      <c r="DA62" s="160"/>
      <c r="DB62" s="160"/>
      <c r="DC62" s="160"/>
      <c r="DD62" s="160"/>
      <c r="DE62" s="160"/>
      <c r="DF62" s="160"/>
      <c r="DG62" s="160"/>
      <c r="DH62" s="160"/>
      <c r="DI62" s="160"/>
      <c r="DJ62" s="160"/>
      <c r="DK62" s="160"/>
      <c r="DL62" s="160"/>
      <c r="DM62" s="160"/>
      <c r="DN62" s="160"/>
      <c r="DO62" s="160"/>
      <c r="DP62" s="160"/>
      <c r="DQ62" s="160"/>
      <c r="DR62" s="160"/>
      <c r="DS62" s="160"/>
      <c r="DT62" s="160"/>
      <c r="DU62" s="160"/>
      <c r="DV62" s="160"/>
      <c r="DW62" s="160"/>
      <c r="DX62" s="160"/>
      <c r="DY62" s="160"/>
      <c r="DZ62" s="160"/>
      <c r="EA62" s="160"/>
      <c r="EB62" s="160"/>
      <c r="EC62" s="160"/>
      <c r="ED62" s="160"/>
      <c r="EE62" s="160"/>
      <c r="EF62" s="160"/>
      <c r="EG62" s="160"/>
      <c r="EH62" s="160"/>
      <c r="EI62" s="160"/>
      <c r="EJ62" s="160"/>
      <c r="EK62" s="160"/>
      <c r="EL62" s="160"/>
      <c r="EM62" s="160"/>
      <c r="EN62" s="160"/>
      <c r="EO62" s="160"/>
      <c r="EP62" s="160"/>
      <c r="EQ62" s="160"/>
      <c r="ER62" s="160"/>
      <c r="ES62" s="160"/>
      <c r="ET62" s="160"/>
      <c r="EU62" s="160"/>
      <c r="EV62" s="160"/>
      <c r="EW62" s="160"/>
      <c r="EX62" s="160"/>
      <c r="EY62" s="160"/>
      <c r="EZ62" s="160"/>
      <c r="FA62" s="160"/>
      <c r="FB62" s="160"/>
      <c r="FC62" s="160"/>
      <c r="FD62" s="160"/>
      <c r="FE62" s="160"/>
      <c r="FF62" s="160"/>
      <c r="FG62" s="160"/>
      <c r="FH62" s="160"/>
      <c r="FI62" s="160"/>
      <c r="FJ62" s="160"/>
      <c r="FK62" s="160"/>
      <c r="FL62" s="160"/>
      <c r="FM62" s="160"/>
      <c r="FN62" s="160"/>
      <c r="FO62" s="160"/>
      <c r="FP62" s="160"/>
      <c r="FQ62" s="160"/>
      <c r="FR62" s="160"/>
      <c r="FS62" s="160"/>
      <c r="FT62" s="160"/>
      <c r="FU62" s="160"/>
      <c r="FV62" s="160"/>
      <c r="FW62" s="160"/>
      <c r="FX62" s="160"/>
      <c r="FY62" s="160"/>
      <c r="FZ62" s="160"/>
      <c r="GA62" s="160"/>
      <c r="GB62" s="160"/>
      <c r="GC62" s="160"/>
      <c r="GD62" s="160"/>
      <c r="GE62" s="160"/>
      <c r="GF62" s="160"/>
      <c r="GG62" s="160"/>
      <c r="GH62" s="160"/>
      <c r="GI62" s="160"/>
      <c r="GJ62" s="160"/>
      <c r="GK62" s="160"/>
      <c r="GL62" s="160"/>
      <c r="GM62" s="160"/>
      <c r="GN62" s="160"/>
      <c r="GO62" s="160"/>
      <c r="GP62" s="160"/>
      <c r="GQ62" s="160"/>
      <c r="GR62" s="160"/>
      <c r="GS62" s="160"/>
      <c r="GT62" s="160"/>
      <c r="GU62" s="160"/>
    </row>
    <row r="63" customFormat="false" ht="15" hidden="false" customHeight="true" outlineLevel="0" collapsed="false">
      <c r="A63" s="131" t="n">
        <v>1118</v>
      </c>
      <c r="B63" s="131"/>
      <c r="C63" s="132" t="s">
        <v>230</v>
      </c>
      <c r="D63" s="133" t="s">
        <v>230</v>
      </c>
      <c r="E63" s="134" t="n">
        <f aca="false">IF(I63="regional",IF(R63*0.2975,S63*0.3484),S63*0.1939)</f>
        <v>167289.8344</v>
      </c>
      <c r="F63" s="134" t="n">
        <v>0</v>
      </c>
      <c r="G63" s="135" t="n">
        <f aca="false">E63+F63</f>
        <v>167289.8344</v>
      </c>
      <c r="H63" s="132"/>
      <c r="I63" s="133" t="s">
        <v>48</v>
      </c>
      <c r="J63" s="133" t="s">
        <v>49</v>
      </c>
      <c r="K63" s="133" t="s">
        <v>232</v>
      </c>
      <c r="L63" s="133"/>
      <c r="M63" s="136" t="n">
        <v>58</v>
      </c>
      <c r="N63" s="136" t="n">
        <v>0.886</v>
      </c>
      <c r="O63" s="136" t="n">
        <v>0.93</v>
      </c>
      <c r="P63" s="136" t="n">
        <v>0.92</v>
      </c>
      <c r="Q63" s="136" t="n">
        <v>0.833</v>
      </c>
      <c r="R63" s="136" t="n">
        <v>553329</v>
      </c>
      <c r="S63" s="136" t="n">
        <v>480166</v>
      </c>
      <c r="T63" s="8" t="n">
        <f aca="false">IF(I63="regional",IF(R63&gt;0,R63*0.2975,S63*0.3484),S63*0.1939)</f>
        <v>164615.3775</v>
      </c>
      <c r="U63" s="136" t="n">
        <v>299960</v>
      </c>
      <c r="V63" s="136" t="n">
        <v>180206</v>
      </c>
      <c r="W63" s="136" t="n">
        <v>2794</v>
      </c>
      <c r="X63" s="136" t="n">
        <v>0</v>
      </c>
      <c r="Y63" s="136" t="n">
        <v>0</v>
      </c>
      <c r="Z63" s="136" t="n">
        <v>0</v>
      </c>
      <c r="AA63" s="136" t="n">
        <v>644781.3775</v>
      </c>
      <c r="AB63" s="136" t="n">
        <v>164615.3775</v>
      </c>
      <c r="AC63" s="136" t="n">
        <v>480166</v>
      </c>
      <c r="AD63" s="136" t="n">
        <v>0</v>
      </c>
      <c r="AE63" s="136" t="n">
        <v>0</v>
      </c>
      <c r="AF63" s="136" t="n">
        <v>0</v>
      </c>
      <c r="AG63" s="136" t="n">
        <v>480166</v>
      </c>
      <c r="AH63" s="136" t="n">
        <v>0</v>
      </c>
      <c r="AI63" s="136" t="n">
        <v>0</v>
      </c>
      <c r="AJ63" s="132" t="n">
        <v>4</v>
      </c>
      <c r="AK63" s="132" t="s">
        <v>706</v>
      </c>
      <c r="AL63" s="133" t="s">
        <v>48</v>
      </c>
      <c r="AM63" s="132"/>
      <c r="AN63" s="133" t="s">
        <v>230</v>
      </c>
      <c r="AO63" s="133" t="n">
        <v>164615.3775</v>
      </c>
      <c r="AP63" s="137" t="n">
        <f aca="false">AR63+AT63+AU63+AV63+AX63+AY63+AZ63+BD63+BF63+BG63+BH63+BJ63+BK63+(BL63+BM63+BN63)/1000+(0.1*BO63)</f>
        <v>73.215576</v>
      </c>
      <c r="AQ63" s="137" t="n">
        <f aca="false">AR63+AT63+AU63+AV63+AX63+AY63+AZ63+BB63+BC63+BD63+BF63+BG63+BH63+BJ63+BK63+(BL63+BM63+BN63)/1000+(0.1*BO63)</f>
        <v>74.215576</v>
      </c>
      <c r="AR63" s="131" t="n">
        <v>26</v>
      </c>
      <c r="AS63" s="131" t="n">
        <v>0</v>
      </c>
      <c r="AT63" s="131" t="n">
        <v>23</v>
      </c>
      <c r="AU63" s="131" t="n">
        <v>5</v>
      </c>
      <c r="AV63" s="131" t="n">
        <v>0</v>
      </c>
      <c r="AW63" s="131" t="n">
        <v>0</v>
      </c>
      <c r="AX63" s="131" t="n">
        <v>11</v>
      </c>
      <c r="AY63" s="131" t="n">
        <v>1</v>
      </c>
      <c r="AZ63" s="131" t="n">
        <v>0</v>
      </c>
      <c r="BA63" s="131" t="n">
        <v>7</v>
      </c>
      <c r="BB63" s="131" t="n">
        <v>0</v>
      </c>
      <c r="BC63" s="131" t="n">
        <v>1</v>
      </c>
      <c r="BD63" s="131" t="n">
        <v>0</v>
      </c>
      <c r="BE63" s="131" t="n">
        <v>0</v>
      </c>
      <c r="BF63" s="131" t="n">
        <v>0</v>
      </c>
      <c r="BG63" s="131" t="n">
        <v>0</v>
      </c>
      <c r="BH63" s="131" t="n">
        <v>0</v>
      </c>
      <c r="BI63" s="131" t="n">
        <v>0</v>
      </c>
      <c r="BJ63" s="131" t="n">
        <v>0</v>
      </c>
      <c r="BK63" s="131" t="n">
        <v>0</v>
      </c>
      <c r="BL63" s="131" t="n">
        <v>0</v>
      </c>
      <c r="BM63" s="131" t="n">
        <v>0</v>
      </c>
      <c r="BN63" s="131" t="n">
        <v>0</v>
      </c>
      <c r="BO63" s="163" t="n">
        <v>72.15576</v>
      </c>
      <c r="CC63" s="160"/>
      <c r="CD63" s="160"/>
      <c r="CE63" s="160"/>
      <c r="CF63" s="160"/>
      <c r="CG63" s="160"/>
      <c r="CH63" s="160"/>
      <c r="CI63" s="160"/>
      <c r="CJ63" s="160"/>
      <c r="CK63" s="160"/>
      <c r="CL63" s="160"/>
      <c r="CM63" s="160"/>
      <c r="CN63" s="160"/>
      <c r="CO63" s="160"/>
      <c r="CP63" s="160"/>
      <c r="CQ63" s="160"/>
      <c r="CR63" s="160"/>
      <c r="CS63" s="160"/>
      <c r="CT63" s="160"/>
      <c r="CU63" s="160"/>
      <c r="CV63" s="160"/>
      <c r="CW63" s="160"/>
      <c r="CX63" s="160"/>
      <c r="CY63" s="160"/>
      <c r="CZ63" s="160"/>
      <c r="DA63" s="160"/>
      <c r="DB63" s="160"/>
      <c r="DC63" s="160"/>
      <c r="DD63" s="160"/>
      <c r="DE63" s="160"/>
      <c r="DF63" s="160"/>
      <c r="DG63" s="160"/>
      <c r="DH63" s="160"/>
      <c r="DI63" s="160"/>
      <c r="DJ63" s="160"/>
      <c r="DK63" s="160"/>
      <c r="DL63" s="160"/>
      <c r="DM63" s="160"/>
      <c r="DN63" s="160"/>
      <c r="DO63" s="160"/>
      <c r="DP63" s="160"/>
      <c r="DQ63" s="160"/>
      <c r="DR63" s="160"/>
      <c r="DS63" s="160"/>
      <c r="DT63" s="160"/>
      <c r="DU63" s="160"/>
      <c r="DV63" s="160"/>
      <c r="DW63" s="160"/>
      <c r="DX63" s="160"/>
      <c r="DY63" s="160"/>
      <c r="DZ63" s="160"/>
      <c r="EA63" s="160"/>
      <c r="EB63" s="160"/>
      <c r="EC63" s="160"/>
      <c r="ED63" s="160"/>
      <c r="EE63" s="160"/>
      <c r="EF63" s="160"/>
      <c r="EG63" s="160"/>
      <c r="EH63" s="160"/>
      <c r="EI63" s="160"/>
      <c r="EJ63" s="160"/>
      <c r="EK63" s="160"/>
      <c r="EL63" s="160"/>
      <c r="EM63" s="160"/>
      <c r="EN63" s="160"/>
      <c r="EO63" s="160"/>
      <c r="EP63" s="160"/>
      <c r="EQ63" s="160"/>
      <c r="ER63" s="160"/>
      <c r="ES63" s="160"/>
      <c r="ET63" s="160"/>
      <c r="EU63" s="160"/>
      <c r="EV63" s="160"/>
      <c r="EW63" s="160"/>
      <c r="EX63" s="160"/>
      <c r="EY63" s="160"/>
      <c r="EZ63" s="160"/>
      <c r="FA63" s="160"/>
      <c r="FB63" s="160"/>
      <c r="FC63" s="160"/>
      <c r="FD63" s="160"/>
      <c r="FE63" s="160"/>
      <c r="FF63" s="160"/>
      <c r="FG63" s="160"/>
      <c r="FH63" s="160"/>
      <c r="FI63" s="160"/>
      <c r="FJ63" s="160"/>
      <c r="FK63" s="160"/>
      <c r="FL63" s="160"/>
      <c r="FM63" s="160"/>
      <c r="FN63" s="160"/>
      <c r="FO63" s="160"/>
      <c r="FP63" s="160"/>
      <c r="FQ63" s="160"/>
      <c r="FR63" s="160"/>
      <c r="FS63" s="160"/>
      <c r="FT63" s="160"/>
      <c r="FU63" s="160"/>
      <c r="FV63" s="160"/>
      <c r="FW63" s="160"/>
      <c r="FX63" s="160"/>
      <c r="FY63" s="160"/>
      <c r="FZ63" s="160"/>
      <c r="GA63" s="160"/>
      <c r="GB63" s="160"/>
      <c r="GC63" s="160"/>
      <c r="GD63" s="160"/>
      <c r="GE63" s="160"/>
      <c r="GF63" s="160"/>
      <c r="GG63" s="160"/>
      <c r="GH63" s="160"/>
      <c r="GI63" s="160"/>
      <c r="GJ63" s="160"/>
      <c r="GK63" s="160"/>
      <c r="GL63" s="160"/>
      <c r="GM63" s="160"/>
      <c r="GN63" s="160"/>
      <c r="GO63" s="160"/>
      <c r="GP63" s="160"/>
      <c r="GQ63" s="160"/>
      <c r="GR63" s="160"/>
      <c r="GS63" s="160"/>
      <c r="GT63" s="160"/>
      <c r="GU63" s="160"/>
    </row>
    <row r="64" customFormat="false" ht="15" hidden="false" customHeight="true" outlineLevel="0" collapsed="false">
      <c r="A64" s="131" t="n">
        <v>3555</v>
      </c>
      <c r="B64" s="131"/>
      <c r="C64" s="132" t="s">
        <v>233</v>
      </c>
      <c r="D64" s="133" t="s">
        <v>233</v>
      </c>
      <c r="E64" s="134" t="n">
        <f aca="false">IF(I64="regional",IF(R64*0.2975,S64*0.3484),S64*0.1939)</f>
        <v>79394.1001</v>
      </c>
      <c r="F64" s="134" t="n">
        <v>0</v>
      </c>
      <c r="G64" s="135" t="n">
        <f aca="false">E64+F64</f>
        <v>79394.1001</v>
      </c>
      <c r="H64" s="132"/>
      <c r="I64" s="133" t="s">
        <v>62</v>
      </c>
      <c r="J64" s="133"/>
      <c r="K64" s="133" t="s">
        <v>98</v>
      </c>
      <c r="L64" s="133"/>
      <c r="M64" s="136" t="n">
        <v>18</v>
      </c>
      <c r="N64" s="136" t="n">
        <v>0.995</v>
      </c>
      <c r="O64" s="136" t="n">
        <v>0.995</v>
      </c>
      <c r="P64" s="136" t="n">
        <v>0.978</v>
      </c>
      <c r="Q64" s="136" t="n">
        <v>0.991</v>
      </c>
      <c r="R64" s="136" t="n">
        <v>0</v>
      </c>
      <c r="S64" s="136" t="n">
        <v>409459</v>
      </c>
      <c r="T64" s="8" t="n">
        <f aca="false">IF(I64="regional",IF(R64&gt;0,R64*0.2975,S64*0.3484),S64*0.1939)</f>
        <v>79394.1001</v>
      </c>
      <c r="U64" s="136" t="n">
        <v>309802</v>
      </c>
      <c r="V64" s="136" t="n">
        <v>99657</v>
      </c>
      <c r="W64" s="136" t="n">
        <v>1111</v>
      </c>
      <c r="X64" s="136" t="n">
        <v>0</v>
      </c>
      <c r="Y64" s="136" t="n">
        <v>0</v>
      </c>
      <c r="Z64" s="136" t="n">
        <v>0</v>
      </c>
      <c r="AA64" s="136" t="n">
        <v>488853.1001</v>
      </c>
      <c r="AB64" s="136" t="n">
        <v>79394.1001</v>
      </c>
      <c r="AC64" s="136" t="n">
        <v>409459</v>
      </c>
      <c r="AD64" s="136" t="n">
        <v>0</v>
      </c>
      <c r="AE64" s="136" t="n">
        <v>0</v>
      </c>
      <c r="AF64" s="136" t="n">
        <v>0</v>
      </c>
      <c r="AG64" s="136" t="n">
        <v>409459</v>
      </c>
      <c r="AH64" s="136" t="n">
        <v>0</v>
      </c>
      <c r="AI64" s="136" t="n">
        <v>0</v>
      </c>
      <c r="AJ64" s="132" t="n">
        <v>4</v>
      </c>
      <c r="AK64" s="132" t="s">
        <v>706</v>
      </c>
      <c r="AL64" s="133" t="s">
        <v>62</v>
      </c>
      <c r="AM64" s="132"/>
      <c r="AN64" s="133" t="s">
        <v>233</v>
      </c>
      <c r="AO64" s="133" t="n">
        <v>79394.1001</v>
      </c>
      <c r="AP64" s="137" t="n">
        <f aca="false">AR64+AT64+AU64+AV64+AX64+AY64+AZ64+BD64+BF64+BG64+BH64+BJ64+BK64+(BL64+BM64+BN64)/1000+(0.1*BO64)</f>
        <v>21</v>
      </c>
      <c r="AQ64" s="137" t="n">
        <f aca="false">AR64+AT64+AU64+AV64+AX64+AY64+AZ64+BB64+BC64+BD64+BF64+BG64+BH64+BJ64+BK64+(BL64+BM64+BN64)/1000+(0.1*BO64)</f>
        <v>25</v>
      </c>
      <c r="AR64" s="131" t="n">
        <v>0</v>
      </c>
      <c r="AS64" s="131" t="n">
        <v>0</v>
      </c>
      <c r="AT64" s="131" t="n">
        <v>20</v>
      </c>
      <c r="AU64" s="131" t="n">
        <v>0</v>
      </c>
      <c r="AV64" s="131" t="n">
        <v>0</v>
      </c>
      <c r="AW64" s="131" t="n">
        <v>0</v>
      </c>
      <c r="AX64" s="131" t="n">
        <v>0</v>
      </c>
      <c r="AY64" s="131" t="n">
        <v>1</v>
      </c>
      <c r="AZ64" s="131" t="n">
        <v>0</v>
      </c>
      <c r="BA64" s="131" t="n">
        <v>0</v>
      </c>
      <c r="BB64" s="131" t="n">
        <v>0</v>
      </c>
      <c r="BC64" s="131" t="n">
        <v>4</v>
      </c>
      <c r="BD64" s="131" t="n">
        <v>0</v>
      </c>
      <c r="BE64" s="131" t="n">
        <v>0</v>
      </c>
      <c r="BF64" s="131" t="n">
        <v>0</v>
      </c>
      <c r="BG64" s="131" t="n">
        <v>0</v>
      </c>
      <c r="BH64" s="131" t="n">
        <v>0</v>
      </c>
      <c r="BI64" s="131" t="n">
        <v>0</v>
      </c>
      <c r="BJ64" s="131" t="n">
        <v>0</v>
      </c>
      <c r="BK64" s="131" t="n">
        <v>0</v>
      </c>
      <c r="BL64" s="131" t="n">
        <v>0</v>
      </c>
      <c r="BM64" s="131" t="n">
        <v>0</v>
      </c>
      <c r="BN64" s="131" t="n">
        <v>0</v>
      </c>
      <c r="BO64" s="131" t="n">
        <v>0</v>
      </c>
      <c r="CC64" s="160"/>
      <c r="CD64" s="160"/>
      <c r="CE64" s="160"/>
      <c r="CF64" s="160"/>
      <c r="CG64" s="160"/>
      <c r="CH64" s="160"/>
      <c r="CI64" s="160"/>
      <c r="CJ64" s="160"/>
      <c r="CK64" s="160"/>
      <c r="CL64" s="160"/>
      <c r="CM64" s="160"/>
      <c r="CN64" s="160"/>
      <c r="CO64" s="160"/>
      <c r="CP64" s="160"/>
      <c r="CQ64" s="160"/>
      <c r="CR64" s="160"/>
      <c r="CS64" s="160"/>
      <c r="CT64" s="160"/>
      <c r="CU64" s="160"/>
      <c r="CV64" s="160"/>
      <c r="CW64" s="160"/>
      <c r="CX64" s="160"/>
      <c r="CY64" s="160"/>
      <c r="CZ64" s="160"/>
      <c r="DA64" s="160"/>
      <c r="DB64" s="160"/>
      <c r="DC64" s="160"/>
      <c r="DD64" s="160"/>
      <c r="DE64" s="160"/>
      <c r="DF64" s="160"/>
      <c r="DG64" s="160"/>
      <c r="DH64" s="160"/>
      <c r="DI64" s="160"/>
      <c r="DJ64" s="160"/>
      <c r="DK64" s="160"/>
      <c r="DL64" s="160"/>
      <c r="DM64" s="160"/>
      <c r="DN64" s="160"/>
      <c r="DO64" s="160"/>
      <c r="DP64" s="160"/>
      <c r="DQ64" s="160"/>
      <c r="DR64" s="160"/>
      <c r="DS64" s="160"/>
      <c r="DT64" s="160"/>
      <c r="DU64" s="160"/>
      <c r="DV64" s="160"/>
      <c r="DW64" s="160"/>
      <c r="DX64" s="160"/>
      <c r="DY64" s="160"/>
      <c r="DZ64" s="160"/>
      <c r="EA64" s="160"/>
      <c r="EB64" s="160"/>
      <c r="EC64" s="160"/>
      <c r="ED64" s="160"/>
      <c r="EE64" s="160"/>
      <c r="EF64" s="160"/>
      <c r="EG64" s="160"/>
      <c r="EH64" s="160"/>
      <c r="EI64" s="160"/>
      <c r="EJ64" s="160"/>
      <c r="EK64" s="160"/>
      <c r="EL64" s="160"/>
      <c r="EM64" s="160"/>
      <c r="EN64" s="160"/>
      <c r="EO64" s="160"/>
      <c r="EP64" s="160"/>
      <c r="EQ64" s="160"/>
      <c r="ER64" s="160"/>
      <c r="ES64" s="160"/>
      <c r="ET64" s="160"/>
      <c r="EU64" s="160"/>
      <c r="EV64" s="160"/>
      <c r="EW64" s="160"/>
      <c r="EX64" s="160"/>
      <c r="EY64" s="160"/>
      <c r="EZ64" s="160"/>
      <c r="FA64" s="160"/>
      <c r="FB64" s="160"/>
      <c r="FC64" s="160"/>
      <c r="FD64" s="160"/>
      <c r="FE64" s="160"/>
      <c r="FF64" s="160"/>
      <c r="FG64" s="160"/>
      <c r="FH64" s="160"/>
      <c r="FI64" s="160"/>
      <c r="FJ64" s="160"/>
      <c r="FK64" s="160"/>
      <c r="FL64" s="160"/>
      <c r="FM64" s="160"/>
      <c r="FN64" s="160"/>
      <c r="FO64" s="160"/>
      <c r="FP64" s="160"/>
      <c r="FQ64" s="160"/>
      <c r="FR64" s="160"/>
      <c r="FS64" s="160"/>
      <c r="FT64" s="160"/>
      <c r="FU64" s="160"/>
      <c r="FV64" s="160"/>
      <c r="FW64" s="160"/>
      <c r="FX64" s="160"/>
      <c r="FY64" s="160"/>
      <c r="FZ64" s="160"/>
      <c r="GA64" s="160"/>
      <c r="GB64" s="160"/>
      <c r="GC64" s="160"/>
      <c r="GD64" s="160"/>
      <c r="GE64" s="160"/>
      <c r="GF64" s="160"/>
      <c r="GG64" s="160"/>
      <c r="GH64" s="160"/>
      <c r="GI64" s="160"/>
      <c r="GJ64" s="160"/>
      <c r="GK64" s="160"/>
      <c r="GL64" s="160"/>
      <c r="GM64" s="160"/>
      <c r="GN64" s="160"/>
      <c r="GO64" s="160"/>
      <c r="GP64" s="160"/>
      <c r="GQ64" s="160"/>
      <c r="GR64" s="160"/>
      <c r="GS64" s="160"/>
      <c r="GT64" s="160"/>
      <c r="GU64" s="160"/>
    </row>
    <row r="65" customFormat="false" ht="15" hidden="false" customHeight="true" outlineLevel="0" collapsed="false">
      <c r="A65" s="131" t="n">
        <v>1125</v>
      </c>
      <c r="B65" s="131" t="s">
        <v>44</v>
      </c>
      <c r="C65" s="132" t="s">
        <v>235</v>
      </c>
      <c r="D65" s="133" t="s">
        <v>235</v>
      </c>
      <c r="E65" s="134" t="n">
        <f aca="false">IF(I65="regional",IF(R65*0.2975,S65*0.3484),S65*0.1939)</f>
        <v>156408.2572</v>
      </c>
      <c r="F65" s="134" t="n">
        <v>0</v>
      </c>
      <c r="G65" s="135" t="n">
        <f aca="false">E65+F65</f>
        <v>156408.2572</v>
      </c>
      <c r="H65" s="132"/>
      <c r="I65" s="133" t="s">
        <v>48</v>
      </c>
      <c r="J65" s="133" t="s">
        <v>44</v>
      </c>
      <c r="K65" s="133" t="s">
        <v>238</v>
      </c>
      <c r="L65" s="133"/>
      <c r="M65" s="136" t="n">
        <v>75</v>
      </c>
      <c r="N65" s="136" t="n">
        <v>0.744</v>
      </c>
      <c r="O65" s="136" t="n">
        <v>0.787</v>
      </c>
      <c r="P65" s="136" t="n">
        <v>0.767</v>
      </c>
      <c r="Q65" s="136" t="n">
        <v>0.82</v>
      </c>
      <c r="R65" s="136" t="n">
        <v>520231</v>
      </c>
      <c r="S65" s="136" t="n">
        <v>448933</v>
      </c>
      <c r="T65" s="8" t="n">
        <f aca="false">IF(I65="regional",IF(R65&gt;0,R65*0.2975,S65*0.3484),S65*0.1939)</f>
        <v>154768.7225</v>
      </c>
      <c r="U65" s="136" t="n">
        <v>242666</v>
      </c>
      <c r="V65" s="136" t="n">
        <v>206267</v>
      </c>
      <c r="W65" s="136" t="n">
        <v>2090</v>
      </c>
      <c r="X65" s="136" t="n">
        <v>0</v>
      </c>
      <c r="Y65" s="136" t="n">
        <v>0</v>
      </c>
      <c r="Z65" s="136" t="n">
        <v>0</v>
      </c>
      <c r="AA65" s="136" t="n">
        <v>603701.7225</v>
      </c>
      <c r="AB65" s="136" t="n">
        <v>154768.7225</v>
      </c>
      <c r="AC65" s="136" t="n">
        <v>448933</v>
      </c>
      <c r="AD65" s="136" t="n">
        <v>0</v>
      </c>
      <c r="AE65" s="136" t="n">
        <v>0</v>
      </c>
      <c r="AF65" s="136" t="n">
        <v>448933</v>
      </c>
      <c r="AG65" s="136" t="n">
        <v>0</v>
      </c>
      <c r="AH65" s="136" t="n">
        <v>338000</v>
      </c>
      <c r="AI65" s="136" t="n">
        <v>392000</v>
      </c>
      <c r="AJ65" s="132" t="s">
        <v>715</v>
      </c>
      <c r="AK65" s="132" t="s">
        <v>716</v>
      </c>
      <c r="AL65" s="133" t="s">
        <v>48</v>
      </c>
      <c r="AM65" s="132"/>
      <c r="AN65" s="133" t="s">
        <v>235</v>
      </c>
      <c r="AO65" s="133" t="n">
        <v>154768.7225</v>
      </c>
      <c r="AP65" s="137" t="n">
        <f aca="false">AR65+AT65+AU65+AV65+AX65+AY65+AZ65+BD65+BF65+BG65+BH65+BJ65+BK65+(BL65+BM65+BN65)/1000+(0.1*BO65)</f>
        <v>91.8343</v>
      </c>
      <c r="AQ65" s="137" t="n">
        <f aca="false">AR65+AT65+AU65+AV65+AX65+AY65+AZ65+BB65+BC65+BD65+BF65+BG65+BH65+BJ65+BK65+(BL65+BM65+BN65)/1000+(0.1*BO65)</f>
        <v>98.8343</v>
      </c>
      <c r="AR65" s="131" t="n">
        <v>17</v>
      </c>
      <c r="AS65" s="131" t="n">
        <v>392</v>
      </c>
      <c r="AT65" s="131" t="n">
        <v>37</v>
      </c>
      <c r="AU65" s="131" t="n">
        <v>0</v>
      </c>
      <c r="AV65" s="131" t="n">
        <v>0</v>
      </c>
      <c r="AW65" s="131" t="n">
        <v>0</v>
      </c>
      <c r="AX65" s="131" t="n">
        <v>0</v>
      </c>
      <c r="AY65" s="131" t="n">
        <v>0</v>
      </c>
      <c r="AZ65" s="131" t="n">
        <v>0</v>
      </c>
      <c r="BA65" s="131" t="n">
        <v>0</v>
      </c>
      <c r="BB65" s="131" t="n">
        <v>5</v>
      </c>
      <c r="BC65" s="131" t="n">
        <v>2</v>
      </c>
      <c r="BD65" s="131" t="n">
        <v>0</v>
      </c>
      <c r="BE65" s="131" t="n">
        <v>0</v>
      </c>
      <c r="BF65" s="131" t="n">
        <v>0</v>
      </c>
      <c r="BG65" s="131" t="n">
        <v>0</v>
      </c>
      <c r="BH65" s="131" t="n">
        <v>0</v>
      </c>
      <c r="BI65" s="131" t="n">
        <v>0</v>
      </c>
      <c r="BJ65" s="131" t="n">
        <v>0</v>
      </c>
      <c r="BK65" s="131" t="n">
        <v>0</v>
      </c>
      <c r="BL65" s="131" t="n">
        <v>0</v>
      </c>
      <c r="BM65" s="131" t="n">
        <v>0</v>
      </c>
      <c r="BN65" s="131" t="n">
        <v>0</v>
      </c>
      <c r="BO65" s="131" t="n">
        <v>378.343</v>
      </c>
      <c r="CC65" s="160"/>
      <c r="CD65" s="160"/>
      <c r="CE65" s="160"/>
      <c r="CF65" s="160"/>
      <c r="CG65" s="160"/>
      <c r="CH65" s="160"/>
      <c r="CI65" s="160"/>
      <c r="CJ65" s="160"/>
      <c r="CK65" s="160"/>
      <c r="CL65" s="160"/>
      <c r="CM65" s="160"/>
      <c r="CN65" s="160"/>
      <c r="CO65" s="160"/>
      <c r="CP65" s="160"/>
      <c r="CQ65" s="160"/>
      <c r="CR65" s="160"/>
      <c r="CS65" s="160"/>
      <c r="CT65" s="160"/>
      <c r="CU65" s="160"/>
      <c r="CV65" s="160"/>
      <c r="CW65" s="160"/>
      <c r="CX65" s="160"/>
      <c r="CY65" s="160"/>
      <c r="CZ65" s="160"/>
      <c r="DA65" s="160"/>
      <c r="DB65" s="160"/>
      <c r="DC65" s="160"/>
      <c r="DD65" s="160"/>
      <c r="DE65" s="160"/>
      <c r="DF65" s="160"/>
      <c r="DG65" s="160"/>
      <c r="DH65" s="160"/>
      <c r="DI65" s="160"/>
      <c r="DJ65" s="160"/>
      <c r="DK65" s="160"/>
      <c r="DL65" s="160"/>
      <c r="DM65" s="160"/>
      <c r="DN65" s="160"/>
      <c r="DO65" s="160"/>
      <c r="DP65" s="160"/>
      <c r="DQ65" s="160"/>
      <c r="DR65" s="160"/>
      <c r="DS65" s="160"/>
      <c r="DT65" s="160"/>
      <c r="DU65" s="160"/>
      <c r="DV65" s="160"/>
      <c r="DW65" s="160"/>
      <c r="DX65" s="160"/>
      <c r="DY65" s="160"/>
      <c r="DZ65" s="160"/>
      <c r="EA65" s="160"/>
      <c r="EB65" s="160"/>
      <c r="EC65" s="160"/>
      <c r="ED65" s="160"/>
      <c r="EE65" s="160"/>
      <c r="EF65" s="160"/>
      <c r="EG65" s="160"/>
      <c r="EH65" s="160"/>
      <c r="EI65" s="160"/>
      <c r="EJ65" s="160"/>
      <c r="EK65" s="160"/>
      <c r="EL65" s="160"/>
      <c r="EM65" s="160"/>
      <c r="EN65" s="160"/>
      <c r="EO65" s="160"/>
      <c r="EP65" s="160"/>
      <c r="EQ65" s="160"/>
      <c r="ER65" s="160"/>
      <c r="ES65" s="160"/>
      <c r="ET65" s="160"/>
      <c r="EU65" s="160"/>
      <c r="EV65" s="160"/>
      <c r="EW65" s="160"/>
      <c r="EX65" s="160"/>
      <c r="EY65" s="160"/>
      <c r="EZ65" s="160"/>
      <c r="FA65" s="160"/>
      <c r="FB65" s="160"/>
      <c r="FC65" s="160"/>
      <c r="FD65" s="160"/>
      <c r="FE65" s="160"/>
      <c r="FF65" s="160"/>
      <c r="FG65" s="160"/>
      <c r="FH65" s="160"/>
      <c r="FI65" s="160"/>
      <c r="FJ65" s="160"/>
      <c r="FK65" s="160"/>
      <c r="FL65" s="160"/>
      <c r="FM65" s="160"/>
      <c r="FN65" s="160"/>
      <c r="FO65" s="160"/>
      <c r="FP65" s="160"/>
      <c r="FQ65" s="160"/>
      <c r="FR65" s="160"/>
      <c r="FS65" s="160"/>
      <c r="FT65" s="160"/>
      <c r="FU65" s="160"/>
      <c r="FV65" s="160"/>
      <c r="FW65" s="160"/>
      <c r="FX65" s="160"/>
      <c r="FY65" s="160"/>
      <c r="FZ65" s="160"/>
      <c r="GA65" s="160"/>
      <c r="GB65" s="160"/>
      <c r="GC65" s="160"/>
      <c r="GD65" s="160"/>
      <c r="GE65" s="160"/>
      <c r="GF65" s="160"/>
      <c r="GG65" s="160"/>
      <c r="GH65" s="160"/>
      <c r="GI65" s="160"/>
      <c r="GJ65" s="160"/>
      <c r="GK65" s="160"/>
      <c r="GL65" s="160"/>
      <c r="GM65" s="160"/>
      <c r="GN65" s="160"/>
      <c r="GO65" s="160"/>
      <c r="GP65" s="160"/>
      <c r="GQ65" s="160"/>
      <c r="GR65" s="160"/>
      <c r="GS65" s="160"/>
      <c r="GT65" s="160"/>
      <c r="GU65" s="160"/>
    </row>
    <row r="66" customFormat="false" ht="15" hidden="false" customHeight="true" outlineLevel="0" collapsed="false">
      <c r="A66" s="131" t="n">
        <v>1145</v>
      </c>
      <c r="B66" s="131" t="s">
        <v>44</v>
      </c>
      <c r="C66" s="132" t="s">
        <v>239</v>
      </c>
      <c r="D66" s="133" t="s">
        <v>239</v>
      </c>
      <c r="E66" s="134" t="n">
        <f aca="false">IF(I66="regional",IF(R66*0.2975,S66*0.3484),S66*0.1939)</f>
        <v>161965.934</v>
      </c>
      <c r="F66" s="134" t="n">
        <v>0</v>
      </c>
      <c r="G66" s="135" t="n">
        <f aca="false">E66+F66</f>
        <v>161965.934</v>
      </c>
      <c r="H66" s="132" t="s">
        <v>49</v>
      </c>
      <c r="I66" s="133" t="s">
        <v>48</v>
      </c>
      <c r="J66" s="133" t="s">
        <v>44</v>
      </c>
      <c r="K66" s="133" t="s">
        <v>242</v>
      </c>
      <c r="L66" s="133"/>
      <c r="M66" s="136" t="n">
        <v>72</v>
      </c>
      <c r="N66" s="136" t="n">
        <v>0.962</v>
      </c>
      <c r="O66" s="136" t="n">
        <v>0.962</v>
      </c>
      <c r="P66" s="136" t="n">
        <v>0.989</v>
      </c>
      <c r="Q66" s="136" t="n">
        <v>1</v>
      </c>
      <c r="R66" s="136" t="n">
        <v>1043979</v>
      </c>
      <c r="S66" s="136" t="n">
        <v>464885</v>
      </c>
      <c r="T66" s="8" t="n">
        <f aca="false">IF(I66="regional",IF(R66&gt;0,R66*0.2975,S66*0.3484),S66*0.1939)</f>
        <v>310583.7525</v>
      </c>
      <c r="U66" s="136" t="n">
        <v>0</v>
      </c>
      <c r="V66" s="136" t="n">
        <v>464885</v>
      </c>
      <c r="W66" s="136" t="n">
        <v>5500</v>
      </c>
      <c r="X66" s="136" t="n">
        <v>0</v>
      </c>
      <c r="Y66" s="136" t="n">
        <v>0</v>
      </c>
      <c r="Z66" s="136" t="n">
        <v>0</v>
      </c>
      <c r="AA66" s="136" t="n">
        <v>775468.7525</v>
      </c>
      <c r="AB66" s="136" t="n">
        <v>310583.7525</v>
      </c>
      <c r="AC66" s="136" t="n">
        <v>464885</v>
      </c>
      <c r="AD66" s="136" t="n">
        <v>0</v>
      </c>
      <c r="AE66" s="136" t="n">
        <v>0</v>
      </c>
      <c r="AF66" s="136" t="n">
        <v>464885</v>
      </c>
      <c r="AG66" s="136" t="n">
        <v>0</v>
      </c>
      <c r="AH66" s="136" t="n">
        <v>1044000</v>
      </c>
      <c r="AI66" s="136" t="n">
        <v>1045000</v>
      </c>
      <c r="AJ66" s="132" t="s">
        <v>721</v>
      </c>
      <c r="AK66" s="132" t="s">
        <v>727</v>
      </c>
      <c r="AL66" s="133" t="s">
        <v>48</v>
      </c>
      <c r="AM66" s="132" t="s">
        <v>49</v>
      </c>
      <c r="AN66" s="133" t="s">
        <v>239</v>
      </c>
      <c r="AO66" s="133" t="n">
        <v>310583.7525</v>
      </c>
      <c r="AP66" s="137" t="n">
        <f aca="false">AR66+AT66+AU66+AV66+AX66+AY66+AZ66+BD66+BF66+BG66+BH66+BJ66+BK66+(BL66+BM66+BN66)/1000+(0.1*BO66)</f>
        <v>349.067</v>
      </c>
      <c r="AQ66" s="137" t="n">
        <f aca="false">AR66+AT66+AU66+AV66+AX66+AY66+AZ66+BB66+BC66+BD66+BF66+BG66+BH66+BJ66+BK66+(BL66+BM66+BN66)/1000+(0.1*BO66)</f>
        <v>399.067</v>
      </c>
      <c r="AR66" s="158" t="n">
        <v>133</v>
      </c>
      <c r="AS66" s="158" t="n">
        <v>1045</v>
      </c>
      <c r="AT66" s="158" t="n">
        <v>80</v>
      </c>
      <c r="AU66" s="158" t="n">
        <v>0</v>
      </c>
      <c r="AV66" s="158" t="n">
        <v>0</v>
      </c>
      <c r="AW66" s="158" t="n">
        <v>122</v>
      </c>
      <c r="AX66" s="158" t="n">
        <v>0</v>
      </c>
      <c r="AY66" s="158" t="n">
        <v>0</v>
      </c>
      <c r="AZ66" s="158" t="n">
        <v>22</v>
      </c>
      <c r="BA66" s="158" t="n">
        <v>133</v>
      </c>
      <c r="BB66" s="158" t="n">
        <v>50</v>
      </c>
      <c r="BC66" s="158" t="n">
        <v>0</v>
      </c>
      <c r="BD66" s="158" t="n">
        <v>31</v>
      </c>
      <c r="BE66" s="158" t="n">
        <v>0</v>
      </c>
      <c r="BF66" s="158" t="n">
        <v>0</v>
      </c>
      <c r="BG66" s="158" t="n">
        <v>0</v>
      </c>
      <c r="BH66" s="158" t="n">
        <v>78</v>
      </c>
      <c r="BI66" s="158" t="n">
        <v>6</v>
      </c>
      <c r="BJ66" s="158" t="n">
        <v>0</v>
      </c>
      <c r="BK66" s="158" t="n">
        <v>0</v>
      </c>
      <c r="BL66" s="158" t="n">
        <v>5067</v>
      </c>
      <c r="BM66" s="158" t="n">
        <v>0</v>
      </c>
      <c r="BN66" s="158" t="n">
        <v>0</v>
      </c>
      <c r="BO66" s="158" t="n">
        <v>0</v>
      </c>
      <c r="BP66" s="159"/>
      <c r="BQ66" s="159"/>
      <c r="BR66" s="159"/>
      <c r="BS66" s="159"/>
      <c r="BT66" s="159"/>
      <c r="BU66" s="159"/>
      <c r="BV66" s="159"/>
      <c r="BW66" s="159"/>
      <c r="BX66" s="159"/>
      <c r="BY66" s="159"/>
      <c r="BZ66" s="159"/>
      <c r="CA66" s="159"/>
      <c r="CB66" s="159"/>
      <c r="CC66" s="159"/>
      <c r="CD66" s="159"/>
      <c r="CE66" s="159"/>
      <c r="CF66" s="159"/>
      <c r="CG66" s="159"/>
      <c r="CH66" s="159"/>
      <c r="CI66" s="159"/>
      <c r="CJ66" s="159"/>
      <c r="CK66" s="159"/>
      <c r="CL66" s="159"/>
      <c r="CM66" s="159"/>
      <c r="CN66" s="159"/>
      <c r="CO66" s="159"/>
      <c r="CP66" s="159"/>
      <c r="CQ66" s="159"/>
      <c r="CR66" s="159"/>
      <c r="CS66" s="159"/>
      <c r="CT66" s="159"/>
      <c r="CU66" s="159"/>
      <c r="CV66" s="159"/>
      <c r="CW66" s="159"/>
      <c r="CX66" s="159"/>
      <c r="CY66" s="159"/>
      <c r="CZ66" s="159"/>
      <c r="DA66" s="159"/>
      <c r="DB66" s="159"/>
      <c r="DC66" s="159"/>
      <c r="DD66" s="159"/>
      <c r="DE66" s="159"/>
      <c r="DF66" s="159"/>
      <c r="DG66" s="159"/>
      <c r="DH66" s="159"/>
      <c r="DI66" s="159"/>
      <c r="DJ66" s="159"/>
      <c r="DK66" s="159"/>
      <c r="DL66" s="159"/>
      <c r="DM66" s="159"/>
      <c r="DN66" s="159"/>
      <c r="DO66" s="159"/>
      <c r="DP66" s="159"/>
      <c r="DQ66" s="159"/>
      <c r="DR66" s="159"/>
      <c r="DS66" s="159"/>
      <c r="DT66" s="159"/>
      <c r="DU66" s="159"/>
      <c r="DV66" s="159"/>
      <c r="DW66" s="159"/>
      <c r="DX66" s="159"/>
      <c r="DY66" s="159"/>
      <c r="DZ66" s="159"/>
      <c r="EA66" s="159"/>
      <c r="EB66" s="159"/>
      <c r="EC66" s="159"/>
      <c r="ED66" s="159"/>
      <c r="EE66" s="159"/>
      <c r="EF66" s="159"/>
      <c r="EG66" s="159"/>
      <c r="EH66" s="159"/>
      <c r="EI66" s="159"/>
      <c r="EJ66" s="159"/>
      <c r="EK66" s="159"/>
      <c r="EL66" s="159"/>
      <c r="EM66" s="159"/>
      <c r="EN66" s="159"/>
      <c r="EO66" s="159"/>
      <c r="EP66" s="159"/>
      <c r="EQ66" s="159"/>
      <c r="ER66" s="159"/>
      <c r="ES66" s="159"/>
      <c r="ET66" s="159"/>
      <c r="EU66" s="159"/>
      <c r="EV66" s="159"/>
      <c r="EW66" s="159"/>
      <c r="EX66" s="159"/>
      <c r="EY66" s="159"/>
      <c r="EZ66" s="159"/>
      <c r="FA66" s="159"/>
      <c r="FB66" s="159"/>
      <c r="FC66" s="159"/>
      <c r="FD66" s="159"/>
      <c r="FE66" s="159"/>
      <c r="FF66" s="159"/>
      <c r="FG66" s="159"/>
      <c r="FH66" s="159"/>
      <c r="FI66" s="159"/>
      <c r="FJ66" s="159"/>
      <c r="FK66" s="159"/>
      <c r="FL66" s="159"/>
      <c r="FM66" s="159"/>
      <c r="FN66" s="159"/>
      <c r="FO66" s="159"/>
      <c r="FP66" s="159"/>
      <c r="FQ66" s="159"/>
      <c r="FR66" s="159"/>
      <c r="FS66" s="159"/>
      <c r="FT66" s="159"/>
      <c r="FU66" s="159"/>
      <c r="FV66" s="159"/>
      <c r="FW66" s="159"/>
      <c r="FX66" s="159"/>
      <c r="FY66" s="159"/>
      <c r="FZ66" s="159"/>
      <c r="GA66" s="159"/>
      <c r="GB66" s="159"/>
      <c r="GC66" s="159"/>
      <c r="GD66" s="159"/>
      <c r="GE66" s="159"/>
      <c r="GF66" s="159"/>
      <c r="GG66" s="159"/>
      <c r="GH66" s="159"/>
      <c r="GI66" s="159"/>
      <c r="GJ66" s="159"/>
      <c r="GK66" s="159"/>
      <c r="GL66" s="159"/>
      <c r="GM66" s="159"/>
      <c r="GN66" s="159"/>
      <c r="GO66" s="159"/>
      <c r="GP66" s="159"/>
      <c r="GQ66" s="159"/>
      <c r="GR66" s="159"/>
      <c r="GS66" s="159"/>
      <c r="GT66" s="159"/>
      <c r="GU66" s="159"/>
    </row>
    <row r="67" customFormat="false" ht="15" hidden="false" customHeight="true" outlineLevel="0" collapsed="false">
      <c r="A67" s="151" t="n">
        <v>1148</v>
      </c>
      <c r="B67" s="151" t="s">
        <v>44</v>
      </c>
      <c r="C67" s="152" t="s">
        <v>730</v>
      </c>
      <c r="D67" s="140" t="s">
        <v>730</v>
      </c>
      <c r="E67" s="134" t="n">
        <f aca="false">IF(I67="regional",IF(R67*0.2975,S67*0.3484),S67*0.1939)</f>
        <v>0</v>
      </c>
      <c r="F67" s="141"/>
      <c r="G67" s="135" t="n">
        <f aca="false">E67+F67</f>
        <v>0</v>
      </c>
      <c r="H67" s="139" t="s">
        <v>49</v>
      </c>
      <c r="I67" s="140" t="s">
        <v>48</v>
      </c>
      <c r="J67" s="140"/>
      <c r="K67" s="140"/>
      <c r="L67" s="140"/>
      <c r="M67" s="142"/>
      <c r="N67" s="142"/>
      <c r="O67" s="142"/>
      <c r="P67" s="142"/>
      <c r="Q67" s="142"/>
      <c r="R67" s="142"/>
      <c r="S67" s="142"/>
      <c r="T67" s="8" t="n">
        <f aca="false">IF(I67="regional",IF(R67&gt;0,R67*0.2975,S67*0.3484),S67*0.1939)</f>
        <v>0</v>
      </c>
      <c r="U67" s="142"/>
      <c r="V67" s="142"/>
      <c r="W67" s="142"/>
      <c r="X67" s="142"/>
      <c r="Y67" s="142"/>
      <c r="Z67" s="142"/>
      <c r="AA67" s="142"/>
      <c r="AB67" s="142"/>
      <c r="AC67" s="142"/>
      <c r="AD67" s="142"/>
      <c r="AE67" s="142"/>
      <c r="AF67" s="142"/>
      <c r="AG67" s="142"/>
      <c r="AH67" s="142"/>
      <c r="AI67" s="142"/>
      <c r="AJ67" s="139" t="s">
        <v>721</v>
      </c>
      <c r="AK67" s="139" t="s">
        <v>727</v>
      </c>
      <c r="AL67" s="154" t="s">
        <v>128</v>
      </c>
      <c r="AM67" s="139" t="s">
        <v>49</v>
      </c>
      <c r="AN67" s="154" t="s">
        <v>730</v>
      </c>
      <c r="AO67" s="154" t="n">
        <v>0</v>
      </c>
      <c r="AP67" s="155" t="n">
        <f aca="false">AR67+AT67+AU67+AV67+AX67+AY67+AZ67+BD67+BF67+BG67+BH67+BJ67+BK67+(BL67+BM67+BN67)/1000+(0.1*BO67)</f>
        <v>437</v>
      </c>
      <c r="AQ67" s="137" t="n">
        <f aca="false">AR67+AT67+AU67+AV67+AX67+AY67+AZ67+BB67+BC67+BD67+BF67+BG67+BH67+BJ67+BK67+(BL67+BM67+BN67)/1000+(0.1*BO67)</f>
        <v>503</v>
      </c>
      <c r="AR67" s="164" t="n">
        <v>32</v>
      </c>
      <c r="AS67" s="164" t="n">
        <v>567</v>
      </c>
      <c r="AT67" s="164" t="n">
        <v>270</v>
      </c>
      <c r="AU67" s="164" t="n">
        <v>0</v>
      </c>
      <c r="AV67" s="164" t="n">
        <v>0</v>
      </c>
      <c r="AW67" s="164" t="n">
        <v>0</v>
      </c>
      <c r="AX67" s="164" t="n">
        <v>26</v>
      </c>
      <c r="AY67" s="164" t="n">
        <v>0</v>
      </c>
      <c r="AZ67" s="164" t="n">
        <v>13</v>
      </c>
      <c r="BA67" s="164" t="n">
        <v>27</v>
      </c>
      <c r="BB67" s="164" t="n">
        <v>66</v>
      </c>
      <c r="BC67" s="164" t="n">
        <v>0</v>
      </c>
      <c r="BD67" s="164" t="n">
        <v>27</v>
      </c>
      <c r="BE67" s="164" t="n">
        <v>0</v>
      </c>
      <c r="BF67" s="164" t="n">
        <v>0</v>
      </c>
      <c r="BG67" s="164" t="n">
        <v>0</v>
      </c>
      <c r="BH67" s="164" t="n">
        <v>67</v>
      </c>
      <c r="BI67" s="164" t="n">
        <v>6</v>
      </c>
      <c r="BJ67" s="164" t="n">
        <v>0</v>
      </c>
      <c r="BK67" s="164" t="n">
        <v>0</v>
      </c>
      <c r="BL67" s="164" t="n">
        <v>0</v>
      </c>
      <c r="BM67" s="164" t="n">
        <v>2000</v>
      </c>
      <c r="BN67" s="164" t="n">
        <v>0</v>
      </c>
      <c r="BO67" s="165"/>
      <c r="CC67" s="160"/>
      <c r="CD67" s="160"/>
      <c r="CE67" s="160"/>
      <c r="CF67" s="160"/>
      <c r="CG67" s="160"/>
      <c r="CH67" s="160"/>
      <c r="CI67" s="160"/>
      <c r="CJ67" s="160"/>
      <c r="CK67" s="160"/>
      <c r="CL67" s="160"/>
      <c r="CM67" s="160"/>
      <c r="CN67" s="160"/>
      <c r="CO67" s="160"/>
      <c r="CP67" s="160"/>
      <c r="CQ67" s="160"/>
      <c r="CR67" s="160"/>
      <c r="CS67" s="160"/>
      <c r="CT67" s="160"/>
      <c r="CU67" s="160"/>
      <c r="CV67" s="160"/>
      <c r="CW67" s="160"/>
      <c r="CX67" s="160"/>
      <c r="CY67" s="160"/>
      <c r="CZ67" s="160"/>
      <c r="DA67" s="160"/>
      <c r="DB67" s="160"/>
      <c r="DC67" s="160"/>
      <c r="DD67" s="160"/>
      <c r="DE67" s="160"/>
      <c r="DF67" s="160"/>
      <c r="DG67" s="160"/>
      <c r="DH67" s="160"/>
      <c r="DI67" s="160"/>
      <c r="DJ67" s="160"/>
      <c r="DK67" s="160"/>
      <c r="DL67" s="160"/>
      <c r="DM67" s="160"/>
      <c r="DN67" s="160"/>
      <c r="DO67" s="160"/>
      <c r="DP67" s="160"/>
      <c r="DQ67" s="160"/>
      <c r="DR67" s="160"/>
      <c r="DS67" s="160"/>
      <c r="DT67" s="160"/>
      <c r="DU67" s="160"/>
      <c r="DV67" s="160"/>
      <c r="DW67" s="160"/>
      <c r="DX67" s="160"/>
      <c r="DY67" s="160"/>
      <c r="DZ67" s="160"/>
      <c r="EA67" s="160"/>
      <c r="EB67" s="160"/>
      <c r="EC67" s="160"/>
      <c r="ED67" s="160"/>
      <c r="EE67" s="160"/>
      <c r="EF67" s="160"/>
      <c r="EG67" s="160"/>
      <c r="EH67" s="160"/>
      <c r="EI67" s="160"/>
      <c r="EJ67" s="160"/>
      <c r="EK67" s="160"/>
      <c r="EL67" s="160"/>
      <c r="EM67" s="160"/>
      <c r="EN67" s="160"/>
      <c r="EO67" s="160"/>
      <c r="EP67" s="160"/>
      <c r="EQ67" s="160"/>
      <c r="ER67" s="160"/>
      <c r="ES67" s="160"/>
      <c r="ET67" s="160"/>
      <c r="EU67" s="160"/>
      <c r="EV67" s="160"/>
      <c r="EW67" s="160"/>
      <c r="EX67" s="160"/>
      <c r="EY67" s="160"/>
      <c r="EZ67" s="160"/>
      <c r="FA67" s="160"/>
      <c r="FB67" s="160"/>
      <c r="FC67" s="160"/>
      <c r="FD67" s="160"/>
      <c r="FE67" s="160"/>
      <c r="FF67" s="160"/>
      <c r="FG67" s="160"/>
      <c r="FH67" s="160"/>
      <c r="FI67" s="160"/>
      <c r="FJ67" s="160"/>
      <c r="FK67" s="160"/>
      <c r="FL67" s="160"/>
      <c r="FM67" s="160"/>
      <c r="FN67" s="160"/>
      <c r="FO67" s="160"/>
      <c r="FP67" s="160"/>
      <c r="FQ67" s="160"/>
      <c r="FR67" s="160"/>
      <c r="FS67" s="160"/>
      <c r="FT67" s="160"/>
      <c r="FU67" s="160"/>
      <c r="FV67" s="160"/>
      <c r="FW67" s="160"/>
      <c r="FX67" s="160"/>
      <c r="FY67" s="160"/>
      <c r="FZ67" s="160"/>
      <c r="GA67" s="160"/>
      <c r="GB67" s="160"/>
      <c r="GC67" s="160"/>
      <c r="GD67" s="160"/>
      <c r="GE67" s="160"/>
      <c r="GF67" s="160"/>
      <c r="GG67" s="160"/>
      <c r="GH67" s="160"/>
      <c r="GI67" s="160"/>
      <c r="GJ67" s="160"/>
      <c r="GK67" s="160"/>
      <c r="GL67" s="160"/>
      <c r="GM67" s="160"/>
      <c r="GN67" s="160"/>
      <c r="GO67" s="160"/>
      <c r="GP67" s="160"/>
      <c r="GQ67" s="160"/>
      <c r="GR67" s="160"/>
      <c r="GS67" s="160"/>
      <c r="GT67" s="160"/>
      <c r="GU67" s="160"/>
    </row>
    <row r="68" customFormat="false" ht="15" hidden="false" customHeight="true" outlineLevel="0" collapsed="false">
      <c r="A68" s="131" t="n">
        <v>941</v>
      </c>
      <c r="B68" s="131"/>
      <c r="C68" s="132" t="s">
        <v>243</v>
      </c>
      <c r="D68" s="133" t="s">
        <v>243</v>
      </c>
      <c r="E68" s="134" t="n">
        <f aca="false">IF(I68="regional",IF(R68*0.2975,S68*0.3484),S68*0.1939)</f>
        <v>62413.8893</v>
      </c>
      <c r="F68" s="134" t="n">
        <v>0</v>
      </c>
      <c r="G68" s="135" t="n">
        <f aca="false">E68+F68</f>
        <v>62413.8893</v>
      </c>
      <c r="H68" s="132"/>
      <c r="I68" s="133" t="s">
        <v>62</v>
      </c>
      <c r="J68" s="133"/>
      <c r="K68" s="133" t="s">
        <v>98</v>
      </c>
      <c r="L68" s="133"/>
      <c r="M68" s="136" t="n">
        <v>17</v>
      </c>
      <c r="N68" s="136" t="n">
        <v>0.84</v>
      </c>
      <c r="O68" s="136" t="n">
        <v>0.866</v>
      </c>
      <c r="P68" s="136" t="n">
        <v>0.751</v>
      </c>
      <c r="Q68" s="136" t="n">
        <v>0.801</v>
      </c>
      <c r="R68" s="136" t="n">
        <v>0</v>
      </c>
      <c r="S68" s="136" t="n">
        <v>321887</v>
      </c>
      <c r="T68" s="8" t="n">
        <f aca="false">IF(I68="regional",IF(R68&gt;0,R68*0.2975,S68*0.3484),S68*0.1939)</f>
        <v>62413.8893</v>
      </c>
      <c r="U68" s="136" t="n">
        <v>278489</v>
      </c>
      <c r="V68" s="136" t="n">
        <v>43398</v>
      </c>
      <c r="W68" s="136" t="n">
        <v>1618</v>
      </c>
      <c r="X68" s="136" t="n">
        <v>0</v>
      </c>
      <c r="Y68" s="136" t="n">
        <v>0</v>
      </c>
      <c r="Z68" s="136" t="n">
        <v>0</v>
      </c>
      <c r="AA68" s="136" t="n">
        <v>384300.8893</v>
      </c>
      <c r="AB68" s="136" t="n">
        <v>62413.8893</v>
      </c>
      <c r="AC68" s="136" t="n">
        <v>321887</v>
      </c>
      <c r="AD68" s="136" t="n">
        <v>0</v>
      </c>
      <c r="AE68" s="136" t="n">
        <v>0</v>
      </c>
      <c r="AF68" s="136" t="n">
        <v>0</v>
      </c>
      <c r="AG68" s="136" t="n">
        <v>321887</v>
      </c>
      <c r="AH68" s="136" t="n">
        <v>0</v>
      </c>
      <c r="AI68" s="136" t="n">
        <v>0</v>
      </c>
      <c r="AJ68" s="132" t="n">
        <v>4</v>
      </c>
      <c r="AK68" s="132" t="s">
        <v>706</v>
      </c>
      <c r="AL68" s="133" t="s">
        <v>62</v>
      </c>
      <c r="AM68" s="132"/>
      <c r="AN68" s="133" t="s">
        <v>243</v>
      </c>
      <c r="AO68" s="133" t="n">
        <v>62413.8893</v>
      </c>
      <c r="AP68" s="137" t="n">
        <f aca="false">AR68+AT68+AU68+AV68+AX68+AY68+AZ68+BD68+BF68+BG68+BH68+BJ68+BK68+(BL68+BM68+BN68)/1000+(0.1*BO68)</f>
        <v>50</v>
      </c>
      <c r="AQ68" s="137" t="n">
        <f aca="false">AR68+AT68+AU68+AV68+AX68+AY68+AZ68+BB68+BC68+BD68+BF68+BG68+BH68+BJ68+BK68+(BL68+BM68+BN68)/1000+(0.1*BO68)</f>
        <v>53</v>
      </c>
      <c r="AR68" s="131" t="n">
        <v>0</v>
      </c>
      <c r="AS68" s="131" t="n">
        <v>0</v>
      </c>
      <c r="AT68" s="131" t="n">
        <v>16</v>
      </c>
      <c r="AU68" s="131" t="n">
        <v>34</v>
      </c>
      <c r="AV68" s="131" t="n">
        <v>0</v>
      </c>
      <c r="AW68" s="131" t="n">
        <v>0</v>
      </c>
      <c r="AX68" s="131" t="n">
        <v>0</v>
      </c>
      <c r="AY68" s="131" t="n">
        <v>0</v>
      </c>
      <c r="AZ68" s="131" t="n">
        <v>0</v>
      </c>
      <c r="BA68" s="131" t="n">
        <v>0</v>
      </c>
      <c r="BB68" s="131" t="n">
        <v>2</v>
      </c>
      <c r="BC68" s="131" t="n">
        <v>1</v>
      </c>
      <c r="BD68" s="131" t="n">
        <v>0</v>
      </c>
      <c r="BE68" s="131" t="n">
        <v>0</v>
      </c>
      <c r="BF68" s="131" t="n">
        <v>0</v>
      </c>
      <c r="BG68" s="131" t="n">
        <v>0</v>
      </c>
      <c r="BH68" s="131" t="n">
        <v>0</v>
      </c>
      <c r="BI68" s="131" t="n">
        <v>0</v>
      </c>
      <c r="BJ68" s="131" t="n">
        <v>0</v>
      </c>
      <c r="BK68" s="131" t="n">
        <v>0</v>
      </c>
      <c r="BL68" s="166" t="n">
        <v>0</v>
      </c>
      <c r="BM68" s="166" t="n">
        <v>0</v>
      </c>
      <c r="BN68" s="166" t="n">
        <v>0</v>
      </c>
      <c r="BO68" s="131" t="n">
        <v>0</v>
      </c>
      <c r="CC68" s="160"/>
      <c r="CD68" s="160"/>
      <c r="CE68" s="160"/>
      <c r="CF68" s="160"/>
      <c r="CG68" s="160"/>
      <c r="CH68" s="160"/>
      <c r="CI68" s="160"/>
      <c r="CJ68" s="160"/>
      <c r="CK68" s="160"/>
      <c r="CL68" s="160"/>
      <c r="CM68" s="160"/>
      <c r="CN68" s="160"/>
      <c r="CO68" s="160"/>
      <c r="CP68" s="160"/>
      <c r="CQ68" s="160"/>
      <c r="CR68" s="160"/>
      <c r="CS68" s="160"/>
      <c r="CT68" s="160"/>
      <c r="CU68" s="160"/>
      <c r="CV68" s="160"/>
      <c r="CW68" s="160"/>
      <c r="CX68" s="160"/>
      <c r="CY68" s="160"/>
      <c r="CZ68" s="160"/>
      <c r="DA68" s="160"/>
      <c r="DB68" s="160"/>
      <c r="DC68" s="160"/>
      <c r="DD68" s="160"/>
      <c r="DE68" s="160"/>
      <c r="DF68" s="160"/>
      <c r="DG68" s="160"/>
      <c r="DH68" s="160"/>
      <c r="DI68" s="160"/>
      <c r="DJ68" s="160"/>
      <c r="DK68" s="160"/>
      <c r="DL68" s="160"/>
      <c r="DM68" s="160"/>
      <c r="DN68" s="160"/>
      <c r="DO68" s="160"/>
      <c r="DP68" s="160"/>
      <c r="DQ68" s="160"/>
      <c r="DR68" s="160"/>
      <c r="DS68" s="160"/>
      <c r="DT68" s="160"/>
      <c r="DU68" s="160"/>
      <c r="DV68" s="160"/>
      <c r="DW68" s="160"/>
      <c r="DX68" s="160"/>
      <c r="DY68" s="160"/>
      <c r="DZ68" s="160"/>
      <c r="EA68" s="160"/>
      <c r="EB68" s="160"/>
      <c r="EC68" s="160"/>
      <c r="ED68" s="160"/>
      <c r="EE68" s="160"/>
      <c r="EF68" s="160"/>
      <c r="EG68" s="160"/>
      <c r="EH68" s="160"/>
      <c r="EI68" s="160"/>
      <c r="EJ68" s="160"/>
      <c r="EK68" s="160"/>
      <c r="EL68" s="160"/>
      <c r="EM68" s="160"/>
      <c r="EN68" s="160"/>
      <c r="EO68" s="160"/>
      <c r="EP68" s="160"/>
      <c r="EQ68" s="160"/>
      <c r="ER68" s="160"/>
      <c r="ES68" s="160"/>
      <c r="ET68" s="160"/>
      <c r="EU68" s="160"/>
      <c r="EV68" s="160"/>
      <c r="EW68" s="160"/>
      <c r="EX68" s="160"/>
      <c r="EY68" s="160"/>
      <c r="EZ68" s="160"/>
      <c r="FA68" s="160"/>
      <c r="FB68" s="160"/>
      <c r="FC68" s="160"/>
      <c r="FD68" s="160"/>
      <c r="FE68" s="160"/>
      <c r="FF68" s="160"/>
      <c r="FG68" s="160"/>
      <c r="FH68" s="160"/>
      <c r="FI68" s="160"/>
      <c r="FJ68" s="160"/>
      <c r="FK68" s="160"/>
      <c r="FL68" s="160"/>
      <c r="FM68" s="160"/>
      <c r="FN68" s="160"/>
      <c r="FO68" s="160"/>
      <c r="FP68" s="160"/>
      <c r="FQ68" s="160"/>
      <c r="FR68" s="160"/>
      <c r="FS68" s="160"/>
      <c r="FT68" s="160"/>
      <c r="FU68" s="160"/>
      <c r="FV68" s="160"/>
      <c r="FW68" s="160"/>
      <c r="FX68" s="160"/>
      <c r="FY68" s="160"/>
      <c r="FZ68" s="160"/>
      <c r="GA68" s="160"/>
      <c r="GB68" s="160"/>
      <c r="GC68" s="160"/>
      <c r="GD68" s="160"/>
      <c r="GE68" s="160"/>
      <c r="GF68" s="160"/>
      <c r="GG68" s="160"/>
      <c r="GH68" s="160"/>
      <c r="GI68" s="160"/>
      <c r="GJ68" s="160"/>
      <c r="GK68" s="160"/>
      <c r="GL68" s="160"/>
      <c r="GM68" s="160"/>
      <c r="GN68" s="160"/>
      <c r="GO68" s="160"/>
      <c r="GP68" s="160"/>
      <c r="GQ68" s="160"/>
      <c r="GR68" s="160"/>
      <c r="GS68" s="160"/>
      <c r="GT68" s="160"/>
      <c r="GU68" s="160"/>
    </row>
    <row r="69" customFormat="false" ht="15" hidden="false" customHeight="true" outlineLevel="0" collapsed="false">
      <c r="A69" s="131" t="n">
        <v>1504</v>
      </c>
      <c r="B69" s="131"/>
      <c r="C69" s="132" t="s">
        <v>245</v>
      </c>
      <c r="D69" s="133" t="s">
        <v>245</v>
      </c>
      <c r="E69" s="134" t="n">
        <f aca="false">IF(I69="regional",IF(R69*0.2975,S69*0.3484),S69*0.1939)</f>
        <v>64294.4328</v>
      </c>
      <c r="F69" s="134" t="n">
        <v>0</v>
      </c>
      <c r="G69" s="135" t="n">
        <f aca="false">E69+F69</f>
        <v>64294.4328</v>
      </c>
      <c r="H69" s="132"/>
      <c r="I69" s="133" t="s">
        <v>48</v>
      </c>
      <c r="J69" s="133" t="s">
        <v>49</v>
      </c>
      <c r="K69" s="133" t="s">
        <v>247</v>
      </c>
      <c r="L69" s="133"/>
      <c r="M69" s="136" t="n">
        <v>23</v>
      </c>
      <c r="N69" s="136" t="n">
        <v>0.919</v>
      </c>
      <c r="O69" s="136" t="n">
        <v>0.919</v>
      </c>
      <c r="P69" s="136" t="n">
        <v>0.837</v>
      </c>
      <c r="Q69" s="136" t="n">
        <v>0.935</v>
      </c>
      <c r="R69" s="136" t="n">
        <v>197674</v>
      </c>
      <c r="S69" s="136" t="n">
        <v>184542</v>
      </c>
      <c r="T69" s="8" t="n">
        <f aca="false">IF(I69="regional",IF(R69&gt;0,R69*0.2975,S69*0.3484),S69*0.1939)</f>
        <v>58808.015</v>
      </c>
      <c r="U69" s="136" t="n">
        <v>92191</v>
      </c>
      <c r="V69" s="136" t="n">
        <v>92351</v>
      </c>
      <c r="W69" s="136" t="n">
        <v>970</v>
      </c>
      <c r="X69" s="136" t="n">
        <v>0</v>
      </c>
      <c r="Y69" s="136" t="n">
        <v>0</v>
      </c>
      <c r="Z69" s="136" t="n">
        <v>0</v>
      </c>
      <c r="AA69" s="136" t="n">
        <v>243350.015</v>
      </c>
      <c r="AB69" s="136" t="n">
        <v>58808.015</v>
      </c>
      <c r="AC69" s="136" t="n">
        <v>184542</v>
      </c>
      <c r="AD69" s="136" t="n">
        <v>0</v>
      </c>
      <c r="AE69" s="136" t="n">
        <v>0</v>
      </c>
      <c r="AF69" s="136" t="n">
        <v>0</v>
      </c>
      <c r="AG69" s="136" t="n">
        <v>184542</v>
      </c>
      <c r="AH69" s="136" t="n">
        <v>0</v>
      </c>
      <c r="AI69" s="136" t="n">
        <v>0</v>
      </c>
      <c r="AJ69" s="132" t="n">
        <v>4</v>
      </c>
      <c r="AK69" s="132" t="s">
        <v>728</v>
      </c>
      <c r="AL69" s="133" t="s">
        <v>48</v>
      </c>
      <c r="AM69" s="132"/>
      <c r="AN69" s="133" t="s">
        <v>245</v>
      </c>
      <c r="AO69" s="133" t="n">
        <v>58808.015</v>
      </c>
      <c r="AP69" s="137" t="n">
        <f aca="false">AR69+AT69+AU69+AV69+AX69+AY69+AZ69+BD69+BF69+BG69+BH69+BJ69+BK69+(BL69+BM69+BN69)/1000+(0.1*BO69)</f>
        <v>29</v>
      </c>
      <c r="AQ69" s="137" t="n">
        <f aca="false">AR69+AT69+AU69+AV69+AX69+AY69+AZ69+BB69+BC69+BD69+BF69+BG69+BH69+BJ69+BK69+(BL69+BM69+BN69)/1000+(0.1*BO69)</f>
        <v>31</v>
      </c>
      <c r="AR69" s="131" t="n">
        <v>0</v>
      </c>
      <c r="AS69" s="131" t="n">
        <v>0</v>
      </c>
      <c r="AT69" s="131" t="n">
        <v>16</v>
      </c>
      <c r="AU69" s="131" t="n">
        <v>6</v>
      </c>
      <c r="AV69" s="131" t="n">
        <v>0</v>
      </c>
      <c r="AW69" s="131" t="n">
        <v>0</v>
      </c>
      <c r="AX69" s="131" t="n">
        <v>6</v>
      </c>
      <c r="AY69" s="131" t="n">
        <v>1</v>
      </c>
      <c r="AZ69" s="131" t="n">
        <v>0</v>
      </c>
      <c r="BA69" s="131" t="n">
        <v>0</v>
      </c>
      <c r="BB69" s="131" t="n">
        <v>1</v>
      </c>
      <c r="BC69" s="131" t="n">
        <v>1</v>
      </c>
      <c r="BD69" s="131" t="n">
        <v>0</v>
      </c>
      <c r="BE69" s="131" t="n">
        <v>0</v>
      </c>
      <c r="BF69" s="131" t="n">
        <v>0</v>
      </c>
      <c r="BG69" s="131" t="n">
        <v>0</v>
      </c>
      <c r="BH69" s="131" t="n">
        <v>0</v>
      </c>
      <c r="BI69" s="131" t="n">
        <v>0</v>
      </c>
      <c r="BJ69" s="131" t="n">
        <v>0</v>
      </c>
      <c r="BK69" s="131" t="n">
        <v>0</v>
      </c>
      <c r="BL69" s="131" t="n">
        <v>0</v>
      </c>
      <c r="BM69" s="131" t="n">
        <v>0</v>
      </c>
      <c r="BN69" s="131" t="n">
        <v>0</v>
      </c>
      <c r="BO69" s="131" t="n">
        <v>0</v>
      </c>
      <c r="CC69" s="160"/>
      <c r="CD69" s="160"/>
      <c r="CE69" s="160"/>
      <c r="CF69" s="160"/>
      <c r="CG69" s="160"/>
      <c r="CH69" s="160"/>
      <c r="CI69" s="160"/>
      <c r="CJ69" s="160"/>
      <c r="CK69" s="160"/>
      <c r="CL69" s="160"/>
      <c r="CM69" s="160"/>
      <c r="CN69" s="160"/>
      <c r="CO69" s="160"/>
      <c r="CP69" s="160"/>
      <c r="CQ69" s="160"/>
      <c r="CR69" s="160"/>
      <c r="CS69" s="160"/>
      <c r="CT69" s="160"/>
      <c r="CU69" s="160"/>
      <c r="CV69" s="160"/>
      <c r="CW69" s="160"/>
      <c r="CX69" s="160"/>
      <c r="CY69" s="160"/>
      <c r="CZ69" s="160"/>
      <c r="DA69" s="160"/>
      <c r="DB69" s="160"/>
      <c r="DC69" s="160"/>
      <c r="DD69" s="160"/>
      <c r="DE69" s="160"/>
      <c r="DF69" s="160"/>
      <c r="DG69" s="160"/>
      <c r="DH69" s="160"/>
      <c r="DI69" s="160"/>
      <c r="DJ69" s="160"/>
      <c r="DK69" s="160"/>
      <c r="DL69" s="160"/>
      <c r="DM69" s="160"/>
      <c r="DN69" s="160"/>
      <c r="DO69" s="160"/>
      <c r="DP69" s="160"/>
      <c r="DQ69" s="160"/>
      <c r="DR69" s="160"/>
      <c r="DS69" s="160"/>
      <c r="DT69" s="160"/>
      <c r="DU69" s="160"/>
      <c r="DV69" s="160"/>
      <c r="DW69" s="160"/>
      <c r="DX69" s="160"/>
      <c r="DY69" s="160"/>
      <c r="DZ69" s="160"/>
      <c r="EA69" s="160"/>
      <c r="EB69" s="160"/>
      <c r="EC69" s="160"/>
      <c r="ED69" s="160"/>
      <c r="EE69" s="160"/>
      <c r="EF69" s="160"/>
      <c r="EG69" s="160"/>
      <c r="EH69" s="160"/>
      <c r="EI69" s="160"/>
      <c r="EJ69" s="160"/>
      <c r="EK69" s="160"/>
      <c r="EL69" s="160"/>
      <c r="EM69" s="160"/>
      <c r="EN69" s="160"/>
      <c r="EO69" s="160"/>
      <c r="EP69" s="160"/>
      <c r="EQ69" s="160"/>
      <c r="ER69" s="160"/>
      <c r="ES69" s="160"/>
      <c r="ET69" s="160"/>
      <c r="EU69" s="160"/>
      <c r="EV69" s="160"/>
      <c r="EW69" s="160"/>
      <c r="EX69" s="160"/>
      <c r="EY69" s="160"/>
      <c r="EZ69" s="160"/>
      <c r="FA69" s="160"/>
      <c r="FB69" s="160"/>
      <c r="FC69" s="160"/>
      <c r="FD69" s="160"/>
      <c r="FE69" s="160"/>
      <c r="FF69" s="160"/>
      <c r="FG69" s="160"/>
      <c r="FH69" s="160"/>
      <c r="FI69" s="160"/>
      <c r="FJ69" s="160"/>
      <c r="FK69" s="160"/>
      <c r="FL69" s="160"/>
      <c r="FM69" s="160"/>
      <c r="FN69" s="160"/>
      <c r="FO69" s="160"/>
      <c r="FP69" s="160"/>
      <c r="FQ69" s="160"/>
      <c r="FR69" s="160"/>
      <c r="FS69" s="160"/>
      <c r="FT69" s="160"/>
      <c r="FU69" s="160"/>
      <c r="FV69" s="160"/>
      <c r="FW69" s="160"/>
      <c r="FX69" s="160"/>
      <c r="FY69" s="160"/>
      <c r="FZ69" s="160"/>
      <c r="GA69" s="160"/>
      <c r="GB69" s="160"/>
      <c r="GC69" s="160"/>
      <c r="GD69" s="160"/>
      <c r="GE69" s="160"/>
      <c r="GF69" s="160"/>
      <c r="GG69" s="160"/>
      <c r="GH69" s="160"/>
      <c r="GI69" s="160"/>
      <c r="GJ69" s="160"/>
      <c r="GK69" s="160"/>
      <c r="GL69" s="160"/>
      <c r="GM69" s="160"/>
      <c r="GN69" s="160"/>
      <c r="GO69" s="160"/>
      <c r="GP69" s="160"/>
      <c r="GQ69" s="160"/>
      <c r="GR69" s="160"/>
      <c r="GS69" s="160"/>
      <c r="GT69" s="160"/>
      <c r="GU69" s="160"/>
    </row>
    <row r="70" customFormat="false" ht="15" hidden="false" customHeight="true" outlineLevel="0" collapsed="false">
      <c r="A70" s="131" t="n">
        <v>509</v>
      </c>
      <c r="B70" s="131"/>
      <c r="C70" s="132" t="s">
        <v>248</v>
      </c>
      <c r="D70" s="133" t="s">
        <v>248</v>
      </c>
      <c r="E70" s="134" t="n">
        <f aca="false">IF(I70="regional",IF(R70*0.2975,S70*0.3484),S70*0.1939)</f>
        <v>43498.3626</v>
      </c>
      <c r="F70" s="134" t="n">
        <v>0</v>
      </c>
      <c r="G70" s="135" t="n">
        <f aca="false">E70+F70</f>
        <v>43498.3626</v>
      </c>
      <c r="H70" s="132" t="s">
        <v>49</v>
      </c>
      <c r="I70" s="133" t="s">
        <v>62</v>
      </c>
      <c r="J70" s="133"/>
      <c r="K70" s="133" t="s">
        <v>250</v>
      </c>
      <c r="L70" s="133"/>
      <c r="M70" s="136" t="n">
        <v>30</v>
      </c>
      <c r="N70" s="136" t="n">
        <v>0.987</v>
      </c>
      <c r="O70" s="136" t="n">
        <v>0.987</v>
      </c>
      <c r="P70" s="136" t="n">
        <v>0.98</v>
      </c>
      <c r="Q70" s="136" t="n">
        <v>0.98</v>
      </c>
      <c r="R70" s="136" t="n">
        <v>0</v>
      </c>
      <c r="S70" s="136" t="n">
        <v>224334</v>
      </c>
      <c r="T70" s="8" t="n">
        <f aca="false">IF(I70="regional",IF(R70&gt;0,R70*0.2975,S70*0.3484),S70*0.1939)</f>
        <v>43498.3626</v>
      </c>
      <c r="U70" s="136" t="n">
        <v>163611</v>
      </c>
      <c r="V70" s="136" t="n">
        <v>60723</v>
      </c>
      <c r="W70" s="136" t="n">
        <v>1113</v>
      </c>
      <c r="X70" s="136" t="n">
        <v>0</v>
      </c>
      <c r="Y70" s="136" t="n">
        <v>0</v>
      </c>
      <c r="Z70" s="136" t="n">
        <v>0</v>
      </c>
      <c r="AA70" s="136" t="n">
        <v>267832.3626</v>
      </c>
      <c r="AB70" s="136" t="n">
        <v>43498.3626</v>
      </c>
      <c r="AC70" s="136" t="n">
        <v>224334</v>
      </c>
      <c r="AD70" s="136" t="n">
        <v>0</v>
      </c>
      <c r="AE70" s="136" t="n">
        <v>0</v>
      </c>
      <c r="AF70" s="136" t="n">
        <v>0</v>
      </c>
      <c r="AG70" s="136" t="n">
        <v>224334</v>
      </c>
      <c r="AH70" s="136" t="n">
        <v>0</v>
      </c>
      <c r="AI70" s="136" t="n">
        <v>0</v>
      </c>
      <c r="AJ70" s="132" t="s">
        <v>707</v>
      </c>
      <c r="AK70" s="132" t="s">
        <v>714</v>
      </c>
      <c r="AL70" s="133" t="s">
        <v>62</v>
      </c>
      <c r="AM70" s="132" t="s">
        <v>49</v>
      </c>
      <c r="AN70" s="133" t="s">
        <v>248</v>
      </c>
      <c r="AO70" s="133" t="n">
        <v>43498.3626</v>
      </c>
      <c r="AP70" s="137" t="n">
        <f aca="false">AR70+AT70+AU70+AV70+AX70+AY70+AZ70+BD70+BF70+BG70+BH70+BJ70+BK70+(BL70+BM70+BN70)/1000+(0.1*BO70)</f>
        <v>30.946882</v>
      </c>
      <c r="AQ70" s="137" t="n">
        <f aca="false">AR70+AT70+AU70+AV70+AX70+AY70+AZ70+BB70+BC70+BD70+BF70+BG70+BH70+BJ70+BK70+(BL70+BM70+BN70)/1000+(0.1*BO70)</f>
        <v>30.946882</v>
      </c>
      <c r="AR70" s="131" t="n">
        <v>0</v>
      </c>
      <c r="AS70" s="131" t="n">
        <v>0</v>
      </c>
      <c r="AT70" s="131" t="n">
        <v>25</v>
      </c>
      <c r="AU70" s="131" t="n">
        <v>0</v>
      </c>
      <c r="AV70" s="131" t="n">
        <v>0</v>
      </c>
      <c r="AW70" s="131" t="n">
        <v>0</v>
      </c>
      <c r="AX70" s="131" t="n">
        <v>0</v>
      </c>
      <c r="AY70" s="131" t="n">
        <v>0</v>
      </c>
      <c r="AZ70" s="131" t="n">
        <v>0</v>
      </c>
      <c r="BA70" s="131" t="n">
        <v>14</v>
      </c>
      <c r="BB70" s="131" t="n">
        <v>0</v>
      </c>
      <c r="BC70" s="131" t="n">
        <v>0</v>
      </c>
      <c r="BD70" s="131" t="n">
        <v>0</v>
      </c>
      <c r="BE70" s="131" t="n">
        <v>0</v>
      </c>
      <c r="BF70" s="131" t="n">
        <v>0</v>
      </c>
      <c r="BG70" s="131" t="n">
        <v>0</v>
      </c>
      <c r="BH70" s="131" t="n">
        <v>0</v>
      </c>
      <c r="BI70" s="131" t="n">
        <v>0</v>
      </c>
      <c r="BJ70" s="131" t="n">
        <v>0</v>
      </c>
      <c r="BK70" s="131" t="n">
        <v>0</v>
      </c>
      <c r="BL70" s="131" t="n">
        <v>0</v>
      </c>
      <c r="BM70" s="131" t="n">
        <v>0</v>
      </c>
      <c r="BN70" s="131" t="n">
        <v>0</v>
      </c>
      <c r="BO70" s="131" t="n">
        <v>59.46882</v>
      </c>
      <c r="CC70" s="160"/>
      <c r="CD70" s="160"/>
      <c r="CE70" s="160"/>
      <c r="CF70" s="160"/>
      <c r="CG70" s="160"/>
      <c r="CH70" s="160"/>
      <c r="CI70" s="160"/>
      <c r="CJ70" s="160"/>
      <c r="CK70" s="160"/>
      <c r="CL70" s="160"/>
      <c r="CM70" s="160"/>
      <c r="CN70" s="160"/>
      <c r="CO70" s="160"/>
      <c r="CP70" s="160"/>
      <c r="CQ70" s="160"/>
      <c r="CR70" s="160"/>
      <c r="CS70" s="160"/>
      <c r="CT70" s="160"/>
      <c r="CU70" s="160"/>
      <c r="CV70" s="160"/>
      <c r="CW70" s="160"/>
      <c r="CX70" s="160"/>
      <c r="CY70" s="160"/>
      <c r="CZ70" s="160"/>
      <c r="DA70" s="160"/>
      <c r="DB70" s="160"/>
      <c r="DC70" s="160"/>
      <c r="DD70" s="160"/>
      <c r="DE70" s="160"/>
      <c r="DF70" s="160"/>
      <c r="DG70" s="160"/>
      <c r="DH70" s="160"/>
      <c r="DI70" s="160"/>
      <c r="DJ70" s="160"/>
      <c r="DK70" s="160"/>
      <c r="DL70" s="160"/>
      <c r="DM70" s="160"/>
      <c r="DN70" s="160"/>
      <c r="DO70" s="160"/>
      <c r="DP70" s="160"/>
      <c r="DQ70" s="160"/>
      <c r="DR70" s="160"/>
      <c r="DS70" s="160"/>
      <c r="DT70" s="160"/>
      <c r="DU70" s="160"/>
      <c r="DV70" s="160"/>
      <c r="DW70" s="160"/>
      <c r="DX70" s="160"/>
      <c r="DY70" s="160"/>
      <c r="DZ70" s="160"/>
      <c r="EA70" s="160"/>
      <c r="EB70" s="160"/>
      <c r="EC70" s="160"/>
      <c r="ED70" s="160"/>
      <c r="EE70" s="160"/>
      <c r="EF70" s="160"/>
      <c r="EG70" s="160"/>
      <c r="EH70" s="160"/>
      <c r="EI70" s="160"/>
      <c r="EJ70" s="160"/>
      <c r="EK70" s="160"/>
      <c r="EL70" s="160"/>
      <c r="EM70" s="160"/>
      <c r="EN70" s="160"/>
      <c r="EO70" s="160"/>
      <c r="EP70" s="160"/>
      <c r="EQ70" s="160"/>
      <c r="ER70" s="160"/>
      <c r="ES70" s="160"/>
      <c r="ET70" s="160"/>
      <c r="EU70" s="160"/>
      <c r="EV70" s="160"/>
      <c r="EW70" s="160"/>
      <c r="EX70" s="160"/>
      <c r="EY70" s="160"/>
      <c r="EZ70" s="160"/>
      <c r="FA70" s="160"/>
      <c r="FB70" s="160"/>
      <c r="FC70" s="160"/>
      <c r="FD70" s="160"/>
      <c r="FE70" s="160"/>
      <c r="FF70" s="160"/>
      <c r="FG70" s="160"/>
      <c r="FH70" s="160"/>
      <c r="FI70" s="160"/>
      <c r="FJ70" s="160"/>
      <c r="FK70" s="160"/>
      <c r="FL70" s="160"/>
      <c r="FM70" s="160"/>
      <c r="FN70" s="160"/>
      <c r="FO70" s="160"/>
      <c r="FP70" s="160"/>
      <c r="FQ70" s="160"/>
      <c r="FR70" s="160"/>
      <c r="FS70" s="160"/>
      <c r="FT70" s="160"/>
      <c r="FU70" s="160"/>
      <c r="FV70" s="160"/>
      <c r="FW70" s="160"/>
      <c r="FX70" s="160"/>
      <c r="FY70" s="160"/>
      <c r="FZ70" s="160"/>
      <c r="GA70" s="160"/>
      <c r="GB70" s="160"/>
      <c r="GC70" s="160"/>
      <c r="GD70" s="160"/>
      <c r="GE70" s="160"/>
      <c r="GF70" s="160"/>
      <c r="GG70" s="160"/>
      <c r="GH70" s="160"/>
      <c r="GI70" s="160"/>
      <c r="GJ70" s="160"/>
      <c r="GK70" s="160"/>
      <c r="GL70" s="160"/>
      <c r="GM70" s="160"/>
      <c r="GN70" s="160"/>
      <c r="GO70" s="160"/>
      <c r="GP70" s="160"/>
      <c r="GQ70" s="160"/>
      <c r="GR70" s="160"/>
      <c r="GS70" s="160"/>
      <c r="GT70" s="160"/>
      <c r="GU70" s="160"/>
    </row>
    <row r="71" customFormat="false" ht="15" hidden="false" customHeight="true" outlineLevel="0" collapsed="false">
      <c r="A71" s="131" t="n">
        <v>8638</v>
      </c>
      <c r="B71" s="131"/>
      <c r="C71" s="132" t="s">
        <v>251</v>
      </c>
      <c r="D71" s="133" t="s">
        <v>251</v>
      </c>
      <c r="E71" s="134" t="n">
        <f aca="false">IF(I71="regional",IF(R71*0.2975,S71*0.3484),S71*0.1939)</f>
        <v>216351.8708</v>
      </c>
      <c r="F71" s="134" t="n">
        <v>0</v>
      </c>
      <c r="G71" s="135" t="n">
        <f aca="false">E71+F71</f>
        <v>216351.8708</v>
      </c>
      <c r="H71" s="132"/>
      <c r="I71" s="133" t="s">
        <v>48</v>
      </c>
      <c r="J71" s="133" t="s">
        <v>49</v>
      </c>
      <c r="K71" s="133" t="s">
        <v>253</v>
      </c>
      <c r="L71" s="133"/>
      <c r="M71" s="136" t="n">
        <v>36</v>
      </c>
      <c r="N71" s="136" t="n">
        <v>0.954</v>
      </c>
      <c r="O71" s="136" t="n">
        <v>0.971</v>
      </c>
      <c r="P71" s="136" t="n">
        <v>0.967</v>
      </c>
      <c r="Q71" s="136" t="n">
        <v>0.923</v>
      </c>
      <c r="R71" s="136" t="n">
        <v>517657</v>
      </c>
      <c r="S71" s="136" t="n">
        <v>620987</v>
      </c>
      <c r="T71" s="8" t="n">
        <f aca="false">IF(I71="regional",IF(R71&gt;0,R71*0.2975,S71*0.3484),S71*0.1939)</f>
        <v>154002.9575</v>
      </c>
      <c r="U71" s="136" t="n">
        <v>347591</v>
      </c>
      <c r="V71" s="136" t="n">
        <v>273396</v>
      </c>
      <c r="W71" s="136" t="n">
        <v>2258</v>
      </c>
      <c r="X71" s="136" t="n">
        <v>0</v>
      </c>
      <c r="Y71" s="136" t="n">
        <v>0</v>
      </c>
      <c r="Z71" s="136" t="n">
        <v>0</v>
      </c>
      <c r="AA71" s="136" t="n">
        <v>774989.9575</v>
      </c>
      <c r="AB71" s="136" t="n">
        <v>154002.9575</v>
      </c>
      <c r="AC71" s="136" t="n">
        <v>620987</v>
      </c>
      <c r="AD71" s="136" t="n">
        <v>0</v>
      </c>
      <c r="AE71" s="136" t="n">
        <v>0</v>
      </c>
      <c r="AF71" s="136" t="n">
        <v>0</v>
      </c>
      <c r="AG71" s="136" t="n">
        <v>620987</v>
      </c>
      <c r="AH71" s="136" t="n">
        <v>0</v>
      </c>
      <c r="AI71" s="136" t="n">
        <v>0</v>
      </c>
      <c r="AJ71" s="132" t="s">
        <v>715</v>
      </c>
      <c r="AK71" s="132" t="s">
        <v>716</v>
      </c>
      <c r="AL71" s="133" t="s">
        <v>62</v>
      </c>
      <c r="AM71" s="132"/>
      <c r="AN71" s="133" t="s">
        <v>251</v>
      </c>
      <c r="AO71" s="133" t="n">
        <v>154002.9575</v>
      </c>
      <c r="AP71" s="137" t="n">
        <f aca="false">AR71+AT71+AU71+AV71+AX71+AY71+AZ71+BD71+BF71+BG71+BH71+BJ71+BK71+(BL71+BM71+BN71)/1000+(0.1*BO71)</f>
        <v>183.7041</v>
      </c>
      <c r="AQ71" s="137" t="n">
        <f aca="false">AR71+AT71+AU71+AV71+AX71+AY71+AZ71+BB71+BC71+BD71+BF71+BG71+BH71+BJ71+BK71+(BL71+BM71+BN71)/1000+(0.1*BO71)</f>
        <v>198.7041</v>
      </c>
      <c r="AR71" s="131" t="n">
        <v>0</v>
      </c>
      <c r="AS71" s="131" t="n">
        <v>0</v>
      </c>
      <c r="AT71" s="131" t="n">
        <v>97</v>
      </c>
      <c r="AU71" s="131" t="n">
        <v>18</v>
      </c>
      <c r="AV71" s="131" t="n">
        <v>0</v>
      </c>
      <c r="AW71" s="131" t="n">
        <v>0</v>
      </c>
      <c r="AX71" s="131" t="n">
        <v>8</v>
      </c>
      <c r="AY71" s="131" t="n">
        <v>2</v>
      </c>
      <c r="AZ71" s="131" t="n">
        <v>0</v>
      </c>
      <c r="BA71" s="131" t="n">
        <v>0</v>
      </c>
      <c r="BB71" s="131" t="n">
        <v>13</v>
      </c>
      <c r="BC71" s="131" t="n">
        <v>2</v>
      </c>
      <c r="BD71" s="131" t="n">
        <v>0</v>
      </c>
      <c r="BE71" s="131" t="n">
        <v>0</v>
      </c>
      <c r="BF71" s="131" t="n">
        <v>0</v>
      </c>
      <c r="BG71" s="131" t="n">
        <v>0</v>
      </c>
      <c r="BH71" s="131" t="n">
        <v>0</v>
      </c>
      <c r="BI71" s="131" t="n">
        <v>0</v>
      </c>
      <c r="BJ71" s="131" t="n">
        <v>0</v>
      </c>
      <c r="BK71" s="131" t="n">
        <v>0</v>
      </c>
      <c r="BL71" s="131" t="n">
        <v>0</v>
      </c>
      <c r="BM71" s="131" t="n">
        <v>0</v>
      </c>
      <c r="BN71" s="131" t="n">
        <v>9130</v>
      </c>
      <c r="BO71" s="131" t="n">
        <v>495.741</v>
      </c>
      <c r="CC71" s="160"/>
      <c r="CD71" s="160"/>
      <c r="CE71" s="160"/>
      <c r="CF71" s="160"/>
      <c r="CG71" s="160"/>
      <c r="CH71" s="160"/>
      <c r="CI71" s="160"/>
      <c r="CJ71" s="160"/>
      <c r="CK71" s="160"/>
      <c r="CL71" s="160"/>
      <c r="CM71" s="160"/>
      <c r="CN71" s="160"/>
      <c r="CO71" s="160"/>
      <c r="CP71" s="160"/>
      <c r="CQ71" s="160"/>
      <c r="CR71" s="160"/>
      <c r="CS71" s="160"/>
      <c r="CT71" s="160"/>
      <c r="CU71" s="160"/>
      <c r="CV71" s="160"/>
      <c r="CW71" s="160"/>
      <c r="CX71" s="160"/>
      <c r="CY71" s="160"/>
      <c r="CZ71" s="160"/>
      <c r="DA71" s="160"/>
      <c r="DB71" s="160"/>
      <c r="DC71" s="160"/>
      <c r="DD71" s="160"/>
      <c r="DE71" s="160"/>
      <c r="DF71" s="160"/>
      <c r="DG71" s="160"/>
      <c r="DH71" s="160"/>
      <c r="DI71" s="160"/>
      <c r="DJ71" s="160"/>
      <c r="DK71" s="160"/>
      <c r="DL71" s="160"/>
      <c r="DM71" s="160"/>
      <c r="DN71" s="160"/>
      <c r="DO71" s="160"/>
      <c r="DP71" s="160"/>
      <c r="DQ71" s="160"/>
      <c r="DR71" s="160"/>
      <c r="DS71" s="160"/>
      <c r="DT71" s="160"/>
      <c r="DU71" s="160"/>
      <c r="DV71" s="160"/>
      <c r="DW71" s="160"/>
      <c r="DX71" s="160"/>
      <c r="DY71" s="160"/>
      <c r="DZ71" s="160"/>
      <c r="EA71" s="160"/>
      <c r="EB71" s="160"/>
      <c r="EC71" s="160"/>
      <c r="ED71" s="160"/>
      <c r="EE71" s="160"/>
      <c r="EF71" s="160"/>
      <c r="EG71" s="160"/>
      <c r="EH71" s="160"/>
      <c r="EI71" s="160"/>
      <c r="EJ71" s="160"/>
      <c r="EK71" s="160"/>
      <c r="EL71" s="160"/>
      <c r="EM71" s="160"/>
      <c r="EN71" s="160"/>
      <c r="EO71" s="160"/>
      <c r="EP71" s="160"/>
      <c r="EQ71" s="160"/>
      <c r="ER71" s="160"/>
      <c r="ES71" s="160"/>
      <c r="ET71" s="160"/>
      <c r="EU71" s="160"/>
      <c r="EV71" s="160"/>
      <c r="EW71" s="160"/>
      <c r="EX71" s="160"/>
      <c r="EY71" s="160"/>
      <c r="EZ71" s="160"/>
      <c r="FA71" s="160"/>
      <c r="FB71" s="160"/>
      <c r="FC71" s="160"/>
      <c r="FD71" s="160"/>
      <c r="FE71" s="160"/>
      <c r="FF71" s="160"/>
      <c r="FG71" s="160"/>
      <c r="FH71" s="160"/>
      <c r="FI71" s="160"/>
      <c r="FJ71" s="160"/>
      <c r="FK71" s="160"/>
      <c r="FL71" s="160"/>
      <c r="FM71" s="160"/>
      <c r="FN71" s="160"/>
      <c r="FO71" s="160"/>
      <c r="FP71" s="160"/>
      <c r="FQ71" s="160"/>
      <c r="FR71" s="160"/>
      <c r="FS71" s="160"/>
      <c r="FT71" s="160"/>
      <c r="FU71" s="160"/>
      <c r="FV71" s="160"/>
      <c r="FW71" s="160"/>
      <c r="FX71" s="160"/>
      <c r="FY71" s="160"/>
      <c r="FZ71" s="160"/>
      <c r="GA71" s="160"/>
      <c r="GB71" s="160"/>
      <c r="GC71" s="160"/>
      <c r="GD71" s="160"/>
      <c r="GE71" s="160"/>
      <c r="GF71" s="160"/>
      <c r="GG71" s="160"/>
      <c r="GH71" s="160"/>
      <c r="GI71" s="160"/>
      <c r="GJ71" s="160"/>
      <c r="GK71" s="160"/>
      <c r="GL71" s="160"/>
      <c r="GM71" s="160"/>
      <c r="GN71" s="160"/>
      <c r="GO71" s="160"/>
      <c r="GP71" s="160"/>
      <c r="GQ71" s="160"/>
      <c r="GR71" s="160"/>
      <c r="GS71" s="160"/>
      <c r="GT71" s="160"/>
      <c r="GU71" s="160"/>
    </row>
    <row r="72" customFormat="false" ht="15" hidden="false" customHeight="true" outlineLevel="0" collapsed="false">
      <c r="A72" s="131" t="n">
        <v>1313</v>
      </c>
      <c r="B72" s="131" t="s">
        <v>44</v>
      </c>
      <c r="C72" s="132" t="s">
        <v>254</v>
      </c>
      <c r="D72" s="133" t="s">
        <v>254</v>
      </c>
      <c r="E72" s="134" t="n">
        <f aca="false">IF(I72="regional",IF(R72*0.2975,S72*0.3484),S72*0.1939)</f>
        <v>248978.834</v>
      </c>
      <c r="F72" s="134" t="n">
        <v>357362</v>
      </c>
      <c r="G72" s="135" t="n">
        <f aca="false">E72+F72</f>
        <v>606340.834</v>
      </c>
      <c r="H72" s="132"/>
      <c r="I72" s="133" t="s">
        <v>48</v>
      </c>
      <c r="J72" s="133" t="s">
        <v>44</v>
      </c>
      <c r="K72" s="133" t="s">
        <v>253</v>
      </c>
      <c r="L72" s="133" t="s">
        <v>44</v>
      </c>
      <c r="M72" s="136" t="n">
        <v>89</v>
      </c>
      <c r="N72" s="136" t="n">
        <v>0.808</v>
      </c>
      <c r="O72" s="136" t="n">
        <v>0.81</v>
      </c>
      <c r="P72" s="136" t="n">
        <v>0.865</v>
      </c>
      <c r="Q72" s="136" t="n">
        <v>0.914</v>
      </c>
      <c r="R72" s="136" t="n">
        <v>888884</v>
      </c>
      <c r="S72" s="136" t="n">
        <v>714635</v>
      </c>
      <c r="T72" s="8" t="n">
        <f aca="false">IF(I72="regional",IF(R72&gt;0,R72*0.2975,S72*0.3484),S72*0.1939)</f>
        <v>264442.99</v>
      </c>
      <c r="U72" s="136" t="n">
        <v>462838</v>
      </c>
      <c r="V72" s="136" t="n">
        <v>251797</v>
      </c>
      <c r="W72" s="136" t="n">
        <v>4500</v>
      </c>
      <c r="X72" s="136" t="n">
        <v>621804.99</v>
      </c>
      <c r="Y72" s="136" t="n">
        <v>264442.99</v>
      </c>
      <c r="Z72" s="136" t="n">
        <v>357362</v>
      </c>
      <c r="AA72" s="136" t="n">
        <v>357273</v>
      </c>
      <c r="AB72" s="136" t="n">
        <v>0</v>
      </c>
      <c r="AC72" s="136" t="n">
        <v>357273</v>
      </c>
      <c r="AD72" s="136" t="n">
        <v>357362</v>
      </c>
      <c r="AE72" s="136" t="n">
        <v>0</v>
      </c>
      <c r="AF72" s="136" t="n">
        <v>357273</v>
      </c>
      <c r="AG72" s="136" t="n">
        <v>0</v>
      </c>
      <c r="AH72" s="136" t="n">
        <v>694000</v>
      </c>
      <c r="AI72" s="136" t="n">
        <v>454000</v>
      </c>
      <c r="AJ72" s="132" t="s">
        <v>715</v>
      </c>
      <c r="AK72" s="132" t="s">
        <v>716</v>
      </c>
      <c r="AL72" s="133" t="s">
        <v>48</v>
      </c>
      <c r="AM72" s="132"/>
      <c r="AN72" s="133" t="s">
        <v>254</v>
      </c>
      <c r="AO72" s="133" t="n">
        <v>621804.99</v>
      </c>
      <c r="AP72" s="137" t="n">
        <f aca="false">AR72+AT72+AU72+AV72+AX72+AY72+AZ72+BD72+BF72+BG72+BH72+BJ72+BK72+(BL72+BM72+BN72)/1000+(0.1*BO72)</f>
        <v>500.2485</v>
      </c>
      <c r="AQ72" s="137" t="n">
        <f aca="false">AR72+AT72+AU72+AV72+AX72+AY72+AZ72+BB72+BC72+BD72+BF72+BG72+BH72+BJ72+BK72+(BL72+BM72+BN72)/1000+(0.1*BO72)</f>
        <v>506.2485</v>
      </c>
      <c r="AR72" s="158" t="n">
        <v>200</v>
      </c>
      <c r="AS72" s="158" t="n">
        <v>454</v>
      </c>
      <c r="AT72" s="158" t="n">
        <v>116</v>
      </c>
      <c r="AU72" s="158" t="n">
        <v>1</v>
      </c>
      <c r="AV72" s="131" t="n">
        <v>0</v>
      </c>
      <c r="AW72" s="131" t="n">
        <v>0</v>
      </c>
      <c r="AX72" s="131" t="n">
        <v>0</v>
      </c>
      <c r="AY72" s="131" t="n">
        <v>0</v>
      </c>
      <c r="AZ72" s="158" t="n">
        <v>3</v>
      </c>
      <c r="BA72" s="158" t="n">
        <v>6</v>
      </c>
      <c r="BB72" s="158" t="n">
        <v>6</v>
      </c>
      <c r="BC72" s="158" t="n">
        <v>0</v>
      </c>
      <c r="BD72" s="131" t="n">
        <v>13</v>
      </c>
      <c r="BE72" s="131" t="n">
        <v>0</v>
      </c>
      <c r="BF72" s="131" t="n">
        <v>0</v>
      </c>
      <c r="BG72" s="131" t="n">
        <v>0</v>
      </c>
      <c r="BH72" s="158" t="n">
        <v>41</v>
      </c>
      <c r="BI72" s="158" t="n">
        <v>0</v>
      </c>
      <c r="BJ72" s="158" t="n">
        <v>0</v>
      </c>
      <c r="BK72" s="158" t="n">
        <v>0</v>
      </c>
      <c r="BL72" s="131" t="n">
        <v>0</v>
      </c>
      <c r="BM72" s="131" t="n">
        <v>0</v>
      </c>
      <c r="BN72" s="131" t="n">
        <v>57720</v>
      </c>
      <c r="BO72" s="131" t="n">
        <v>685.285</v>
      </c>
      <c r="BP72" s="159"/>
      <c r="BQ72" s="159"/>
      <c r="BR72" s="159"/>
      <c r="BS72" s="159"/>
      <c r="BT72" s="159"/>
      <c r="BU72" s="159"/>
      <c r="BV72" s="159"/>
      <c r="BW72" s="159"/>
      <c r="BX72" s="159"/>
      <c r="BY72" s="159"/>
      <c r="BZ72" s="159"/>
      <c r="CA72" s="159"/>
      <c r="CB72" s="159"/>
      <c r="CC72" s="159"/>
      <c r="CD72" s="159"/>
      <c r="CE72" s="159"/>
      <c r="CF72" s="159"/>
      <c r="CG72" s="159"/>
      <c r="CH72" s="159"/>
      <c r="CI72" s="159"/>
      <c r="CJ72" s="159"/>
      <c r="CK72" s="159"/>
      <c r="CL72" s="159"/>
      <c r="CM72" s="159"/>
      <c r="CN72" s="159"/>
      <c r="CO72" s="159"/>
      <c r="CP72" s="159"/>
      <c r="CQ72" s="159"/>
      <c r="CR72" s="159"/>
      <c r="CS72" s="159"/>
      <c r="CT72" s="159"/>
      <c r="CU72" s="159"/>
      <c r="CV72" s="159"/>
      <c r="CW72" s="159"/>
      <c r="CX72" s="159"/>
      <c r="CY72" s="159"/>
      <c r="CZ72" s="159"/>
      <c r="DA72" s="159"/>
      <c r="DB72" s="159"/>
      <c r="DC72" s="159"/>
      <c r="DD72" s="159"/>
      <c r="DE72" s="159"/>
      <c r="DF72" s="159"/>
      <c r="DG72" s="159"/>
      <c r="DH72" s="159"/>
      <c r="DI72" s="159"/>
      <c r="DJ72" s="159"/>
      <c r="DK72" s="159"/>
      <c r="DL72" s="159"/>
      <c r="DM72" s="159"/>
      <c r="DN72" s="159"/>
      <c r="DO72" s="159"/>
      <c r="DP72" s="159"/>
      <c r="DQ72" s="159"/>
      <c r="DR72" s="159"/>
      <c r="DS72" s="159"/>
      <c r="DT72" s="159"/>
      <c r="DU72" s="159"/>
      <c r="DV72" s="159"/>
      <c r="DW72" s="159"/>
      <c r="DX72" s="159"/>
      <c r="DY72" s="159"/>
      <c r="DZ72" s="159"/>
      <c r="EA72" s="159"/>
      <c r="EB72" s="159"/>
      <c r="EC72" s="159"/>
      <c r="ED72" s="159"/>
      <c r="EE72" s="159"/>
      <c r="EF72" s="159"/>
      <c r="EG72" s="159"/>
      <c r="EH72" s="159"/>
      <c r="EI72" s="159"/>
      <c r="EJ72" s="159"/>
      <c r="EK72" s="159"/>
      <c r="EL72" s="159"/>
      <c r="EM72" s="159"/>
      <c r="EN72" s="159"/>
      <c r="EO72" s="159"/>
      <c r="EP72" s="159"/>
      <c r="EQ72" s="159"/>
      <c r="ER72" s="159"/>
      <c r="ES72" s="159"/>
      <c r="ET72" s="159"/>
      <c r="EU72" s="159"/>
      <c r="EV72" s="159"/>
      <c r="EW72" s="159"/>
      <c r="EX72" s="159"/>
      <c r="EY72" s="159"/>
      <c r="EZ72" s="159"/>
      <c r="FA72" s="159"/>
      <c r="FB72" s="159"/>
      <c r="FC72" s="159"/>
      <c r="FD72" s="159"/>
      <c r="FE72" s="159"/>
      <c r="FF72" s="159"/>
      <c r="FG72" s="159"/>
      <c r="FH72" s="159"/>
      <c r="FI72" s="159"/>
      <c r="FJ72" s="159"/>
      <c r="FK72" s="159"/>
      <c r="FL72" s="159"/>
      <c r="FM72" s="159"/>
      <c r="FN72" s="159"/>
      <c r="FO72" s="159"/>
      <c r="FP72" s="159"/>
      <c r="FQ72" s="159"/>
      <c r="FR72" s="159"/>
      <c r="FS72" s="159"/>
      <c r="FT72" s="159"/>
      <c r="FU72" s="159"/>
      <c r="FV72" s="159"/>
      <c r="FW72" s="159"/>
      <c r="FX72" s="159"/>
      <c r="FY72" s="159"/>
      <c r="FZ72" s="159"/>
      <c r="GA72" s="159"/>
      <c r="GB72" s="159"/>
      <c r="GC72" s="159"/>
      <c r="GD72" s="159"/>
      <c r="GE72" s="159"/>
      <c r="GF72" s="159"/>
      <c r="GG72" s="159"/>
      <c r="GH72" s="159"/>
      <c r="GI72" s="159"/>
      <c r="GJ72" s="159"/>
      <c r="GK72" s="159"/>
      <c r="GL72" s="159"/>
      <c r="GM72" s="159"/>
      <c r="GN72" s="159"/>
      <c r="GO72" s="159"/>
      <c r="GP72" s="159"/>
      <c r="GQ72" s="159"/>
      <c r="GR72" s="159"/>
      <c r="GS72" s="159"/>
      <c r="GT72" s="159"/>
      <c r="GU72" s="159"/>
    </row>
    <row r="73" customFormat="false" ht="15" hidden="false" customHeight="true" outlineLevel="0" collapsed="false">
      <c r="A73" s="151" t="n">
        <v>705</v>
      </c>
      <c r="B73" s="151" t="s">
        <v>44</v>
      </c>
      <c r="C73" s="152" t="s">
        <v>731</v>
      </c>
      <c r="D73" s="133" t="s">
        <v>732</v>
      </c>
      <c r="E73" s="134" t="n">
        <f aca="false">IF(I73="regional",IF(R73*0.2975,S73*0.3484),S73*0.1939)</f>
        <v>0</v>
      </c>
      <c r="F73" s="134" t="n">
        <v>0</v>
      </c>
      <c r="G73" s="135" t="n">
        <f aca="false">E73+F73</f>
        <v>0</v>
      </c>
      <c r="H73" s="139" t="s">
        <v>49</v>
      </c>
      <c r="I73" s="133" t="s">
        <v>48</v>
      </c>
      <c r="J73" s="133"/>
      <c r="K73" s="133"/>
      <c r="L73" s="133" t="s">
        <v>44</v>
      </c>
      <c r="M73" s="136" t="n">
        <v>0</v>
      </c>
      <c r="N73" s="136" t="n">
        <v>0</v>
      </c>
      <c r="O73" s="136" t="n">
        <v>0</v>
      </c>
      <c r="P73" s="136" t="n">
        <v>0</v>
      </c>
      <c r="Q73" s="136" t="n">
        <v>0</v>
      </c>
      <c r="R73" s="142" t="n">
        <v>825041</v>
      </c>
      <c r="S73" s="136" t="n">
        <v>0</v>
      </c>
      <c r="T73" s="8" t="n">
        <f aca="false">IF(I73="regional",IF(R73&gt;0,R73*0.2975,S73*0.3484),S73*0.1939)</f>
        <v>245449.6975</v>
      </c>
      <c r="U73" s="136" t="n">
        <v>0</v>
      </c>
      <c r="V73" s="136" t="n">
        <v>0</v>
      </c>
      <c r="W73" s="136" t="n">
        <v>0</v>
      </c>
      <c r="X73" s="136" t="n">
        <v>0</v>
      </c>
      <c r="Y73" s="136" t="n">
        <v>0</v>
      </c>
      <c r="Z73" s="136" t="n">
        <v>0</v>
      </c>
      <c r="AA73" s="136" t="n">
        <v>0</v>
      </c>
      <c r="AB73" s="136" t="n">
        <v>0</v>
      </c>
      <c r="AC73" s="136" t="n">
        <v>0</v>
      </c>
      <c r="AD73" s="136" t="n">
        <v>0</v>
      </c>
      <c r="AE73" s="136" t="n">
        <v>0</v>
      </c>
      <c r="AF73" s="136" t="n">
        <v>0</v>
      </c>
      <c r="AG73" s="136" t="n">
        <v>0</v>
      </c>
      <c r="AH73" s="136" t="n">
        <v>664000</v>
      </c>
      <c r="AI73" s="136" t="n">
        <v>463000</v>
      </c>
      <c r="AJ73" s="139" t="s">
        <v>707</v>
      </c>
      <c r="AK73" s="139" t="s">
        <v>708</v>
      </c>
      <c r="AL73" s="143" t="s">
        <v>48</v>
      </c>
      <c r="AM73" s="139" t="s">
        <v>49</v>
      </c>
      <c r="AN73" s="154" t="s">
        <v>732</v>
      </c>
      <c r="AO73" s="154" t="n">
        <v>0</v>
      </c>
      <c r="AP73" s="155" t="n">
        <v>0</v>
      </c>
      <c r="AQ73" s="137" t="n">
        <f aca="false">AR73+AT73+AU73+AV73+AX73+AY73+AZ73+BB73+BC73+BD73+BF73+BG73+BH73+BJ73+BK73+(BL73+BM73+BN73)/1000+(0.1*BO73)</f>
        <v>332.7958</v>
      </c>
      <c r="AR73" s="145" t="n">
        <v>66</v>
      </c>
      <c r="AS73" s="145" t="n">
        <v>463</v>
      </c>
      <c r="AT73" s="145" t="n">
        <v>85</v>
      </c>
      <c r="AU73" s="145" t="n">
        <v>51</v>
      </c>
      <c r="AV73" s="138" t="n">
        <v>0</v>
      </c>
      <c r="AW73" s="138" t="n">
        <v>0</v>
      </c>
      <c r="AX73" s="138" t="n">
        <v>0</v>
      </c>
      <c r="AY73" s="138" t="n">
        <v>0</v>
      </c>
      <c r="AZ73" s="156" t="n">
        <v>0</v>
      </c>
      <c r="BA73" s="156" t="n">
        <v>53</v>
      </c>
      <c r="BB73" s="156" t="n">
        <v>72</v>
      </c>
      <c r="BC73" s="156" t="n">
        <v>0</v>
      </c>
      <c r="BD73" s="138" t="n">
        <v>0</v>
      </c>
      <c r="BE73" s="138" t="n">
        <v>0</v>
      </c>
      <c r="BF73" s="138" t="n">
        <v>0</v>
      </c>
      <c r="BG73" s="138" t="n">
        <v>0</v>
      </c>
      <c r="BH73" s="156" t="n">
        <v>0</v>
      </c>
      <c r="BI73" s="156" t="n">
        <v>3</v>
      </c>
      <c r="BJ73" s="156" t="n">
        <v>0</v>
      </c>
      <c r="BK73" s="156" t="n">
        <v>0</v>
      </c>
      <c r="BL73" s="138" t="n">
        <v>6000</v>
      </c>
      <c r="BM73" s="138" t="n">
        <v>0</v>
      </c>
      <c r="BN73" s="138" t="n">
        <v>9000</v>
      </c>
      <c r="BO73" s="138" t="n">
        <v>437.958</v>
      </c>
      <c r="BP73" s="159"/>
      <c r="BQ73" s="159"/>
      <c r="BR73" s="159"/>
      <c r="BS73" s="159"/>
      <c r="BT73" s="159"/>
      <c r="BU73" s="159"/>
      <c r="BV73" s="159"/>
      <c r="BW73" s="159"/>
      <c r="BX73" s="159"/>
      <c r="BY73" s="159"/>
      <c r="BZ73" s="159"/>
      <c r="CA73" s="159"/>
      <c r="CB73" s="159"/>
      <c r="CC73" s="159"/>
      <c r="CD73" s="159"/>
      <c r="CE73" s="159"/>
      <c r="CF73" s="159"/>
      <c r="CG73" s="159"/>
      <c r="CH73" s="159"/>
      <c r="CI73" s="159"/>
      <c r="CJ73" s="159"/>
      <c r="CK73" s="159"/>
      <c r="CL73" s="159"/>
      <c r="CM73" s="159"/>
      <c r="CN73" s="159"/>
      <c r="CO73" s="159"/>
      <c r="CP73" s="159"/>
      <c r="CQ73" s="159"/>
      <c r="CR73" s="159"/>
      <c r="CS73" s="159"/>
      <c r="CT73" s="159"/>
      <c r="CU73" s="159"/>
      <c r="CV73" s="159"/>
      <c r="CW73" s="159"/>
      <c r="CX73" s="159"/>
      <c r="CY73" s="159"/>
      <c r="CZ73" s="159"/>
      <c r="DA73" s="159"/>
      <c r="DB73" s="159"/>
      <c r="DC73" s="159"/>
      <c r="DD73" s="159"/>
      <c r="DE73" s="159"/>
      <c r="DF73" s="159"/>
      <c r="DG73" s="159"/>
      <c r="DH73" s="159"/>
      <c r="DI73" s="159"/>
      <c r="DJ73" s="159"/>
      <c r="DK73" s="159"/>
      <c r="DL73" s="159"/>
      <c r="DM73" s="159"/>
      <c r="DN73" s="159"/>
      <c r="DO73" s="159"/>
      <c r="DP73" s="159"/>
      <c r="DQ73" s="159"/>
      <c r="DR73" s="159"/>
      <c r="DS73" s="159"/>
      <c r="DT73" s="159"/>
      <c r="DU73" s="159"/>
      <c r="DV73" s="159"/>
      <c r="DW73" s="159"/>
      <c r="DX73" s="159"/>
      <c r="DY73" s="159"/>
      <c r="DZ73" s="159"/>
      <c r="EA73" s="159"/>
      <c r="EB73" s="159"/>
      <c r="EC73" s="159"/>
      <c r="ED73" s="159"/>
      <c r="EE73" s="159"/>
      <c r="EF73" s="159"/>
      <c r="EG73" s="159"/>
      <c r="EH73" s="159"/>
      <c r="EI73" s="159"/>
      <c r="EJ73" s="159"/>
      <c r="EK73" s="159"/>
      <c r="EL73" s="159"/>
      <c r="EM73" s="159"/>
      <c r="EN73" s="159"/>
      <c r="EO73" s="159"/>
      <c r="EP73" s="159"/>
      <c r="EQ73" s="159"/>
      <c r="ER73" s="159"/>
      <c r="ES73" s="159"/>
      <c r="ET73" s="159"/>
      <c r="EU73" s="159"/>
      <c r="EV73" s="159"/>
      <c r="EW73" s="159"/>
      <c r="EX73" s="159"/>
      <c r="EY73" s="159"/>
      <c r="EZ73" s="159"/>
      <c r="FA73" s="159"/>
      <c r="FB73" s="159"/>
      <c r="FC73" s="159"/>
      <c r="FD73" s="159"/>
      <c r="FE73" s="159"/>
      <c r="FF73" s="159"/>
      <c r="FG73" s="159"/>
      <c r="FH73" s="159"/>
      <c r="FI73" s="159"/>
      <c r="FJ73" s="159"/>
      <c r="FK73" s="159"/>
      <c r="FL73" s="159"/>
      <c r="FM73" s="159"/>
      <c r="FN73" s="159"/>
      <c r="FO73" s="159"/>
      <c r="FP73" s="159"/>
      <c r="FQ73" s="159"/>
      <c r="FR73" s="159"/>
      <c r="FS73" s="159"/>
      <c r="FT73" s="159"/>
      <c r="FU73" s="159"/>
      <c r="FV73" s="159"/>
      <c r="FW73" s="159"/>
      <c r="FX73" s="159"/>
      <c r="FY73" s="159"/>
      <c r="FZ73" s="159"/>
      <c r="GA73" s="159"/>
      <c r="GB73" s="159"/>
      <c r="GC73" s="159"/>
      <c r="GD73" s="159"/>
      <c r="GE73" s="159"/>
      <c r="GF73" s="159"/>
      <c r="GG73" s="159"/>
      <c r="GH73" s="159"/>
      <c r="GI73" s="159"/>
      <c r="GJ73" s="159"/>
      <c r="GK73" s="159"/>
      <c r="GL73" s="159"/>
      <c r="GM73" s="159"/>
      <c r="GN73" s="159"/>
      <c r="GO73" s="159"/>
      <c r="GP73" s="159"/>
      <c r="GQ73" s="159"/>
      <c r="GR73" s="159"/>
      <c r="GS73" s="159"/>
      <c r="GT73" s="159"/>
      <c r="GU73" s="159"/>
    </row>
    <row r="74" customFormat="false" ht="15" hidden="false" customHeight="true" outlineLevel="0" collapsed="false">
      <c r="A74" s="151" t="n">
        <v>4776</v>
      </c>
      <c r="B74" s="151" t="s">
        <v>44</v>
      </c>
      <c r="C74" s="152" t="s">
        <v>257</v>
      </c>
      <c r="D74" s="133" t="s">
        <v>257</v>
      </c>
      <c r="E74" s="134" t="n">
        <f aca="false">IF(I74="regional",IF(R74*0.2975,S74*0.3484),S74*0.1939)</f>
        <v>0</v>
      </c>
      <c r="F74" s="134" t="n">
        <v>0</v>
      </c>
      <c r="G74" s="135" t="n">
        <f aca="false">E74+F74</f>
        <v>0</v>
      </c>
      <c r="H74" s="139" t="s">
        <v>49</v>
      </c>
      <c r="I74" s="133" t="s">
        <v>48</v>
      </c>
      <c r="J74" s="133"/>
      <c r="K74" s="133"/>
      <c r="L74" s="133" t="s">
        <v>44</v>
      </c>
      <c r="M74" s="136" t="n">
        <v>0</v>
      </c>
      <c r="N74" s="136" t="n">
        <v>0</v>
      </c>
      <c r="O74" s="136" t="n">
        <v>0</v>
      </c>
      <c r="P74" s="136" t="n">
        <v>0</v>
      </c>
      <c r="Q74" s="136" t="n">
        <v>0</v>
      </c>
      <c r="R74" s="136" t="n">
        <v>0</v>
      </c>
      <c r="S74" s="136" t="n">
        <v>0</v>
      </c>
      <c r="T74" s="8" t="n">
        <f aca="false">IF(I74="regional",IF(R74&gt;0,R74*0.2975,S74*0.3484),S74*0.1939)</f>
        <v>0</v>
      </c>
      <c r="U74" s="136" t="n">
        <v>0</v>
      </c>
      <c r="V74" s="136" t="n">
        <v>0</v>
      </c>
      <c r="W74" s="136" t="n">
        <v>0</v>
      </c>
      <c r="X74" s="136" t="n">
        <v>0</v>
      </c>
      <c r="Y74" s="136" t="n">
        <v>0</v>
      </c>
      <c r="Z74" s="136" t="n">
        <v>0</v>
      </c>
      <c r="AA74" s="136" t="n">
        <v>0</v>
      </c>
      <c r="AB74" s="136" t="n">
        <v>0</v>
      </c>
      <c r="AC74" s="136" t="n">
        <v>0</v>
      </c>
      <c r="AD74" s="136" t="n">
        <v>0</v>
      </c>
      <c r="AE74" s="136" t="n">
        <v>0</v>
      </c>
      <c r="AF74" s="136" t="n">
        <v>0</v>
      </c>
      <c r="AG74" s="136" t="n">
        <v>0</v>
      </c>
      <c r="AH74" s="136" t="n">
        <v>1081000</v>
      </c>
      <c r="AI74" s="136" t="n">
        <v>951000</v>
      </c>
      <c r="AJ74" s="139" t="s">
        <v>715</v>
      </c>
      <c r="AK74" s="139" t="s">
        <v>716</v>
      </c>
      <c r="AL74" s="143" t="s">
        <v>48</v>
      </c>
      <c r="AM74" s="139" t="s">
        <v>49</v>
      </c>
      <c r="AN74" s="167" t="s">
        <v>257</v>
      </c>
      <c r="AO74" s="154" t="n">
        <v>0</v>
      </c>
      <c r="AP74" s="144" t="n">
        <f aca="false">AR74+AT74+AU74+AV74+AX74+AY74+AZ74+BD74+BF74+BG74+BH74+BJ74+BK74+(BL74+BM74+BN74)/1000+(0.1*BO74)</f>
        <v>589.9563</v>
      </c>
      <c r="AQ74" s="137" t="n">
        <f aca="false">AR74+AT74+AU74+AV74+AX74+AY74+AZ74+BB74+BC74+BD74+BF74+BG74+BH74+BJ74+BK74+(BL74+BM74+BN74)/1000+(0.1*BO74)</f>
        <v>600.9563</v>
      </c>
      <c r="AR74" s="156" t="n">
        <v>84</v>
      </c>
      <c r="AS74" s="156" t="n">
        <v>951</v>
      </c>
      <c r="AT74" s="156" t="n">
        <v>385</v>
      </c>
      <c r="AU74" s="156" t="n">
        <v>14</v>
      </c>
      <c r="AV74" s="138" t="n">
        <v>0</v>
      </c>
      <c r="AW74" s="138" t="n">
        <v>32</v>
      </c>
      <c r="AX74" s="138" t="n">
        <v>19</v>
      </c>
      <c r="AY74" s="138" t="n">
        <v>0</v>
      </c>
      <c r="AZ74" s="138" t="n">
        <v>0</v>
      </c>
      <c r="BA74" s="138" t="n">
        <v>0</v>
      </c>
      <c r="BB74" s="138" t="n">
        <v>10</v>
      </c>
      <c r="BC74" s="138" t="n">
        <v>1</v>
      </c>
      <c r="BD74" s="138" t="n">
        <v>0</v>
      </c>
      <c r="BE74" s="138" t="n">
        <v>0</v>
      </c>
      <c r="BF74" s="138" t="n">
        <v>0</v>
      </c>
      <c r="BG74" s="138" t="n">
        <v>0</v>
      </c>
      <c r="BH74" s="138" t="n">
        <v>0</v>
      </c>
      <c r="BI74" s="138" t="n">
        <v>5</v>
      </c>
      <c r="BJ74" s="138" t="n">
        <v>0</v>
      </c>
      <c r="BK74" s="138" t="n">
        <v>0</v>
      </c>
      <c r="BL74" s="138" t="n">
        <v>0</v>
      </c>
      <c r="BM74" s="138" t="n">
        <v>0</v>
      </c>
      <c r="BN74" s="138" t="n">
        <v>0</v>
      </c>
      <c r="BO74" s="138" t="n">
        <v>879.563</v>
      </c>
      <c r="CC74" s="160"/>
      <c r="CD74" s="160"/>
      <c r="CE74" s="160"/>
      <c r="CF74" s="160"/>
      <c r="CG74" s="160"/>
      <c r="CH74" s="160"/>
      <c r="CI74" s="160"/>
      <c r="CJ74" s="160"/>
      <c r="CK74" s="160"/>
      <c r="CL74" s="160"/>
      <c r="CM74" s="160"/>
      <c r="CN74" s="160"/>
      <c r="CO74" s="160"/>
      <c r="CP74" s="160"/>
      <c r="CQ74" s="160"/>
      <c r="CR74" s="160"/>
      <c r="CS74" s="160"/>
      <c r="CT74" s="160"/>
      <c r="CU74" s="160"/>
      <c r="CV74" s="160"/>
      <c r="CW74" s="160"/>
      <c r="CX74" s="160"/>
      <c r="CY74" s="160"/>
      <c r="CZ74" s="160"/>
      <c r="DA74" s="160"/>
      <c r="DB74" s="160"/>
      <c r="DC74" s="160"/>
      <c r="DD74" s="160"/>
      <c r="DE74" s="160"/>
      <c r="DF74" s="160"/>
      <c r="DG74" s="160"/>
      <c r="DH74" s="160"/>
      <c r="DI74" s="160"/>
      <c r="DJ74" s="160"/>
      <c r="DK74" s="160"/>
      <c r="DL74" s="160"/>
      <c r="DM74" s="160"/>
      <c r="DN74" s="160"/>
      <c r="DO74" s="160"/>
      <c r="DP74" s="160"/>
      <c r="DQ74" s="160"/>
      <c r="DR74" s="160"/>
      <c r="DS74" s="160"/>
      <c r="DT74" s="160"/>
      <c r="DU74" s="160"/>
      <c r="DV74" s="160"/>
      <c r="DW74" s="160"/>
      <c r="DX74" s="160"/>
      <c r="DY74" s="160"/>
      <c r="DZ74" s="160"/>
      <c r="EA74" s="160"/>
      <c r="EB74" s="160"/>
      <c r="EC74" s="160"/>
      <c r="ED74" s="160"/>
      <c r="EE74" s="160"/>
      <c r="EF74" s="160"/>
      <c r="EG74" s="160"/>
      <c r="EH74" s="160"/>
      <c r="EI74" s="160"/>
      <c r="EJ74" s="160"/>
      <c r="EK74" s="160"/>
      <c r="EL74" s="160"/>
      <c r="EM74" s="160"/>
      <c r="EN74" s="160"/>
      <c r="EO74" s="160"/>
      <c r="EP74" s="160"/>
      <c r="EQ74" s="160"/>
      <c r="ER74" s="160"/>
      <c r="ES74" s="160"/>
      <c r="ET74" s="160"/>
      <c r="EU74" s="160"/>
      <c r="EV74" s="160"/>
      <c r="EW74" s="160"/>
      <c r="EX74" s="160"/>
      <c r="EY74" s="160"/>
      <c r="EZ74" s="160"/>
      <c r="FA74" s="160"/>
      <c r="FB74" s="160"/>
      <c r="FC74" s="160"/>
      <c r="FD74" s="160"/>
      <c r="FE74" s="160"/>
      <c r="FF74" s="160"/>
      <c r="FG74" s="160"/>
      <c r="FH74" s="160"/>
      <c r="FI74" s="160"/>
      <c r="FJ74" s="160"/>
      <c r="FK74" s="160"/>
      <c r="FL74" s="160"/>
      <c r="FM74" s="160"/>
      <c r="FN74" s="160"/>
      <c r="FO74" s="160"/>
      <c r="FP74" s="160"/>
      <c r="FQ74" s="160"/>
      <c r="FR74" s="160"/>
      <c r="FS74" s="160"/>
      <c r="FT74" s="160"/>
      <c r="FU74" s="160"/>
      <c r="FV74" s="160"/>
      <c r="FW74" s="160"/>
      <c r="FX74" s="160"/>
      <c r="FY74" s="160"/>
      <c r="FZ74" s="160"/>
      <c r="GA74" s="160"/>
      <c r="GB74" s="160"/>
      <c r="GC74" s="160"/>
      <c r="GD74" s="160"/>
      <c r="GE74" s="160"/>
      <c r="GF74" s="160"/>
      <c r="GG74" s="160"/>
      <c r="GH74" s="160"/>
      <c r="GI74" s="160"/>
      <c r="GJ74" s="160"/>
      <c r="GK74" s="160"/>
      <c r="GL74" s="160"/>
      <c r="GM74" s="160"/>
      <c r="GN74" s="160"/>
      <c r="GO74" s="160"/>
      <c r="GP74" s="160"/>
      <c r="GQ74" s="160"/>
      <c r="GR74" s="160"/>
      <c r="GS74" s="160"/>
      <c r="GT74" s="160"/>
      <c r="GU74" s="160"/>
    </row>
    <row r="75" customFormat="false" ht="15" hidden="false" customHeight="true" outlineLevel="0" collapsed="false">
      <c r="A75" s="131" t="n">
        <v>8675</v>
      </c>
      <c r="B75" s="131"/>
      <c r="C75" s="132" t="s">
        <v>258</v>
      </c>
      <c r="D75" s="133" t="s">
        <v>258</v>
      </c>
      <c r="E75" s="134" t="n">
        <f aca="false">IF(I75="regional",IF(R75*0.2975,S75*0.3484),S75*0.1939)</f>
        <v>438612.954</v>
      </c>
      <c r="F75" s="134" t="n">
        <v>0</v>
      </c>
      <c r="G75" s="135" t="n">
        <f aca="false">E75+F75</f>
        <v>438612.954</v>
      </c>
      <c r="H75" s="132"/>
      <c r="I75" s="133" t="s">
        <v>48</v>
      </c>
      <c r="J75" s="133" t="s">
        <v>49</v>
      </c>
      <c r="K75" s="133" t="s">
        <v>260</v>
      </c>
      <c r="L75" s="133"/>
      <c r="M75" s="136" t="n">
        <v>130</v>
      </c>
      <c r="N75" s="136" t="n">
        <v>0.983</v>
      </c>
      <c r="O75" s="136" t="n">
        <v>0.983</v>
      </c>
      <c r="P75" s="136" t="n">
        <v>0.986</v>
      </c>
      <c r="Q75" s="136" t="n">
        <v>0.965</v>
      </c>
      <c r="R75" s="136" t="n">
        <v>1425929</v>
      </c>
      <c r="S75" s="136" t="n">
        <v>1258935</v>
      </c>
      <c r="T75" s="8" t="n">
        <f aca="false">IF(I75="regional",IF(R75&gt;0,R75*0.2975,S75*0.3484),S75*0.1939)</f>
        <v>424213.8775</v>
      </c>
      <c r="U75" s="136" t="n">
        <v>866300</v>
      </c>
      <c r="V75" s="136" t="n">
        <v>392635</v>
      </c>
      <c r="W75" s="136" t="n">
        <v>7500</v>
      </c>
      <c r="X75" s="136" t="n">
        <v>0</v>
      </c>
      <c r="Y75" s="136" t="n">
        <v>0</v>
      </c>
      <c r="Z75" s="136" t="n">
        <v>0</v>
      </c>
      <c r="AA75" s="136" t="n">
        <v>1683148.878</v>
      </c>
      <c r="AB75" s="136" t="n">
        <v>424213.8775</v>
      </c>
      <c r="AC75" s="136" t="n">
        <v>1258935</v>
      </c>
      <c r="AD75" s="136" t="n">
        <v>0</v>
      </c>
      <c r="AE75" s="136" t="n">
        <v>0</v>
      </c>
      <c r="AF75" s="136" t="n">
        <v>0</v>
      </c>
      <c r="AG75" s="136" t="n">
        <v>1258935</v>
      </c>
      <c r="AH75" s="136" t="n">
        <v>0</v>
      </c>
      <c r="AI75" s="136" t="n">
        <v>0</v>
      </c>
      <c r="AJ75" s="132" t="n">
        <v>4</v>
      </c>
      <c r="AK75" s="132" t="s">
        <v>720</v>
      </c>
      <c r="AL75" s="133" t="s">
        <v>48</v>
      </c>
      <c r="AM75" s="132"/>
      <c r="AN75" s="133" t="s">
        <v>258</v>
      </c>
      <c r="AO75" s="133" t="n">
        <v>424213.8775</v>
      </c>
      <c r="AP75" s="137" t="n">
        <f aca="false">AR75+AT75+AU75+AV75+AX75+AY75+AZ75+BD75+BF75+BG75+BH75+BJ75+BK75+(BL75+BM75+BN75)/1000+(0.1*BO75)</f>
        <v>490.2884</v>
      </c>
      <c r="AQ75" s="137" t="n">
        <f aca="false">AR75+AT75+AU75+AV75+AX75+AY75+AZ75+BB75+BC75+BD75+BF75+BG75+BH75+BJ75+BK75+(BL75+BM75+BN75)/1000+(0.1*BO75)</f>
        <v>511.2884</v>
      </c>
      <c r="AR75" s="131" t="n">
        <v>0</v>
      </c>
      <c r="AS75" s="131" t="n">
        <v>0</v>
      </c>
      <c r="AT75" s="131" t="n">
        <v>343</v>
      </c>
      <c r="AU75" s="131" t="n">
        <v>25</v>
      </c>
      <c r="AV75" s="131" t="n">
        <v>0</v>
      </c>
      <c r="AW75" s="131" t="n">
        <v>0</v>
      </c>
      <c r="AX75" s="131" t="n">
        <v>33</v>
      </c>
      <c r="AY75" s="131" t="n">
        <v>1</v>
      </c>
      <c r="AZ75" s="131" t="n">
        <v>0</v>
      </c>
      <c r="BA75" s="131" t="n">
        <v>3</v>
      </c>
      <c r="BB75" s="131" t="n">
        <v>19</v>
      </c>
      <c r="BC75" s="131" t="n">
        <v>2</v>
      </c>
      <c r="BD75" s="131" t="n">
        <v>0</v>
      </c>
      <c r="BE75" s="131" t="n">
        <v>0</v>
      </c>
      <c r="BF75" s="131" t="n">
        <v>0</v>
      </c>
      <c r="BG75" s="131" t="n">
        <v>0</v>
      </c>
      <c r="BH75" s="131" t="n">
        <v>0</v>
      </c>
      <c r="BI75" s="131" t="n">
        <v>0</v>
      </c>
      <c r="BJ75" s="131" t="n">
        <v>0</v>
      </c>
      <c r="BK75" s="131" t="n">
        <v>0</v>
      </c>
      <c r="BL75" s="131" t="n">
        <v>0</v>
      </c>
      <c r="BM75" s="131" t="n">
        <v>0</v>
      </c>
      <c r="BN75" s="131" t="n">
        <v>0</v>
      </c>
      <c r="BO75" s="131" t="n">
        <v>882.884</v>
      </c>
      <c r="CC75" s="160"/>
      <c r="CD75" s="160"/>
      <c r="CE75" s="160"/>
      <c r="CF75" s="160"/>
      <c r="CG75" s="160"/>
      <c r="CH75" s="160"/>
      <c r="CI75" s="160"/>
      <c r="CJ75" s="160"/>
      <c r="CK75" s="160"/>
      <c r="CL75" s="160"/>
      <c r="CM75" s="160"/>
      <c r="CN75" s="160"/>
      <c r="CO75" s="160"/>
      <c r="CP75" s="160"/>
      <c r="CQ75" s="160"/>
      <c r="CR75" s="160"/>
      <c r="CS75" s="160"/>
      <c r="CT75" s="160"/>
      <c r="CU75" s="160"/>
      <c r="CV75" s="160"/>
      <c r="CW75" s="160"/>
      <c r="CX75" s="160"/>
      <c r="CY75" s="160"/>
      <c r="CZ75" s="160"/>
      <c r="DA75" s="160"/>
      <c r="DB75" s="160"/>
      <c r="DC75" s="160"/>
      <c r="DD75" s="160"/>
      <c r="DE75" s="160"/>
      <c r="DF75" s="160"/>
      <c r="DG75" s="160"/>
      <c r="DH75" s="160"/>
      <c r="DI75" s="160"/>
      <c r="DJ75" s="160"/>
      <c r="DK75" s="160"/>
      <c r="DL75" s="160"/>
      <c r="DM75" s="160"/>
      <c r="DN75" s="160"/>
      <c r="DO75" s="160"/>
      <c r="DP75" s="160"/>
      <c r="DQ75" s="160"/>
      <c r="DR75" s="160"/>
      <c r="DS75" s="160"/>
      <c r="DT75" s="160"/>
      <c r="DU75" s="160"/>
      <c r="DV75" s="160"/>
      <c r="DW75" s="160"/>
      <c r="DX75" s="160"/>
      <c r="DY75" s="160"/>
      <c r="DZ75" s="160"/>
      <c r="EA75" s="160"/>
      <c r="EB75" s="160"/>
      <c r="EC75" s="160"/>
      <c r="ED75" s="160"/>
      <c r="EE75" s="160"/>
      <c r="EF75" s="160"/>
      <c r="EG75" s="160"/>
      <c r="EH75" s="160"/>
      <c r="EI75" s="160"/>
      <c r="EJ75" s="160"/>
      <c r="EK75" s="160"/>
      <c r="EL75" s="160"/>
      <c r="EM75" s="160"/>
      <c r="EN75" s="160"/>
      <c r="EO75" s="160"/>
      <c r="EP75" s="160"/>
      <c r="EQ75" s="160"/>
      <c r="ER75" s="160"/>
      <c r="ES75" s="160"/>
      <c r="ET75" s="160"/>
      <c r="EU75" s="160"/>
      <c r="EV75" s="160"/>
      <c r="EW75" s="160"/>
      <c r="EX75" s="160"/>
      <c r="EY75" s="160"/>
      <c r="EZ75" s="160"/>
      <c r="FA75" s="160"/>
      <c r="FB75" s="160"/>
      <c r="FC75" s="160"/>
      <c r="FD75" s="160"/>
      <c r="FE75" s="160"/>
      <c r="FF75" s="160"/>
      <c r="FG75" s="160"/>
      <c r="FH75" s="160"/>
      <c r="FI75" s="160"/>
      <c r="FJ75" s="160"/>
      <c r="FK75" s="160"/>
      <c r="FL75" s="160"/>
      <c r="FM75" s="160"/>
      <c r="FN75" s="160"/>
      <c r="FO75" s="160"/>
      <c r="FP75" s="160"/>
      <c r="FQ75" s="160"/>
      <c r="FR75" s="160"/>
      <c r="FS75" s="160"/>
      <c r="FT75" s="160"/>
      <c r="FU75" s="160"/>
      <c r="FV75" s="160"/>
      <c r="FW75" s="160"/>
      <c r="FX75" s="160"/>
      <c r="FY75" s="160"/>
      <c r="FZ75" s="160"/>
      <c r="GA75" s="160"/>
      <c r="GB75" s="160"/>
      <c r="GC75" s="160"/>
      <c r="GD75" s="160"/>
      <c r="GE75" s="160"/>
      <c r="GF75" s="160"/>
      <c r="GG75" s="160"/>
      <c r="GH75" s="160"/>
      <c r="GI75" s="160"/>
      <c r="GJ75" s="160"/>
      <c r="GK75" s="160"/>
      <c r="GL75" s="160"/>
      <c r="GM75" s="160"/>
      <c r="GN75" s="160"/>
      <c r="GO75" s="160"/>
      <c r="GP75" s="160"/>
      <c r="GQ75" s="160"/>
      <c r="GR75" s="160"/>
      <c r="GS75" s="160"/>
      <c r="GT75" s="160"/>
      <c r="GU75" s="160"/>
    </row>
    <row r="76" customFormat="false" ht="15" hidden="false" customHeight="true" outlineLevel="0" collapsed="false">
      <c r="A76" s="131" t="n">
        <v>8678</v>
      </c>
      <c r="B76" s="131"/>
      <c r="C76" s="132" t="s">
        <v>261</v>
      </c>
      <c r="D76" s="133" t="s">
        <v>261</v>
      </c>
      <c r="E76" s="134" t="n">
        <f aca="false">IF(I76="regional",IF(R76*0.2975,S76*0.3484),S76*0.1939)</f>
        <v>31779.8222</v>
      </c>
      <c r="F76" s="134" t="n">
        <v>0</v>
      </c>
      <c r="G76" s="135" t="n">
        <f aca="false">E76+F76</f>
        <v>31779.8222</v>
      </c>
      <c r="H76" s="132"/>
      <c r="I76" s="133" t="s">
        <v>62</v>
      </c>
      <c r="J76" s="133"/>
      <c r="K76" s="133" t="s">
        <v>260</v>
      </c>
      <c r="L76" s="133"/>
      <c r="M76" s="136" t="n">
        <v>12</v>
      </c>
      <c r="N76" s="136" t="n">
        <v>0.793</v>
      </c>
      <c r="O76" s="136" t="n">
        <v>0.793</v>
      </c>
      <c r="P76" s="136" t="n">
        <v>0.754</v>
      </c>
      <c r="Q76" s="136" t="n">
        <v>0.827</v>
      </c>
      <c r="R76" s="136" t="n">
        <v>0</v>
      </c>
      <c r="S76" s="136" t="n">
        <v>163898</v>
      </c>
      <c r="T76" s="8" t="n">
        <f aca="false">IF(I76="regional",IF(R76&gt;0,R76*0.2975,S76*0.3484),S76*0.1939)</f>
        <v>31779.8222</v>
      </c>
      <c r="U76" s="136" t="n">
        <v>142229</v>
      </c>
      <c r="V76" s="136" t="n">
        <v>21669</v>
      </c>
      <c r="W76" s="136" t="n">
        <v>900</v>
      </c>
      <c r="X76" s="136" t="n">
        <v>0</v>
      </c>
      <c r="Y76" s="136" t="n">
        <v>0</v>
      </c>
      <c r="Z76" s="136" t="n">
        <v>0</v>
      </c>
      <c r="AA76" s="136" t="n">
        <v>195677.8222</v>
      </c>
      <c r="AB76" s="136" t="n">
        <v>31779.8222</v>
      </c>
      <c r="AC76" s="136" t="n">
        <v>163898</v>
      </c>
      <c r="AD76" s="136" t="n">
        <v>0</v>
      </c>
      <c r="AE76" s="136" t="n">
        <v>0</v>
      </c>
      <c r="AF76" s="136" t="n">
        <v>0</v>
      </c>
      <c r="AG76" s="136" t="n">
        <v>163898</v>
      </c>
      <c r="AH76" s="136" t="n">
        <v>0</v>
      </c>
      <c r="AI76" s="136" t="n">
        <v>0</v>
      </c>
      <c r="AJ76" s="132" t="n">
        <v>4</v>
      </c>
      <c r="AK76" s="132" t="s">
        <v>720</v>
      </c>
      <c r="AL76" s="133" t="s">
        <v>62</v>
      </c>
      <c r="AM76" s="132"/>
      <c r="AN76" s="133" t="s">
        <v>261</v>
      </c>
      <c r="AO76" s="133" t="n">
        <v>31779.8222</v>
      </c>
      <c r="AP76" s="137" t="n">
        <f aca="false">AR76+AT76+AU76+AV76+AX76+AY76+AZ76+BD76+BF76+BG76+BH76+BJ76+BK76+(BL76+BM76+BN76)/1000+(0.1*BO76)</f>
        <v>25.3058</v>
      </c>
      <c r="AQ76" s="137" t="n">
        <f aca="false">AR76+AT76+AU76+AV76+AX76+AY76+AZ76+BB76+BC76+BD76+BF76+BG76+BH76+BJ76+BK76+(BL76+BM76+BN76)/1000+(0.1*BO76)</f>
        <v>26.3058</v>
      </c>
      <c r="AR76" s="158" t="n">
        <v>0</v>
      </c>
      <c r="AS76" s="158" t="n">
        <v>0</v>
      </c>
      <c r="AT76" s="158" t="n">
        <v>13</v>
      </c>
      <c r="AU76" s="158" t="n">
        <v>0</v>
      </c>
      <c r="AV76" s="158" t="n">
        <v>0</v>
      </c>
      <c r="AW76" s="158" t="n">
        <v>0</v>
      </c>
      <c r="AX76" s="158" t="n">
        <v>0</v>
      </c>
      <c r="AY76" s="158" t="n">
        <v>0</v>
      </c>
      <c r="AZ76" s="158" t="n">
        <v>0</v>
      </c>
      <c r="BA76" s="158" t="n">
        <v>0</v>
      </c>
      <c r="BB76" s="158" t="n">
        <v>0</v>
      </c>
      <c r="BC76" s="158" t="n">
        <v>1</v>
      </c>
      <c r="BD76" s="131" t="n">
        <v>0</v>
      </c>
      <c r="BE76" s="131" t="n">
        <v>0</v>
      </c>
      <c r="BF76" s="131" t="n">
        <v>0</v>
      </c>
      <c r="BG76" s="131" t="n">
        <v>0</v>
      </c>
      <c r="BH76" s="131" t="n">
        <v>0</v>
      </c>
      <c r="BI76" s="131" t="n">
        <v>0</v>
      </c>
      <c r="BJ76" s="131" t="n">
        <v>0</v>
      </c>
      <c r="BK76" s="131" t="n">
        <v>0</v>
      </c>
      <c r="BL76" s="158" t="n">
        <v>0</v>
      </c>
      <c r="BM76" s="158" t="n">
        <v>0</v>
      </c>
      <c r="BN76" s="158" t="n">
        <v>9880</v>
      </c>
      <c r="BO76" s="158" t="n">
        <v>24.258</v>
      </c>
      <c r="BP76" s="160"/>
      <c r="BQ76" s="160"/>
      <c r="BR76" s="160"/>
      <c r="BS76" s="160"/>
      <c r="BT76" s="160"/>
      <c r="BU76" s="160"/>
      <c r="BV76" s="160"/>
      <c r="BW76" s="160"/>
      <c r="BX76" s="160"/>
      <c r="BY76" s="160"/>
      <c r="BZ76" s="160"/>
      <c r="CA76" s="160"/>
      <c r="CB76" s="160"/>
      <c r="CC76" s="160"/>
      <c r="CD76" s="160"/>
      <c r="CE76" s="160"/>
      <c r="CF76" s="160"/>
      <c r="CG76" s="160"/>
      <c r="CH76" s="160"/>
      <c r="CI76" s="160"/>
      <c r="CJ76" s="160"/>
      <c r="CK76" s="160"/>
      <c r="CL76" s="160"/>
      <c r="CM76" s="160"/>
      <c r="CN76" s="160"/>
      <c r="CO76" s="160"/>
      <c r="CP76" s="160"/>
      <c r="CQ76" s="160"/>
      <c r="CR76" s="160"/>
      <c r="CS76" s="160"/>
      <c r="CT76" s="160"/>
      <c r="CU76" s="160"/>
      <c r="CV76" s="160"/>
      <c r="CW76" s="160"/>
      <c r="CX76" s="160"/>
      <c r="CY76" s="160"/>
      <c r="CZ76" s="160"/>
      <c r="DA76" s="160"/>
      <c r="DB76" s="160"/>
      <c r="DC76" s="160"/>
      <c r="DD76" s="160"/>
      <c r="DE76" s="160"/>
      <c r="DF76" s="160"/>
      <c r="DG76" s="160"/>
      <c r="DH76" s="160"/>
      <c r="DI76" s="160"/>
      <c r="DJ76" s="160"/>
      <c r="DK76" s="160"/>
      <c r="DL76" s="160"/>
      <c r="DM76" s="160"/>
      <c r="DN76" s="160"/>
      <c r="DO76" s="160"/>
      <c r="DP76" s="160"/>
      <c r="DQ76" s="160"/>
      <c r="DR76" s="160"/>
      <c r="DS76" s="160"/>
      <c r="DT76" s="160"/>
      <c r="DU76" s="160"/>
      <c r="DV76" s="160"/>
      <c r="DW76" s="160"/>
      <c r="DX76" s="160"/>
      <c r="DY76" s="160"/>
      <c r="DZ76" s="160"/>
      <c r="EA76" s="160"/>
      <c r="EB76" s="160"/>
      <c r="EC76" s="160"/>
      <c r="ED76" s="160"/>
      <c r="EE76" s="160"/>
      <c r="EF76" s="160"/>
      <c r="EG76" s="160"/>
      <c r="EH76" s="160"/>
      <c r="EI76" s="160"/>
      <c r="EJ76" s="160"/>
      <c r="EK76" s="160"/>
      <c r="EL76" s="160"/>
      <c r="EM76" s="160"/>
      <c r="EN76" s="160"/>
      <c r="EO76" s="160"/>
      <c r="EP76" s="160"/>
      <c r="EQ76" s="160"/>
      <c r="ER76" s="160"/>
      <c r="ES76" s="160"/>
      <c r="ET76" s="160"/>
      <c r="EU76" s="160"/>
      <c r="EV76" s="160"/>
      <c r="EW76" s="160"/>
      <c r="EX76" s="160"/>
      <c r="EY76" s="160"/>
      <c r="EZ76" s="160"/>
      <c r="FA76" s="160"/>
      <c r="FB76" s="160"/>
      <c r="FC76" s="160"/>
      <c r="FD76" s="160"/>
      <c r="FE76" s="160"/>
      <c r="FF76" s="160"/>
      <c r="FG76" s="160"/>
      <c r="FH76" s="160"/>
      <c r="FI76" s="160"/>
      <c r="FJ76" s="160"/>
      <c r="FK76" s="160"/>
      <c r="FL76" s="160"/>
      <c r="FM76" s="160"/>
      <c r="FN76" s="160"/>
      <c r="FO76" s="160"/>
      <c r="FP76" s="160"/>
      <c r="FQ76" s="160"/>
      <c r="FR76" s="160"/>
      <c r="FS76" s="160"/>
      <c r="FT76" s="160"/>
      <c r="FU76" s="160"/>
      <c r="FV76" s="160"/>
      <c r="FW76" s="160"/>
      <c r="FX76" s="160"/>
      <c r="FY76" s="160"/>
      <c r="FZ76" s="160"/>
      <c r="GA76" s="160"/>
      <c r="GB76" s="160"/>
      <c r="GC76" s="160"/>
      <c r="GD76" s="160"/>
      <c r="GE76" s="160"/>
      <c r="GF76" s="160"/>
      <c r="GG76" s="160"/>
      <c r="GH76" s="160"/>
      <c r="GI76" s="160"/>
      <c r="GJ76" s="160"/>
      <c r="GK76" s="160"/>
      <c r="GL76" s="160"/>
      <c r="GM76" s="160"/>
      <c r="GN76" s="160"/>
      <c r="GO76" s="160"/>
      <c r="GP76" s="160"/>
      <c r="GQ76" s="160"/>
      <c r="GR76" s="160"/>
      <c r="GS76" s="160"/>
      <c r="GT76" s="160"/>
      <c r="GU76" s="160"/>
    </row>
    <row r="77" customFormat="false" ht="15" hidden="false" customHeight="true" outlineLevel="0" collapsed="false">
      <c r="A77" s="168" t="n">
        <v>9375</v>
      </c>
      <c r="B77" s="168" t="s">
        <v>44</v>
      </c>
      <c r="C77" s="152" t="s">
        <v>262</v>
      </c>
      <c r="D77" s="133" t="s">
        <v>262</v>
      </c>
      <c r="E77" s="134" t="n">
        <f aca="false">IF(I77="regional",IF(R77*0.2975,S77*0.3484),S77*0.1939)</f>
        <v>57829.1238</v>
      </c>
      <c r="F77" s="134" t="n">
        <v>0</v>
      </c>
      <c r="G77" s="135" t="n">
        <f aca="false">E77+F77</f>
        <v>57829.1238</v>
      </c>
      <c r="H77" s="132" t="s">
        <v>49</v>
      </c>
      <c r="I77" s="133" t="s">
        <v>62</v>
      </c>
      <c r="J77" s="133"/>
      <c r="K77" s="133" t="s">
        <v>155</v>
      </c>
      <c r="L77" s="133"/>
      <c r="M77" s="136" t="n">
        <v>15</v>
      </c>
      <c r="N77" s="136" t="n">
        <v>0.832</v>
      </c>
      <c r="O77" s="136" t="n">
        <v>0.832</v>
      </c>
      <c r="P77" s="136" t="n">
        <v>0.813</v>
      </c>
      <c r="Q77" s="136" t="n">
        <v>0.768</v>
      </c>
      <c r="R77" s="136" t="n">
        <v>0</v>
      </c>
      <c r="S77" s="134" t="n">
        <v>298242</v>
      </c>
      <c r="T77" s="8" t="n">
        <f aca="false">IF(I77="regional",IF(R77&gt;0,R77*0.2975,S77*0.3484),S77*0.1939)</f>
        <v>57829.1238</v>
      </c>
      <c r="U77" s="136" t="n">
        <v>247025</v>
      </c>
      <c r="V77" s="136" t="n">
        <v>51217</v>
      </c>
      <c r="W77" s="136" t="n">
        <v>1500</v>
      </c>
      <c r="X77" s="136" t="n">
        <v>0</v>
      </c>
      <c r="Y77" s="136" t="n">
        <v>0</v>
      </c>
      <c r="Z77" s="136" t="n">
        <v>0</v>
      </c>
      <c r="AA77" s="136" t="n">
        <v>356071.1238</v>
      </c>
      <c r="AB77" s="136" t="n">
        <v>57829.1238</v>
      </c>
      <c r="AC77" s="136" t="n">
        <v>298242</v>
      </c>
      <c r="AD77" s="136" t="n">
        <v>0</v>
      </c>
      <c r="AE77" s="136" t="n">
        <v>0</v>
      </c>
      <c r="AF77" s="136" t="n">
        <v>0</v>
      </c>
      <c r="AG77" s="136" t="n">
        <v>298242</v>
      </c>
      <c r="AH77" s="136" t="n">
        <v>0</v>
      </c>
      <c r="AI77" s="136" t="n">
        <v>0</v>
      </c>
      <c r="AJ77" s="132" t="s">
        <v>715</v>
      </c>
      <c r="AK77" s="132" t="s">
        <v>716</v>
      </c>
      <c r="AL77" s="143" t="s">
        <v>62</v>
      </c>
      <c r="AM77" s="132" t="s">
        <v>49</v>
      </c>
      <c r="AN77" s="169" t="s">
        <v>733</v>
      </c>
      <c r="AO77" s="154" t="n">
        <v>0</v>
      </c>
      <c r="AP77" s="155" t="n">
        <v>0</v>
      </c>
      <c r="AQ77" s="137" t="n">
        <f aca="false">AR77+AT77+AU77+AV77+AX77+AY77+AZ77+BB77+BC77+BD77+BF77+BG77+BH77+BJ77+BK77+(BL77+BM77+BN77)/1000+(0.1*BO77)</f>
        <v>22</v>
      </c>
      <c r="AR77" s="164" t="n">
        <v>0</v>
      </c>
      <c r="AS77" s="164" t="n">
        <v>671</v>
      </c>
      <c r="AT77" s="164" t="n">
        <v>0</v>
      </c>
      <c r="AU77" s="164" t="n">
        <v>1</v>
      </c>
      <c r="AV77" s="164" t="n">
        <v>0</v>
      </c>
      <c r="AW77" s="164" t="n">
        <v>6</v>
      </c>
      <c r="AX77" s="164" t="n">
        <v>0</v>
      </c>
      <c r="AY77" s="164" t="n">
        <v>0</v>
      </c>
      <c r="AZ77" s="164" t="n">
        <v>0</v>
      </c>
      <c r="BA77" s="164" t="n">
        <v>0</v>
      </c>
      <c r="BB77" s="164" t="n">
        <v>21</v>
      </c>
      <c r="BC77" s="164" t="n">
        <v>0</v>
      </c>
      <c r="BD77" s="131" t="n">
        <v>0</v>
      </c>
      <c r="BE77" s="131" t="n">
        <v>0</v>
      </c>
      <c r="BF77" s="131" t="n">
        <v>0</v>
      </c>
      <c r="BG77" s="131" t="n">
        <v>0</v>
      </c>
      <c r="BH77" s="131" t="n">
        <v>0</v>
      </c>
      <c r="BI77" s="131" t="n">
        <v>0</v>
      </c>
      <c r="BJ77" s="131" t="n">
        <v>0</v>
      </c>
      <c r="BK77" s="131" t="n">
        <v>0</v>
      </c>
      <c r="BL77" s="131" t="n">
        <v>0</v>
      </c>
      <c r="BM77" s="131" t="n">
        <v>0</v>
      </c>
      <c r="BN77" s="131" t="n">
        <v>0</v>
      </c>
      <c r="BO77" s="165"/>
      <c r="BP77" s="160"/>
      <c r="BQ77" s="160"/>
      <c r="BR77" s="160"/>
      <c r="BS77" s="160"/>
      <c r="BT77" s="160"/>
      <c r="BU77" s="160"/>
      <c r="BV77" s="160"/>
      <c r="BW77" s="160"/>
      <c r="BX77" s="160"/>
      <c r="BY77" s="160"/>
      <c r="BZ77" s="160"/>
      <c r="CA77" s="160"/>
      <c r="CB77" s="160"/>
      <c r="CC77" s="160"/>
      <c r="CD77" s="160"/>
      <c r="CE77" s="160"/>
      <c r="CF77" s="160"/>
      <c r="CG77" s="160"/>
      <c r="CH77" s="160"/>
      <c r="CI77" s="160"/>
      <c r="CJ77" s="160"/>
      <c r="CK77" s="160"/>
      <c r="CL77" s="160"/>
      <c r="CM77" s="160"/>
      <c r="CN77" s="160"/>
      <c r="CO77" s="160"/>
      <c r="CP77" s="160"/>
      <c r="CQ77" s="160"/>
      <c r="CR77" s="160"/>
      <c r="CS77" s="160"/>
      <c r="CT77" s="160"/>
      <c r="CU77" s="160"/>
      <c r="CV77" s="160"/>
      <c r="CW77" s="160"/>
      <c r="CX77" s="160"/>
      <c r="CY77" s="160"/>
      <c r="CZ77" s="160"/>
      <c r="DA77" s="160"/>
      <c r="DB77" s="160"/>
      <c r="DC77" s="160"/>
      <c r="DD77" s="160"/>
      <c r="DE77" s="160"/>
      <c r="DF77" s="160"/>
      <c r="DG77" s="160"/>
      <c r="DH77" s="160"/>
      <c r="DI77" s="160"/>
      <c r="DJ77" s="160"/>
      <c r="DK77" s="160"/>
      <c r="DL77" s="160"/>
      <c r="DM77" s="160"/>
      <c r="DN77" s="160"/>
      <c r="DO77" s="160"/>
      <c r="DP77" s="160"/>
      <c r="DQ77" s="160"/>
      <c r="DR77" s="160"/>
      <c r="DS77" s="160"/>
      <c r="DT77" s="160"/>
      <c r="DU77" s="160"/>
      <c r="DV77" s="160"/>
      <c r="DW77" s="160"/>
      <c r="DX77" s="160"/>
      <c r="DY77" s="160"/>
      <c r="DZ77" s="160"/>
      <c r="EA77" s="160"/>
      <c r="EB77" s="160"/>
      <c r="EC77" s="160"/>
      <c r="ED77" s="160"/>
      <c r="EE77" s="160"/>
      <c r="EF77" s="160"/>
      <c r="EG77" s="160"/>
      <c r="EH77" s="160"/>
      <c r="EI77" s="160"/>
      <c r="EJ77" s="160"/>
      <c r="EK77" s="160"/>
      <c r="EL77" s="160"/>
      <c r="EM77" s="160"/>
      <c r="EN77" s="160"/>
      <c r="EO77" s="160"/>
      <c r="EP77" s="160"/>
      <c r="EQ77" s="160"/>
      <c r="ER77" s="160"/>
      <c r="ES77" s="160"/>
      <c r="ET77" s="160"/>
      <c r="EU77" s="160"/>
      <c r="EV77" s="160"/>
      <c r="EW77" s="160"/>
      <c r="EX77" s="160"/>
      <c r="EY77" s="160"/>
      <c r="EZ77" s="160"/>
      <c r="FA77" s="160"/>
      <c r="FB77" s="160"/>
      <c r="FC77" s="160"/>
      <c r="FD77" s="160"/>
      <c r="FE77" s="160"/>
      <c r="FF77" s="160"/>
      <c r="FG77" s="160"/>
      <c r="FH77" s="160"/>
      <c r="FI77" s="160"/>
      <c r="FJ77" s="160"/>
      <c r="FK77" s="160"/>
      <c r="FL77" s="160"/>
      <c r="FM77" s="160"/>
      <c r="FN77" s="160"/>
      <c r="FO77" s="160"/>
      <c r="FP77" s="160"/>
      <c r="FQ77" s="160"/>
      <c r="FR77" s="160"/>
      <c r="FS77" s="160"/>
      <c r="FT77" s="160"/>
      <c r="FU77" s="160"/>
      <c r="FV77" s="160"/>
      <c r="FW77" s="160"/>
      <c r="FX77" s="160"/>
      <c r="FY77" s="160"/>
      <c r="FZ77" s="160"/>
      <c r="GA77" s="160"/>
      <c r="GB77" s="160"/>
      <c r="GC77" s="160"/>
      <c r="GD77" s="160"/>
      <c r="GE77" s="160"/>
      <c r="GF77" s="160"/>
      <c r="GG77" s="160"/>
      <c r="GH77" s="160"/>
      <c r="GI77" s="160"/>
      <c r="GJ77" s="160"/>
      <c r="GK77" s="160"/>
      <c r="GL77" s="160"/>
      <c r="GM77" s="160"/>
      <c r="GN77" s="160"/>
      <c r="GO77" s="160"/>
      <c r="GP77" s="160"/>
      <c r="GQ77" s="160"/>
      <c r="GR77" s="160"/>
      <c r="GS77" s="160"/>
      <c r="GT77" s="160"/>
      <c r="GU77" s="160"/>
    </row>
    <row r="78" customFormat="false" ht="15" hidden="false" customHeight="true" outlineLevel="0" collapsed="false">
      <c r="A78" s="131" t="n">
        <v>1325</v>
      </c>
      <c r="B78" s="131" t="s">
        <v>44</v>
      </c>
      <c r="C78" s="132" t="s">
        <v>264</v>
      </c>
      <c r="D78" s="133" t="s">
        <v>264</v>
      </c>
      <c r="E78" s="134" t="n">
        <f aca="false">IF(I78="regional",IF(R78*0.2975,S78*0.3484),S78*0.1939)</f>
        <v>436277.6288</v>
      </c>
      <c r="F78" s="134" t="n">
        <v>0</v>
      </c>
      <c r="G78" s="135" t="n">
        <f aca="false">E78+F78</f>
        <v>436277.6288</v>
      </c>
      <c r="H78" s="132"/>
      <c r="I78" s="133" t="s">
        <v>48</v>
      </c>
      <c r="J78" s="133" t="s">
        <v>44</v>
      </c>
      <c r="K78" s="133" t="s">
        <v>170</v>
      </c>
      <c r="L78" s="133"/>
      <c r="M78" s="136" t="n">
        <v>144</v>
      </c>
      <c r="N78" s="136" t="n">
        <v>0.898</v>
      </c>
      <c r="O78" s="136" t="n">
        <v>0.896</v>
      </c>
      <c r="P78" s="136" t="n">
        <v>0.938</v>
      </c>
      <c r="Q78" s="136" t="n">
        <v>0.937</v>
      </c>
      <c r="R78" s="136" t="n">
        <v>1322843</v>
      </c>
      <c r="S78" s="136" t="n">
        <v>1252232</v>
      </c>
      <c r="T78" s="8" t="n">
        <f aca="false">IF(I78="regional",IF(R78&gt;0,R78*0.2975,S78*0.3484),S78*0.1939)</f>
        <v>393545.7925</v>
      </c>
      <c r="U78" s="136" t="n">
        <v>898928</v>
      </c>
      <c r="V78" s="136" t="n">
        <v>353304</v>
      </c>
      <c r="W78" s="136" t="n">
        <v>6000</v>
      </c>
      <c r="X78" s="136" t="n">
        <v>0</v>
      </c>
      <c r="Y78" s="136" t="n">
        <v>0</v>
      </c>
      <c r="Z78" s="136" t="n">
        <v>0</v>
      </c>
      <c r="AA78" s="136" t="n">
        <v>1645777.793</v>
      </c>
      <c r="AB78" s="136" t="n">
        <v>393545.7925</v>
      </c>
      <c r="AC78" s="136" t="n">
        <v>1252232</v>
      </c>
      <c r="AD78" s="136" t="n">
        <v>0</v>
      </c>
      <c r="AE78" s="136" t="n">
        <v>0</v>
      </c>
      <c r="AF78" s="136" t="n">
        <v>1252232</v>
      </c>
      <c r="AG78" s="136" t="n">
        <v>0</v>
      </c>
      <c r="AH78" s="136" t="n">
        <v>764000</v>
      </c>
      <c r="AI78" s="136" t="n">
        <v>598000</v>
      </c>
      <c r="AJ78" s="132" t="n">
        <v>4</v>
      </c>
      <c r="AK78" s="132" t="s">
        <v>720</v>
      </c>
      <c r="AL78" s="133" t="s">
        <v>48</v>
      </c>
      <c r="AM78" s="132"/>
      <c r="AN78" s="133" t="s">
        <v>264</v>
      </c>
      <c r="AO78" s="133" t="n">
        <v>393545.7925</v>
      </c>
      <c r="AP78" s="144" t="n">
        <f aca="false">AR78+AT78+AU78+AV78+AX78+AY78+AZ78+BD78+BF78+BG78+BH78+BJ78+BK78+(BL78+BM78+BN78)/1000+(0.1*BO78)</f>
        <v>313.6075</v>
      </c>
      <c r="AQ78" s="137" t="n">
        <f aca="false">AR78+AT78+AU78+AV78+AX78+AY78+AZ78+BB78+BC78+BD78+BF78+BG78+BH78+BJ78+BK78+(BL78+BM78+BN78)/1000+(0.1*BO78)</f>
        <v>338.6075</v>
      </c>
      <c r="AR78" s="131" t="n">
        <v>72</v>
      </c>
      <c r="AS78" s="131" t="n">
        <v>598</v>
      </c>
      <c r="AT78" s="131" t="n">
        <v>101</v>
      </c>
      <c r="AU78" s="131" t="n">
        <v>3</v>
      </c>
      <c r="AV78" s="131" t="n">
        <v>0</v>
      </c>
      <c r="AW78" s="131" t="n">
        <v>0</v>
      </c>
      <c r="AX78" s="131" t="n">
        <v>5</v>
      </c>
      <c r="AY78" s="131" t="n">
        <v>1</v>
      </c>
      <c r="AZ78" s="131" t="n">
        <v>0</v>
      </c>
      <c r="BA78" s="131" t="n">
        <v>30</v>
      </c>
      <c r="BB78" s="131" t="n">
        <v>24</v>
      </c>
      <c r="BC78" s="131" t="n">
        <v>1</v>
      </c>
      <c r="BD78" s="131" t="n">
        <v>0</v>
      </c>
      <c r="BE78" s="131" t="n">
        <v>0</v>
      </c>
      <c r="BF78" s="131" t="n">
        <v>0</v>
      </c>
      <c r="BG78" s="131" t="n">
        <v>0</v>
      </c>
      <c r="BH78" s="131" t="n">
        <v>0</v>
      </c>
      <c r="BI78" s="131" t="n">
        <v>2</v>
      </c>
      <c r="BJ78" s="131" t="n">
        <v>0</v>
      </c>
      <c r="BK78" s="131" t="n">
        <v>0</v>
      </c>
      <c r="BL78" s="131" t="n">
        <v>17163</v>
      </c>
      <c r="BM78" s="131" t="n">
        <v>0</v>
      </c>
      <c r="BN78" s="131" t="n">
        <v>23122</v>
      </c>
      <c r="BO78" s="131" t="n">
        <v>913.225</v>
      </c>
      <c r="BP78" s="160"/>
      <c r="BQ78" s="160"/>
      <c r="BR78" s="160"/>
      <c r="BS78" s="160"/>
      <c r="BT78" s="160"/>
      <c r="BU78" s="160"/>
      <c r="BV78" s="160"/>
      <c r="BW78" s="160"/>
      <c r="BX78" s="160"/>
      <c r="BY78" s="160"/>
      <c r="BZ78" s="160"/>
      <c r="CA78" s="160"/>
      <c r="CB78" s="160"/>
      <c r="CC78" s="160"/>
      <c r="CD78" s="160"/>
      <c r="CE78" s="160"/>
      <c r="CF78" s="160"/>
      <c r="CG78" s="160"/>
      <c r="CH78" s="160"/>
      <c r="CI78" s="160"/>
      <c r="CJ78" s="160"/>
      <c r="CK78" s="160"/>
      <c r="CL78" s="160"/>
      <c r="CM78" s="160"/>
      <c r="CN78" s="160"/>
      <c r="CO78" s="160"/>
      <c r="CP78" s="160"/>
      <c r="CQ78" s="160"/>
      <c r="CR78" s="160"/>
      <c r="CS78" s="160"/>
      <c r="CT78" s="160"/>
      <c r="CU78" s="160"/>
      <c r="CV78" s="160"/>
      <c r="CW78" s="160"/>
      <c r="CX78" s="160"/>
      <c r="CY78" s="160"/>
      <c r="CZ78" s="160"/>
      <c r="DA78" s="160"/>
      <c r="DB78" s="160"/>
      <c r="DC78" s="160"/>
      <c r="DD78" s="160"/>
      <c r="DE78" s="160"/>
      <c r="DF78" s="160"/>
      <c r="DG78" s="160"/>
      <c r="DH78" s="160"/>
      <c r="DI78" s="160"/>
      <c r="DJ78" s="160"/>
      <c r="DK78" s="160"/>
      <c r="DL78" s="160"/>
      <c r="DM78" s="160"/>
      <c r="DN78" s="160"/>
      <c r="DO78" s="160"/>
      <c r="DP78" s="160"/>
      <c r="DQ78" s="160"/>
      <c r="DR78" s="160"/>
      <c r="DS78" s="160"/>
      <c r="DT78" s="160"/>
      <c r="DU78" s="160"/>
      <c r="DV78" s="160"/>
      <c r="DW78" s="160"/>
      <c r="DX78" s="160"/>
      <c r="DY78" s="160"/>
      <c r="DZ78" s="160"/>
      <c r="EA78" s="160"/>
      <c r="EB78" s="160"/>
      <c r="EC78" s="160"/>
      <c r="ED78" s="160"/>
      <c r="EE78" s="160"/>
      <c r="EF78" s="160"/>
      <c r="EG78" s="160"/>
      <c r="EH78" s="160"/>
      <c r="EI78" s="160"/>
      <c r="EJ78" s="160"/>
      <c r="EK78" s="160"/>
      <c r="EL78" s="160"/>
      <c r="EM78" s="160"/>
      <c r="EN78" s="160"/>
      <c r="EO78" s="160"/>
      <c r="EP78" s="160"/>
      <c r="EQ78" s="160"/>
      <c r="ER78" s="160"/>
      <c r="ES78" s="160"/>
      <c r="ET78" s="160"/>
      <c r="EU78" s="160"/>
      <c r="EV78" s="160"/>
      <c r="EW78" s="160"/>
      <c r="EX78" s="160"/>
      <c r="EY78" s="160"/>
      <c r="EZ78" s="160"/>
      <c r="FA78" s="160"/>
      <c r="FB78" s="160"/>
      <c r="FC78" s="160"/>
      <c r="FD78" s="160"/>
      <c r="FE78" s="160"/>
      <c r="FF78" s="160"/>
      <c r="FG78" s="160"/>
      <c r="FH78" s="160"/>
      <c r="FI78" s="160"/>
      <c r="FJ78" s="160"/>
      <c r="FK78" s="160"/>
      <c r="FL78" s="160"/>
      <c r="FM78" s="160"/>
      <c r="FN78" s="160"/>
      <c r="FO78" s="160"/>
      <c r="FP78" s="160"/>
      <c r="FQ78" s="160"/>
      <c r="FR78" s="160"/>
      <c r="FS78" s="160"/>
      <c r="FT78" s="160"/>
      <c r="FU78" s="160"/>
      <c r="FV78" s="160"/>
      <c r="FW78" s="160"/>
      <c r="FX78" s="160"/>
      <c r="FY78" s="160"/>
      <c r="FZ78" s="160"/>
      <c r="GA78" s="160"/>
      <c r="GB78" s="160"/>
      <c r="GC78" s="160"/>
      <c r="GD78" s="160"/>
      <c r="GE78" s="160"/>
      <c r="GF78" s="160"/>
      <c r="GG78" s="160"/>
      <c r="GH78" s="160"/>
      <c r="GI78" s="160"/>
      <c r="GJ78" s="160"/>
      <c r="GK78" s="160"/>
      <c r="GL78" s="160"/>
      <c r="GM78" s="160"/>
      <c r="GN78" s="160"/>
      <c r="GO78" s="160"/>
      <c r="GP78" s="160"/>
      <c r="GQ78" s="160"/>
      <c r="GR78" s="160"/>
      <c r="GS78" s="160"/>
      <c r="GT78" s="160"/>
      <c r="GU78" s="160"/>
    </row>
    <row r="79" customFormat="false" ht="15" hidden="false" customHeight="true" outlineLevel="0" collapsed="false">
      <c r="A79" s="131" t="n">
        <v>1329</v>
      </c>
      <c r="B79" s="131"/>
      <c r="C79" s="132" t="s">
        <v>266</v>
      </c>
      <c r="D79" s="133" t="s">
        <v>266</v>
      </c>
      <c r="E79" s="134" t="n">
        <f aca="false">IF(I79="regional",IF(R79*0.2975,S79*0.3484),S79*0.1939)</f>
        <v>28918.246</v>
      </c>
      <c r="F79" s="134" t="n">
        <v>0</v>
      </c>
      <c r="G79" s="135" t="n">
        <f aca="false">E79+F79</f>
        <v>28918.246</v>
      </c>
      <c r="H79" s="132"/>
      <c r="I79" s="133" t="s">
        <v>62</v>
      </c>
      <c r="J79" s="133"/>
      <c r="K79" s="133" t="s">
        <v>170</v>
      </c>
      <c r="L79" s="133"/>
      <c r="M79" s="136" t="n">
        <v>0</v>
      </c>
      <c r="N79" s="136" t="n">
        <v>1</v>
      </c>
      <c r="O79" s="136" t="n">
        <v>1</v>
      </c>
      <c r="P79" s="136" t="n">
        <v>1</v>
      </c>
      <c r="Q79" s="136" t="n">
        <v>0.975</v>
      </c>
      <c r="R79" s="136" t="n">
        <v>0</v>
      </c>
      <c r="S79" s="136" t="n">
        <v>149140</v>
      </c>
      <c r="T79" s="8" t="n">
        <f aca="false">IF(I79="regional",IF(R79&gt;0,R79*0.2975,S79*0.3484),S79*0.1939)</f>
        <v>28918.246</v>
      </c>
      <c r="U79" s="136" t="n">
        <v>149140</v>
      </c>
      <c r="V79" s="136" t="n">
        <v>0</v>
      </c>
      <c r="W79" s="136" t="n">
        <v>1660</v>
      </c>
      <c r="X79" s="136" t="n">
        <v>0</v>
      </c>
      <c r="Y79" s="136" t="n">
        <v>0</v>
      </c>
      <c r="Z79" s="136" t="n">
        <v>0</v>
      </c>
      <c r="AA79" s="136" t="n">
        <v>178058.246</v>
      </c>
      <c r="AB79" s="136" t="n">
        <v>28918.246</v>
      </c>
      <c r="AC79" s="136" t="n">
        <v>149140</v>
      </c>
      <c r="AD79" s="136" t="n">
        <v>0</v>
      </c>
      <c r="AE79" s="136" t="n">
        <v>0</v>
      </c>
      <c r="AF79" s="136" t="n">
        <v>0</v>
      </c>
      <c r="AG79" s="136" t="n">
        <v>149140</v>
      </c>
      <c r="AH79" s="136" t="n">
        <v>0</v>
      </c>
      <c r="AI79" s="136" t="n">
        <v>0</v>
      </c>
      <c r="AJ79" s="132" t="n">
        <v>4</v>
      </c>
      <c r="AK79" s="132" t="s">
        <v>720</v>
      </c>
      <c r="AL79" s="133" t="s">
        <v>62</v>
      </c>
      <c r="AM79" s="132"/>
      <c r="AN79" s="133" t="s">
        <v>266</v>
      </c>
      <c r="AO79" s="133" t="n">
        <v>28918.246</v>
      </c>
      <c r="AP79" s="144" t="n">
        <f aca="false">AR79+AT79+AU79+AV79+AX79+AY79+AZ79+BD79+BF79+BG79+BH79+BJ79+BK79+(BL79+BM79+BN79)/1000+(0.1*BO79)</f>
        <v>0</v>
      </c>
      <c r="AQ79" s="137" t="n">
        <f aca="false">AR79+AT79+AU79+AV79+AX79+AY79+AZ79+BB79+BC79+BD79+BF79+BG79+BH79+BJ79+BK79+(BL79+BM79+BN79)/1000+(0.1*BO79)</f>
        <v>0</v>
      </c>
      <c r="AR79" s="131" t="n">
        <v>0</v>
      </c>
      <c r="AS79" s="131" t="n">
        <v>0</v>
      </c>
      <c r="AT79" s="131" t="n">
        <v>0</v>
      </c>
      <c r="AU79" s="131" t="n">
        <v>0</v>
      </c>
      <c r="AV79" s="131" t="n">
        <v>0</v>
      </c>
      <c r="AW79" s="131" t="n">
        <v>0</v>
      </c>
      <c r="AX79" s="131" t="n">
        <v>0</v>
      </c>
      <c r="AY79" s="131" t="n">
        <v>0</v>
      </c>
      <c r="AZ79" s="131" t="n">
        <v>0</v>
      </c>
      <c r="BA79" s="131" t="n">
        <v>3</v>
      </c>
      <c r="BB79" s="131" t="n">
        <v>0</v>
      </c>
      <c r="BC79" s="131" t="n">
        <v>0</v>
      </c>
      <c r="BD79" s="131" t="n">
        <v>0</v>
      </c>
      <c r="BE79" s="131" t="n">
        <v>0</v>
      </c>
      <c r="BF79" s="131" t="n">
        <v>0</v>
      </c>
      <c r="BG79" s="131" t="n">
        <v>0</v>
      </c>
      <c r="BH79" s="131" t="n">
        <v>0</v>
      </c>
      <c r="BI79" s="131" t="n">
        <v>0</v>
      </c>
      <c r="BJ79" s="131" t="n">
        <v>0</v>
      </c>
      <c r="BK79" s="131" t="n">
        <v>0</v>
      </c>
      <c r="BL79" s="131" t="n">
        <v>0</v>
      </c>
      <c r="BM79" s="131" t="n">
        <v>0</v>
      </c>
      <c r="BN79" s="131" t="n">
        <v>0</v>
      </c>
      <c r="BO79" s="131" t="n">
        <v>0</v>
      </c>
      <c r="CC79" s="160"/>
      <c r="CD79" s="160"/>
      <c r="CE79" s="160"/>
      <c r="CF79" s="160"/>
      <c r="CG79" s="160"/>
      <c r="CH79" s="160"/>
      <c r="CI79" s="160"/>
      <c r="CJ79" s="160"/>
      <c r="CK79" s="160"/>
      <c r="CL79" s="160"/>
      <c r="CM79" s="160"/>
      <c r="CN79" s="160"/>
      <c r="CO79" s="160"/>
      <c r="CP79" s="160"/>
      <c r="CQ79" s="160"/>
      <c r="CR79" s="160"/>
      <c r="CS79" s="160"/>
      <c r="CT79" s="160"/>
      <c r="CU79" s="160"/>
      <c r="CV79" s="160"/>
      <c r="CW79" s="160"/>
      <c r="CX79" s="160"/>
      <c r="CY79" s="160"/>
      <c r="CZ79" s="160"/>
      <c r="DA79" s="160"/>
      <c r="DB79" s="160"/>
      <c r="DC79" s="160"/>
      <c r="DD79" s="160"/>
      <c r="DE79" s="160"/>
      <c r="DF79" s="160"/>
      <c r="DG79" s="160"/>
      <c r="DH79" s="160"/>
      <c r="DI79" s="160"/>
      <c r="DJ79" s="160"/>
      <c r="DK79" s="160"/>
      <c r="DL79" s="160"/>
      <c r="DM79" s="160"/>
      <c r="DN79" s="160"/>
      <c r="DO79" s="160"/>
      <c r="DP79" s="160"/>
      <c r="DQ79" s="160"/>
      <c r="DR79" s="160"/>
      <c r="DS79" s="160"/>
      <c r="DT79" s="160"/>
      <c r="DU79" s="160"/>
      <c r="DV79" s="160"/>
      <c r="DW79" s="160"/>
      <c r="DX79" s="160"/>
      <c r="DY79" s="160"/>
      <c r="DZ79" s="160"/>
      <c r="EA79" s="160"/>
      <c r="EB79" s="160"/>
      <c r="EC79" s="160"/>
      <c r="ED79" s="160"/>
      <c r="EE79" s="160"/>
      <c r="EF79" s="160"/>
      <c r="EG79" s="160"/>
      <c r="EH79" s="160"/>
      <c r="EI79" s="160"/>
      <c r="EJ79" s="160"/>
      <c r="EK79" s="160"/>
      <c r="EL79" s="160"/>
      <c r="EM79" s="160"/>
      <c r="EN79" s="160"/>
      <c r="EO79" s="160"/>
      <c r="EP79" s="160"/>
      <c r="EQ79" s="160"/>
      <c r="ER79" s="160"/>
      <c r="ES79" s="160"/>
      <c r="ET79" s="160"/>
      <c r="EU79" s="160"/>
      <c r="EV79" s="160"/>
      <c r="EW79" s="160"/>
      <c r="EX79" s="160"/>
      <c r="EY79" s="160"/>
      <c r="EZ79" s="160"/>
      <c r="FA79" s="160"/>
      <c r="FB79" s="160"/>
      <c r="FC79" s="160"/>
      <c r="FD79" s="160"/>
      <c r="FE79" s="160"/>
      <c r="FF79" s="160"/>
      <c r="FG79" s="160"/>
      <c r="FH79" s="160"/>
      <c r="FI79" s="160"/>
      <c r="FJ79" s="160"/>
      <c r="FK79" s="160"/>
      <c r="FL79" s="160"/>
      <c r="FM79" s="160"/>
      <c r="FN79" s="160"/>
      <c r="FO79" s="160"/>
      <c r="FP79" s="160"/>
      <c r="FQ79" s="160"/>
      <c r="FR79" s="160"/>
      <c r="FS79" s="160"/>
      <c r="FT79" s="160"/>
      <c r="FU79" s="160"/>
      <c r="FV79" s="160"/>
      <c r="FW79" s="160"/>
      <c r="FX79" s="160"/>
      <c r="FY79" s="160"/>
      <c r="FZ79" s="160"/>
      <c r="GA79" s="160"/>
      <c r="GB79" s="160"/>
      <c r="GC79" s="160"/>
      <c r="GD79" s="160"/>
      <c r="GE79" s="160"/>
      <c r="GF79" s="160"/>
      <c r="GG79" s="160"/>
      <c r="GH79" s="160"/>
      <c r="GI79" s="160"/>
      <c r="GJ79" s="160"/>
      <c r="GK79" s="160"/>
      <c r="GL79" s="160"/>
      <c r="GM79" s="160"/>
      <c r="GN79" s="160"/>
      <c r="GO79" s="160"/>
      <c r="GP79" s="160"/>
      <c r="GQ79" s="160"/>
      <c r="GR79" s="160"/>
      <c r="GS79" s="160"/>
      <c r="GT79" s="160"/>
      <c r="GU79" s="160"/>
    </row>
    <row r="80" customFormat="false" ht="15" hidden="false" customHeight="true" outlineLevel="0" collapsed="false">
      <c r="A80" s="131" t="n">
        <v>1331</v>
      </c>
      <c r="B80" s="131"/>
      <c r="C80" s="132" t="s">
        <v>267</v>
      </c>
      <c r="D80" s="133" t="s">
        <v>267</v>
      </c>
      <c r="E80" s="134" t="n">
        <f aca="false">IF(I80="regional",IF(R80*0.2975,S80*0.3484),S80*0.1939)</f>
        <v>50674.9894</v>
      </c>
      <c r="F80" s="134" t="n">
        <v>0</v>
      </c>
      <c r="G80" s="135" t="n">
        <f aca="false">E80+F80</f>
        <v>50674.9894</v>
      </c>
      <c r="H80" s="132"/>
      <c r="I80" s="133" t="s">
        <v>62</v>
      </c>
      <c r="J80" s="133"/>
      <c r="K80" s="133" t="s">
        <v>141</v>
      </c>
      <c r="L80" s="133"/>
      <c r="M80" s="136" t="n">
        <v>15</v>
      </c>
      <c r="N80" s="136" t="n">
        <v>0.735</v>
      </c>
      <c r="O80" s="136" t="n">
        <v>0.882</v>
      </c>
      <c r="P80" s="136" t="n">
        <v>0.973</v>
      </c>
      <c r="Q80" s="136" t="n">
        <v>0.992</v>
      </c>
      <c r="R80" s="136" t="n">
        <v>0</v>
      </c>
      <c r="S80" s="136" t="n">
        <v>261346</v>
      </c>
      <c r="T80" s="8" t="n">
        <f aca="false">IF(I80="regional",IF(R80&gt;0,R80*0.2975,S80*0.3484),S80*0.1939)</f>
        <v>50674.9894</v>
      </c>
      <c r="U80" s="136" t="n">
        <v>205774</v>
      </c>
      <c r="V80" s="136" t="n">
        <v>55572</v>
      </c>
      <c r="W80" s="136" t="n">
        <v>1644</v>
      </c>
      <c r="X80" s="136" t="n">
        <v>0</v>
      </c>
      <c r="Y80" s="136" t="n">
        <v>0</v>
      </c>
      <c r="Z80" s="136" t="n">
        <v>0</v>
      </c>
      <c r="AA80" s="136" t="n">
        <v>312020.9894</v>
      </c>
      <c r="AB80" s="136" t="n">
        <v>50674.9894</v>
      </c>
      <c r="AC80" s="136" t="n">
        <v>261346</v>
      </c>
      <c r="AD80" s="136" t="n">
        <v>0</v>
      </c>
      <c r="AE80" s="136" t="n">
        <v>0</v>
      </c>
      <c r="AF80" s="136" t="n">
        <v>0</v>
      </c>
      <c r="AG80" s="136" t="n">
        <v>261346</v>
      </c>
      <c r="AH80" s="136" t="n">
        <v>0</v>
      </c>
      <c r="AI80" s="136" t="n">
        <v>0</v>
      </c>
      <c r="AJ80" s="132" t="n">
        <v>4</v>
      </c>
      <c r="AK80" s="132" t="s">
        <v>720</v>
      </c>
      <c r="AL80" s="133" t="s">
        <v>62</v>
      </c>
      <c r="AM80" s="132"/>
      <c r="AN80" s="133" t="s">
        <v>267</v>
      </c>
      <c r="AO80" s="133" t="n">
        <v>50674.9894</v>
      </c>
      <c r="AP80" s="137" t="n">
        <f aca="false">AR80+AT80+AU80+AV80+AX80+AY80+AZ80+BD80+BF80+BG80+BH80+BJ80+BK80+(BL80+BM80+BN80)/1000+(0.1*BO80)</f>
        <v>16</v>
      </c>
      <c r="AQ80" s="137" t="n">
        <f aca="false">AR80+AT80+AU80+AV80+AX80+AY80+AZ80+BB80+BC80+BD80+BF80+BG80+BH80+BJ80+BK80+(BL80+BM80+BN80)/1000+(0.1*BO80)</f>
        <v>21</v>
      </c>
      <c r="AR80" s="131" t="n">
        <v>0</v>
      </c>
      <c r="AS80" s="131" t="n">
        <v>0</v>
      </c>
      <c r="AT80" s="131" t="n">
        <v>12</v>
      </c>
      <c r="AU80" s="131" t="n">
        <v>2</v>
      </c>
      <c r="AV80" s="131" t="n">
        <v>0</v>
      </c>
      <c r="AW80" s="131" t="n">
        <v>0</v>
      </c>
      <c r="AX80" s="131" t="n">
        <v>0</v>
      </c>
      <c r="AY80" s="131" t="n">
        <v>2</v>
      </c>
      <c r="AZ80" s="131" t="n">
        <v>0</v>
      </c>
      <c r="BA80" s="131" t="n">
        <v>0</v>
      </c>
      <c r="BB80" s="131" t="n">
        <v>4</v>
      </c>
      <c r="BC80" s="131" t="n">
        <v>1</v>
      </c>
      <c r="BD80" s="131" t="n">
        <v>0</v>
      </c>
      <c r="BE80" s="131" t="n">
        <v>0</v>
      </c>
      <c r="BF80" s="131" t="n">
        <v>0</v>
      </c>
      <c r="BG80" s="131" t="n">
        <v>0</v>
      </c>
      <c r="BH80" s="131" t="n">
        <v>0</v>
      </c>
      <c r="BI80" s="131" t="n">
        <v>0</v>
      </c>
      <c r="BJ80" s="131" t="n">
        <v>0</v>
      </c>
      <c r="BK80" s="131" t="n">
        <v>0</v>
      </c>
      <c r="BL80" s="131" t="n">
        <v>0</v>
      </c>
      <c r="BM80" s="131" t="n">
        <v>0</v>
      </c>
      <c r="BN80" s="131" t="n">
        <v>0</v>
      </c>
      <c r="BO80" s="131" t="n">
        <v>0</v>
      </c>
      <c r="CC80" s="160"/>
      <c r="CD80" s="160"/>
      <c r="CE80" s="160"/>
      <c r="CF80" s="160"/>
      <c r="CG80" s="160"/>
      <c r="CH80" s="160"/>
      <c r="CI80" s="160"/>
      <c r="CJ80" s="160"/>
      <c r="CK80" s="160"/>
      <c r="CL80" s="160"/>
      <c r="CM80" s="160"/>
      <c r="CN80" s="160"/>
      <c r="CO80" s="160"/>
      <c r="CP80" s="160"/>
      <c r="CQ80" s="160"/>
      <c r="CR80" s="160"/>
      <c r="CS80" s="160"/>
      <c r="CT80" s="160"/>
      <c r="CU80" s="160"/>
      <c r="CV80" s="160"/>
      <c r="CW80" s="160"/>
      <c r="CX80" s="160"/>
      <c r="CY80" s="160"/>
      <c r="CZ80" s="160"/>
      <c r="DA80" s="160"/>
      <c r="DB80" s="160"/>
      <c r="DC80" s="160"/>
      <c r="DD80" s="160"/>
      <c r="DE80" s="160"/>
      <c r="DF80" s="160"/>
      <c r="DG80" s="160"/>
      <c r="DH80" s="160"/>
      <c r="DI80" s="160"/>
      <c r="DJ80" s="160"/>
      <c r="DK80" s="160"/>
      <c r="DL80" s="160"/>
      <c r="DM80" s="160"/>
      <c r="DN80" s="160"/>
      <c r="DO80" s="160"/>
      <c r="DP80" s="160"/>
      <c r="DQ80" s="160"/>
      <c r="DR80" s="160"/>
      <c r="DS80" s="160"/>
      <c r="DT80" s="160"/>
      <c r="DU80" s="160"/>
      <c r="DV80" s="160"/>
      <c r="DW80" s="160"/>
      <c r="DX80" s="160"/>
      <c r="DY80" s="160"/>
      <c r="DZ80" s="160"/>
      <c r="EA80" s="160"/>
      <c r="EB80" s="160"/>
      <c r="EC80" s="160"/>
      <c r="ED80" s="160"/>
      <c r="EE80" s="160"/>
      <c r="EF80" s="160"/>
      <c r="EG80" s="160"/>
      <c r="EH80" s="160"/>
      <c r="EI80" s="160"/>
      <c r="EJ80" s="160"/>
      <c r="EK80" s="160"/>
      <c r="EL80" s="160"/>
      <c r="EM80" s="160"/>
      <c r="EN80" s="160"/>
      <c r="EO80" s="160"/>
      <c r="EP80" s="160"/>
      <c r="EQ80" s="160"/>
      <c r="ER80" s="160"/>
      <c r="ES80" s="160"/>
      <c r="ET80" s="160"/>
      <c r="EU80" s="160"/>
      <c r="EV80" s="160"/>
      <c r="EW80" s="160"/>
      <c r="EX80" s="160"/>
      <c r="EY80" s="160"/>
      <c r="EZ80" s="160"/>
      <c r="FA80" s="160"/>
      <c r="FB80" s="160"/>
      <c r="FC80" s="160"/>
      <c r="FD80" s="160"/>
      <c r="FE80" s="160"/>
      <c r="FF80" s="160"/>
      <c r="FG80" s="160"/>
      <c r="FH80" s="160"/>
      <c r="FI80" s="160"/>
      <c r="FJ80" s="160"/>
      <c r="FK80" s="160"/>
      <c r="FL80" s="160"/>
      <c r="FM80" s="160"/>
      <c r="FN80" s="160"/>
      <c r="FO80" s="160"/>
      <c r="FP80" s="160"/>
      <c r="FQ80" s="160"/>
      <c r="FR80" s="160"/>
      <c r="FS80" s="160"/>
      <c r="FT80" s="160"/>
      <c r="FU80" s="160"/>
      <c r="FV80" s="160"/>
      <c r="FW80" s="160"/>
      <c r="FX80" s="160"/>
      <c r="FY80" s="160"/>
      <c r="FZ80" s="160"/>
      <c r="GA80" s="160"/>
      <c r="GB80" s="160"/>
      <c r="GC80" s="160"/>
      <c r="GD80" s="160"/>
      <c r="GE80" s="160"/>
      <c r="GF80" s="160"/>
      <c r="GG80" s="160"/>
      <c r="GH80" s="160"/>
      <c r="GI80" s="160"/>
      <c r="GJ80" s="160"/>
      <c r="GK80" s="160"/>
      <c r="GL80" s="160"/>
      <c r="GM80" s="160"/>
      <c r="GN80" s="160"/>
      <c r="GO80" s="160"/>
      <c r="GP80" s="160"/>
      <c r="GQ80" s="160"/>
      <c r="GR80" s="160"/>
      <c r="GS80" s="160"/>
      <c r="GT80" s="160"/>
      <c r="GU80" s="160"/>
    </row>
    <row r="81" customFormat="false" ht="15" hidden="false" customHeight="true" outlineLevel="0" collapsed="false">
      <c r="A81" s="131" t="n">
        <v>8682</v>
      </c>
      <c r="B81" s="131"/>
      <c r="C81" s="132" t="s">
        <v>269</v>
      </c>
      <c r="D81" s="133" t="s">
        <v>269</v>
      </c>
      <c r="E81" s="134" t="n">
        <f aca="false">IF(I81="regional",IF(R81*0.2975,S81*0.3484),S81*0.1939)</f>
        <v>35678.1817</v>
      </c>
      <c r="F81" s="134" t="n">
        <v>0</v>
      </c>
      <c r="G81" s="135" t="n">
        <f aca="false">E81+F81</f>
        <v>35678.1817</v>
      </c>
      <c r="H81" s="132"/>
      <c r="I81" s="133" t="s">
        <v>62</v>
      </c>
      <c r="J81" s="133"/>
      <c r="K81" s="133" t="s">
        <v>271</v>
      </c>
      <c r="L81" s="133"/>
      <c r="M81" s="136" t="n">
        <v>12</v>
      </c>
      <c r="N81" s="136" t="n">
        <v>1</v>
      </c>
      <c r="O81" s="136" t="n">
        <v>1</v>
      </c>
      <c r="P81" s="136" t="n">
        <v>1</v>
      </c>
      <c r="Q81" s="136" t="n">
        <v>0.962</v>
      </c>
      <c r="R81" s="136" t="n">
        <v>0</v>
      </c>
      <c r="S81" s="136" t="n">
        <v>184003</v>
      </c>
      <c r="T81" s="8" t="n">
        <f aca="false">IF(I81="regional",IF(R81&gt;0,R81*0.2975,S81*0.3484),S81*0.1939)</f>
        <v>35678.1817</v>
      </c>
      <c r="U81" s="136" t="n">
        <v>154723</v>
      </c>
      <c r="V81" s="136" t="n">
        <v>29280</v>
      </c>
      <c r="W81" s="136" t="n">
        <v>1100</v>
      </c>
      <c r="X81" s="136" t="n">
        <v>0</v>
      </c>
      <c r="Y81" s="136" t="n">
        <v>0</v>
      </c>
      <c r="Z81" s="136" t="n">
        <v>0</v>
      </c>
      <c r="AA81" s="136" t="n">
        <v>219681.1817</v>
      </c>
      <c r="AB81" s="136" t="n">
        <v>35678.1817</v>
      </c>
      <c r="AC81" s="136" t="n">
        <v>184003</v>
      </c>
      <c r="AD81" s="136" t="n">
        <v>0</v>
      </c>
      <c r="AE81" s="136" t="n">
        <v>0</v>
      </c>
      <c r="AF81" s="136" t="n">
        <v>0</v>
      </c>
      <c r="AG81" s="136" t="n">
        <v>184003</v>
      </c>
      <c r="AH81" s="136" t="n">
        <v>0</v>
      </c>
      <c r="AI81" s="136" t="n">
        <v>0</v>
      </c>
      <c r="AJ81" s="132" t="s">
        <v>707</v>
      </c>
      <c r="AK81" s="132" t="s">
        <v>714</v>
      </c>
      <c r="AL81" s="133" t="s">
        <v>62</v>
      </c>
      <c r="AM81" s="132"/>
      <c r="AN81" s="133" t="s">
        <v>269</v>
      </c>
      <c r="AO81" s="133" t="n">
        <v>35678.1817</v>
      </c>
      <c r="AP81" s="137" t="n">
        <f aca="false">AR81+AT81+AU81+AV81+AX81+AY81+AZ81+BD81+BF81+BG81+BH81+BJ81+BK81+(BL81+BM81+BN81)/1000+(0.1*BO81)</f>
        <v>7.7119</v>
      </c>
      <c r="AQ81" s="137" t="n">
        <f aca="false">AR81+AT81+AU81+AV81+AX81+AY81+AZ81+BB81+BC81+BD81+BF81+BG81+BH81+BJ81+BK81+(BL81+BM81+BN81)/1000+(0.1*BO81)</f>
        <v>7.7119</v>
      </c>
      <c r="AR81" s="131" t="n">
        <v>0</v>
      </c>
      <c r="AS81" s="131" t="n">
        <v>0</v>
      </c>
      <c r="AT81" s="131" t="n">
        <v>5</v>
      </c>
      <c r="AU81" s="131" t="n">
        <v>0</v>
      </c>
      <c r="AV81" s="131" t="n">
        <v>0</v>
      </c>
      <c r="AW81" s="131" t="n">
        <v>0</v>
      </c>
      <c r="AX81" s="131" t="n">
        <v>0</v>
      </c>
      <c r="AY81" s="131" t="n">
        <v>0</v>
      </c>
      <c r="AZ81" s="131" t="n">
        <v>0</v>
      </c>
      <c r="BA81" s="131" t="n">
        <v>0</v>
      </c>
      <c r="BB81" s="131" t="n">
        <v>0</v>
      </c>
      <c r="BC81" s="131" t="n">
        <v>0</v>
      </c>
      <c r="BD81" s="131" t="n">
        <v>0</v>
      </c>
      <c r="BE81" s="131" t="n">
        <v>0</v>
      </c>
      <c r="BF81" s="131" t="n">
        <v>0</v>
      </c>
      <c r="BG81" s="131" t="n">
        <v>0</v>
      </c>
      <c r="BH81" s="131" t="n">
        <v>0</v>
      </c>
      <c r="BI81" s="131" t="n">
        <v>0</v>
      </c>
      <c r="BJ81" s="131" t="n">
        <v>0</v>
      </c>
      <c r="BK81" s="131" t="n">
        <v>0</v>
      </c>
      <c r="BL81" s="131" t="n">
        <v>0</v>
      </c>
      <c r="BM81" s="131" t="n">
        <v>0</v>
      </c>
      <c r="BN81" s="131" t="n">
        <v>0</v>
      </c>
      <c r="BO81" s="131" t="n">
        <v>27.119</v>
      </c>
      <c r="CC81" s="160"/>
      <c r="CD81" s="160"/>
      <c r="CE81" s="160"/>
      <c r="CF81" s="160"/>
      <c r="CG81" s="160"/>
      <c r="CH81" s="160"/>
      <c r="CI81" s="160"/>
      <c r="CJ81" s="160"/>
      <c r="CK81" s="160"/>
      <c r="CL81" s="160"/>
      <c r="CM81" s="160"/>
      <c r="CN81" s="160"/>
      <c r="CO81" s="160"/>
      <c r="CP81" s="160"/>
      <c r="CQ81" s="160"/>
      <c r="CR81" s="160"/>
      <c r="CS81" s="160"/>
      <c r="CT81" s="160"/>
      <c r="CU81" s="160"/>
      <c r="CV81" s="160"/>
      <c r="CW81" s="160"/>
      <c r="CX81" s="160"/>
      <c r="CY81" s="160"/>
      <c r="CZ81" s="160"/>
      <c r="DA81" s="160"/>
      <c r="DB81" s="160"/>
      <c r="DC81" s="160"/>
      <c r="DD81" s="160"/>
      <c r="DE81" s="160"/>
      <c r="DF81" s="160"/>
      <c r="DG81" s="160"/>
      <c r="DH81" s="160"/>
      <c r="DI81" s="160"/>
      <c r="DJ81" s="160"/>
      <c r="DK81" s="160"/>
      <c r="DL81" s="160"/>
      <c r="DM81" s="160"/>
      <c r="DN81" s="160"/>
      <c r="DO81" s="160"/>
      <c r="DP81" s="160"/>
      <c r="DQ81" s="160"/>
      <c r="DR81" s="160"/>
      <c r="DS81" s="160"/>
      <c r="DT81" s="160"/>
      <c r="DU81" s="160"/>
      <c r="DV81" s="160"/>
      <c r="DW81" s="160"/>
      <c r="DX81" s="160"/>
      <c r="DY81" s="160"/>
      <c r="DZ81" s="160"/>
      <c r="EA81" s="160"/>
      <c r="EB81" s="160"/>
      <c r="EC81" s="160"/>
      <c r="ED81" s="160"/>
      <c r="EE81" s="160"/>
      <c r="EF81" s="160"/>
      <c r="EG81" s="160"/>
      <c r="EH81" s="160"/>
      <c r="EI81" s="160"/>
      <c r="EJ81" s="160"/>
      <c r="EK81" s="160"/>
      <c r="EL81" s="160"/>
      <c r="EM81" s="160"/>
      <c r="EN81" s="160"/>
      <c r="EO81" s="160"/>
      <c r="EP81" s="160"/>
      <c r="EQ81" s="160"/>
      <c r="ER81" s="160"/>
      <c r="ES81" s="160"/>
      <c r="ET81" s="160"/>
      <c r="EU81" s="160"/>
      <c r="EV81" s="160"/>
      <c r="EW81" s="160"/>
      <c r="EX81" s="160"/>
      <c r="EY81" s="160"/>
      <c r="EZ81" s="160"/>
      <c r="FA81" s="160"/>
      <c r="FB81" s="160"/>
      <c r="FC81" s="160"/>
      <c r="FD81" s="160"/>
      <c r="FE81" s="160"/>
      <c r="FF81" s="160"/>
      <c r="FG81" s="160"/>
      <c r="FH81" s="160"/>
      <c r="FI81" s="160"/>
      <c r="FJ81" s="160"/>
      <c r="FK81" s="160"/>
      <c r="FL81" s="160"/>
      <c r="FM81" s="160"/>
      <c r="FN81" s="160"/>
      <c r="FO81" s="160"/>
      <c r="FP81" s="160"/>
      <c r="FQ81" s="160"/>
      <c r="FR81" s="160"/>
      <c r="FS81" s="160"/>
      <c r="FT81" s="160"/>
      <c r="FU81" s="160"/>
      <c r="FV81" s="160"/>
      <c r="FW81" s="160"/>
      <c r="FX81" s="160"/>
      <c r="FY81" s="160"/>
      <c r="FZ81" s="160"/>
      <c r="GA81" s="160"/>
      <c r="GB81" s="160"/>
      <c r="GC81" s="160"/>
      <c r="GD81" s="160"/>
      <c r="GE81" s="160"/>
      <c r="GF81" s="160"/>
      <c r="GG81" s="160"/>
      <c r="GH81" s="160"/>
      <c r="GI81" s="160"/>
      <c r="GJ81" s="160"/>
      <c r="GK81" s="160"/>
      <c r="GL81" s="160"/>
      <c r="GM81" s="160"/>
      <c r="GN81" s="160"/>
      <c r="GO81" s="160"/>
      <c r="GP81" s="160"/>
      <c r="GQ81" s="160"/>
      <c r="GR81" s="160"/>
      <c r="GS81" s="160"/>
      <c r="GT81" s="160"/>
      <c r="GU81" s="160"/>
    </row>
    <row r="82" customFormat="false" ht="15" hidden="false" customHeight="true" outlineLevel="0" collapsed="false">
      <c r="A82" s="131" t="n">
        <v>8688</v>
      </c>
      <c r="B82" s="131"/>
      <c r="C82" s="132" t="s">
        <v>272</v>
      </c>
      <c r="D82" s="133" t="s">
        <v>272</v>
      </c>
      <c r="E82" s="134" t="n">
        <f aca="false">IF(I82="regional",IF(R82*0.2975,S82*0.3484),S82*0.1939)</f>
        <v>280548.4032</v>
      </c>
      <c r="F82" s="134" t="n">
        <v>0</v>
      </c>
      <c r="G82" s="135" t="n">
        <f aca="false">E82+F82</f>
        <v>280548.4032</v>
      </c>
      <c r="H82" s="132"/>
      <c r="I82" s="133" t="s">
        <v>48</v>
      </c>
      <c r="J82" s="133"/>
      <c r="K82" s="133" t="s">
        <v>229</v>
      </c>
      <c r="L82" s="133"/>
      <c r="M82" s="136" t="n">
        <v>112</v>
      </c>
      <c r="N82" s="136" t="n">
        <v>0.816</v>
      </c>
      <c r="O82" s="136" t="n">
        <v>0.831</v>
      </c>
      <c r="P82" s="136" t="n">
        <v>0.796</v>
      </c>
      <c r="Q82" s="136" t="n">
        <v>0.832</v>
      </c>
      <c r="R82" s="136" t="n">
        <v>829678</v>
      </c>
      <c r="S82" s="136" t="n">
        <v>805248</v>
      </c>
      <c r="T82" s="8" t="n">
        <f aca="false">IF(I82="regional",IF(R82&gt;0,R82*0.2975,S82*0.3484),S82*0.1939)</f>
        <v>246829.205</v>
      </c>
      <c r="U82" s="136" t="n">
        <v>568882</v>
      </c>
      <c r="V82" s="136" t="n">
        <v>236366</v>
      </c>
      <c r="W82" s="136" t="n">
        <v>4890</v>
      </c>
      <c r="X82" s="136" t="n">
        <v>0</v>
      </c>
      <c r="Y82" s="136" t="n">
        <v>0</v>
      </c>
      <c r="Z82" s="136" t="n">
        <v>0</v>
      </c>
      <c r="AA82" s="136" t="n">
        <v>1052077.205</v>
      </c>
      <c r="AB82" s="136" t="n">
        <v>246829.205</v>
      </c>
      <c r="AC82" s="136" t="n">
        <v>805248</v>
      </c>
      <c r="AD82" s="136" t="n">
        <v>0</v>
      </c>
      <c r="AE82" s="136" t="n">
        <v>0</v>
      </c>
      <c r="AF82" s="136" t="n">
        <v>0</v>
      </c>
      <c r="AG82" s="136" t="n">
        <v>805248</v>
      </c>
      <c r="AH82" s="136" t="n">
        <v>0</v>
      </c>
      <c r="AI82" s="136" t="n">
        <v>0</v>
      </c>
      <c r="AJ82" s="132" t="s">
        <v>707</v>
      </c>
      <c r="AK82" s="132" t="s">
        <v>714</v>
      </c>
      <c r="AL82" s="133" t="s">
        <v>48</v>
      </c>
      <c r="AM82" s="132"/>
      <c r="AN82" s="133" t="s">
        <v>272</v>
      </c>
      <c r="AO82" s="133" t="n">
        <v>246829.205</v>
      </c>
      <c r="AP82" s="137" t="n">
        <f aca="false">AR82+AT82+AU82+AV82+AX82+AY82+AZ82+BD82+BF82+BG82+BH82+BJ82+BK82+(BL82+BM82+BN82)/1000+(0.1*BO82)</f>
        <v>179.1422</v>
      </c>
      <c r="AQ82" s="137" t="n">
        <f aca="false">AR82+AT82+AU82+AV82+AX82+AY82+AZ82+BB82+BC82+BD82+BF82+BG82+BH82+BJ82+BK82+(BL82+BM82+BN82)/1000+(0.1*BO82)</f>
        <v>237.1422</v>
      </c>
      <c r="AR82" s="131" t="n">
        <v>0</v>
      </c>
      <c r="AS82" s="131" t="n">
        <v>0</v>
      </c>
      <c r="AT82" s="131" t="n">
        <v>131</v>
      </c>
      <c r="AU82" s="131" t="n">
        <v>3</v>
      </c>
      <c r="AV82" s="131" t="n">
        <v>0</v>
      </c>
      <c r="AW82" s="131" t="n">
        <v>0</v>
      </c>
      <c r="AX82" s="131" t="n">
        <v>0</v>
      </c>
      <c r="AY82" s="131" t="n">
        <v>0</v>
      </c>
      <c r="AZ82" s="131" t="n">
        <v>0</v>
      </c>
      <c r="BA82" s="131" t="n">
        <v>0</v>
      </c>
      <c r="BB82" s="131" t="n">
        <v>57</v>
      </c>
      <c r="BC82" s="131" t="n">
        <v>1</v>
      </c>
      <c r="BD82" s="131" t="n">
        <v>0</v>
      </c>
      <c r="BE82" s="131" t="n">
        <v>0</v>
      </c>
      <c r="BF82" s="131" t="n">
        <v>0</v>
      </c>
      <c r="BG82" s="131" t="n">
        <v>0</v>
      </c>
      <c r="BH82" s="131" t="n">
        <v>0</v>
      </c>
      <c r="BI82" s="131" t="n">
        <v>0</v>
      </c>
      <c r="BJ82" s="131" t="n">
        <v>0</v>
      </c>
      <c r="BK82" s="131" t="n">
        <v>0</v>
      </c>
      <c r="BL82" s="131" t="n">
        <v>0</v>
      </c>
      <c r="BM82" s="131" t="n">
        <v>20592</v>
      </c>
      <c r="BN82" s="131" t="n">
        <v>0</v>
      </c>
      <c r="BO82" s="131" t="n">
        <v>245.502</v>
      </c>
      <c r="CC82" s="160"/>
      <c r="CD82" s="160"/>
      <c r="CE82" s="160"/>
      <c r="CF82" s="160"/>
      <c r="CG82" s="160"/>
      <c r="CH82" s="160"/>
      <c r="CI82" s="160"/>
      <c r="CJ82" s="160"/>
      <c r="CK82" s="160"/>
      <c r="CL82" s="160"/>
      <c r="CM82" s="160"/>
      <c r="CN82" s="160"/>
      <c r="CO82" s="160"/>
      <c r="CP82" s="160"/>
      <c r="CQ82" s="160"/>
      <c r="CR82" s="160"/>
      <c r="CS82" s="160"/>
      <c r="CT82" s="160"/>
      <c r="CU82" s="160"/>
      <c r="CV82" s="160"/>
      <c r="CW82" s="160"/>
      <c r="CX82" s="160"/>
      <c r="CY82" s="160"/>
      <c r="CZ82" s="160"/>
      <c r="DA82" s="160"/>
      <c r="DB82" s="160"/>
      <c r="DC82" s="160"/>
      <c r="DD82" s="160"/>
      <c r="DE82" s="160"/>
      <c r="DF82" s="160"/>
      <c r="DG82" s="160"/>
      <c r="DH82" s="160"/>
      <c r="DI82" s="160"/>
      <c r="DJ82" s="160"/>
      <c r="DK82" s="160"/>
      <c r="DL82" s="160"/>
      <c r="DM82" s="160"/>
      <c r="DN82" s="160"/>
      <c r="DO82" s="160"/>
      <c r="DP82" s="160"/>
      <c r="DQ82" s="160"/>
      <c r="DR82" s="160"/>
      <c r="DS82" s="160"/>
      <c r="DT82" s="160"/>
      <c r="DU82" s="160"/>
      <c r="DV82" s="160"/>
      <c r="DW82" s="160"/>
      <c r="DX82" s="160"/>
      <c r="DY82" s="160"/>
      <c r="DZ82" s="160"/>
      <c r="EA82" s="160"/>
      <c r="EB82" s="160"/>
      <c r="EC82" s="160"/>
      <c r="ED82" s="160"/>
      <c r="EE82" s="160"/>
      <c r="EF82" s="160"/>
      <c r="EG82" s="160"/>
      <c r="EH82" s="160"/>
      <c r="EI82" s="160"/>
      <c r="EJ82" s="160"/>
      <c r="EK82" s="160"/>
      <c r="EL82" s="160"/>
      <c r="EM82" s="160"/>
      <c r="EN82" s="160"/>
      <c r="EO82" s="160"/>
      <c r="EP82" s="160"/>
      <c r="EQ82" s="160"/>
      <c r="ER82" s="160"/>
      <c r="ES82" s="160"/>
      <c r="ET82" s="160"/>
      <c r="EU82" s="160"/>
      <c r="EV82" s="160"/>
      <c r="EW82" s="160"/>
      <c r="EX82" s="160"/>
      <c r="EY82" s="160"/>
      <c r="EZ82" s="160"/>
      <c r="FA82" s="160"/>
      <c r="FB82" s="160"/>
      <c r="FC82" s="160"/>
      <c r="FD82" s="160"/>
      <c r="FE82" s="160"/>
      <c r="FF82" s="160"/>
      <c r="FG82" s="160"/>
      <c r="FH82" s="160"/>
      <c r="FI82" s="160"/>
      <c r="FJ82" s="160"/>
      <c r="FK82" s="160"/>
      <c r="FL82" s="160"/>
      <c r="FM82" s="160"/>
      <c r="FN82" s="160"/>
      <c r="FO82" s="160"/>
      <c r="FP82" s="160"/>
      <c r="FQ82" s="160"/>
      <c r="FR82" s="160"/>
      <c r="FS82" s="160"/>
      <c r="FT82" s="160"/>
      <c r="FU82" s="160"/>
      <c r="FV82" s="160"/>
      <c r="FW82" s="160"/>
      <c r="FX82" s="160"/>
      <c r="FY82" s="160"/>
      <c r="FZ82" s="160"/>
      <c r="GA82" s="160"/>
      <c r="GB82" s="160"/>
      <c r="GC82" s="160"/>
      <c r="GD82" s="160"/>
      <c r="GE82" s="160"/>
      <c r="GF82" s="160"/>
      <c r="GG82" s="160"/>
      <c r="GH82" s="160"/>
      <c r="GI82" s="160"/>
      <c r="GJ82" s="160"/>
      <c r="GK82" s="160"/>
      <c r="GL82" s="160"/>
      <c r="GM82" s="160"/>
      <c r="GN82" s="160"/>
      <c r="GO82" s="160"/>
      <c r="GP82" s="160"/>
      <c r="GQ82" s="160"/>
      <c r="GR82" s="160"/>
      <c r="GS82" s="160"/>
      <c r="GT82" s="160"/>
      <c r="GU82" s="160"/>
    </row>
    <row r="83" customFormat="false" ht="15" hidden="false" customHeight="true" outlineLevel="0" collapsed="false">
      <c r="A83" s="131" t="n">
        <v>4824</v>
      </c>
      <c r="B83" s="131" t="s">
        <v>44</v>
      </c>
      <c r="C83" s="132" t="s">
        <v>274</v>
      </c>
      <c r="D83" s="133" t="s">
        <v>274</v>
      </c>
      <c r="E83" s="134" t="n">
        <f aca="false">IF(I83="regional",IF(R83*0.2975,S83*0.3484),S83*0.1939)</f>
        <v>432016</v>
      </c>
      <c r="F83" s="134" t="n">
        <v>0</v>
      </c>
      <c r="G83" s="135" t="n">
        <f aca="false">E83+F83</f>
        <v>432016</v>
      </c>
      <c r="H83" s="132" t="s">
        <v>49</v>
      </c>
      <c r="I83" s="133" t="s">
        <v>48</v>
      </c>
      <c r="J83" s="133" t="s">
        <v>44</v>
      </c>
      <c r="K83" s="133" t="s">
        <v>277</v>
      </c>
      <c r="L83" s="133"/>
      <c r="M83" s="136" t="n">
        <v>198</v>
      </c>
      <c r="N83" s="136" t="n">
        <v>0.914</v>
      </c>
      <c r="O83" s="136" t="n">
        <v>0.94</v>
      </c>
      <c r="P83" s="136" t="n">
        <v>0.925</v>
      </c>
      <c r="Q83" s="136" t="n">
        <v>0.952</v>
      </c>
      <c r="R83" s="136" t="n">
        <v>807096</v>
      </c>
      <c r="S83" s="136" t="n">
        <v>1240000</v>
      </c>
      <c r="T83" s="8" t="n">
        <f aca="false">IF(I83="regional",IF(R83&gt;0,R83*0.2975,S83*0.3484),S83*0.1939)</f>
        <v>240111.06</v>
      </c>
      <c r="U83" s="136" t="n">
        <v>807096</v>
      </c>
      <c r="V83" s="136" t="n">
        <v>432904</v>
      </c>
      <c r="W83" s="136" t="n">
        <v>5900</v>
      </c>
      <c r="X83" s="136" t="n">
        <v>0</v>
      </c>
      <c r="Y83" s="136" t="n">
        <v>0</v>
      </c>
      <c r="Z83" s="136" t="n">
        <v>0</v>
      </c>
      <c r="AA83" s="136" t="n">
        <v>1480111.06</v>
      </c>
      <c r="AB83" s="136" t="n">
        <v>240111.06</v>
      </c>
      <c r="AC83" s="136" t="n">
        <v>1240000</v>
      </c>
      <c r="AD83" s="136" t="n">
        <v>0</v>
      </c>
      <c r="AE83" s="136" t="n">
        <v>0</v>
      </c>
      <c r="AF83" s="136" t="n">
        <v>1240000</v>
      </c>
      <c r="AG83" s="136" t="n">
        <v>0</v>
      </c>
      <c r="AH83" s="136" t="n">
        <v>1083000</v>
      </c>
      <c r="AI83" s="136" t="n">
        <v>965000</v>
      </c>
      <c r="AJ83" s="132" t="s">
        <v>707</v>
      </c>
      <c r="AK83" s="132" t="s">
        <v>712</v>
      </c>
      <c r="AL83" s="133" t="s">
        <v>48</v>
      </c>
      <c r="AM83" s="132" t="s">
        <v>49</v>
      </c>
      <c r="AN83" s="133" t="s">
        <v>274</v>
      </c>
      <c r="AO83" s="133" t="n">
        <v>240111.06</v>
      </c>
      <c r="AP83" s="137" t="n">
        <f aca="false">AR83+AT83+AU83+AV83+AX83+AY83+AZ83+BD83+BF83+BG83+BH83+BJ83+BK83+(BL83+BM83+BN83)/1000+(0.1*BO83)</f>
        <v>828</v>
      </c>
      <c r="AQ83" s="137" t="n">
        <f aca="false">AR83+AT83+AU83+AV83+AX83+AY83+AZ83+BB83+BC83+BD83+BF83+BG83+BH83+BJ83+BK83+(BL83+BM83+BN83)/1000+(0.1*BO83)</f>
        <v>877</v>
      </c>
      <c r="AR83" s="131" t="n">
        <v>483</v>
      </c>
      <c r="AS83" s="131" t="n">
        <v>965</v>
      </c>
      <c r="AT83" s="131" t="n">
        <v>313</v>
      </c>
      <c r="AU83" s="131" t="n">
        <v>0</v>
      </c>
      <c r="AV83" s="131" t="n">
        <v>0</v>
      </c>
      <c r="AW83" s="131" t="n">
        <v>0</v>
      </c>
      <c r="AX83" s="131" t="n">
        <v>0</v>
      </c>
      <c r="AY83" s="131" t="n">
        <v>0</v>
      </c>
      <c r="AZ83" s="131" t="n">
        <v>0</v>
      </c>
      <c r="BA83" s="131" t="n">
        <v>171</v>
      </c>
      <c r="BB83" s="131" t="n">
        <v>49</v>
      </c>
      <c r="BC83" s="131" t="n">
        <v>0</v>
      </c>
      <c r="BD83" s="131" t="n">
        <v>0</v>
      </c>
      <c r="BE83" s="131" t="n">
        <v>0</v>
      </c>
      <c r="BF83" s="131" t="n">
        <v>0</v>
      </c>
      <c r="BG83" s="131" t="n">
        <v>0</v>
      </c>
      <c r="BH83" s="131" t="n">
        <v>32</v>
      </c>
      <c r="BI83" s="131" t="n">
        <v>6</v>
      </c>
      <c r="BJ83" s="131" t="n">
        <v>0</v>
      </c>
      <c r="BK83" s="131" t="n">
        <v>0</v>
      </c>
      <c r="BL83" s="131" t="n">
        <v>0</v>
      </c>
      <c r="BM83" s="131" t="n">
        <v>0</v>
      </c>
      <c r="BN83" s="131" t="n">
        <v>0</v>
      </c>
      <c r="BO83" s="131" t="n">
        <v>0</v>
      </c>
      <c r="CC83" s="160"/>
      <c r="CD83" s="160"/>
      <c r="CE83" s="160"/>
      <c r="CF83" s="160"/>
      <c r="CG83" s="160"/>
      <c r="CH83" s="160"/>
      <c r="CI83" s="160"/>
      <c r="CJ83" s="160"/>
      <c r="CK83" s="160"/>
      <c r="CL83" s="160"/>
      <c r="CM83" s="160"/>
      <c r="CN83" s="160"/>
      <c r="CO83" s="160"/>
      <c r="CP83" s="160"/>
      <c r="CQ83" s="160"/>
      <c r="CR83" s="160"/>
      <c r="CS83" s="160"/>
      <c r="CT83" s="160"/>
      <c r="CU83" s="160"/>
      <c r="CV83" s="160"/>
      <c r="CW83" s="160"/>
      <c r="CX83" s="160"/>
      <c r="CY83" s="160"/>
      <c r="CZ83" s="160"/>
      <c r="DA83" s="160"/>
      <c r="DB83" s="160"/>
      <c r="DC83" s="160"/>
      <c r="DD83" s="160"/>
      <c r="DE83" s="160"/>
      <c r="DF83" s="160"/>
      <c r="DG83" s="160"/>
      <c r="DH83" s="160"/>
      <c r="DI83" s="160"/>
      <c r="DJ83" s="160"/>
      <c r="DK83" s="160"/>
      <c r="DL83" s="160"/>
      <c r="DM83" s="160"/>
      <c r="DN83" s="160"/>
      <c r="DO83" s="160"/>
      <c r="DP83" s="160"/>
      <c r="DQ83" s="160"/>
      <c r="DR83" s="160"/>
      <c r="DS83" s="160"/>
      <c r="DT83" s="160"/>
      <c r="DU83" s="160"/>
      <c r="DV83" s="160"/>
      <c r="DW83" s="160"/>
      <c r="DX83" s="160"/>
      <c r="DY83" s="160"/>
      <c r="DZ83" s="160"/>
      <c r="EA83" s="160"/>
      <c r="EB83" s="160"/>
      <c r="EC83" s="160"/>
      <c r="ED83" s="160"/>
      <c r="EE83" s="160"/>
      <c r="EF83" s="160"/>
      <c r="EG83" s="160"/>
      <c r="EH83" s="160"/>
      <c r="EI83" s="160"/>
      <c r="EJ83" s="160"/>
      <c r="EK83" s="160"/>
      <c r="EL83" s="160"/>
      <c r="EM83" s="160"/>
      <c r="EN83" s="160"/>
      <c r="EO83" s="160"/>
      <c r="EP83" s="160"/>
      <c r="EQ83" s="160"/>
      <c r="ER83" s="160"/>
      <c r="ES83" s="160"/>
      <c r="ET83" s="160"/>
      <c r="EU83" s="160"/>
      <c r="EV83" s="160"/>
      <c r="EW83" s="160"/>
      <c r="EX83" s="160"/>
      <c r="EY83" s="160"/>
      <c r="EZ83" s="160"/>
      <c r="FA83" s="160"/>
      <c r="FB83" s="160"/>
      <c r="FC83" s="160"/>
      <c r="FD83" s="160"/>
      <c r="FE83" s="160"/>
      <c r="FF83" s="160"/>
      <c r="FG83" s="160"/>
      <c r="FH83" s="160"/>
      <c r="FI83" s="160"/>
      <c r="FJ83" s="160"/>
      <c r="FK83" s="160"/>
      <c r="FL83" s="160"/>
      <c r="FM83" s="160"/>
      <c r="FN83" s="160"/>
      <c r="FO83" s="160"/>
      <c r="FP83" s="160"/>
      <c r="FQ83" s="160"/>
      <c r="FR83" s="160"/>
      <c r="FS83" s="160"/>
      <c r="FT83" s="160"/>
      <c r="FU83" s="160"/>
      <c r="FV83" s="160"/>
      <c r="FW83" s="160"/>
      <c r="FX83" s="160"/>
      <c r="FY83" s="160"/>
      <c r="FZ83" s="160"/>
      <c r="GA83" s="160"/>
      <c r="GB83" s="160"/>
      <c r="GC83" s="160"/>
      <c r="GD83" s="160"/>
      <c r="GE83" s="160"/>
      <c r="GF83" s="160"/>
      <c r="GG83" s="160"/>
      <c r="GH83" s="160"/>
      <c r="GI83" s="160"/>
      <c r="GJ83" s="160"/>
      <c r="GK83" s="160"/>
      <c r="GL83" s="160"/>
      <c r="GM83" s="160"/>
      <c r="GN83" s="160"/>
      <c r="GO83" s="160"/>
      <c r="GP83" s="160"/>
      <c r="GQ83" s="160"/>
      <c r="GR83" s="160"/>
      <c r="GS83" s="160"/>
      <c r="GT83" s="160"/>
      <c r="GU83" s="160"/>
    </row>
    <row r="84" customFormat="false" ht="15" hidden="false" customHeight="true" outlineLevel="0" collapsed="false">
      <c r="A84" s="131" t="n">
        <v>4825</v>
      </c>
      <c r="B84" s="131" t="s">
        <v>44</v>
      </c>
      <c r="C84" s="132" t="s">
        <v>734</v>
      </c>
      <c r="D84" s="133" t="s">
        <v>278</v>
      </c>
      <c r="E84" s="134" t="n">
        <f aca="false">IF(I84="regional",IF(R84*0.2975,S84*0.3484),S84*0.1939)</f>
        <v>437242</v>
      </c>
      <c r="F84" s="134" t="n">
        <v>460000</v>
      </c>
      <c r="G84" s="135" t="n">
        <f aca="false">E84+F84</f>
        <v>897242</v>
      </c>
      <c r="H84" s="132"/>
      <c r="I84" s="133" t="s">
        <v>48</v>
      </c>
      <c r="J84" s="133" t="s">
        <v>44</v>
      </c>
      <c r="K84" s="133" t="s">
        <v>280</v>
      </c>
      <c r="L84" s="133" t="s">
        <v>44</v>
      </c>
      <c r="M84" s="136" t="n">
        <v>138</v>
      </c>
      <c r="N84" s="136" t="n">
        <v>0.963</v>
      </c>
      <c r="O84" s="136" t="n">
        <v>0.963</v>
      </c>
      <c r="P84" s="136" t="n">
        <v>0.925</v>
      </c>
      <c r="Q84" s="136" t="n">
        <v>0.952</v>
      </c>
      <c r="R84" s="136" t="n">
        <v>1332847</v>
      </c>
      <c r="S84" s="136" t="n">
        <v>1255000</v>
      </c>
      <c r="T84" s="8" t="n">
        <f aca="false">IF(I84="regional",IF(R84&gt;0,R84*0.2975,S84*0.3484),S84*0.1939)</f>
        <v>396521.9825</v>
      </c>
      <c r="U84" s="136" t="n">
        <v>887000</v>
      </c>
      <c r="V84" s="136" t="n">
        <v>368000</v>
      </c>
      <c r="W84" s="136" t="n">
        <v>7000</v>
      </c>
      <c r="X84" s="136" t="n">
        <v>856521.9825</v>
      </c>
      <c r="Y84" s="136" t="n">
        <v>396521.9825</v>
      </c>
      <c r="Z84" s="136" t="n">
        <v>460000</v>
      </c>
      <c r="AA84" s="136" t="n">
        <v>795000</v>
      </c>
      <c r="AB84" s="136" t="n">
        <v>0</v>
      </c>
      <c r="AC84" s="136" t="n">
        <v>795000</v>
      </c>
      <c r="AD84" s="136" t="n">
        <v>460000</v>
      </c>
      <c r="AE84" s="136" t="n">
        <v>0</v>
      </c>
      <c r="AF84" s="136" t="n">
        <v>795000</v>
      </c>
      <c r="AG84" s="136" t="n">
        <v>0</v>
      </c>
      <c r="AH84" s="136" t="n">
        <v>812000</v>
      </c>
      <c r="AI84" s="136" t="n">
        <v>477000</v>
      </c>
      <c r="AJ84" s="132" t="s">
        <v>707</v>
      </c>
      <c r="AK84" s="132" t="s">
        <v>712</v>
      </c>
      <c r="AL84" s="133" t="s">
        <v>48</v>
      </c>
      <c r="AM84" s="132"/>
      <c r="AN84" s="133" t="s">
        <v>278</v>
      </c>
      <c r="AO84" s="133" t="n">
        <v>856521.9825</v>
      </c>
      <c r="AP84" s="137" t="n">
        <f aca="false">AR84+AT84+AU84+AV84+AX84+AY84+AZ84+BD84+BF84+BG84+BH84+BJ84+BK84+(BL84+BM84+BN84)/1000+(0.1*BO84)</f>
        <v>590.638</v>
      </c>
      <c r="AQ84" s="137" t="n">
        <f aca="false">AR84+AT84+AU84+AV84+AX84+AY84+AZ84+BB84+BC84+BD84+BF84+BG84+BH84+BJ84+BK84+(BL84+BM84+BN84)/1000+(0.1*BO84)</f>
        <v>618.638</v>
      </c>
      <c r="AR84" s="131" t="n">
        <v>248</v>
      </c>
      <c r="AS84" s="131" t="n">
        <v>477</v>
      </c>
      <c r="AT84" s="131" t="n">
        <v>151</v>
      </c>
      <c r="AU84" s="131" t="n">
        <v>0</v>
      </c>
      <c r="AV84" s="131" t="n">
        <v>0</v>
      </c>
      <c r="AW84" s="131" t="n">
        <v>0</v>
      </c>
      <c r="AX84" s="131" t="n">
        <v>0</v>
      </c>
      <c r="AY84" s="131" t="n">
        <v>0</v>
      </c>
      <c r="AZ84" s="131" t="n">
        <v>14</v>
      </c>
      <c r="BA84" s="131" t="n">
        <v>37</v>
      </c>
      <c r="BB84" s="131" t="n">
        <v>28</v>
      </c>
      <c r="BC84" s="131" t="n">
        <v>0</v>
      </c>
      <c r="BD84" s="131" t="n">
        <v>4</v>
      </c>
      <c r="BE84" s="131" t="n">
        <v>1</v>
      </c>
      <c r="BF84" s="131" t="n">
        <v>0</v>
      </c>
      <c r="BG84" s="131" t="n">
        <v>0</v>
      </c>
      <c r="BH84" s="131" t="n">
        <v>31</v>
      </c>
      <c r="BI84" s="131" t="n">
        <v>0</v>
      </c>
      <c r="BJ84" s="131" t="n">
        <v>0</v>
      </c>
      <c r="BK84" s="131" t="n">
        <v>0</v>
      </c>
      <c r="BL84" s="131" t="n">
        <v>0</v>
      </c>
      <c r="BM84" s="131" t="n">
        <v>0</v>
      </c>
      <c r="BN84" s="131" t="n">
        <v>142638</v>
      </c>
      <c r="BO84" s="131" t="n">
        <v>0</v>
      </c>
      <c r="CC84" s="160"/>
      <c r="CD84" s="160"/>
      <c r="CE84" s="160"/>
      <c r="CF84" s="160"/>
      <c r="CG84" s="160"/>
      <c r="CH84" s="160"/>
      <c r="CI84" s="160"/>
      <c r="CJ84" s="160"/>
      <c r="CK84" s="160"/>
      <c r="CL84" s="160"/>
      <c r="CM84" s="160"/>
      <c r="CN84" s="160"/>
      <c r="CO84" s="160"/>
      <c r="CP84" s="160"/>
      <c r="CQ84" s="160"/>
      <c r="CR84" s="160"/>
      <c r="CS84" s="160"/>
      <c r="CT84" s="160"/>
      <c r="CU84" s="160"/>
      <c r="CV84" s="160"/>
      <c r="CW84" s="160"/>
      <c r="CX84" s="160"/>
      <c r="CY84" s="160"/>
      <c r="CZ84" s="160"/>
      <c r="DA84" s="160"/>
      <c r="DB84" s="160"/>
      <c r="DC84" s="160"/>
      <c r="DD84" s="160"/>
      <c r="DE84" s="160"/>
      <c r="DF84" s="160"/>
      <c r="DG84" s="160"/>
      <c r="DH84" s="160"/>
      <c r="DI84" s="160"/>
      <c r="DJ84" s="160"/>
      <c r="DK84" s="160"/>
      <c r="DL84" s="160"/>
      <c r="DM84" s="160"/>
      <c r="DN84" s="160"/>
      <c r="DO84" s="160"/>
      <c r="DP84" s="160"/>
      <c r="DQ84" s="160"/>
      <c r="DR84" s="160"/>
      <c r="DS84" s="160"/>
      <c r="DT84" s="160"/>
      <c r="DU84" s="160"/>
      <c r="DV84" s="160"/>
      <c r="DW84" s="160"/>
      <c r="DX84" s="160"/>
      <c r="DY84" s="160"/>
      <c r="DZ84" s="160"/>
      <c r="EA84" s="160"/>
      <c r="EB84" s="160"/>
      <c r="EC84" s="160"/>
      <c r="ED84" s="160"/>
      <c r="EE84" s="160"/>
      <c r="EF84" s="160"/>
      <c r="EG84" s="160"/>
      <c r="EH84" s="160"/>
      <c r="EI84" s="160"/>
      <c r="EJ84" s="160"/>
      <c r="EK84" s="160"/>
      <c r="EL84" s="160"/>
      <c r="EM84" s="160"/>
      <c r="EN84" s="160"/>
      <c r="EO84" s="160"/>
      <c r="EP84" s="160"/>
      <c r="EQ84" s="160"/>
      <c r="ER84" s="160"/>
      <c r="ES84" s="160"/>
      <c r="ET84" s="160"/>
      <c r="EU84" s="160"/>
      <c r="EV84" s="160"/>
      <c r="EW84" s="160"/>
      <c r="EX84" s="160"/>
      <c r="EY84" s="160"/>
      <c r="EZ84" s="160"/>
      <c r="FA84" s="160"/>
      <c r="FB84" s="160"/>
      <c r="FC84" s="160"/>
      <c r="FD84" s="160"/>
      <c r="FE84" s="160"/>
      <c r="FF84" s="160"/>
      <c r="FG84" s="160"/>
      <c r="FH84" s="160"/>
      <c r="FI84" s="160"/>
      <c r="FJ84" s="160"/>
      <c r="FK84" s="160"/>
      <c r="FL84" s="160"/>
      <c r="FM84" s="160"/>
      <c r="FN84" s="160"/>
      <c r="FO84" s="160"/>
      <c r="FP84" s="160"/>
      <c r="FQ84" s="160"/>
      <c r="FR84" s="160"/>
      <c r="FS84" s="160"/>
      <c r="FT84" s="160"/>
      <c r="FU84" s="160"/>
      <c r="FV84" s="160"/>
      <c r="FW84" s="160"/>
      <c r="FX84" s="160"/>
      <c r="FY84" s="160"/>
      <c r="FZ84" s="160"/>
      <c r="GA84" s="160"/>
      <c r="GB84" s="160"/>
      <c r="GC84" s="160"/>
      <c r="GD84" s="160"/>
      <c r="GE84" s="160"/>
      <c r="GF84" s="160"/>
      <c r="GG84" s="160"/>
      <c r="GH84" s="160"/>
      <c r="GI84" s="160"/>
      <c r="GJ84" s="160"/>
      <c r="GK84" s="160"/>
      <c r="GL84" s="160"/>
      <c r="GM84" s="160"/>
      <c r="GN84" s="160"/>
      <c r="GO84" s="160"/>
      <c r="GP84" s="160"/>
      <c r="GQ84" s="160"/>
      <c r="GR84" s="160"/>
      <c r="GS84" s="160"/>
      <c r="GT84" s="160"/>
      <c r="GU84" s="160"/>
    </row>
    <row r="85" customFormat="false" ht="15" hidden="false" customHeight="true" outlineLevel="0" collapsed="false">
      <c r="A85" s="131" t="n">
        <v>1518</v>
      </c>
      <c r="B85" s="131" t="s">
        <v>44</v>
      </c>
      <c r="C85" s="132" t="s">
        <v>281</v>
      </c>
      <c r="D85" s="133" t="s">
        <v>281</v>
      </c>
      <c r="E85" s="134" t="n">
        <f aca="false">IF(I85="regional",IF(R85*0.2975,S85*0.3484),S85*0.1939)</f>
        <v>218857.912</v>
      </c>
      <c r="F85" s="134" t="n">
        <v>0</v>
      </c>
      <c r="G85" s="135" t="n">
        <f aca="false">E85+F85</f>
        <v>218857.912</v>
      </c>
      <c r="H85" s="132"/>
      <c r="I85" s="133" t="s">
        <v>48</v>
      </c>
      <c r="J85" s="133" t="s">
        <v>44</v>
      </c>
      <c r="K85" s="133" t="s">
        <v>283</v>
      </c>
      <c r="L85" s="133"/>
      <c r="M85" s="136" t="n">
        <v>78</v>
      </c>
      <c r="N85" s="136" t="n">
        <v>0.825</v>
      </c>
      <c r="O85" s="136" t="n">
        <v>0.867</v>
      </c>
      <c r="P85" s="136" t="n">
        <v>0.826</v>
      </c>
      <c r="Q85" s="136" t="n">
        <v>0.813</v>
      </c>
      <c r="R85" s="136" t="n">
        <v>652086</v>
      </c>
      <c r="S85" s="136" t="n">
        <v>628180</v>
      </c>
      <c r="T85" s="8" t="n">
        <f aca="false">IF(I85="regional",IF(R85&gt;0,R85*0.2975,S85*0.3484),S85*0.1939)</f>
        <v>193995.585</v>
      </c>
      <c r="U85" s="136" t="n">
        <v>382700</v>
      </c>
      <c r="V85" s="136" t="n">
        <v>245480</v>
      </c>
      <c r="W85" s="136" t="n">
        <v>3500</v>
      </c>
      <c r="X85" s="136" t="n">
        <v>0</v>
      </c>
      <c r="Y85" s="136" t="n">
        <v>0</v>
      </c>
      <c r="Z85" s="136" t="n">
        <v>0</v>
      </c>
      <c r="AA85" s="136" t="n">
        <v>822175.585</v>
      </c>
      <c r="AB85" s="136" t="n">
        <v>193995.585</v>
      </c>
      <c r="AC85" s="136" t="n">
        <v>628180</v>
      </c>
      <c r="AD85" s="136" t="n">
        <v>0</v>
      </c>
      <c r="AE85" s="136" t="n">
        <v>0</v>
      </c>
      <c r="AF85" s="136" t="n">
        <v>628180</v>
      </c>
      <c r="AG85" s="136" t="n">
        <v>0</v>
      </c>
      <c r="AH85" s="136" t="n">
        <v>418000</v>
      </c>
      <c r="AI85" s="136" t="n">
        <v>378000</v>
      </c>
      <c r="AJ85" s="132" t="s">
        <v>707</v>
      </c>
      <c r="AK85" s="132" t="s">
        <v>729</v>
      </c>
      <c r="AL85" s="133" t="s">
        <v>48</v>
      </c>
      <c r="AM85" s="132"/>
      <c r="AN85" s="133" t="s">
        <v>281</v>
      </c>
      <c r="AO85" s="133" t="n">
        <v>193995.585</v>
      </c>
      <c r="AP85" s="137" t="n">
        <f aca="false">AR85+AT85+AU85+AV85+AX85+AY85+AZ85+BD85+BF85+BG85+BH85+BJ85+BK85+(BL85+BM85+BN85)/1000+(0.1*BO85)</f>
        <v>142.274</v>
      </c>
      <c r="AQ85" s="137" t="n">
        <f aca="false">AR85+AT85+AU85+AV85+AX85+AY85+AZ85+BB85+BC85+BD85+BF85+BG85+BH85+BJ85+BK85+(BL85+BM85+BN85)/1000+(0.1*BO85)</f>
        <v>161.274</v>
      </c>
      <c r="AR85" s="131" t="n">
        <v>66</v>
      </c>
      <c r="AS85" s="131" t="n">
        <v>378</v>
      </c>
      <c r="AT85" s="131" t="n">
        <v>32</v>
      </c>
      <c r="AU85" s="131" t="n">
        <v>1</v>
      </c>
      <c r="AV85" s="131" t="n">
        <v>0</v>
      </c>
      <c r="AW85" s="131" t="n">
        <v>0</v>
      </c>
      <c r="AX85" s="131" t="n">
        <v>0</v>
      </c>
      <c r="AY85" s="131" t="n">
        <v>0</v>
      </c>
      <c r="AZ85" s="131" t="n">
        <v>0</v>
      </c>
      <c r="BA85" s="131" t="n">
        <v>11</v>
      </c>
      <c r="BB85" s="131" t="n">
        <v>19</v>
      </c>
      <c r="BC85" s="131" t="n">
        <v>0</v>
      </c>
      <c r="BD85" s="131" t="n">
        <v>0</v>
      </c>
      <c r="BE85" s="131" t="n">
        <v>0</v>
      </c>
      <c r="BF85" s="131" t="n">
        <v>0</v>
      </c>
      <c r="BG85" s="131" t="n">
        <v>0</v>
      </c>
      <c r="BH85" s="131" t="n">
        <v>0</v>
      </c>
      <c r="BI85" s="131" t="n">
        <v>2</v>
      </c>
      <c r="BJ85" s="131" t="n">
        <v>0</v>
      </c>
      <c r="BK85" s="131" t="n">
        <v>0</v>
      </c>
      <c r="BL85" s="131" t="n">
        <v>12674</v>
      </c>
      <c r="BM85" s="131" t="n">
        <v>0</v>
      </c>
      <c r="BN85" s="131" t="n">
        <v>30600</v>
      </c>
      <c r="BO85" s="131" t="n">
        <v>0</v>
      </c>
      <c r="CC85" s="160"/>
      <c r="CD85" s="160"/>
      <c r="CE85" s="160"/>
      <c r="CF85" s="160"/>
      <c r="CG85" s="160"/>
      <c r="CH85" s="160"/>
      <c r="CI85" s="160"/>
      <c r="CJ85" s="160"/>
      <c r="CK85" s="160"/>
      <c r="CL85" s="160"/>
      <c r="CM85" s="160"/>
      <c r="CN85" s="160"/>
      <c r="CO85" s="160"/>
      <c r="CP85" s="160"/>
      <c r="CQ85" s="160"/>
      <c r="CR85" s="160"/>
      <c r="CS85" s="160"/>
      <c r="CT85" s="160"/>
      <c r="CU85" s="160"/>
      <c r="CV85" s="160"/>
      <c r="CW85" s="160"/>
      <c r="CX85" s="160"/>
      <c r="CY85" s="160"/>
      <c r="CZ85" s="160"/>
      <c r="DA85" s="160"/>
      <c r="DB85" s="160"/>
      <c r="DC85" s="160"/>
      <c r="DD85" s="160"/>
      <c r="DE85" s="160"/>
      <c r="DF85" s="160"/>
      <c r="DG85" s="160"/>
      <c r="DH85" s="160"/>
      <c r="DI85" s="160"/>
      <c r="DJ85" s="160"/>
      <c r="DK85" s="160"/>
      <c r="DL85" s="160"/>
      <c r="DM85" s="160"/>
      <c r="DN85" s="160"/>
      <c r="DO85" s="160"/>
      <c r="DP85" s="160"/>
      <c r="DQ85" s="160"/>
      <c r="DR85" s="160"/>
      <c r="DS85" s="160"/>
      <c r="DT85" s="160"/>
      <c r="DU85" s="160"/>
      <c r="DV85" s="160"/>
      <c r="DW85" s="160"/>
      <c r="DX85" s="160"/>
      <c r="DY85" s="160"/>
      <c r="DZ85" s="160"/>
      <c r="EA85" s="160"/>
      <c r="EB85" s="160"/>
      <c r="EC85" s="160"/>
      <c r="ED85" s="160"/>
      <c r="EE85" s="160"/>
      <c r="EF85" s="160"/>
      <c r="EG85" s="160"/>
      <c r="EH85" s="160"/>
      <c r="EI85" s="160"/>
      <c r="EJ85" s="160"/>
      <c r="EK85" s="160"/>
      <c r="EL85" s="160"/>
      <c r="EM85" s="160"/>
      <c r="EN85" s="160"/>
      <c r="EO85" s="160"/>
      <c r="EP85" s="160"/>
      <c r="EQ85" s="160"/>
      <c r="ER85" s="160"/>
      <c r="ES85" s="160"/>
      <c r="ET85" s="160"/>
      <c r="EU85" s="160"/>
      <c r="EV85" s="160"/>
      <c r="EW85" s="160"/>
      <c r="EX85" s="160"/>
      <c r="EY85" s="160"/>
      <c r="EZ85" s="160"/>
      <c r="FA85" s="160"/>
      <c r="FB85" s="160"/>
      <c r="FC85" s="160"/>
      <c r="FD85" s="160"/>
      <c r="FE85" s="160"/>
      <c r="FF85" s="160"/>
      <c r="FG85" s="160"/>
      <c r="FH85" s="160"/>
      <c r="FI85" s="160"/>
      <c r="FJ85" s="160"/>
      <c r="FK85" s="160"/>
      <c r="FL85" s="160"/>
      <c r="FM85" s="160"/>
      <c r="FN85" s="160"/>
      <c r="FO85" s="160"/>
      <c r="FP85" s="160"/>
      <c r="FQ85" s="160"/>
      <c r="FR85" s="160"/>
      <c r="FS85" s="160"/>
      <c r="FT85" s="160"/>
      <c r="FU85" s="160"/>
      <c r="FV85" s="160"/>
      <c r="FW85" s="160"/>
      <c r="FX85" s="160"/>
      <c r="FY85" s="160"/>
      <c r="FZ85" s="160"/>
      <c r="GA85" s="160"/>
      <c r="GB85" s="160"/>
      <c r="GC85" s="160"/>
      <c r="GD85" s="160"/>
      <c r="GE85" s="160"/>
      <c r="GF85" s="160"/>
      <c r="GG85" s="160"/>
      <c r="GH85" s="160"/>
      <c r="GI85" s="160"/>
      <c r="GJ85" s="160"/>
      <c r="GK85" s="160"/>
      <c r="GL85" s="160"/>
      <c r="GM85" s="160"/>
      <c r="GN85" s="160"/>
      <c r="GO85" s="160"/>
      <c r="GP85" s="160"/>
      <c r="GQ85" s="160"/>
      <c r="GR85" s="160"/>
      <c r="GS85" s="160"/>
      <c r="GT85" s="160"/>
      <c r="GU85" s="160"/>
    </row>
    <row r="86" customFormat="false" ht="15" hidden="false" customHeight="true" outlineLevel="0" collapsed="false">
      <c r="A86" s="131" t="n">
        <v>8735</v>
      </c>
      <c r="B86" s="131"/>
      <c r="C86" s="132" t="s">
        <v>284</v>
      </c>
      <c r="D86" s="133" t="s">
        <v>284</v>
      </c>
      <c r="E86" s="134" t="n">
        <f aca="false">IF(I86="regional",IF(R86*0.2975,S86*0.3484),S86*0.1939)</f>
        <v>83683.1681</v>
      </c>
      <c r="F86" s="134" t="n">
        <v>0</v>
      </c>
      <c r="G86" s="135" t="n">
        <f aca="false">E86+F86</f>
        <v>83683.1681</v>
      </c>
      <c r="H86" s="132"/>
      <c r="I86" s="133" t="s">
        <v>62</v>
      </c>
      <c r="J86" s="133" t="s">
        <v>49</v>
      </c>
      <c r="K86" s="133" t="s">
        <v>229</v>
      </c>
      <c r="L86" s="133"/>
      <c r="M86" s="136" t="n">
        <v>35</v>
      </c>
      <c r="N86" s="136" t="n">
        <v>0.996</v>
      </c>
      <c r="O86" s="136" t="n">
        <v>0.976</v>
      </c>
      <c r="P86" s="136" t="n">
        <v>0.992</v>
      </c>
      <c r="Q86" s="136" t="n">
        <v>0.826</v>
      </c>
      <c r="R86" s="136" t="n">
        <v>0</v>
      </c>
      <c r="S86" s="136" t="n">
        <v>431579</v>
      </c>
      <c r="T86" s="8" t="n">
        <f aca="false">IF(I86="regional",IF(R86&gt;0,R86*0.2975,S86*0.3484),S86*0.1939)</f>
        <v>83683.1681</v>
      </c>
      <c r="U86" s="136" t="n">
        <v>353962</v>
      </c>
      <c r="V86" s="136" t="n">
        <v>77617</v>
      </c>
      <c r="W86" s="136" t="n">
        <v>2400</v>
      </c>
      <c r="X86" s="136" t="n">
        <v>0</v>
      </c>
      <c r="Y86" s="136" t="n">
        <v>0</v>
      </c>
      <c r="Z86" s="136" t="n">
        <v>0</v>
      </c>
      <c r="AA86" s="136" t="n">
        <v>515262.1681</v>
      </c>
      <c r="AB86" s="136" t="n">
        <v>83683.1681</v>
      </c>
      <c r="AC86" s="136" t="n">
        <v>431579</v>
      </c>
      <c r="AD86" s="136" t="n">
        <v>0</v>
      </c>
      <c r="AE86" s="136" t="n">
        <v>0</v>
      </c>
      <c r="AF86" s="136" t="n">
        <v>0</v>
      </c>
      <c r="AG86" s="136" t="n">
        <v>431579</v>
      </c>
      <c r="AH86" s="136" t="n">
        <v>0</v>
      </c>
      <c r="AI86" s="136" t="n">
        <v>0</v>
      </c>
      <c r="AJ86" s="132" t="s">
        <v>707</v>
      </c>
      <c r="AK86" s="132" t="s">
        <v>714</v>
      </c>
      <c r="AL86" s="133" t="s">
        <v>62</v>
      </c>
      <c r="AM86" s="132"/>
      <c r="AN86" s="133" t="s">
        <v>284</v>
      </c>
      <c r="AO86" s="133" t="n">
        <v>83683.1681</v>
      </c>
      <c r="AP86" s="137" t="n">
        <f aca="false">AR86+AT86+AU86+AV86+AX86+AY86+AZ86+BD86+BF86+BG86+BH86+BJ86+BK86+(BL86+BM86+BN86)/1000+(0.1*BO86)</f>
        <v>34</v>
      </c>
      <c r="AQ86" s="137" t="n">
        <f aca="false">AR86+AT86+AU86+AV86+AX86+AY86+AZ86+BB86+BC86+BD86+BF86+BG86+BH86+BJ86+BK86+(BL86+BM86+BN86)/1000+(0.1*BO86)</f>
        <v>185</v>
      </c>
      <c r="AR86" s="131" t="n">
        <v>0</v>
      </c>
      <c r="AS86" s="131" t="n">
        <v>0</v>
      </c>
      <c r="AT86" s="131" t="n">
        <v>33</v>
      </c>
      <c r="AU86" s="131" t="n">
        <v>1</v>
      </c>
      <c r="AV86" s="131" t="n">
        <v>0</v>
      </c>
      <c r="AW86" s="131" t="n">
        <v>0</v>
      </c>
      <c r="AX86" s="131" t="n">
        <v>0</v>
      </c>
      <c r="AY86" s="131" t="n">
        <v>0</v>
      </c>
      <c r="AZ86" s="131" t="n">
        <v>0</v>
      </c>
      <c r="BA86" s="131" t="n">
        <v>-11</v>
      </c>
      <c r="BB86" s="131" t="n">
        <v>151</v>
      </c>
      <c r="BC86" s="131" t="n">
        <v>0</v>
      </c>
      <c r="BD86" s="131" t="n">
        <v>0</v>
      </c>
      <c r="BE86" s="131" t="n">
        <v>0</v>
      </c>
      <c r="BF86" s="131" t="n">
        <v>0</v>
      </c>
      <c r="BG86" s="131" t="n">
        <v>0</v>
      </c>
      <c r="BH86" s="131" t="n">
        <v>0</v>
      </c>
      <c r="BI86" s="131" t="n">
        <v>0</v>
      </c>
      <c r="BJ86" s="131" t="n">
        <v>0</v>
      </c>
      <c r="BK86" s="131" t="n">
        <v>0</v>
      </c>
      <c r="BL86" s="131" t="n">
        <v>0</v>
      </c>
      <c r="BM86" s="131" t="n">
        <v>0</v>
      </c>
      <c r="BN86" s="131" t="n">
        <v>0</v>
      </c>
      <c r="BO86" s="131" t="n">
        <v>0</v>
      </c>
      <c r="CC86" s="160"/>
      <c r="CD86" s="160"/>
      <c r="CE86" s="160"/>
      <c r="CF86" s="160"/>
      <c r="CG86" s="160"/>
      <c r="CH86" s="160"/>
      <c r="CI86" s="160"/>
      <c r="CJ86" s="160"/>
      <c r="CK86" s="160"/>
      <c r="CL86" s="160"/>
      <c r="CM86" s="160"/>
      <c r="CN86" s="160"/>
      <c r="CO86" s="160"/>
      <c r="CP86" s="160"/>
      <c r="CQ86" s="160"/>
      <c r="CR86" s="160"/>
      <c r="CS86" s="160"/>
      <c r="CT86" s="160"/>
      <c r="CU86" s="160"/>
      <c r="CV86" s="160"/>
      <c r="CW86" s="160"/>
      <c r="CX86" s="160"/>
      <c r="CY86" s="160"/>
      <c r="CZ86" s="160"/>
      <c r="DA86" s="160"/>
      <c r="DB86" s="160"/>
      <c r="DC86" s="160"/>
      <c r="DD86" s="160"/>
      <c r="DE86" s="160"/>
      <c r="DF86" s="160"/>
      <c r="DG86" s="160"/>
      <c r="DH86" s="160"/>
      <c r="DI86" s="160"/>
      <c r="DJ86" s="160"/>
      <c r="DK86" s="160"/>
      <c r="DL86" s="160"/>
      <c r="DM86" s="160"/>
      <c r="DN86" s="160"/>
      <c r="DO86" s="160"/>
      <c r="DP86" s="160"/>
      <c r="DQ86" s="160"/>
      <c r="DR86" s="160"/>
      <c r="DS86" s="160"/>
      <c r="DT86" s="160"/>
      <c r="DU86" s="160"/>
      <c r="DV86" s="160"/>
      <c r="DW86" s="160"/>
      <c r="DX86" s="160"/>
      <c r="DY86" s="160"/>
      <c r="DZ86" s="160"/>
      <c r="EA86" s="160"/>
      <c r="EB86" s="160"/>
      <c r="EC86" s="160"/>
      <c r="ED86" s="160"/>
      <c r="EE86" s="160"/>
      <c r="EF86" s="160"/>
      <c r="EG86" s="160"/>
      <c r="EH86" s="160"/>
      <c r="EI86" s="160"/>
      <c r="EJ86" s="160"/>
      <c r="EK86" s="160"/>
      <c r="EL86" s="160"/>
      <c r="EM86" s="160"/>
      <c r="EN86" s="160"/>
      <c r="EO86" s="160"/>
      <c r="EP86" s="160"/>
      <c r="EQ86" s="160"/>
      <c r="ER86" s="160"/>
      <c r="ES86" s="160"/>
      <c r="ET86" s="160"/>
      <c r="EU86" s="160"/>
      <c r="EV86" s="160"/>
      <c r="EW86" s="160"/>
      <c r="EX86" s="160"/>
      <c r="EY86" s="160"/>
      <c r="EZ86" s="160"/>
      <c r="FA86" s="160"/>
      <c r="FB86" s="160"/>
      <c r="FC86" s="160"/>
      <c r="FD86" s="160"/>
      <c r="FE86" s="160"/>
      <c r="FF86" s="160"/>
      <c r="FG86" s="160"/>
      <c r="FH86" s="160"/>
      <c r="FI86" s="160"/>
      <c r="FJ86" s="160"/>
      <c r="FK86" s="160"/>
      <c r="FL86" s="160"/>
      <c r="FM86" s="160"/>
      <c r="FN86" s="160"/>
      <c r="FO86" s="160"/>
      <c r="FP86" s="160"/>
      <c r="FQ86" s="160"/>
      <c r="FR86" s="160"/>
      <c r="FS86" s="160"/>
      <c r="FT86" s="160"/>
      <c r="FU86" s="160"/>
      <c r="FV86" s="160"/>
      <c r="FW86" s="160"/>
      <c r="FX86" s="160"/>
      <c r="FY86" s="160"/>
      <c r="FZ86" s="160"/>
      <c r="GA86" s="160"/>
      <c r="GB86" s="160"/>
      <c r="GC86" s="160"/>
      <c r="GD86" s="160"/>
      <c r="GE86" s="160"/>
      <c r="GF86" s="160"/>
      <c r="GG86" s="160"/>
      <c r="GH86" s="160"/>
      <c r="GI86" s="160"/>
      <c r="GJ86" s="160"/>
      <c r="GK86" s="160"/>
      <c r="GL86" s="160"/>
      <c r="GM86" s="160"/>
      <c r="GN86" s="160"/>
      <c r="GO86" s="160"/>
      <c r="GP86" s="160"/>
      <c r="GQ86" s="160"/>
      <c r="GR86" s="160"/>
      <c r="GS86" s="160"/>
      <c r="GT86" s="160"/>
      <c r="GU86" s="160"/>
    </row>
    <row r="87" customFormat="false" ht="15" hidden="false" customHeight="true" outlineLevel="0" collapsed="false">
      <c r="A87" s="131" t="n">
        <v>1552</v>
      </c>
      <c r="B87" s="131" t="s">
        <v>44</v>
      </c>
      <c r="C87" s="132" t="s">
        <v>286</v>
      </c>
      <c r="D87" s="133" t="s">
        <v>286</v>
      </c>
      <c r="E87" s="134" t="n">
        <f aca="false">IF(I87="regional",IF(R87*0.2975,S87*0.3484),S87*0.1939)</f>
        <v>183178.6164</v>
      </c>
      <c r="F87" s="134" t="n">
        <v>0</v>
      </c>
      <c r="G87" s="135" t="n">
        <f aca="false">E87+F87</f>
        <v>183178.6164</v>
      </c>
      <c r="H87" s="132"/>
      <c r="I87" s="133" t="s">
        <v>48</v>
      </c>
      <c r="J87" s="133" t="s">
        <v>44</v>
      </c>
      <c r="K87" s="133" t="s">
        <v>289</v>
      </c>
      <c r="L87" s="133"/>
      <c r="M87" s="136" t="n">
        <v>92</v>
      </c>
      <c r="N87" s="136" t="n">
        <v>0.735</v>
      </c>
      <c r="O87" s="136" t="n">
        <v>0.718</v>
      </c>
      <c r="P87" s="136" t="n">
        <v>0.706</v>
      </c>
      <c r="Q87" s="136" t="n">
        <v>0.743</v>
      </c>
      <c r="R87" s="136" t="n">
        <v>616089</v>
      </c>
      <c r="S87" s="136" t="n">
        <v>525771</v>
      </c>
      <c r="T87" s="8" t="n">
        <f aca="false">IF(I87="regional",IF(R87&gt;0,R87*0.2975,S87*0.3484),S87*0.1939)</f>
        <v>183286.4775</v>
      </c>
      <c r="U87" s="136" t="n">
        <v>277665</v>
      </c>
      <c r="V87" s="136" t="n">
        <v>248106</v>
      </c>
      <c r="W87" s="136" t="n">
        <v>2472</v>
      </c>
      <c r="X87" s="136" t="n">
        <v>0</v>
      </c>
      <c r="Y87" s="136" t="n">
        <v>0</v>
      </c>
      <c r="Z87" s="136" t="n">
        <v>0</v>
      </c>
      <c r="AA87" s="136" t="n">
        <v>709057.4775</v>
      </c>
      <c r="AB87" s="136" t="n">
        <v>183286.4775</v>
      </c>
      <c r="AC87" s="136" t="n">
        <v>525771</v>
      </c>
      <c r="AD87" s="136" t="n">
        <v>0</v>
      </c>
      <c r="AE87" s="136" t="n">
        <v>0</v>
      </c>
      <c r="AF87" s="136" t="n">
        <v>525771</v>
      </c>
      <c r="AG87" s="136" t="n">
        <v>0</v>
      </c>
      <c r="AH87" s="136" t="n">
        <v>186000</v>
      </c>
      <c r="AI87" s="136" t="n">
        <v>221000</v>
      </c>
      <c r="AJ87" s="132" t="s">
        <v>707</v>
      </c>
      <c r="AK87" s="132" t="s">
        <v>729</v>
      </c>
      <c r="AL87" s="133" t="s">
        <v>48</v>
      </c>
      <c r="AM87" s="132"/>
      <c r="AN87" s="133" t="s">
        <v>286</v>
      </c>
      <c r="AO87" s="133" t="n">
        <v>183286.4775</v>
      </c>
      <c r="AP87" s="137" t="n">
        <f aca="false">AR87+AT87+AU87+AV87+AX87+AY87+AZ87+BD87+BF87+BG87+BH87+BJ87+BK87+(BL87+BM87+BN87)/1000+(0.1*BO87)</f>
        <v>102.846</v>
      </c>
      <c r="AQ87" s="137" t="n">
        <f aca="false">AR87+AT87+AU87+AV87+AX87+AY87+AZ87+BB87+BC87+BD87+BF87+BG87+BH87+BJ87+BK87+(BL87+BM87+BN87)/1000+(0.1*BO87)</f>
        <v>109.846</v>
      </c>
      <c r="AR87" s="131" t="n">
        <v>56</v>
      </c>
      <c r="AS87" s="131" t="n">
        <v>221</v>
      </c>
      <c r="AT87" s="131" t="n">
        <v>43</v>
      </c>
      <c r="AU87" s="131" t="n">
        <v>0</v>
      </c>
      <c r="AV87" s="131" t="n">
        <v>0</v>
      </c>
      <c r="AW87" s="131" t="n">
        <v>0</v>
      </c>
      <c r="AX87" s="131" t="n">
        <v>0</v>
      </c>
      <c r="AY87" s="131" t="n">
        <v>0</v>
      </c>
      <c r="AZ87" s="131" t="n">
        <v>0</v>
      </c>
      <c r="BA87" s="131" t="n">
        <v>7</v>
      </c>
      <c r="BB87" s="131" t="n">
        <v>7</v>
      </c>
      <c r="BC87" s="131" t="n">
        <v>0</v>
      </c>
      <c r="BD87" s="131" t="n">
        <v>0</v>
      </c>
      <c r="BE87" s="131" t="n">
        <v>0</v>
      </c>
      <c r="BF87" s="131" t="n">
        <v>0</v>
      </c>
      <c r="BG87" s="131" t="n">
        <v>0</v>
      </c>
      <c r="BH87" s="131" t="n">
        <v>0</v>
      </c>
      <c r="BI87" s="131" t="n">
        <v>0</v>
      </c>
      <c r="BJ87" s="131" t="n">
        <v>0</v>
      </c>
      <c r="BK87" s="131" t="n">
        <v>0</v>
      </c>
      <c r="BL87" s="131" t="n">
        <v>3846</v>
      </c>
      <c r="BM87" s="131" t="n">
        <v>0</v>
      </c>
      <c r="BN87" s="131" t="n">
        <v>0</v>
      </c>
      <c r="BO87" s="131" t="n">
        <v>0</v>
      </c>
      <c r="CC87" s="160"/>
      <c r="CD87" s="160"/>
      <c r="CE87" s="160"/>
      <c r="CF87" s="160"/>
      <c r="CG87" s="160"/>
      <c r="CH87" s="160"/>
      <c r="CI87" s="160"/>
      <c r="CJ87" s="160"/>
      <c r="CK87" s="160"/>
      <c r="CL87" s="160"/>
      <c r="CM87" s="160"/>
      <c r="CN87" s="160"/>
      <c r="CO87" s="160"/>
      <c r="CP87" s="160"/>
      <c r="CQ87" s="160"/>
      <c r="CR87" s="160"/>
      <c r="CS87" s="160"/>
      <c r="CT87" s="160"/>
      <c r="CU87" s="160"/>
      <c r="CV87" s="160"/>
      <c r="CW87" s="160"/>
      <c r="CX87" s="160"/>
      <c r="CY87" s="160"/>
      <c r="CZ87" s="160"/>
      <c r="DA87" s="160"/>
      <c r="DB87" s="160"/>
      <c r="DC87" s="160"/>
      <c r="DD87" s="160"/>
      <c r="DE87" s="160"/>
      <c r="DF87" s="160"/>
      <c r="DG87" s="160"/>
      <c r="DH87" s="160"/>
      <c r="DI87" s="160"/>
      <c r="DJ87" s="160"/>
      <c r="DK87" s="160"/>
      <c r="DL87" s="160"/>
      <c r="DM87" s="160"/>
      <c r="DN87" s="160"/>
      <c r="DO87" s="160"/>
      <c r="DP87" s="160"/>
      <c r="DQ87" s="160"/>
      <c r="DR87" s="160"/>
      <c r="DS87" s="160"/>
      <c r="DT87" s="160"/>
      <c r="DU87" s="160"/>
      <c r="DV87" s="160"/>
      <c r="DW87" s="160"/>
      <c r="DX87" s="160"/>
      <c r="DY87" s="160"/>
      <c r="DZ87" s="160"/>
      <c r="EA87" s="160"/>
      <c r="EB87" s="160"/>
      <c r="EC87" s="160"/>
      <c r="ED87" s="160"/>
      <c r="EE87" s="160"/>
      <c r="EF87" s="160"/>
      <c r="EG87" s="160"/>
      <c r="EH87" s="160"/>
      <c r="EI87" s="160"/>
      <c r="EJ87" s="160"/>
      <c r="EK87" s="160"/>
      <c r="EL87" s="160"/>
      <c r="EM87" s="160"/>
      <c r="EN87" s="160"/>
      <c r="EO87" s="160"/>
      <c r="EP87" s="160"/>
      <c r="EQ87" s="160"/>
      <c r="ER87" s="160"/>
      <c r="ES87" s="160"/>
      <c r="ET87" s="160"/>
      <c r="EU87" s="160"/>
      <c r="EV87" s="160"/>
      <c r="EW87" s="160"/>
      <c r="EX87" s="160"/>
      <c r="EY87" s="160"/>
      <c r="EZ87" s="160"/>
      <c r="FA87" s="160"/>
      <c r="FB87" s="160"/>
      <c r="FC87" s="160"/>
      <c r="FD87" s="160"/>
      <c r="FE87" s="160"/>
      <c r="FF87" s="160"/>
      <c r="FG87" s="160"/>
      <c r="FH87" s="160"/>
      <c r="FI87" s="160"/>
      <c r="FJ87" s="160"/>
      <c r="FK87" s="160"/>
      <c r="FL87" s="160"/>
      <c r="FM87" s="160"/>
      <c r="FN87" s="160"/>
      <c r="FO87" s="160"/>
      <c r="FP87" s="160"/>
      <c r="FQ87" s="160"/>
      <c r="FR87" s="160"/>
      <c r="FS87" s="160"/>
      <c r="FT87" s="160"/>
      <c r="FU87" s="160"/>
      <c r="FV87" s="160"/>
      <c r="FW87" s="160"/>
      <c r="FX87" s="160"/>
      <c r="FY87" s="160"/>
      <c r="FZ87" s="160"/>
      <c r="GA87" s="160"/>
      <c r="GB87" s="160"/>
      <c r="GC87" s="160"/>
      <c r="GD87" s="160"/>
      <c r="GE87" s="160"/>
      <c r="GF87" s="160"/>
      <c r="GG87" s="160"/>
      <c r="GH87" s="160"/>
      <c r="GI87" s="160"/>
      <c r="GJ87" s="160"/>
      <c r="GK87" s="160"/>
      <c r="GL87" s="160"/>
      <c r="GM87" s="160"/>
      <c r="GN87" s="160"/>
      <c r="GO87" s="160"/>
      <c r="GP87" s="160"/>
      <c r="GQ87" s="160"/>
      <c r="GR87" s="160"/>
      <c r="GS87" s="160"/>
      <c r="GT87" s="160"/>
      <c r="GU87" s="160"/>
    </row>
    <row r="88" customFormat="false" ht="15" hidden="false" customHeight="true" outlineLevel="0" collapsed="false">
      <c r="A88" s="131" t="n">
        <v>1704</v>
      </c>
      <c r="B88" s="131" t="s">
        <v>44</v>
      </c>
      <c r="C88" s="132" t="s">
        <v>290</v>
      </c>
      <c r="D88" s="133" t="s">
        <v>290</v>
      </c>
      <c r="E88" s="134" t="n">
        <f aca="false">IF(I88="regional",IF(R88*0.2975,S88*0.3484),S88*0.1939)</f>
        <v>300459.4632</v>
      </c>
      <c r="F88" s="134" t="n">
        <v>787736</v>
      </c>
      <c r="G88" s="135" t="n">
        <f aca="false">E88+F88</f>
        <v>1088195.4632</v>
      </c>
      <c r="H88" s="132"/>
      <c r="I88" s="133" t="s">
        <v>48</v>
      </c>
      <c r="J88" s="133" t="s">
        <v>44</v>
      </c>
      <c r="K88" s="133" t="s">
        <v>292</v>
      </c>
      <c r="L88" s="133" t="s">
        <v>44</v>
      </c>
      <c r="M88" s="136" t="n">
        <v>100</v>
      </c>
      <c r="N88" s="136" t="n">
        <v>0.856</v>
      </c>
      <c r="O88" s="136" t="n">
        <v>0.863</v>
      </c>
      <c r="P88" s="136" t="n">
        <v>0.724</v>
      </c>
      <c r="Q88" s="136" t="n">
        <v>0.769</v>
      </c>
      <c r="R88" s="136" t="n">
        <v>1347605</v>
      </c>
      <c r="S88" s="136" t="n">
        <v>862398</v>
      </c>
      <c r="T88" s="8" t="n">
        <f aca="false">IF(I88="regional",IF(R88&gt;0,R88*0.2975,S88*0.3484),S88*0.1939)</f>
        <v>400912.4875</v>
      </c>
      <c r="U88" s="136" t="n">
        <v>471463</v>
      </c>
      <c r="V88" s="136" t="n">
        <v>390935</v>
      </c>
      <c r="W88" s="136" t="n">
        <v>4350</v>
      </c>
      <c r="X88" s="136" t="n">
        <v>1188648.488</v>
      </c>
      <c r="Y88" s="136" t="n">
        <v>400912.4875</v>
      </c>
      <c r="Z88" s="136" t="n">
        <v>787736</v>
      </c>
      <c r="AA88" s="136" t="n">
        <v>74662</v>
      </c>
      <c r="AB88" s="136" t="n">
        <v>0</v>
      </c>
      <c r="AC88" s="136" t="n">
        <v>74662</v>
      </c>
      <c r="AD88" s="136" t="n">
        <v>787736</v>
      </c>
      <c r="AE88" s="136" t="n">
        <v>0</v>
      </c>
      <c r="AF88" s="136" t="n">
        <v>74662</v>
      </c>
      <c r="AG88" s="136" t="n">
        <v>0</v>
      </c>
      <c r="AH88" s="136" t="n">
        <v>779000</v>
      </c>
      <c r="AI88" s="136" t="n">
        <v>461000</v>
      </c>
      <c r="AJ88" s="132" t="n">
        <v>4</v>
      </c>
      <c r="AK88" s="132" t="s">
        <v>706</v>
      </c>
      <c r="AL88" s="133" t="s">
        <v>48</v>
      </c>
      <c r="AM88" s="132"/>
      <c r="AN88" s="133" t="s">
        <v>290</v>
      </c>
      <c r="AO88" s="133" t="n">
        <v>1188648.4875</v>
      </c>
      <c r="AP88" s="137" t="n">
        <f aca="false">AR88+AT88+AU88+AV88+AX88+AY88+AZ88+BD88+BF88+BG88+BH88+BJ88+BK88+(BL88+BM88+BN88)/1000+(0.1*BO88)</f>
        <v>663.721</v>
      </c>
      <c r="AQ88" s="137" t="n">
        <f aca="false">AR88+AT88+AU88+AV88+AX88+AY88+AZ88+BB88+BC88+BD88+BF88+BG88+BH88+BJ88+BK88+(BL88+BM88+BN88)/1000+(0.1*BO88)</f>
        <v>665.721</v>
      </c>
      <c r="AR88" s="131" t="n">
        <v>218</v>
      </c>
      <c r="AS88" s="131" t="n">
        <v>461</v>
      </c>
      <c r="AT88" s="131" t="n">
        <v>148</v>
      </c>
      <c r="AU88" s="131" t="n">
        <v>24</v>
      </c>
      <c r="AV88" s="131" t="n">
        <v>0</v>
      </c>
      <c r="AW88" s="131" t="n">
        <v>0</v>
      </c>
      <c r="AX88" s="131" t="n">
        <v>0</v>
      </c>
      <c r="AY88" s="131" t="n">
        <v>0</v>
      </c>
      <c r="AZ88" s="131" t="n">
        <v>16</v>
      </c>
      <c r="BA88" s="131" t="n">
        <v>74</v>
      </c>
      <c r="BB88" s="131" t="n">
        <v>2</v>
      </c>
      <c r="BC88" s="131" t="n">
        <v>0</v>
      </c>
      <c r="BD88" s="131" t="n">
        <v>12</v>
      </c>
      <c r="BE88" s="131" t="n">
        <v>0</v>
      </c>
      <c r="BF88" s="131" t="n">
        <v>0</v>
      </c>
      <c r="BG88" s="131" t="n">
        <v>0</v>
      </c>
      <c r="BH88" s="131" t="n">
        <v>154</v>
      </c>
      <c r="BI88" s="131" t="n">
        <v>0</v>
      </c>
      <c r="BJ88" s="131" t="n">
        <v>0</v>
      </c>
      <c r="BK88" s="131" t="n">
        <v>0</v>
      </c>
      <c r="BL88" s="131" t="n">
        <v>0</v>
      </c>
      <c r="BM88" s="131" t="n">
        <v>0</v>
      </c>
      <c r="BN88" s="131" t="n">
        <v>0</v>
      </c>
      <c r="BO88" s="131" t="n">
        <v>917.21</v>
      </c>
      <c r="CC88" s="160"/>
      <c r="CD88" s="160"/>
      <c r="CE88" s="160"/>
      <c r="CF88" s="160"/>
      <c r="CG88" s="160"/>
      <c r="CH88" s="160"/>
      <c r="CI88" s="160"/>
      <c r="CJ88" s="160"/>
      <c r="CK88" s="160"/>
      <c r="CL88" s="160"/>
      <c r="CM88" s="160"/>
      <c r="CN88" s="160"/>
      <c r="CO88" s="160"/>
      <c r="CP88" s="160"/>
      <c r="CQ88" s="160"/>
      <c r="CR88" s="160"/>
      <c r="CS88" s="160"/>
      <c r="CT88" s="160"/>
      <c r="CU88" s="160"/>
      <c r="CV88" s="160"/>
      <c r="CW88" s="160"/>
      <c r="CX88" s="160"/>
      <c r="CY88" s="160"/>
      <c r="CZ88" s="160"/>
      <c r="DA88" s="160"/>
      <c r="DB88" s="160"/>
      <c r="DC88" s="160"/>
      <c r="DD88" s="160"/>
      <c r="DE88" s="160"/>
      <c r="DF88" s="160"/>
      <c r="DG88" s="160"/>
      <c r="DH88" s="160"/>
      <c r="DI88" s="160"/>
      <c r="DJ88" s="160"/>
      <c r="DK88" s="160"/>
      <c r="DL88" s="160"/>
      <c r="DM88" s="160"/>
      <c r="DN88" s="160"/>
      <c r="DO88" s="160"/>
      <c r="DP88" s="160"/>
      <c r="DQ88" s="160"/>
      <c r="DR88" s="160"/>
      <c r="DS88" s="160"/>
      <c r="DT88" s="160"/>
      <c r="DU88" s="160"/>
      <c r="DV88" s="160"/>
      <c r="DW88" s="160"/>
      <c r="DX88" s="160"/>
      <c r="DY88" s="160"/>
      <c r="DZ88" s="160"/>
      <c r="EA88" s="160"/>
      <c r="EB88" s="160"/>
      <c r="EC88" s="160"/>
      <c r="ED88" s="160"/>
      <c r="EE88" s="160"/>
      <c r="EF88" s="160"/>
      <c r="EG88" s="160"/>
      <c r="EH88" s="160"/>
      <c r="EI88" s="160"/>
      <c r="EJ88" s="160"/>
      <c r="EK88" s="160"/>
      <c r="EL88" s="160"/>
      <c r="EM88" s="160"/>
      <c r="EN88" s="160"/>
      <c r="EO88" s="160"/>
      <c r="EP88" s="160"/>
      <c r="EQ88" s="160"/>
      <c r="ER88" s="160"/>
      <c r="ES88" s="160"/>
      <c r="ET88" s="160"/>
      <c r="EU88" s="160"/>
      <c r="EV88" s="160"/>
      <c r="EW88" s="160"/>
      <c r="EX88" s="160"/>
      <c r="EY88" s="160"/>
      <c r="EZ88" s="160"/>
      <c r="FA88" s="160"/>
      <c r="FB88" s="160"/>
      <c r="FC88" s="160"/>
      <c r="FD88" s="160"/>
      <c r="FE88" s="160"/>
      <c r="FF88" s="160"/>
      <c r="FG88" s="160"/>
      <c r="FH88" s="160"/>
      <c r="FI88" s="160"/>
      <c r="FJ88" s="160"/>
      <c r="FK88" s="160"/>
      <c r="FL88" s="160"/>
      <c r="FM88" s="160"/>
      <c r="FN88" s="160"/>
      <c r="FO88" s="160"/>
      <c r="FP88" s="160"/>
      <c r="FQ88" s="160"/>
      <c r="FR88" s="160"/>
      <c r="FS88" s="160"/>
      <c r="FT88" s="160"/>
      <c r="FU88" s="160"/>
      <c r="FV88" s="160"/>
      <c r="FW88" s="160"/>
      <c r="FX88" s="160"/>
      <c r="FY88" s="160"/>
      <c r="FZ88" s="160"/>
      <c r="GA88" s="160"/>
      <c r="GB88" s="160"/>
      <c r="GC88" s="160"/>
      <c r="GD88" s="160"/>
      <c r="GE88" s="160"/>
      <c r="GF88" s="160"/>
      <c r="GG88" s="160"/>
      <c r="GH88" s="160"/>
      <c r="GI88" s="160"/>
      <c r="GJ88" s="160"/>
      <c r="GK88" s="160"/>
      <c r="GL88" s="160"/>
      <c r="GM88" s="160"/>
      <c r="GN88" s="160"/>
      <c r="GO88" s="160"/>
      <c r="GP88" s="160"/>
      <c r="GQ88" s="160"/>
      <c r="GR88" s="160"/>
      <c r="GS88" s="160"/>
      <c r="GT88" s="160"/>
      <c r="GU88" s="160"/>
    </row>
    <row r="89" customFormat="false" ht="15" hidden="false" customHeight="true" outlineLevel="0" collapsed="false">
      <c r="A89" s="131" t="n">
        <v>8807</v>
      </c>
      <c r="B89" s="131"/>
      <c r="C89" s="132" t="s">
        <v>293</v>
      </c>
      <c r="D89" s="133" t="s">
        <v>293</v>
      </c>
      <c r="E89" s="134" t="n">
        <f aca="false">IF(I89="regional",IF(R89*0.2975,S89*0.3484),S89*0.1939)</f>
        <v>51102.345</v>
      </c>
      <c r="F89" s="134" t="n">
        <v>0</v>
      </c>
      <c r="G89" s="135" t="n">
        <f aca="false">E89+F89</f>
        <v>51102.345</v>
      </c>
      <c r="H89" s="132" t="s">
        <v>49</v>
      </c>
      <c r="I89" s="133" t="s">
        <v>62</v>
      </c>
      <c r="J89" s="133"/>
      <c r="K89" s="133" t="s">
        <v>295</v>
      </c>
      <c r="L89" s="133"/>
      <c r="M89" s="136" t="n">
        <v>0</v>
      </c>
      <c r="N89" s="136" t="n">
        <v>0.984</v>
      </c>
      <c r="O89" s="136" t="n">
        <v>0.984</v>
      </c>
      <c r="P89" s="136" t="n">
        <v>0.97</v>
      </c>
      <c r="Q89" s="136" t="n">
        <v>0.826</v>
      </c>
      <c r="R89" s="136" t="n">
        <v>0</v>
      </c>
      <c r="S89" s="136" t="n">
        <v>263550</v>
      </c>
      <c r="T89" s="8" t="n">
        <f aca="false">IF(I89="regional",IF(R89&gt;0,R89*0.2975,S89*0.3484),S89*0.1939)</f>
        <v>51102.345</v>
      </c>
      <c r="U89" s="136" t="n">
        <v>253782</v>
      </c>
      <c r="V89" s="136" t="n">
        <v>9768</v>
      </c>
      <c r="W89" s="136" t="n">
        <v>0</v>
      </c>
      <c r="X89" s="136" t="n">
        <v>0</v>
      </c>
      <c r="Y89" s="136" t="n">
        <v>0</v>
      </c>
      <c r="Z89" s="136" t="n">
        <v>0</v>
      </c>
      <c r="AA89" s="136" t="n">
        <v>314652.345</v>
      </c>
      <c r="AB89" s="136" t="n">
        <v>51102.345</v>
      </c>
      <c r="AC89" s="136" t="n">
        <v>263550</v>
      </c>
      <c r="AD89" s="136" t="n">
        <v>0</v>
      </c>
      <c r="AE89" s="136" t="n">
        <v>0</v>
      </c>
      <c r="AF89" s="136" t="n">
        <v>0</v>
      </c>
      <c r="AG89" s="136" t="n">
        <v>263550</v>
      </c>
      <c r="AH89" s="136" t="n">
        <v>0</v>
      </c>
      <c r="AI89" s="136" t="n">
        <v>0</v>
      </c>
      <c r="AJ89" s="132" t="s">
        <v>707</v>
      </c>
      <c r="AK89" s="132" t="s">
        <v>714</v>
      </c>
      <c r="AL89" s="133" t="s">
        <v>62</v>
      </c>
      <c r="AM89" s="132" t="s">
        <v>49</v>
      </c>
      <c r="AN89" s="133" t="s">
        <v>293</v>
      </c>
      <c r="AO89" s="133" t="n">
        <v>51102.345</v>
      </c>
      <c r="AP89" s="137" t="n">
        <f aca="false">AR89+AT89+AU89+AV89+AX89+AY89+AZ89+BD89+BF89+BG89+BH89+BJ89+BK89+(BL89+BM89+BN89)/1000+(0.1*BO89)</f>
        <v>8</v>
      </c>
      <c r="AQ89" s="137" t="n">
        <f aca="false">AR89+AT89+AU89+AV89+AX89+AY89+AZ89+BB89+BC89+BD89+BF89+BG89+BH89+BJ89+BK89+(BL89+BM89+BN89)/1000+(0.1*BO89)</f>
        <v>8</v>
      </c>
      <c r="AR89" s="131" t="n">
        <v>0</v>
      </c>
      <c r="AS89" s="131" t="n">
        <v>0</v>
      </c>
      <c r="AT89" s="131" t="n">
        <v>8</v>
      </c>
      <c r="AU89" s="131" t="n">
        <v>0</v>
      </c>
      <c r="AV89" s="131" t="n">
        <v>0</v>
      </c>
      <c r="AW89" s="131" t="n">
        <v>0</v>
      </c>
      <c r="AX89" s="131" t="n">
        <v>0</v>
      </c>
      <c r="AY89" s="131" t="n">
        <v>0</v>
      </c>
      <c r="AZ89" s="131" t="n">
        <v>0</v>
      </c>
      <c r="BA89" s="131" t="n">
        <v>0</v>
      </c>
      <c r="BB89" s="131" t="n">
        <v>0</v>
      </c>
      <c r="BC89" s="131" t="n">
        <v>0</v>
      </c>
      <c r="BD89" s="131" t="n">
        <v>0</v>
      </c>
      <c r="BE89" s="131" t="n">
        <v>0</v>
      </c>
      <c r="BF89" s="131" t="n">
        <v>0</v>
      </c>
      <c r="BG89" s="131" t="n">
        <v>0</v>
      </c>
      <c r="BH89" s="131" t="n">
        <v>0</v>
      </c>
      <c r="BI89" s="131" t="n">
        <v>0</v>
      </c>
      <c r="BJ89" s="131" t="n">
        <v>0</v>
      </c>
      <c r="BK89" s="131" t="n">
        <v>0</v>
      </c>
      <c r="BL89" s="131" t="n">
        <v>0</v>
      </c>
      <c r="BM89" s="131" t="n">
        <v>0</v>
      </c>
      <c r="BN89" s="131" t="n">
        <v>0</v>
      </c>
      <c r="BO89" s="131" t="n">
        <v>0</v>
      </c>
      <c r="CC89" s="160"/>
      <c r="CD89" s="160"/>
      <c r="CE89" s="160"/>
      <c r="CF89" s="160"/>
      <c r="CG89" s="160"/>
      <c r="CH89" s="160"/>
      <c r="CI89" s="160"/>
      <c r="CJ89" s="160"/>
      <c r="CK89" s="160"/>
      <c r="CL89" s="160"/>
      <c r="CM89" s="160"/>
      <c r="CN89" s="160"/>
      <c r="CO89" s="160"/>
      <c r="CP89" s="160"/>
      <c r="CQ89" s="160"/>
      <c r="CR89" s="160"/>
      <c r="CS89" s="160"/>
      <c r="CT89" s="160"/>
      <c r="CU89" s="160"/>
      <c r="CV89" s="160"/>
      <c r="CW89" s="160"/>
      <c r="CX89" s="160"/>
      <c r="CY89" s="160"/>
      <c r="CZ89" s="160"/>
      <c r="DA89" s="160"/>
      <c r="DB89" s="160"/>
      <c r="DC89" s="160"/>
      <c r="DD89" s="160"/>
      <c r="DE89" s="160"/>
      <c r="DF89" s="160"/>
      <c r="DG89" s="160"/>
      <c r="DH89" s="160"/>
      <c r="DI89" s="160"/>
      <c r="DJ89" s="160"/>
      <c r="DK89" s="160"/>
      <c r="DL89" s="160"/>
      <c r="DM89" s="160"/>
      <c r="DN89" s="160"/>
      <c r="DO89" s="160"/>
      <c r="DP89" s="160"/>
      <c r="DQ89" s="160"/>
      <c r="DR89" s="160"/>
      <c r="DS89" s="160"/>
      <c r="DT89" s="160"/>
      <c r="DU89" s="160"/>
      <c r="DV89" s="160"/>
      <c r="DW89" s="160"/>
      <c r="DX89" s="160"/>
      <c r="DY89" s="160"/>
      <c r="DZ89" s="160"/>
      <c r="EA89" s="160"/>
      <c r="EB89" s="160"/>
      <c r="EC89" s="160"/>
      <c r="ED89" s="160"/>
      <c r="EE89" s="160"/>
      <c r="EF89" s="160"/>
      <c r="EG89" s="160"/>
      <c r="EH89" s="160"/>
      <c r="EI89" s="160"/>
      <c r="EJ89" s="160"/>
      <c r="EK89" s="160"/>
      <c r="EL89" s="160"/>
      <c r="EM89" s="160"/>
      <c r="EN89" s="160"/>
      <c r="EO89" s="160"/>
      <c r="EP89" s="160"/>
      <c r="EQ89" s="160"/>
      <c r="ER89" s="160"/>
      <c r="ES89" s="160"/>
      <c r="ET89" s="160"/>
      <c r="EU89" s="160"/>
      <c r="EV89" s="160"/>
      <c r="EW89" s="160"/>
      <c r="EX89" s="160"/>
      <c r="EY89" s="160"/>
      <c r="EZ89" s="160"/>
      <c r="FA89" s="160"/>
      <c r="FB89" s="160"/>
      <c r="FC89" s="160"/>
      <c r="FD89" s="160"/>
      <c r="FE89" s="160"/>
      <c r="FF89" s="160"/>
      <c r="FG89" s="160"/>
      <c r="FH89" s="160"/>
      <c r="FI89" s="160"/>
      <c r="FJ89" s="160"/>
      <c r="FK89" s="160"/>
      <c r="FL89" s="160"/>
      <c r="FM89" s="160"/>
      <c r="FN89" s="160"/>
      <c r="FO89" s="160"/>
      <c r="FP89" s="160"/>
      <c r="FQ89" s="160"/>
      <c r="FR89" s="160"/>
      <c r="FS89" s="160"/>
      <c r="FT89" s="160"/>
      <c r="FU89" s="160"/>
      <c r="FV89" s="160"/>
      <c r="FW89" s="160"/>
      <c r="FX89" s="160"/>
      <c r="FY89" s="160"/>
      <c r="FZ89" s="160"/>
      <c r="GA89" s="160"/>
      <c r="GB89" s="160"/>
      <c r="GC89" s="160"/>
      <c r="GD89" s="160"/>
      <c r="GE89" s="160"/>
      <c r="GF89" s="160"/>
      <c r="GG89" s="160"/>
      <c r="GH89" s="160"/>
      <c r="GI89" s="160"/>
      <c r="GJ89" s="160"/>
      <c r="GK89" s="160"/>
      <c r="GL89" s="160"/>
      <c r="GM89" s="160"/>
      <c r="GN89" s="160"/>
      <c r="GO89" s="160"/>
      <c r="GP89" s="160"/>
      <c r="GQ89" s="160"/>
      <c r="GR89" s="160"/>
      <c r="GS89" s="160"/>
      <c r="GT89" s="160"/>
      <c r="GU89" s="160"/>
    </row>
    <row r="90" customFormat="false" ht="15" hidden="false" customHeight="true" outlineLevel="0" collapsed="false">
      <c r="A90" s="131" t="n">
        <v>8808</v>
      </c>
      <c r="B90" s="131" t="s">
        <v>44</v>
      </c>
      <c r="C90" s="132" t="s">
        <v>296</v>
      </c>
      <c r="D90" s="133" t="s">
        <v>296</v>
      </c>
      <c r="E90" s="134" t="n">
        <f aca="false">IF(I90="regional",IF(R90*0.2975,S90*0.3484),S90*0.1939)</f>
        <v>261640.7352</v>
      </c>
      <c r="F90" s="134" t="n">
        <v>0</v>
      </c>
      <c r="G90" s="135" t="n">
        <f aca="false">E90+F90</f>
        <v>261640.7352</v>
      </c>
      <c r="H90" s="132" t="s">
        <v>49</v>
      </c>
      <c r="I90" s="133" t="s">
        <v>48</v>
      </c>
      <c r="J90" s="133" t="s">
        <v>44</v>
      </c>
      <c r="K90" s="133" t="s">
        <v>295</v>
      </c>
      <c r="L90" s="133"/>
      <c r="M90" s="136" t="n">
        <v>106</v>
      </c>
      <c r="N90" s="136" t="n">
        <v>0.866</v>
      </c>
      <c r="O90" s="136" t="n">
        <v>0.866</v>
      </c>
      <c r="P90" s="136" t="n">
        <v>0.819</v>
      </c>
      <c r="Q90" s="136" t="n">
        <v>0.781</v>
      </c>
      <c r="R90" s="136" t="n">
        <v>701772</v>
      </c>
      <c r="S90" s="136" t="n">
        <v>750978</v>
      </c>
      <c r="T90" s="8" t="n">
        <f aca="false">IF(I90="regional",IF(R90&gt;0,R90*0.2975,S90*0.3484),S90*0.1939)</f>
        <v>208777.17</v>
      </c>
      <c r="U90" s="136" t="n">
        <v>447346</v>
      </c>
      <c r="V90" s="136" t="n">
        <v>303632</v>
      </c>
      <c r="W90" s="136" t="n">
        <v>2758</v>
      </c>
      <c r="X90" s="136" t="n">
        <v>0</v>
      </c>
      <c r="Y90" s="136" t="n">
        <v>0</v>
      </c>
      <c r="Z90" s="136" t="n">
        <v>0</v>
      </c>
      <c r="AA90" s="136" t="n">
        <v>959755.17</v>
      </c>
      <c r="AB90" s="136" t="n">
        <v>208777.17</v>
      </c>
      <c r="AC90" s="136" t="n">
        <v>750978</v>
      </c>
      <c r="AD90" s="136" t="n">
        <v>0</v>
      </c>
      <c r="AE90" s="136" t="n">
        <v>0</v>
      </c>
      <c r="AF90" s="136" t="n">
        <v>750978</v>
      </c>
      <c r="AG90" s="136" t="n">
        <v>0</v>
      </c>
      <c r="AH90" s="136" t="n">
        <v>553000</v>
      </c>
      <c r="AI90" s="136" t="n">
        <v>583000</v>
      </c>
      <c r="AJ90" s="132" t="s">
        <v>707</v>
      </c>
      <c r="AK90" s="132" t="s">
        <v>714</v>
      </c>
      <c r="AL90" s="133" t="s">
        <v>48</v>
      </c>
      <c r="AM90" s="132" t="s">
        <v>49</v>
      </c>
      <c r="AN90" s="133" t="s">
        <v>296</v>
      </c>
      <c r="AO90" s="133" t="n">
        <v>208777.17</v>
      </c>
      <c r="AP90" s="137" t="n">
        <f aca="false">AR90+AT90+AU90+AV90+AX90+AY90+AZ90+BD90+BF90+BG90+BH90+BJ90+BK90+(BL90+BM90+BN90)/1000+(0.1*BO90)</f>
        <v>632.8432</v>
      </c>
      <c r="AQ90" s="137" t="n">
        <f aca="false">AR90+AT90+AU90+AV90+AX90+AY90+AZ90+BB90+BC90+BD90+BF90+BG90+BH90+BJ90+BK90+(BL90+BM90+BN90)/1000+(0.1*BO90)</f>
        <v>673.8432</v>
      </c>
      <c r="AR90" s="131" t="n">
        <v>280</v>
      </c>
      <c r="AS90" s="131" t="n">
        <v>583</v>
      </c>
      <c r="AT90" s="131" t="n">
        <v>288</v>
      </c>
      <c r="AU90" s="131" t="n">
        <v>0</v>
      </c>
      <c r="AV90" s="131" t="n">
        <v>0</v>
      </c>
      <c r="AW90" s="131" t="n">
        <v>0</v>
      </c>
      <c r="AX90" s="131" t="n">
        <v>0</v>
      </c>
      <c r="AY90" s="131" t="n">
        <v>0</v>
      </c>
      <c r="AZ90" s="131" t="n">
        <v>0</v>
      </c>
      <c r="BA90" s="131" t="n">
        <v>0</v>
      </c>
      <c r="BB90" s="131" t="n">
        <v>38</v>
      </c>
      <c r="BC90" s="131" t="n">
        <v>3</v>
      </c>
      <c r="BD90" s="131" t="n">
        <v>1</v>
      </c>
      <c r="BE90" s="131" t="n">
        <v>0</v>
      </c>
      <c r="BF90" s="131" t="n">
        <v>0</v>
      </c>
      <c r="BG90" s="131" t="n">
        <v>0</v>
      </c>
      <c r="BH90" s="131" t="n">
        <v>3</v>
      </c>
      <c r="BI90" s="131" t="n">
        <v>0</v>
      </c>
      <c r="BJ90" s="131" t="n">
        <v>0</v>
      </c>
      <c r="BK90" s="131" t="n">
        <v>0</v>
      </c>
      <c r="BL90" s="131" t="n">
        <v>0</v>
      </c>
      <c r="BM90" s="131" t="n">
        <v>0</v>
      </c>
      <c r="BN90" s="131" t="n">
        <v>0</v>
      </c>
      <c r="BO90" s="131" t="n">
        <v>608.432</v>
      </c>
      <c r="CC90" s="160"/>
      <c r="CD90" s="160"/>
      <c r="CE90" s="160"/>
      <c r="CF90" s="160"/>
      <c r="CG90" s="160"/>
      <c r="CH90" s="160"/>
      <c r="CI90" s="160"/>
      <c r="CJ90" s="160"/>
      <c r="CK90" s="160"/>
      <c r="CL90" s="160"/>
      <c r="CM90" s="160"/>
      <c r="CN90" s="160"/>
      <c r="CO90" s="160"/>
      <c r="CP90" s="160"/>
      <c r="CQ90" s="160"/>
      <c r="CR90" s="160"/>
      <c r="CS90" s="160"/>
      <c r="CT90" s="160"/>
      <c r="CU90" s="160"/>
      <c r="CV90" s="160"/>
      <c r="CW90" s="160"/>
      <c r="CX90" s="160"/>
      <c r="CY90" s="160"/>
      <c r="CZ90" s="160"/>
      <c r="DA90" s="160"/>
      <c r="DB90" s="160"/>
      <c r="DC90" s="160"/>
      <c r="DD90" s="160"/>
      <c r="DE90" s="160"/>
      <c r="DF90" s="160"/>
      <c r="DG90" s="160"/>
      <c r="DH90" s="160"/>
      <c r="DI90" s="160"/>
      <c r="DJ90" s="160"/>
      <c r="DK90" s="160"/>
      <c r="DL90" s="160"/>
      <c r="DM90" s="160"/>
      <c r="DN90" s="160"/>
      <c r="DO90" s="160"/>
      <c r="DP90" s="160"/>
      <c r="DQ90" s="160"/>
      <c r="DR90" s="160"/>
      <c r="DS90" s="160"/>
      <c r="DT90" s="160"/>
      <c r="DU90" s="160"/>
      <c r="DV90" s="160"/>
      <c r="DW90" s="160"/>
      <c r="DX90" s="160"/>
      <c r="DY90" s="160"/>
      <c r="DZ90" s="160"/>
      <c r="EA90" s="160"/>
      <c r="EB90" s="160"/>
      <c r="EC90" s="160"/>
      <c r="ED90" s="160"/>
      <c r="EE90" s="160"/>
      <c r="EF90" s="160"/>
      <c r="EG90" s="160"/>
      <c r="EH90" s="160"/>
      <c r="EI90" s="160"/>
      <c r="EJ90" s="160"/>
      <c r="EK90" s="160"/>
      <c r="EL90" s="160"/>
      <c r="EM90" s="160"/>
      <c r="EN90" s="160"/>
      <c r="EO90" s="160"/>
      <c r="EP90" s="160"/>
      <c r="EQ90" s="160"/>
      <c r="ER90" s="160"/>
      <c r="ES90" s="160"/>
      <c r="ET90" s="160"/>
      <c r="EU90" s="160"/>
      <c r="EV90" s="160"/>
      <c r="EW90" s="160"/>
      <c r="EX90" s="160"/>
      <c r="EY90" s="160"/>
      <c r="EZ90" s="160"/>
      <c r="FA90" s="160"/>
      <c r="FB90" s="160"/>
      <c r="FC90" s="160"/>
      <c r="FD90" s="160"/>
      <c r="FE90" s="160"/>
      <c r="FF90" s="160"/>
      <c r="FG90" s="160"/>
      <c r="FH90" s="160"/>
      <c r="FI90" s="160"/>
      <c r="FJ90" s="160"/>
      <c r="FK90" s="160"/>
      <c r="FL90" s="160"/>
      <c r="FM90" s="160"/>
      <c r="FN90" s="160"/>
      <c r="FO90" s="160"/>
      <c r="FP90" s="160"/>
      <c r="FQ90" s="160"/>
      <c r="FR90" s="160"/>
      <c r="FS90" s="160"/>
      <c r="FT90" s="160"/>
      <c r="FU90" s="160"/>
      <c r="FV90" s="160"/>
      <c r="FW90" s="160"/>
      <c r="FX90" s="160"/>
      <c r="FY90" s="160"/>
      <c r="FZ90" s="160"/>
      <c r="GA90" s="160"/>
      <c r="GB90" s="160"/>
      <c r="GC90" s="160"/>
      <c r="GD90" s="160"/>
      <c r="GE90" s="160"/>
      <c r="GF90" s="160"/>
      <c r="GG90" s="160"/>
      <c r="GH90" s="160"/>
      <c r="GI90" s="160"/>
      <c r="GJ90" s="160"/>
      <c r="GK90" s="160"/>
      <c r="GL90" s="160"/>
      <c r="GM90" s="160"/>
      <c r="GN90" s="160"/>
      <c r="GO90" s="160"/>
      <c r="GP90" s="160"/>
      <c r="GQ90" s="160"/>
      <c r="GR90" s="160"/>
      <c r="GS90" s="160"/>
      <c r="GT90" s="160"/>
      <c r="GU90" s="160"/>
    </row>
    <row r="91" customFormat="false" ht="15" hidden="false" customHeight="true" outlineLevel="0" collapsed="false">
      <c r="A91" s="131" t="n">
        <v>1711</v>
      </c>
      <c r="B91" s="131" t="s">
        <v>44</v>
      </c>
      <c r="C91" s="132" t="s">
        <v>297</v>
      </c>
      <c r="D91" s="133" t="s">
        <v>297</v>
      </c>
      <c r="E91" s="134" t="n">
        <f aca="false">IF(I91="regional",IF(R91*0.2975,S91*0.3484),S91*0.1939)</f>
        <v>392699.06</v>
      </c>
      <c r="F91" s="134" t="n">
        <v>546597</v>
      </c>
      <c r="G91" s="135" t="n">
        <f aca="false">E91+F91</f>
        <v>939296.06</v>
      </c>
      <c r="H91" s="132"/>
      <c r="I91" s="133" t="s">
        <v>48</v>
      </c>
      <c r="J91" s="133" t="s">
        <v>44</v>
      </c>
      <c r="K91" s="133" t="s">
        <v>299</v>
      </c>
      <c r="L91" s="133" t="s">
        <v>44</v>
      </c>
      <c r="M91" s="136" t="n">
        <v>159</v>
      </c>
      <c r="N91" s="136" t="n">
        <v>0.897</v>
      </c>
      <c r="O91" s="136" t="n">
        <v>0.912</v>
      </c>
      <c r="P91" s="136" t="n">
        <v>0.9</v>
      </c>
      <c r="Q91" s="136" t="n">
        <v>0.893</v>
      </c>
      <c r="R91" s="136" t="n">
        <v>1357308</v>
      </c>
      <c r="S91" s="136" t="n">
        <v>1127150</v>
      </c>
      <c r="T91" s="8" t="n">
        <f aca="false">IF(I91="regional",IF(R91&gt;0,R91*0.2975,S91*0.3484),S91*0.1939)</f>
        <v>403799.13</v>
      </c>
      <c r="U91" s="136" t="n">
        <v>751704</v>
      </c>
      <c r="V91" s="136" t="n">
        <v>375446</v>
      </c>
      <c r="W91" s="136" t="n">
        <v>5000</v>
      </c>
      <c r="X91" s="136" t="n">
        <v>950396.13</v>
      </c>
      <c r="Y91" s="136" t="n">
        <v>403799.13</v>
      </c>
      <c r="Z91" s="136" t="n">
        <v>546597</v>
      </c>
      <c r="AA91" s="136" t="n">
        <v>580553</v>
      </c>
      <c r="AB91" s="136" t="n">
        <v>0</v>
      </c>
      <c r="AC91" s="136" t="n">
        <v>580553</v>
      </c>
      <c r="AD91" s="136" t="n">
        <v>546597</v>
      </c>
      <c r="AE91" s="136" t="n">
        <v>0</v>
      </c>
      <c r="AF91" s="136" t="n">
        <v>580553</v>
      </c>
      <c r="AG91" s="136" t="n">
        <v>0</v>
      </c>
      <c r="AH91" s="136" t="n">
        <v>621000</v>
      </c>
      <c r="AI91" s="136" t="n">
        <v>558000</v>
      </c>
      <c r="AJ91" s="132" t="s">
        <v>707</v>
      </c>
      <c r="AK91" s="132" t="s">
        <v>708</v>
      </c>
      <c r="AL91" s="133" t="s">
        <v>48</v>
      </c>
      <c r="AM91" s="132"/>
      <c r="AN91" s="133" t="s">
        <v>297</v>
      </c>
      <c r="AO91" s="133" t="n">
        <v>950396.13</v>
      </c>
      <c r="AP91" s="137" t="n">
        <f aca="false">AR91+AT91+AU91+AV91+AX91+AY91+AZ91+BD91+BF91+BG91+BH91+BJ91+BK91+(BL91+BM91+BN91)/1000+(0.1*BO91)</f>
        <v>519.9007</v>
      </c>
      <c r="AQ91" s="137" t="n">
        <f aca="false">AR91+AT91+AU91+AV91+AX91+AY91+AZ91+BB91+BC91+BD91+BF91+BG91+BH91+BJ91+BK91+(BL91+BM91+BN91)/1000+(0.1*BO91)</f>
        <v>546.9007</v>
      </c>
      <c r="AR91" s="131" t="n">
        <v>223</v>
      </c>
      <c r="AS91" s="131" t="n">
        <v>558</v>
      </c>
      <c r="AT91" s="131" t="n">
        <v>63</v>
      </c>
      <c r="AU91" s="131" t="n">
        <v>0</v>
      </c>
      <c r="AV91" s="131" t="n">
        <v>0</v>
      </c>
      <c r="AW91" s="131" t="n">
        <v>0</v>
      </c>
      <c r="AX91" s="131" t="n">
        <v>0</v>
      </c>
      <c r="AY91" s="131" t="n">
        <v>0</v>
      </c>
      <c r="AZ91" s="131" t="n">
        <v>9</v>
      </c>
      <c r="BA91" s="131" t="n">
        <v>42</v>
      </c>
      <c r="BB91" s="131" t="n">
        <v>27</v>
      </c>
      <c r="BC91" s="131" t="n">
        <v>0</v>
      </c>
      <c r="BD91" s="131" t="n">
        <v>4</v>
      </c>
      <c r="BE91" s="131" t="n">
        <v>0</v>
      </c>
      <c r="BF91" s="131" t="n">
        <v>0</v>
      </c>
      <c r="BG91" s="131" t="n">
        <v>0</v>
      </c>
      <c r="BH91" s="131" t="n">
        <v>62</v>
      </c>
      <c r="BI91" s="131" t="n">
        <v>2</v>
      </c>
      <c r="BJ91" s="131" t="n">
        <v>0</v>
      </c>
      <c r="BK91" s="131" t="n">
        <v>0</v>
      </c>
      <c r="BL91" s="131" t="n">
        <v>10399</v>
      </c>
      <c r="BM91" s="131" t="n">
        <v>0</v>
      </c>
      <c r="BN91" s="131" t="n">
        <v>50502</v>
      </c>
      <c r="BO91" s="131" t="n">
        <v>979.997</v>
      </c>
      <c r="CC91" s="160"/>
      <c r="CD91" s="160"/>
      <c r="CE91" s="160"/>
      <c r="CF91" s="160"/>
      <c r="CG91" s="160"/>
      <c r="CH91" s="160"/>
      <c r="CI91" s="160"/>
      <c r="CJ91" s="160"/>
      <c r="CK91" s="160"/>
      <c r="CL91" s="160"/>
      <c r="CM91" s="160"/>
      <c r="CN91" s="160"/>
      <c r="CO91" s="160"/>
      <c r="CP91" s="160"/>
      <c r="CQ91" s="160"/>
      <c r="CR91" s="160"/>
      <c r="CS91" s="160"/>
      <c r="CT91" s="160"/>
      <c r="CU91" s="160"/>
      <c r="CV91" s="160"/>
      <c r="CW91" s="160"/>
      <c r="CX91" s="160"/>
      <c r="CY91" s="160"/>
      <c r="CZ91" s="160"/>
      <c r="DA91" s="160"/>
      <c r="DB91" s="160"/>
      <c r="DC91" s="160"/>
      <c r="DD91" s="160"/>
      <c r="DE91" s="160"/>
      <c r="DF91" s="160"/>
      <c r="DG91" s="160"/>
      <c r="DH91" s="160"/>
      <c r="DI91" s="160"/>
      <c r="DJ91" s="160"/>
      <c r="DK91" s="160"/>
      <c r="DL91" s="160"/>
      <c r="DM91" s="160"/>
      <c r="DN91" s="160"/>
      <c r="DO91" s="160"/>
      <c r="DP91" s="160"/>
      <c r="DQ91" s="160"/>
      <c r="DR91" s="160"/>
      <c r="DS91" s="160"/>
      <c r="DT91" s="160"/>
      <c r="DU91" s="160"/>
      <c r="DV91" s="160"/>
      <c r="DW91" s="160"/>
      <c r="DX91" s="160"/>
      <c r="DY91" s="160"/>
      <c r="DZ91" s="160"/>
      <c r="EA91" s="160"/>
      <c r="EB91" s="160"/>
      <c r="EC91" s="160"/>
      <c r="ED91" s="160"/>
      <c r="EE91" s="160"/>
      <c r="EF91" s="160"/>
      <c r="EG91" s="160"/>
      <c r="EH91" s="160"/>
      <c r="EI91" s="160"/>
      <c r="EJ91" s="160"/>
      <c r="EK91" s="160"/>
      <c r="EL91" s="160"/>
      <c r="EM91" s="160"/>
      <c r="EN91" s="160"/>
      <c r="EO91" s="160"/>
      <c r="EP91" s="160"/>
      <c r="EQ91" s="160"/>
      <c r="ER91" s="160"/>
      <c r="ES91" s="160"/>
      <c r="ET91" s="160"/>
      <c r="EU91" s="160"/>
      <c r="EV91" s="160"/>
      <c r="EW91" s="160"/>
      <c r="EX91" s="160"/>
      <c r="EY91" s="160"/>
      <c r="EZ91" s="160"/>
      <c r="FA91" s="160"/>
      <c r="FB91" s="160"/>
      <c r="FC91" s="160"/>
      <c r="FD91" s="160"/>
      <c r="FE91" s="160"/>
      <c r="FF91" s="160"/>
      <c r="FG91" s="160"/>
      <c r="FH91" s="160"/>
      <c r="FI91" s="160"/>
      <c r="FJ91" s="160"/>
      <c r="FK91" s="160"/>
      <c r="FL91" s="160"/>
      <c r="FM91" s="160"/>
      <c r="FN91" s="160"/>
      <c r="FO91" s="160"/>
      <c r="FP91" s="160"/>
      <c r="FQ91" s="160"/>
      <c r="FR91" s="160"/>
      <c r="FS91" s="160"/>
      <c r="FT91" s="160"/>
      <c r="FU91" s="160"/>
      <c r="FV91" s="160"/>
      <c r="FW91" s="160"/>
      <c r="FX91" s="160"/>
      <c r="FY91" s="160"/>
      <c r="FZ91" s="160"/>
      <c r="GA91" s="160"/>
      <c r="GB91" s="160"/>
      <c r="GC91" s="160"/>
      <c r="GD91" s="160"/>
      <c r="GE91" s="160"/>
      <c r="GF91" s="160"/>
      <c r="GG91" s="160"/>
      <c r="GH91" s="160"/>
      <c r="GI91" s="160"/>
      <c r="GJ91" s="160"/>
      <c r="GK91" s="160"/>
      <c r="GL91" s="160"/>
      <c r="GM91" s="160"/>
      <c r="GN91" s="160"/>
      <c r="GO91" s="160"/>
      <c r="GP91" s="160"/>
      <c r="GQ91" s="160"/>
      <c r="GR91" s="160"/>
      <c r="GS91" s="160"/>
      <c r="GT91" s="160"/>
      <c r="GU91" s="160"/>
    </row>
    <row r="92" customFormat="false" ht="15" hidden="false" customHeight="true" outlineLevel="0" collapsed="false">
      <c r="A92" s="131" t="n">
        <v>1712</v>
      </c>
      <c r="B92" s="131"/>
      <c r="C92" s="132" t="s">
        <v>300</v>
      </c>
      <c r="D92" s="133" t="s">
        <v>300</v>
      </c>
      <c r="E92" s="134" t="n">
        <f aca="false">IF(I92="regional",IF(R92*0.2975,S92*0.3484),S92*0.1939)</f>
        <v>21623.3402</v>
      </c>
      <c r="F92" s="134" t="n">
        <v>0</v>
      </c>
      <c r="G92" s="135" t="n">
        <f aca="false">E92+F92</f>
        <v>21623.3402</v>
      </c>
      <c r="H92" s="132"/>
      <c r="I92" s="133" t="s">
        <v>62</v>
      </c>
      <c r="J92" s="133"/>
      <c r="K92" s="133" t="s">
        <v>299</v>
      </c>
      <c r="L92" s="133"/>
      <c r="M92" s="136" t="n">
        <v>0</v>
      </c>
      <c r="N92" s="136" t="n">
        <v>1</v>
      </c>
      <c r="O92" s="136" t="n">
        <v>1</v>
      </c>
      <c r="P92" s="136" t="n">
        <v>1</v>
      </c>
      <c r="Q92" s="136" t="n">
        <v>1</v>
      </c>
      <c r="R92" s="136" t="n">
        <v>0</v>
      </c>
      <c r="S92" s="136" t="n">
        <v>111518</v>
      </c>
      <c r="T92" s="8" t="n">
        <f aca="false">IF(I92="regional",IF(R92&gt;0,R92*0.2975,S92*0.3484),S92*0.1939)</f>
        <v>21623.3402</v>
      </c>
      <c r="U92" s="136" t="n">
        <v>111518</v>
      </c>
      <c r="V92" s="136" t="n">
        <v>0</v>
      </c>
      <c r="W92" s="136" t="n">
        <v>600</v>
      </c>
      <c r="X92" s="136" t="n">
        <v>0</v>
      </c>
      <c r="Y92" s="136" t="n">
        <v>0</v>
      </c>
      <c r="Z92" s="136" t="n">
        <v>0</v>
      </c>
      <c r="AA92" s="136" t="n">
        <v>133141.3402</v>
      </c>
      <c r="AB92" s="136" t="n">
        <v>21623.3402</v>
      </c>
      <c r="AC92" s="136" t="n">
        <v>111518</v>
      </c>
      <c r="AD92" s="136" t="n">
        <v>0</v>
      </c>
      <c r="AE92" s="136" t="n">
        <v>0</v>
      </c>
      <c r="AF92" s="136" t="n">
        <v>0</v>
      </c>
      <c r="AG92" s="136" t="n">
        <v>111518</v>
      </c>
      <c r="AH92" s="136" t="n">
        <v>0</v>
      </c>
      <c r="AI92" s="136" t="n">
        <v>0</v>
      </c>
      <c r="AJ92" s="132" t="s">
        <v>707</v>
      </c>
      <c r="AK92" s="132" t="s">
        <v>708</v>
      </c>
      <c r="AL92" s="133" t="s">
        <v>62</v>
      </c>
      <c r="AM92" s="132"/>
      <c r="AN92" s="133" t="s">
        <v>300</v>
      </c>
      <c r="AO92" s="133" t="n">
        <v>21623.3402</v>
      </c>
      <c r="AP92" s="137" t="n">
        <f aca="false">AR92+AT92+AU92+AV92+AX92+AY92+AZ92+BD92+BF92+BG92+BH92+BJ92+BK92+(BL92+BM92+BN92)/1000+(0.1*BO92)</f>
        <v>3.2512</v>
      </c>
      <c r="AQ92" s="137" t="n">
        <f aca="false">AR92+AT92+AU92+AV92+AX92+AY92+AZ92+BB92+BC92+BD92+BF92+BG92+BH92+BJ92+BK92+(BL92+BM92+BN92)/1000+(0.1*BO92)</f>
        <v>3.2512</v>
      </c>
      <c r="AR92" s="131" t="n">
        <v>0</v>
      </c>
      <c r="AS92" s="131" t="n">
        <v>0</v>
      </c>
      <c r="AT92" s="131" t="n">
        <v>2</v>
      </c>
      <c r="AU92" s="131" t="n">
        <v>0</v>
      </c>
      <c r="AV92" s="131" t="n">
        <v>0</v>
      </c>
      <c r="AW92" s="131" t="n">
        <v>0</v>
      </c>
      <c r="AX92" s="131" t="n">
        <v>0</v>
      </c>
      <c r="AY92" s="131" t="n">
        <v>0</v>
      </c>
      <c r="AZ92" s="131" t="n">
        <v>0</v>
      </c>
      <c r="BA92" s="131" t="n">
        <v>0</v>
      </c>
      <c r="BB92" s="131" t="n">
        <v>0</v>
      </c>
      <c r="BC92" s="131" t="n">
        <v>0</v>
      </c>
      <c r="BD92" s="131" t="n">
        <v>0</v>
      </c>
      <c r="BE92" s="131" t="n">
        <v>0</v>
      </c>
      <c r="BF92" s="131" t="n">
        <v>0</v>
      </c>
      <c r="BG92" s="131" t="n">
        <v>0</v>
      </c>
      <c r="BH92" s="131" t="n">
        <v>0</v>
      </c>
      <c r="BI92" s="131" t="n">
        <v>0</v>
      </c>
      <c r="BJ92" s="131" t="n">
        <v>0</v>
      </c>
      <c r="BK92" s="131" t="n">
        <v>0</v>
      </c>
      <c r="BL92" s="131" t="n">
        <v>0</v>
      </c>
      <c r="BM92" s="131" t="n">
        <v>0</v>
      </c>
      <c r="BN92" s="131" t="n">
        <v>0</v>
      </c>
      <c r="BO92" s="131" t="n">
        <v>12.512</v>
      </c>
      <c r="CC92" s="160"/>
      <c r="CD92" s="160"/>
      <c r="CE92" s="160"/>
      <c r="CF92" s="160"/>
      <c r="CG92" s="160"/>
      <c r="CH92" s="160"/>
      <c r="CI92" s="160"/>
      <c r="CJ92" s="160"/>
      <c r="CK92" s="160"/>
      <c r="CL92" s="160"/>
      <c r="CM92" s="160"/>
      <c r="CN92" s="160"/>
      <c r="CO92" s="160"/>
      <c r="CP92" s="160"/>
      <c r="CQ92" s="160"/>
      <c r="CR92" s="160"/>
      <c r="CS92" s="160"/>
      <c r="CT92" s="160"/>
      <c r="CU92" s="160"/>
      <c r="CV92" s="160"/>
      <c r="CW92" s="160"/>
      <c r="CX92" s="160"/>
      <c r="CY92" s="160"/>
      <c r="CZ92" s="160"/>
      <c r="DA92" s="160"/>
      <c r="DB92" s="160"/>
      <c r="DC92" s="160"/>
      <c r="DD92" s="160"/>
      <c r="DE92" s="160"/>
      <c r="DF92" s="160"/>
      <c r="DG92" s="160"/>
      <c r="DH92" s="160"/>
      <c r="DI92" s="160"/>
      <c r="DJ92" s="160"/>
      <c r="DK92" s="160"/>
      <c r="DL92" s="160"/>
      <c r="DM92" s="160"/>
      <c r="DN92" s="160"/>
      <c r="DO92" s="160"/>
      <c r="DP92" s="160"/>
      <c r="DQ92" s="160"/>
      <c r="DR92" s="160"/>
      <c r="DS92" s="160"/>
      <c r="DT92" s="160"/>
      <c r="DU92" s="160"/>
      <c r="DV92" s="160"/>
      <c r="DW92" s="160"/>
      <c r="DX92" s="160"/>
      <c r="DY92" s="160"/>
      <c r="DZ92" s="160"/>
      <c r="EA92" s="160"/>
      <c r="EB92" s="160"/>
      <c r="EC92" s="160"/>
      <c r="ED92" s="160"/>
      <c r="EE92" s="160"/>
      <c r="EF92" s="160"/>
      <c r="EG92" s="160"/>
      <c r="EH92" s="160"/>
      <c r="EI92" s="160"/>
      <c r="EJ92" s="160"/>
      <c r="EK92" s="160"/>
      <c r="EL92" s="160"/>
      <c r="EM92" s="160"/>
      <c r="EN92" s="160"/>
      <c r="EO92" s="160"/>
      <c r="EP92" s="160"/>
      <c r="EQ92" s="160"/>
      <c r="ER92" s="160"/>
      <c r="ES92" s="160"/>
      <c r="ET92" s="160"/>
      <c r="EU92" s="160"/>
      <c r="EV92" s="160"/>
      <c r="EW92" s="160"/>
      <c r="EX92" s="160"/>
      <c r="EY92" s="160"/>
      <c r="EZ92" s="160"/>
      <c r="FA92" s="160"/>
      <c r="FB92" s="160"/>
      <c r="FC92" s="160"/>
      <c r="FD92" s="160"/>
      <c r="FE92" s="160"/>
      <c r="FF92" s="160"/>
      <c r="FG92" s="160"/>
      <c r="FH92" s="160"/>
      <c r="FI92" s="160"/>
      <c r="FJ92" s="160"/>
      <c r="FK92" s="160"/>
      <c r="FL92" s="160"/>
      <c r="FM92" s="160"/>
      <c r="FN92" s="160"/>
      <c r="FO92" s="160"/>
      <c r="FP92" s="160"/>
      <c r="FQ92" s="160"/>
      <c r="FR92" s="160"/>
      <c r="FS92" s="160"/>
      <c r="FT92" s="160"/>
      <c r="FU92" s="160"/>
      <c r="FV92" s="160"/>
      <c r="FW92" s="160"/>
      <c r="FX92" s="160"/>
      <c r="FY92" s="160"/>
      <c r="FZ92" s="160"/>
      <c r="GA92" s="160"/>
      <c r="GB92" s="160"/>
      <c r="GC92" s="160"/>
      <c r="GD92" s="160"/>
      <c r="GE92" s="160"/>
      <c r="GF92" s="160"/>
      <c r="GG92" s="160"/>
      <c r="GH92" s="160"/>
      <c r="GI92" s="160"/>
      <c r="GJ92" s="160"/>
      <c r="GK92" s="160"/>
      <c r="GL92" s="160"/>
      <c r="GM92" s="160"/>
      <c r="GN92" s="160"/>
      <c r="GO92" s="160"/>
      <c r="GP92" s="160"/>
      <c r="GQ92" s="160"/>
      <c r="GR92" s="160"/>
      <c r="GS92" s="160"/>
      <c r="GT92" s="160"/>
      <c r="GU92" s="160"/>
    </row>
    <row r="93" customFormat="false" ht="15" hidden="false" customHeight="true" outlineLevel="0" collapsed="false">
      <c r="A93" s="131" t="n">
        <v>1731</v>
      </c>
      <c r="B93" s="131" t="s">
        <v>44</v>
      </c>
      <c r="C93" s="132" t="s">
        <v>301</v>
      </c>
      <c r="D93" s="133" t="s">
        <v>301</v>
      </c>
      <c r="E93" s="134" t="n">
        <f aca="false">IF(I93="regional",IF(R93*0.2975,S93*0.3484),S93*0.1939)</f>
        <v>385063.874</v>
      </c>
      <c r="F93" s="134" t="n">
        <v>0</v>
      </c>
      <c r="G93" s="135" t="n">
        <f aca="false">E93+F93</f>
        <v>385063.874</v>
      </c>
      <c r="H93" s="132"/>
      <c r="I93" s="133" t="s">
        <v>48</v>
      </c>
      <c r="J93" s="133" t="s">
        <v>44</v>
      </c>
      <c r="K93" s="133" t="s">
        <v>303</v>
      </c>
      <c r="L93" s="133"/>
      <c r="M93" s="136" t="n">
        <v>152</v>
      </c>
      <c r="N93" s="136" t="n">
        <v>0.869</v>
      </c>
      <c r="O93" s="136" t="n">
        <v>0.885</v>
      </c>
      <c r="P93" s="136" t="n">
        <v>0.842</v>
      </c>
      <c r="Q93" s="136" t="n">
        <v>0.939</v>
      </c>
      <c r="R93" s="136" t="n">
        <v>1215199</v>
      </c>
      <c r="S93" s="136" t="n">
        <v>1105235</v>
      </c>
      <c r="T93" s="8" t="n">
        <f aca="false">IF(I93="regional",IF(R93&gt;0,R93*0.2975,S93*0.3484),S93*0.1939)</f>
        <v>361521.7025</v>
      </c>
      <c r="U93" s="136" t="n">
        <v>740284</v>
      </c>
      <c r="V93" s="136" t="n">
        <v>364951</v>
      </c>
      <c r="W93" s="136" t="n">
        <v>4144</v>
      </c>
      <c r="X93" s="136" t="n">
        <v>0</v>
      </c>
      <c r="Y93" s="136" t="n">
        <v>0</v>
      </c>
      <c r="Z93" s="136" t="n">
        <v>0</v>
      </c>
      <c r="AA93" s="136" t="n">
        <v>1466756.703</v>
      </c>
      <c r="AB93" s="136" t="n">
        <v>361521.7025</v>
      </c>
      <c r="AC93" s="136" t="n">
        <v>1105235</v>
      </c>
      <c r="AD93" s="136" t="n">
        <v>0</v>
      </c>
      <c r="AE93" s="136" t="n">
        <v>0</v>
      </c>
      <c r="AF93" s="136" t="n">
        <v>1105235</v>
      </c>
      <c r="AG93" s="136" t="n">
        <v>0</v>
      </c>
      <c r="AH93" s="136" t="n">
        <v>813000</v>
      </c>
      <c r="AI93" s="136" t="n">
        <v>678000</v>
      </c>
      <c r="AJ93" s="132" t="s">
        <v>707</v>
      </c>
      <c r="AK93" s="132" t="s">
        <v>708</v>
      </c>
      <c r="AL93" s="133" t="s">
        <v>48</v>
      </c>
      <c r="AM93" s="132"/>
      <c r="AN93" s="133" t="s">
        <v>301</v>
      </c>
      <c r="AO93" s="133" t="n">
        <v>361521.7025</v>
      </c>
      <c r="AP93" s="137" t="n">
        <f aca="false">AR93+AT93+AU93+AV93+AX93+AY93+AZ93+BD93+BF93+BG93+BH93+BJ93+BK93+(BL93+BM93+BN93)/1000+(0.1*BO93)</f>
        <v>283.5204</v>
      </c>
      <c r="AQ93" s="137" t="n">
        <f aca="false">AR93+AT93+AU93+AV93+AX93+AY93+AZ93+BB93+BC93+BD93+BF93+BG93+BH93+BJ93+BK93+(BL93+BM93+BN93)/1000+(0.1*BO93)</f>
        <v>365.5204</v>
      </c>
      <c r="AR93" s="131" t="n">
        <v>111</v>
      </c>
      <c r="AS93" s="131" t="n">
        <v>678</v>
      </c>
      <c r="AT93" s="131" t="n">
        <v>105</v>
      </c>
      <c r="AU93" s="131" t="n">
        <v>0</v>
      </c>
      <c r="AV93" s="131" t="n">
        <v>0</v>
      </c>
      <c r="AW93" s="131" t="n">
        <v>0</v>
      </c>
      <c r="AX93" s="131" t="n">
        <v>7</v>
      </c>
      <c r="AY93" s="131" t="n">
        <v>0</v>
      </c>
      <c r="AZ93" s="131" t="n">
        <v>0</v>
      </c>
      <c r="BA93" s="131" t="n">
        <v>21</v>
      </c>
      <c r="BB93" s="131" t="n">
        <v>82</v>
      </c>
      <c r="BC93" s="131" t="n">
        <v>0</v>
      </c>
      <c r="BD93" s="131" t="n">
        <v>0</v>
      </c>
      <c r="BE93" s="131" t="n">
        <v>0</v>
      </c>
      <c r="BF93" s="131" t="n">
        <v>0</v>
      </c>
      <c r="BG93" s="131" t="n">
        <v>0</v>
      </c>
      <c r="BH93" s="131" t="n">
        <v>0</v>
      </c>
      <c r="BI93" s="131" t="n">
        <v>4</v>
      </c>
      <c r="BJ93" s="131" t="n">
        <v>0</v>
      </c>
      <c r="BK93" s="131" t="n">
        <v>0</v>
      </c>
      <c r="BL93" s="131" t="n">
        <v>17842</v>
      </c>
      <c r="BM93" s="131" t="n">
        <v>0</v>
      </c>
      <c r="BN93" s="131" t="n">
        <v>2280</v>
      </c>
      <c r="BO93" s="131" t="n">
        <v>403.984</v>
      </c>
      <c r="CC93" s="160"/>
      <c r="CD93" s="160"/>
      <c r="CE93" s="160"/>
      <c r="CF93" s="160"/>
      <c r="CG93" s="160"/>
      <c r="CH93" s="160"/>
      <c r="CI93" s="160"/>
      <c r="CJ93" s="160"/>
      <c r="CK93" s="160"/>
      <c r="CL93" s="160"/>
      <c r="CM93" s="160"/>
      <c r="CN93" s="160"/>
      <c r="CO93" s="160"/>
      <c r="CP93" s="160"/>
      <c r="CQ93" s="160"/>
      <c r="CR93" s="160"/>
      <c r="CS93" s="160"/>
      <c r="CT93" s="160"/>
      <c r="CU93" s="160"/>
      <c r="CV93" s="160"/>
      <c r="CW93" s="160"/>
      <c r="CX93" s="160"/>
      <c r="CY93" s="160"/>
      <c r="CZ93" s="160"/>
      <c r="DA93" s="160"/>
      <c r="DB93" s="160"/>
      <c r="DC93" s="160"/>
      <c r="DD93" s="160"/>
      <c r="DE93" s="160"/>
      <c r="DF93" s="160"/>
      <c r="DG93" s="160"/>
      <c r="DH93" s="160"/>
      <c r="DI93" s="160"/>
      <c r="DJ93" s="160"/>
      <c r="DK93" s="160"/>
      <c r="DL93" s="160"/>
      <c r="DM93" s="160"/>
      <c r="DN93" s="160"/>
      <c r="DO93" s="160"/>
      <c r="DP93" s="160"/>
      <c r="DQ93" s="160"/>
      <c r="DR93" s="160"/>
      <c r="DS93" s="160"/>
      <c r="DT93" s="160"/>
      <c r="DU93" s="160"/>
      <c r="DV93" s="160"/>
      <c r="DW93" s="160"/>
      <c r="DX93" s="160"/>
      <c r="DY93" s="160"/>
      <c r="DZ93" s="160"/>
      <c r="EA93" s="160"/>
      <c r="EB93" s="160"/>
      <c r="EC93" s="160"/>
      <c r="ED93" s="160"/>
      <c r="EE93" s="160"/>
      <c r="EF93" s="160"/>
      <c r="EG93" s="160"/>
      <c r="EH93" s="160"/>
      <c r="EI93" s="160"/>
      <c r="EJ93" s="160"/>
      <c r="EK93" s="160"/>
      <c r="EL93" s="160"/>
      <c r="EM93" s="160"/>
      <c r="EN93" s="160"/>
      <c r="EO93" s="160"/>
      <c r="EP93" s="160"/>
      <c r="EQ93" s="160"/>
      <c r="ER93" s="160"/>
      <c r="ES93" s="160"/>
      <c r="ET93" s="160"/>
      <c r="EU93" s="160"/>
      <c r="EV93" s="160"/>
      <c r="EW93" s="160"/>
      <c r="EX93" s="160"/>
      <c r="EY93" s="160"/>
      <c r="EZ93" s="160"/>
      <c r="FA93" s="160"/>
      <c r="FB93" s="160"/>
      <c r="FC93" s="160"/>
      <c r="FD93" s="160"/>
      <c r="FE93" s="160"/>
      <c r="FF93" s="160"/>
      <c r="FG93" s="160"/>
      <c r="FH93" s="160"/>
      <c r="FI93" s="160"/>
      <c r="FJ93" s="160"/>
      <c r="FK93" s="160"/>
      <c r="FL93" s="160"/>
      <c r="FM93" s="160"/>
      <c r="FN93" s="160"/>
      <c r="FO93" s="160"/>
      <c r="FP93" s="160"/>
      <c r="FQ93" s="160"/>
      <c r="FR93" s="160"/>
      <c r="FS93" s="160"/>
      <c r="FT93" s="160"/>
      <c r="FU93" s="160"/>
      <c r="FV93" s="160"/>
      <c r="FW93" s="160"/>
      <c r="FX93" s="160"/>
      <c r="FY93" s="160"/>
      <c r="FZ93" s="160"/>
      <c r="GA93" s="160"/>
      <c r="GB93" s="160"/>
      <c r="GC93" s="160"/>
      <c r="GD93" s="160"/>
      <c r="GE93" s="160"/>
      <c r="GF93" s="160"/>
      <c r="GG93" s="160"/>
      <c r="GH93" s="160"/>
      <c r="GI93" s="160"/>
      <c r="GJ93" s="160"/>
      <c r="GK93" s="160"/>
      <c r="GL93" s="160"/>
      <c r="GM93" s="160"/>
      <c r="GN93" s="160"/>
      <c r="GO93" s="160"/>
      <c r="GP93" s="160"/>
      <c r="GQ93" s="160"/>
      <c r="GR93" s="160"/>
      <c r="GS93" s="160"/>
      <c r="GT93" s="160"/>
      <c r="GU93" s="160"/>
    </row>
    <row r="94" customFormat="false" ht="15" hidden="false" customHeight="true" outlineLevel="0" collapsed="false">
      <c r="A94" s="131" t="n">
        <v>3811</v>
      </c>
      <c r="B94" s="131" t="s">
        <v>44</v>
      </c>
      <c r="C94" s="132" t="s">
        <v>304</v>
      </c>
      <c r="D94" s="133" t="s">
        <v>304</v>
      </c>
      <c r="E94" s="134" t="n">
        <f aca="false">IF(I94="regional",IF(R94*0.2975,S94*0.3484),S94*0.1939)</f>
        <v>203327.982</v>
      </c>
      <c r="F94" s="134" t="n">
        <v>443648</v>
      </c>
      <c r="G94" s="135" t="n">
        <f aca="false">E94+F94</f>
        <v>646975.982</v>
      </c>
      <c r="H94" s="132"/>
      <c r="I94" s="133" t="s">
        <v>48</v>
      </c>
      <c r="J94" s="133" t="s">
        <v>44</v>
      </c>
      <c r="K94" s="133" t="s">
        <v>306</v>
      </c>
      <c r="L94" s="133" t="s">
        <v>44</v>
      </c>
      <c r="M94" s="136" t="n">
        <v>112</v>
      </c>
      <c r="N94" s="136" t="n">
        <v>0.934</v>
      </c>
      <c r="O94" s="136" t="n">
        <v>0.934</v>
      </c>
      <c r="P94" s="136" t="n">
        <v>0.941</v>
      </c>
      <c r="Q94" s="136" t="n">
        <v>0.905</v>
      </c>
      <c r="R94" s="136" t="n">
        <v>777054</v>
      </c>
      <c r="S94" s="136" t="n">
        <v>583605</v>
      </c>
      <c r="T94" s="8" t="n">
        <f aca="false">IF(I94="regional",IF(R94&gt;0,R94*0.2975,S94*0.3484),S94*0.1939)</f>
        <v>231173.565</v>
      </c>
      <c r="U94" s="136" t="n">
        <v>311865</v>
      </c>
      <c r="V94" s="136" t="n">
        <v>271740</v>
      </c>
      <c r="W94" s="136" t="n">
        <v>2950</v>
      </c>
      <c r="X94" s="136" t="n">
        <v>674821.565</v>
      </c>
      <c r="Y94" s="136" t="n">
        <v>231173.565</v>
      </c>
      <c r="Z94" s="136" t="n">
        <v>443648</v>
      </c>
      <c r="AA94" s="136" t="n">
        <v>139957</v>
      </c>
      <c r="AB94" s="136" t="n">
        <v>0</v>
      </c>
      <c r="AC94" s="136" t="n">
        <v>139957</v>
      </c>
      <c r="AD94" s="136" t="n">
        <v>443648</v>
      </c>
      <c r="AE94" s="136" t="n">
        <v>0</v>
      </c>
      <c r="AF94" s="136" t="n">
        <v>139957</v>
      </c>
      <c r="AG94" s="136" t="n">
        <v>0</v>
      </c>
      <c r="AH94" s="136" t="n">
        <v>1144000</v>
      </c>
      <c r="AI94" s="136" t="n">
        <v>825000</v>
      </c>
      <c r="AJ94" s="132" t="n">
        <v>4</v>
      </c>
      <c r="AK94" s="132" t="s">
        <v>724</v>
      </c>
      <c r="AL94" s="133" t="s">
        <v>48</v>
      </c>
      <c r="AM94" s="132"/>
      <c r="AN94" s="133" t="s">
        <v>304</v>
      </c>
      <c r="AO94" s="133" t="n">
        <v>674821.565</v>
      </c>
      <c r="AP94" s="137" t="n">
        <f aca="false">AR94+AT94+AU94+AV94+AX94+AY94+AZ94+BD94+BF94+BG94+BH94+BJ94+BK94+(BL94+BM94+BN94)/1000+(0.1*BO94)</f>
        <v>715.0627</v>
      </c>
      <c r="AQ94" s="137" t="n">
        <f aca="false">AR94+AT94+AU94+AV94+AX94+AY94+AZ94+BB94+BC94+BD94+BF94+BG94+BH94+BJ94+BK94+(BL94+BM94+BN94)/1000+(0.1*BO94)</f>
        <v>702.0627</v>
      </c>
      <c r="AR94" s="158" t="n">
        <v>454</v>
      </c>
      <c r="AS94" s="158" t="n">
        <v>825</v>
      </c>
      <c r="AT94" s="158" t="n">
        <v>107</v>
      </c>
      <c r="AU94" s="158" t="n">
        <v>10</v>
      </c>
      <c r="AV94" s="131" t="n">
        <v>1</v>
      </c>
      <c r="AW94" s="131" t="n">
        <v>40</v>
      </c>
      <c r="AX94" s="131" t="n">
        <v>0</v>
      </c>
      <c r="AY94" s="131" t="n">
        <v>0</v>
      </c>
      <c r="AZ94" s="131" t="n">
        <v>35</v>
      </c>
      <c r="BA94" s="131" t="n">
        <v>35</v>
      </c>
      <c r="BB94" s="131" t="n">
        <v>-13</v>
      </c>
      <c r="BC94" s="131" t="n">
        <v>0</v>
      </c>
      <c r="BD94" s="131" t="n">
        <v>23</v>
      </c>
      <c r="BE94" s="131" t="n">
        <v>0</v>
      </c>
      <c r="BF94" s="131" t="n">
        <v>0</v>
      </c>
      <c r="BG94" s="131" t="n">
        <v>0</v>
      </c>
      <c r="BH94" s="131" t="n">
        <v>47</v>
      </c>
      <c r="BI94" s="131" t="n">
        <v>0</v>
      </c>
      <c r="BJ94" s="131" t="n">
        <v>0</v>
      </c>
      <c r="BK94" s="131" t="n">
        <v>0</v>
      </c>
      <c r="BL94" s="131" t="n">
        <v>6305</v>
      </c>
      <c r="BM94" s="131" t="n">
        <v>0</v>
      </c>
      <c r="BN94" s="131" t="n">
        <v>0</v>
      </c>
      <c r="BO94" s="131" t="n">
        <v>317.577</v>
      </c>
      <c r="BP94" s="159"/>
      <c r="BQ94" s="159"/>
      <c r="BR94" s="159"/>
      <c r="BS94" s="159"/>
      <c r="BT94" s="159"/>
      <c r="BU94" s="159"/>
      <c r="BV94" s="159"/>
      <c r="BW94" s="159"/>
      <c r="BX94" s="159"/>
      <c r="BY94" s="159"/>
      <c r="BZ94" s="159"/>
      <c r="CA94" s="159"/>
      <c r="CB94" s="159"/>
      <c r="CC94" s="159"/>
      <c r="CD94" s="159"/>
      <c r="CE94" s="159"/>
      <c r="CF94" s="159"/>
      <c r="CG94" s="159"/>
      <c r="CH94" s="159"/>
      <c r="CI94" s="159"/>
      <c r="CJ94" s="159"/>
      <c r="CK94" s="159"/>
      <c r="CL94" s="159"/>
      <c r="CM94" s="159"/>
      <c r="CN94" s="159"/>
      <c r="CO94" s="159"/>
      <c r="CP94" s="159"/>
      <c r="CQ94" s="159"/>
      <c r="CR94" s="159"/>
      <c r="CS94" s="159"/>
      <c r="CT94" s="159"/>
      <c r="CU94" s="159"/>
      <c r="CV94" s="159"/>
      <c r="CW94" s="159"/>
      <c r="CX94" s="159"/>
      <c r="CY94" s="159"/>
      <c r="CZ94" s="159"/>
      <c r="DA94" s="159"/>
      <c r="DB94" s="159"/>
      <c r="DC94" s="159"/>
      <c r="DD94" s="159"/>
      <c r="DE94" s="159"/>
      <c r="DF94" s="159"/>
      <c r="DG94" s="159"/>
      <c r="DH94" s="159"/>
      <c r="DI94" s="159"/>
      <c r="DJ94" s="159"/>
      <c r="DK94" s="159"/>
      <c r="DL94" s="159"/>
      <c r="DM94" s="159"/>
      <c r="DN94" s="159"/>
      <c r="DO94" s="159"/>
      <c r="DP94" s="159"/>
      <c r="DQ94" s="159"/>
      <c r="DR94" s="159"/>
      <c r="DS94" s="159"/>
      <c r="DT94" s="159"/>
      <c r="DU94" s="159"/>
      <c r="DV94" s="159"/>
      <c r="DW94" s="159"/>
      <c r="DX94" s="159"/>
      <c r="DY94" s="159"/>
      <c r="DZ94" s="159"/>
      <c r="EA94" s="159"/>
      <c r="EB94" s="159"/>
      <c r="EC94" s="159"/>
      <c r="ED94" s="159"/>
      <c r="EE94" s="159"/>
      <c r="EF94" s="159"/>
      <c r="EG94" s="159"/>
      <c r="EH94" s="159"/>
      <c r="EI94" s="159"/>
      <c r="EJ94" s="159"/>
      <c r="EK94" s="159"/>
      <c r="EL94" s="159"/>
      <c r="EM94" s="159"/>
      <c r="EN94" s="159"/>
      <c r="EO94" s="159"/>
      <c r="EP94" s="159"/>
      <c r="EQ94" s="159"/>
      <c r="ER94" s="159"/>
      <c r="ES94" s="159"/>
      <c r="ET94" s="159"/>
      <c r="EU94" s="159"/>
      <c r="EV94" s="159"/>
      <c r="EW94" s="159"/>
      <c r="EX94" s="159"/>
      <c r="EY94" s="159"/>
      <c r="EZ94" s="159"/>
      <c r="FA94" s="159"/>
      <c r="FB94" s="159"/>
      <c r="FC94" s="159"/>
      <c r="FD94" s="159"/>
      <c r="FE94" s="159"/>
      <c r="FF94" s="159"/>
      <c r="FG94" s="159"/>
      <c r="FH94" s="159"/>
      <c r="FI94" s="159"/>
      <c r="FJ94" s="159"/>
      <c r="FK94" s="159"/>
      <c r="FL94" s="159"/>
      <c r="FM94" s="159"/>
      <c r="FN94" s="159"/>
      <c r="FO94" s="159"/>
      <c r="FP94" s="159"/>
      <c r="FQ94" s="159"/>
      <c r="FR94" s="159"/>
      <c r="FS94" s="159"/>
      <c r="FT94" s="159"/>
      <c r="FU94" s="159"/>
      <c r="FV94" s="159"/>
      <c r="FW94" s="159"/>
      <c r="FX94" s="159"/>
      <c r="FY94" s="159"/>
      <c r="FZ94" s="159"/>
      <c r="GA94" s="159"/>
      <c r="GB94" s="159"/>
      <c r="GC94" s="159"/>
      <c r="GD94" s="159"/>
      <c r="GE94" s="159"/>
      <c r="GF94" s="159"/>
      <c r="GG94" s="159"/>
      <c r="GH94" s="159"/>
      <c r="GI94" s="159"/>
      <c r="GJ94" s="159"/>
      <c r="GK94" s="159"/>
      <c r="GL94" s="159"/>
      <c r="GM94" s="159"/>
      <c r="GN94" s="159"/>
      <c r="GO94" s="159"/>
      <c r="GP94" s="159"/>
      <c r="GQ94" s="159"/>
      <c r="GR94" s="159"/>
      <c r="GS94" s="159"/>
      <c r="GT94" s="159"/>
      <c r="GU94" s="159"/>
    </row>
    <row r="95" customFormat="false" ht="15" hidden="false" customHeight="true" outlineLevel="0" collapsed="false">
      <c r="A95" s="151" t="n">
        <v>2114</v>
      </c>
      <c r="B95" s="151"/>
      <c r="C95" s="152" t="s">
        <v>308</v>
      </c>
      <c r="D95" s="140" t="s">
        <v>308</v>
      </c>
      <c r="E95" s="134" t="n">
        <f aca="false">IF(I95="regional",IF(R95*0.2975,S95*0.3484),S95*0.1939)</f>
        <v>0</v>
      </c>
      <c r="F95" s="141"/>
      <c r="G95" s="135" t="n">
        <f aca="false">E95+F95</f>
        <v>0</v>
      </c>
      <c r="H95" s="139"/>
      <c r="I95" s="140" t="s">
        <v>48</v>
      </c>
      <c r="J95" s="140"/>
      <c r="K95" s="140"/>
      <c r="L95" s="140"/>
      <c r="M95" s="142"/>
      <c r="N95" s="142"/>
      <c r="O95" s="142"/>
      <c r="P95" s="142"/>
      <c r="Q95" s="142"/>
      <c r="R95" s="142"/>
      <c r="S95" s="142"/>
      <c r="T95" s="8" t="n">
        <f aca="false">IF(I95="regional",IF(R95&gt;0,R95*0.2975,S95*0.3484),S95*0.1939)</f>
        <v>0</v>
      </c>
      <c r="U95" s="142"/>
      <c r="V95" s="142"/>
      <c r="W95" s="142"/>
      <c r="X95" s="142"/>
      <c r="Y95" s="142"/>
      <c r="Z95" s="142"/>
      <c r="AA95" s="142"/>
      <c r="AB95" s="142"/>
      <c r="AC95" s="142"/>
      <c r="AD95" s="142"/>
      <c r="AE95" s="142"/>
      <c r="AF95" s="142"/>
      <c r="AG95" s="142"/>
      <c r="AH95" s="142"/>
      <c r="AI95" s="142"/>
      <c r="AJ95" s="139" t="n">
        <v>4</v>
      </c>
      <c r="AK95" s="139" t="s">
        <v>720</v>
      </c>
      <c r="AL95" s="143" t="s">
        <v>62</v>
      </c>
      <c r="AM95" s="139"/>
      <c r="AN95" s="154" t="s">
        <v>308</v>
      </c>
      <c r="AO95" s="154" t="n">
        <v>0</v>
      </c>
      <c r="AP95" s="155" t="n">
        <v>0</v>
      </c>
      <c r="AQ95" s="137" t="n">
        <f aca="false">AR95+AT95+AU95+AV95+AX95+AY95+AZ95+BB95+BC95+BD95+BF95+BG95+BH95+BJ95+BK95+(BL95+BM95+BN95)/1000+(0.1*BO95)</f>
        <v>5</v>
      </c>
      <c r="AR95" s="156" t="n">
        <v>0</v>
      </c>
      <c r="AS95" s="156" t="n">
        <v>0</v>
      </c>
      <c r="AT95" s="156" t="n">
        <v>3</v>
      </c>
      <c r="AU95" s="156" t="n">
        <v>2</v>
      </c>
      <c r="AV95" s="151"/>
      <c r="AW95" s="151"/>
      <c r="AX95" s="151"/>
      <c r="AY95" s="151"/>
      <c r="AZ95" s="151"/>
      <c r="BA95" s="151"/>
      <c r="BB95" s="151"/>
      <c r="BC95" s="151"/>
      <c r="BD95" s="151"/>
      <c r="BE95" s="151"/>
      <c r="BF95" s="151"/>
      <c r="BG95" s="151"/>
      <c r="BH95" s="151"/>
      <c r="BI95" s="151"/>
      <c r="BJ95" s="151"/>
      <c r="BK95" s="151"/>
      <c r="BL95" s="151"/>
      <c r="BM95" s="151"/>
      <c r="BN95" s="151"/>
      <c r="BO95" s="151"/>
      <c r="CC95" s="160"/>
      <c r="CD95" s="160"/>
      <c r="CE95" s="160"/>
      <c r="CF95" s="160"/>
      <c r="CG95" s="160"/>
      <c r="CH95" s="160"/>
      <c r="CI95" s="160"/>
      <c r="CJ95" s="160"/>
      <c r="CK95" s="160"/>
      <c r="CL95" s="160"/>
      <c r="CM95" s="160"/>
      <c r="CN95" s="160"/>
      <c r="CO95" s="160"/>
      <c r="CP95" s="160"/>
      <c r="CQ95" s="160"/>
      <c r="CR95" s="160"/>
      <c r="CS95" s="160"/>
      <c r="CT95" s="160"/>
      <c r="CU95" s="160"/>
      <c r="CV95" s="160"/>
      <c r="CW95" s="160"/>
      <c r="CX95" s="160"/>
      <c r="CY95" s="160"/>
      <c r="CZ95" s="160"/>
      <c r="DA95" s="160"/>
      <c r="DB95" s="160"/>
      <c r="DC95" s="160"/>
      <c r="DD95" s="160"/>
      <c r="DE95" s="160"/>
      <c r="DF95" s="160"/>
      <c r="DG95" s="160"/>
      <c r="DH95" s="160"/>
      <c r="DI95" s="160"/>
      <c r="DJ95" s="160"/>
      <c r="DK95" s="160"/>
      <c r="DL95" s="160"/>
      <c r="DM95" s="160"/>
      <c r="DN95" s="160"/>
      <c r="DO95" s="160"/>
      <c r="DP95" s="160"/>
      <c r="DQ95" s="160"/>
      <c r="DR95" s="160"/>
      <c r="DS95" s="160"/>
      <c r="DT95" s="160"/>
      <c r="DU95" s="160"/>
      <c r="DV95" s="160"/>
      <c r="DW95" s="160"/>
      <c r="DX95" s="160"/>
      <c r="DY95" s="160"/>
      <c r="DZ95" s="160"/>
      <c r="EA95" s="160"/>
      <c r="EB95" s="160"/>
      <c r="EC95" s="160"/>
      <c r="ED95" s="160"/>
      <c r="EE95" s="160"/>
      <c r="EF95" s="160"/>
      <c r="EG95" s="160"/>
      <c r="EH95" s="160"/>
      <c r="EI95" s="160"/>
      <c r="EJ95" s="160"/>
      <c r="EK95" s="160"/>
      <c r="EL95" s="160"/>
      <c r="EM95" s="160"/>
      <c r="EN95" s="160"/>
      <c r="EO95" s="160"/>
      <c r="EP95" s="160"/>
      <c r="EQ95" s="160"/>
      <c r="ER95" s="160"/>
      <c r="ES95" s="160"/>
      <c r="ET95" s="160"/>
      <c r="EU95" s="160"/>
      <c r="EV95" s="160"/>
      <c r="EW95" s="160"/>
      <c r="EX95" s="160"/>
      <c r="EY95" s="160"/>
      <c r="EZ95" s="160"/>
      <c r="FA95" s="160"/>
      <c r="FB95" s="160"/>
      <c r="FC95" s="160"/>
      <c r="FD95" s="160"/>
      <c r="FE95" s="160"/>
      <c r="FF95" s="160"/>
      <c r="FG95" s="160"/>
      <c r="FH95" s="160"/>
      <c r="FI95" s="160"/>
      <c r="FJ95" s="160"/>
      <c r="FK95" s="160"/>
      <c r="FL95" s="160"/>
      <c r="FM95" s="160"/>
      <c r="FN95" s="160"/>
      <c r="FO95" s="160"/>
      <c r="FP95" s="160"/>
      <c r="FQ95" s="160"/>
      <c r="FR95" s="160"/>
      <c r="FS95" s="160"/>
      <c r="FT95" s="160"/>
      <c r="FU95" s="160"/>
      <c r="FV95" s="160"/>
      <c r="FW95" s="160"/>
      <c r="FX95" s="160"/>
      <c r="FY95" s="160"/>
      <c r="FZ95" s="160"/>
      <c r="GA95" s="160"/>
      <c r="GB95" s="160"/>
      <c r="GC95" s="160"/>
      <c r="GD95" s="160"/>
      <c r="GE95" s="160"/>
      <c r="GF95" s="160"/>
      <c r="GG95" s="160"/>
      <c r="GH95" s="160"/>
      <c r="GI95" s="160"/>
      <c r="GJ95" s="160"/>
      <c r="GK95" s="160"/>
      <c r="GL95" s="160"/>
      <c r="GM95" s="160"/>
      <c r="GN95" s="160"/>
      <c r="GO95" s="160"/>
      <c r="GP95" s="160"/>
      <c r="GQ95" s="160"/>
      <c r="GR95" s="160"/>
      <c r="GS95" s="160"/>
      <c r="GT95" s="160"/>
      <c r="GU95" s="160"/>
    </row>
    <row r="96" customFormat="false" ht="15" hidden="false" customHeight="true" outlineLevel="0" collapsed="false">
      <c r="A96" s="131" t="n">
        <v>906</v>
      </c>
      <c r="B96" s="131" t="s">
        <v>44</v>
      </c>
      <c r="C96" s="132" t="s">
        <v>309</v>
      </c>
      <c r="D96" s="133" t="s">
        <v>309</v>
      </c>
      <c r="E96" s="134" t="n">
        <f aca="false">IF(I96="regional",IF(R96*0.2975,S96*0.3484),S96*0.1939)</f>
        <v>342621.0892</v>
      </c>
      <c r="F96" s="134" t="n">
        <v>549013</v>
      </c>
      <c r="G96" s="135" t="n">
        <f aca="false">E96+F96</f>
        <v>891634.0892</v>
      </c>
      <c r="H96" s="132"/>
      <c r="I96" s="133" t="s">
        <v>48</v>
      </c>
      <c r="J96" s="133" t="s">
        <v>44</v>
      </c>
      <c r="K96" s="133" t="s">
        <v>312</v>
      </c>
      <c r="L96" s="133" t="s">
        <v>44</v>
      </c>
      <c r="M96" s="136" t="n">
        <v>165</v>
      </c>
      <c r="N96" s="136" t="n">
        <v>0.815</v>
      </c>
      <c r="O96" s="136" t="n">
        <v>0.815</v>
      </c>
      <c r="P96" s="136" t="n">
        <v>0.871</v>
      </c>
      <c r="Q96" s="136" t="n">
        <v>0.812</v>
      </c>
      <c r="R96" s="136" t="n">
        <v>1238108</v>
      </c>
      <c r="S96" s="136" t="n">
        <v>983413</v>
      </c>
      <c r="T96" s="8" t="n">
        <f aca="false">IF(I96="regional",IF(R96&gt;0,R96*0.2975,S96*0.3484),S96*0.1939)</f>
        <v>368337.13</v>
      </c>
      <c r="U96" s="136" t="n">
        <v>597028</v>
      </c>
      <c r="V96" s="136" t="n">
        <v>386385</v>
      </c>
      <c r="W96" s="136" t="n">
        <v>4846</v>
      </c>
      <c r="X96" s="136" t="n">
        <v>917350.13</v>
      </c>
      <c r="Y96" s="136" t="n">
        <v>368337.13</v>
      </c>
      <c r="Z96" s="136" t="n">
        <v>549013</v>
      </c>
      <c r="AA96" s="136" t="n">
        <v>434400</v>
      </c>
      <c r="AB96" s="136" t="n">
        <v>0</v>
      </c>
      <c r="AC96" s="136" t="n">
        <v>434400</v>
      </c>
      <c r="AD96" s="136" t="n">
        <v>549013</v>
      </c>
      <c r="AE96" s="136" t="n">
        <v>0</v>
      </c>
      <c r="AF96" s="136" t="n">
        <v>434400</v>
      </c>
      <c r="AG96" s="136" t="n">
        <v>0</v>
      </c>
      <c r="AH96" s="136" t="n">
        <v>581000</v>
      </c>
      <c r="AI96" s="136" t="n">
        <v>561000</v>
      </c>
      <c r="AJ96" s="132" t="s">
        <v>707</v>
      </c>
      <c r="AK96" s="132" t="s">
        <v>712</v>
      </c>
      <c r="AL96" s="133" t="s">
        <v>48</v>
      </c>
      <c r="AM96" s="132"/>
      <c r="AN96" s="133" t="s">
        <v>309</v>
      </c>
      <c r="AO96" s="133" t="n">
        <v>917350.13</v>
      </c>
      <c r="AP96" s="137" t="n">
        <f aca="false">AR96+AT96+AU96+AV96+AX96+AY96+AZ96+BD96+BF96+BG96+BH96+BJ96+BK96+(BL96+BM96+BN96)/1000+(0.1*BO96)</f>
        <v>1036.2949</v>
      </c>
      <c r="AQ96" s="137" t="n">
        <f aca="false">AR96+AT96+AU96+AV96+AX96+AY96+AZ96+BB96+BC96+BD96+BF96+BG96+BH96+BJ96+BK96+(BL96+BM96+BN96)/1000+(0.1*BO96)</f>
        <v>1089.2949</v>
      </c>
      <c r="AR96" s="131" t="n">
        <v>442</v>
      </c>
      <c r="AS96" s="131" t="n">
        <v>561</v>
      </c>
      <c r="AT96" s="131" t="n">
        <v>116</v>
      </c>
      <c r="AU96" s="131" t="n">
        <v>0</v>
      </c>
      <c r="AV96" s="131" t="n">
        <v>0</v>
      </c>
      <c r="AW96" s="131" t="n">
        <v>17</v>
      </c>
      <c r="AX96" s="131" t="n">
        <v>0</v>
      </c>
      <c r="AY96" s="131" t="n">
        <v>0</v>
      </c>
      <c r="AZ96" s="131" t="n">
        <v>17</v>
      </c>
      <c r="BA96" s="131" t="n">
        <v>59</v>
      </c>
      <c r="BB96" s="131" t="n">
        <v>53</v>
      </c>
      <c r="BC96" s="131" t="n">
        <v>0</v>
      </c>
      <c r="BD96" s="131" t="n">
        <v>30</v>
      </c>
      <c r="BE96" s="131" t="n">
        <v>0</v>
      </c>
      <c r="BF96" s="131" t="n">
        <v>0</v>
      </c>
      <c r="BG96" s="131" t="n">
        <v>0</v>
      </c>
      <c r="BH96" s="131" t="n">
        <v>64</v>
      </c>
      <c r="BI96" s="131" t="n">
        <v>0</v>
      </c>
      <c r="BJ96" s="131" t="n">
        <v>0</v>
      </c>
      <c r="BK96" s="131" t="n">
        <v>0</v>
      </c>
      <c r="BL96" s="131" t="n">
        <v>0</v>
      </c>
      <c r="BM96" s="131" t="n">
        <v>0</v>
      </c>
      <c r="BN96" s="131" t="n">
        <v>293400</v>
      </c>
      <c r="BO96" s="131" t="n">
        <v>738.949</v>
      </c>
      <c r="CC96" s="160"/>
      <c r="CD96" s="160"/>
      <c r="CE96" s="160"/>
      <c r="CF96" s="160"/>
      <c r="CG96" s="160"/>
      <c r="CH96" s="160"/>
      <c r="CI96" s="160"/>
      <c r="CJ96" s="160"/>
      <c r="CK96" s="160"/>
      <c r="CL96" s="160"/>
      <c r="CM96" s="160"/>
      <c r="CN96" s="160"/>
      <c r="CO96" s="160"/>
      <c r="CP96" s="160"/>
      <c r="CQ96" s="160"/>
      <c r="CR96" s="160"/>
      <c r="CS96" s="160"/>
      <c r="CT96" s="160"/>
      <c r="CU96" s="160"/>
      <c r="CV96" s="160"/>
      <c r="CW96" s="160"/>
      <c r="CX96" s="160"/>
      <c r="CY96" s="160"/>
      <c r="CZ96" s="160"/>
      <c r="DA96" s="160"/>
      <c r="DB96" s="160"/>
      <c r="DC96" s="160"/>
      <c r="DD96" s="160"/>
      <c r="DE96" s="160"/>
      <c r="DF96" s="160"/>
      <c r="DG96" s="160"/>
      <c r="DH96" s="160"/>
      <c r="DI96" s="160"/>
      <c r="DJ96" s="160"/>
      <c r="DK96" s="160"/>
      <c r="DL96" s="160"/>
      <c r="DM96" s="160"/>
      <c r="DN96" s="160"/>
      <c r="DO96" s="160"/>
      <c r="DP96" s="160"/>
      <c r="DQ96" s="160"/>
      <c r="DR96" s="160"/>
      <c r="DS96" s="160"/>
      <c r="DT96" s="160"/>
      <c r="DU96" s="160"/>
      <c r="DV96" s="160"/>
      <c r="DW96" s="160"/>
      <c r="DX96" s="160"/>
      <c r="DY96" s="160"/>
      <c r="DZ96" s="160"/>
      <c r="EA96" s="160"/>
      <c r="EB96" s="160"/>
      <c r="EC96" s="160"/>
      <c r="ED96" s="160"/>
      <c r="EE96" s="160"/>
      <c r="EF96" s="160"/>
      <c r="EG96" s="160"/>
      <c r="EH96" s="160"/>
      <c r="EI96" s="160"/>
      <c r="EJ96" s="160"/>
      <c r="EK96" s="160"/>
      <c r="EL96" s="160"/>
      <c r="EM96" s="160"/>
      <c r="EN96" s="160"/>
      <c r="EO96" s="160"/>
      <c r="EP96" s="160"/>
      <c r="EQ96" s="160"/>
      <c r="ER96" s="160"/>
      <c r="ES96" s="160"/>
      <c r="ET96" s="160"/>
      <c r="EU96" s="160"/>
      <c r="EV96" s="160"/>
      <c r="EW96" s="160"/>
      <c r="EX96" s="160"/>
      <c r="EY96" s="160"/>
      <c r="EZ96" s="160"/>
      <c r="FA96" s="160"/>
      <c r="FB96" s="160"/>
      <c r="FC96" s="160"/>
      <c r="FD96" s="160"/>
      <c r="FE96" s="160"/>
      <c r="FF96" s="160"/>
      <c r="FG96" s="160"/>
      <c r="FH96" s="160"/>
      <c r="FI96" s="160"/>
      <c r="FJ96" s="160"/>
      <c r="FK96" s="160"/>
      <c r="FL96" s="160"/>
      <c r="FM96" s="160"/>
      <c r="FN96" s="160"/>
      <c r="FO96" s="160"/>
      <c r="FP96" s="160"/>
      <c r="FQ96" s="160"/>
      <c r="FR96" s="160"/>
      <c r="FS96" s="160"/>
      <c r="FT96" s="160"/>
      <c r="FU96" s="160"/>
      <c r="FV96" s="160"/>
      <c r="FW96" s="160"/>
      <c r="FX96" s="160"/>
      <c r="FY96" s="160"/>
      <c r="FZ96" s="160"/>
      <c r="GA96" s="160"/>
      <c r="GB96" s="160"/>
      <c r="GC96" s="160"/>
      <c r="GD96" s="160"/>
      <c r="GE96" s="160"/>
      <c r="GF96" s="160"/>
      <c r="GG96" s="160"/>
      <c r="GH96" s="160"/>
      <c r="GI96" s="160"/>
      <c r="GJ96" s="160"/>
      <c r="GK96" s="160"/>
      <c r="GL96" s="160"/>
      <c r="GM96" s="160"/>
      <c r="GN96" s="160"/>
      <c r="GO96" s="160"/>
      <c r="GP96" s="160"/>
      <c r="GQ96" s="160"/>
      <c r="GR96" s="160"/>
      <c r="GS96" s="160"/>
      <c r="GT96" s="160"/>
      <c r="GU96" s="160"/>
    </row>
    <row r="97" customFormat="false" ht="15" hidden="false" customHeight="true" outlineLevel="0" collapsed="false">
      <c r="A97" s="131" t="n">
        <v>907</v>
      </c>
      <c r="B97" s="131"/>
      <c r="C97" s="132" t="s">
        <v>313</v>
      </c>
      <c r="D97" s="133" t="s">
        <v>313</v>
      </c>
      <c r="E97" s="134" t="n">
        <f aca="false">IF(I97="regional",IF(R97*0.2975,S97*0.3484),S97*0.1939)</f>
        <v>34962.109</v>
      </c>
      <c r="F97" s="134" t="n">
        <v>0</v>
      </c>
      <c r="G97" s="135" t="n">
        <f aca="false">E97+F97</f>
        <v>34962.109</v>
      </c>
      <c r="H97" s="132"/>
      <c r="I97" s="133" t="s">
        <v>62</v>
      </c>
      <c r="J97" s="133"/>
      <c r="K97" s="133" t="s">
        <v>312</v>
      </c>
      <c r="L97" s="133"/>
      <c r="M97" s="136" t="n">
        <v>0</v>
      </c>
      <c r="N97" s="136" t="n">
        <v>1</v>
      </c>
      <c r="O97" s="136" t="n">
        <v>1</v>
      </c>
      <c r="P97" s="136" t="n">
        <v>0.604</v>
      </c>
      <c r="Q97" s="136" t="n">
        <v>1</v>
      </c>
      <c r="R97" s="136" t="n">
        <v>0</v>
      </c>
      <c r="S97" s="136" t="n">
        <v>180310</v>
      </c>
      <c r="T97" s="8" t="n">
        <f aca="false">IF(I97="regional",IF(R97&gt;0,R97*0.2975,S97*0.3484),S97*0.1939)</f>
        <v>34962.109</v>
      </c>
      <c r="U97" s="136" t="n">
        <v>180355</v>
      </c>
      <c r="V97" s="136" t="n">
        <v>-45</v>
      </c>
      <c r="W97" s="136" t="n">
        <v>700</v>
      </c>
      <c r="X97" s="136" t="n">
        <v>0</v>
      </c>
      <c r="Y97" s="136" t="n">
        <v>0</v>
      </c>
      <c r="Z97" s="136" t="n">
        <v>0</v>
      </c>
      <c r="AA97" s="136" t="n">
        <v>215272.109</v>
      </c>
      <c r="AB97" s="136" t="n">
        <v>34962.109</v>
      </c>
      <c r="AC97" s="136" t="n">
        <v>180310</v>
      </c>
      <c r="AD97" s="136" t="n">
        <v>0</v>
      </c>
      <c r="AE97" s="136" t="n">
        <v>0</v>
      </c>
      <c r="AF97" s="136" t="n">
        <v>0</v>
      </c>
      <c r="AG97" s="136" t="n">
        <v>180310</v>
      </c>
      <c r="AH97" s="136" t="n">
        <v>0</v>
      </c>
      <c r="AI97" s="136" t="n">
        <v>0</v>
      </c>
      <c r="AJ97" s="132" t="s">
        <v>707</v>
      </c>
      <c r="AK97" s="132" t="s">
        <v>712</v>
      </c>
      <c r="AL97" s="133" t="s">
        <v>62</v>
      </c>
      <c r="AM97" s="132"/>
      <c r="AN97" s="133" t="s">
        <v>313</v>
      </c>
      <c r="AO97" s="133" t="n">
        <v>34962.109</v>
      </c>
      <c r="AP97" s="137" t="n">
        <f aca="false">AR97+AT97+AU97+AV97+AX97+AY97+AZ97+BD97+BF97+BG97+BH97+BJ97+BK97+(BL97+BM97+BN97)/1000+(0.1*BO97)</f>
        <v>13.54</v>
      </c>
      <c r="AQ97" s="137" t="n">
        <f aca="false">AR97+AT97+AU97+AV97+AX97+AY97+AZ97+BB97+BC97+BD97+BF97+BG97+BH97+BJ97+BK97+(BL97+BM97+BN97)/1000+(0.1*BO97)</f>
        <v>14.54</v>
      </c>
      <c r="AR97" s="131" t="n">
        <v>0</v>
      </c>
      <c r="AS97" s="131" t="n">
        <v>0</v>
      </c>
      <c r="AT97" s="131" t="n">
        <v>3</v>
      </c>
      <c r="AU97" s="131" t="n">
        <v>10</v>
      </c>
      <c r="AV97" s="131" t="n">
        <v>0</v>
      </c>
      <c r="AW97" s="131" t="n">
        <v>0</v>
      </c>
      <c r="AX97" s="131" t="n">
        <v>0</v>
      </c>
      <c r="AY97" s="131" t="n">
        <v>0</v>
      </c>
      <c r="AZ97" s="131" t="n">
        <v>0</v>
      </c>
      <c r="BA97" s="131" t="n">
        <v>0</v>
      </c>
      <c r="BB97" s="131" t="n">
        <v>0</v>
      </c>
      <c r="BC97" s="131" t="n">
        <v>1</v>
      </c>
      <c r="BD97" s="131" t="n">
        <v>0</v>
      </c>
      <c r="BE97" s="131" t="n">
        <v>0</v>
      </c>
      <c r="BF97" s="131" t="n">
        <v>0</v>
      </c>
      <c r="BG97" s="131" t="n">
        <v>0</v>
      </c>
      <c r="BH97" s="131" t="n">
        <v>0</v>
      </c>
      <c r="BI97" s="131" t="n">
        <v>0</v>
      </c>
      <c r="BJ97" s="131" t="n">
        <v>0</v>
      </c>
      <c r="BK97" s="131" t="n">
        <v>0</v>
      </c>
      <c r="BL97" s="131" t="n">
        <v>0</v>
      </c>
      <c r="BM97" s="131" t="n">
        <v>0</v>
      </c>
      <c r="BN97" s="131" t="n">
        <v>0</v>
      </c>
      <c r="BO97" s="131" t="n">
        <v>5.4</v>
      </c>
      <c r="CC97" s="160"/>
      <c r="CD97" s="160"/>
      <c r="CE97" s="160"/>
      <c r="CF97" s="160"/>
      <c r="CG97" s="160"/>
      <c r="CH97" s="160"/>
      <c r="CI97" s="160"/>
      <c r="CJ97" s="160"/>
      <c r="CK97" s="160"/>
      <c r="CL97" s="160"/>
      <c r="CM97" s="160"/>
      <c r="CN97" s="160"/>
      <c r="CO97" s="160"/>
      <c r="CP97" s="160"/>
      <c r="CQ97" s="160"/>
      <c r="CR97" s="160"/>
      <c r="CS97" s="160"/>
      <c r="CT97" s="160"/>
      <c r="CU97" s="160"/>
      <c r="CV97" s="160"/>
      <c r="CW97" s="160"/>
      <c r="CX97" s="160"/>
      <c r="CY97" s="160"/>
      <c r="CZ97" s="160"/>
      <c r="DA97" s="160"/>
      <c r="DB97" s="160"/>
      <c r="DC97" s="160"/>
      <c r="DD97" s="160"/>
      <c r="DE97" s="160"/>
      <c r="DF97" s="160"/>
      <c r="DG97" s="160"/>
      <c r="DH97" s="160"/>
      <c r="DI97" s="160"/>
      <c r="DJ97" s="160"/>
      <c r="DK97" s="160"/>
      <c r="DL97" s="160"/>
      <c r="DM97" s="160"/>
      <c r="DN97" s="160"/>
      <c r="DO97" s="160"/>
      <c r="DP97" s="160"/>
      <c r="DQ97" s="160"/>
      <c r="DR97" s="160"/>
      <c r="DS97" s="160"/>
      <c r="DT97" s="160"/>
      <c r="DU97" s="160"/>
      <c r="DV97" s="160"/>
      <c r="DW97" s="160"/>
      <c r="DX97" s="160"/>
      <c r="DY97" s="160"/>
      <c r="DZ97" s="160"/>
      <c r="EA97" s="160"/>
      <c r="EB97" s="160"/>
      <c r="EC97" s="160"/>
      <c r="ED97" s="160"/>
      <c r="EE97" s="160"/>
      <c r="EF97" s="160"/>
      <c r="EG97" s="160"/>
      <c r="EH97" s="160"/>
      <c r="EI97" s="160"/>
      <c r="EJ97" s="160"/>
      <c r="EK97" s="160"/>
      <c r="EL97" s="160"/>
      <c r="EM97" s="160"/>
      <c r="EN97" s="160"/>
      <c r="EO97" s="160"/>
      <c r="EP97" s="160"/>
      <c r="EQ97" s="160"/>
      <c r="ER97" s="160"/>
      <c r="ES97" s="160"/>
      <c r="ET97" s="160"/>
      <c r="EU97" s="160"/>
      <c r="EV97" s="160"/>
      <c r="EW97" s="160"/>
      <c r="EX97" s="160"/>
      <c r="EY97" s="160"/>
      <c r="EZ97" s="160"/>
      <c r="FA97" s="160"/>
      <c r="FB97" s="160"/>
      <c r="FC97" s="160"/>
      <c r="FD97" s="160"/>
      <c r="FE97" s="160"/>
      <c r="FF97" s="160"/>
      <c r="FG97" s="160"/>
      <c r="FH97" s="160"/>
      <c r="FI97" s="160"/>
      <c r="FJ97" s="160"/>
      <c r="FK97" s="160"/>
      <c r="FL97" s="160"/>
      <c r="FM97" s="160"/>
      <c r="FN97" s="160"/>
      <c r="FO97" s="160"/>
      <c r="FP97" s="160"/>
      <c r="FQ97" s="160"/>
      <c r="FR97" s="160"/>
      <c r="FS97" s="160"/>
      <c r="FT97" s="160"/>
      <c r="FU97" s="160"/>
      <c r="FV97" s="160"/>
      <c r="FW97" s="160"/>
      <c r="FX97" s="160"/>
      <c r="FY97" s="160"/>
      <c r="FZ97" s="160"/>
      <c r="GA97" s="160"/>
      <c r="GB97" s="160"/>
      <c r="GC97" s="160"/>
      <c r="GD97" s="160"/>
      <c r="GE97" s="160"/>
      <c r="GF97" s="160"/>
      <c r="GG97" s="160"/>
      <c r="GH97" s="160"/>
      <c r="GI97" s="160"/>
      <c r="GJ97" s="160"/>
      <c r="GK97" s="160"/>
      <c r="GL97" s="160"/>
      <c r="GM97" s="160"/>
      <c r="GN97" s="160"/>
      <c r="GO97" s="160"/>
      <c r="GP97" s="160"/>
      <c r="GQ97" s="160"/>
      <c r="GR97" s="160"/>
      <c r="GS97" s="160"/>
      <c r="GT97" s="160"/>
      <c r="GU97" s="160"/>
    </row>
    <row r="98" customFormat="false" ht="15" hidden="false" customHeight="true" outlineLevel="0" collapsed="false">
      <c r="A98" s="131" t="n">
        <v>2546</v>
      </c>
      <c r="B98" s="131" t="s">
        <v>44</v>
      </c>
      <c r="C98" s="132" t="s">
        <v>314</v>
      </c>
      <c r="D98" s="133" t="s">
        <v>314</v>
      </c>
      <c r="E98" s="134" t="n">
        <f aca="false">IF(I98="regional",IF(R98*0.2975,S98*0.3484),S98*0.1939)</f>
        <v>334150.44</v>
      </c>
      <c r="F98" s="134" t="n">
        <v>0</v>
      </c>
      <c r="G98" s="135" t="n">
        <f aca="false">E98+F98</f>
        <v>334150.44</v>
      </c>
      <c r="H98" s="132"/>
      <c r="I98" s="133" t="s">
        <v>48</v>
      </c>
      <c r="J98" s="133" t="s">
        <v>44</v>
      </c>
      <c r="K98" s="133" t="s">
        <v>316</v>
      </c>
      <c r="L98" s="133"/>
      <c r="M98" s="136" t="n">
        <v>114</v>
      </c>
      <c r="N98" s="136" t="n">
        <v>0.939</v>
      </c>
      <c r="O98" s="136" t="n">
        <v>0.992</v>
      </c>
      <c r="P98" s="136" t="n">
        <v>0.989</v>
      </c>
      <c r="Q98" s="136" t="n">
        <v>0.977</v>
      </c>
      <c r="R98" s="136" t="n">
        <v>1049405</v>
      </c>
      <c r="S98" s="136" t="n">
        <v>959100</v>
      </c>
      <c r="T98" s="8" t="n">
        <f aca="false">IF(I98="regional",IF(R98&gt;0,R98*0.2975,S98*0.3484),S98*0.1939)</f>
        <v>312197.9875</v>
      </c>
      <c r="U98" s="136" t="n">
        <v>639742</v>
      </c>
      <c r="V98" s="136" t="n">
        <v>319358</v>
      </c>
      <c r="W98" s="136" t="n">
        <v>4100</v>
      </c>
      <c r="X98" s="136" t="n">
        <v>0</v>
      </c>
      <c r="Y98" s="136" t="n">
        <v>0</v>
      </c>
      <c r="Z98" s="136" t="n">
        <v>0</v>
      </c>
      <c r="AA98" s="136" t="n">
        <v>1271297.988</v>
      </c>
      <c r="AB98" s="136" t="n">
        <v>312197.9875</v>
      </c>
      <c r="AC98" s="136" t="n">
        <v>959100</v>
      </c>
      <c r="AD98" s="136" t="n">
        <v>0</v>
      </c>
      <c r="AE98" s="136" t="n">
        <v>0</v>
      </c>
      <c r="AF98" s="136" t="n">
        <v>959100</v>
      </c>
      <c r="AG98" s="136" t="n">
        <v>0</v>
      </c>
      <c r="AH98" s="136" t="n">
        <v>1390000</v>
      </c>
      <c r="AI98" s="136" t="n">
        <v>1300000</v>
      </c>
      <c r="AJ98" s="132" t="s">
        <v>707</v>
      </c>
      <c r="AK98" s="132" t="s">
        <v>708</v>
      </c>
      <c r="AL98" s="133" t="s">
        <v>48</v>
      </c>
      <c r="AM98" s="132"/>
      <c r="AN98" s="133" t="s">
        <v>314</v>
      </c>
      <c r="AO98" s="133" t="n">
        <v>312197.9875</v>
      </c>
      <c r="AP98" s="137" t="n">
        <f aca="false">AR98+AT98+AU98+AV98+AX98+AY98+AZ98+BD98+BF98+BG98+BH98+BJ98+BK98+(BL98+BM98+BN98)/1000+(0.1*BO98)</f>
        <v>403.2821</v>
      </c>
      <c r="AQ98" s="137" t="n">
        <f aca="false">AR98+AT98+AU98+AV98+AX98+AY98+AZ98+BB98+BC98+BD98+BF98+BG98+BH98+BJ98+BK98+(BL98+BM98+BN98)/1000+(0.1*BO98)</f>
        <v>427.2821</v>
      </c>
      <c r="AR98" s="131" t="n">
        <v>99</v>
      </c>
      <c r="AS98" s="170" t="n">
        <v>1300</v>
      </c>
      <c r="AT98" s="131" t="n">
        <v>106</v>
      </c>
      <c r="AU98" s="131" t="n">
        <v>18</v>
      </c>
      <c r="AV98" s="131" t="n">
        <v>0</v>
      </c>
      <c r="AW98" s="131" t="n">
        <v>0</v>
      </c>
      <c r="AX98" s="131" t="n">
        <v>0</v>
      </c>
      <c r="AY98" s="131" t="n">
        <v>0</v>
      </c>
      <c r="AZ98" s="131" t="n">
        <v>0</v>
      </c>
      <c r="BA98" s="131" t="n">
        <v>19</v>
      </c>
      <c r="BB98" s="131" t="n">
        <v>24</v>
      </c>
      <c r="BC98" s="131" t="n">
        <v>0</v>
      </c>
      <c r="BD98" s="131" t="n">
        <v>0</v>
      </c>
      <c r="BE98" s="131" t="n">
        <v>0</v>
      </c>
      <c r="BF98" s="131" t="n">
        <v>0</v>
      </c>
      <c r="BG98" s="131" t="n">
        <v>0</v>
      </c>
      <c r="BH98" s="131" t="n">
        <v>0</v>
      </c>
      <c r="BI98" s="131" t="n">
        <v>0</v>
      </c>
      <c r="BJ98" s="131" t="n">
        <v>0</v>
      </c>
      <c r="BK98" s="131" t="n">
        <v>0</v>
      </c>
      <c r="BL98" s="131" t="n">
        <v>0</v>
      </c>
      <c r="BM98" s="131" t="n">
        <v>0</v>
      </c>
      <c r="BN98" s="131" t="n">
        <v>100633</v>
      </c>
      <c r="BO98" s="131" t="n">
        <v>796.491</v>
      </c>
      <c r="CC98" s="160"/>
      <c r="CD98" s="160"/>
      <c r="CE98" s="160"/>
      <c r="CF98" s="160"/>
      <c r="CG98" s="160"/>
      <c r="CH98" s="160"/>
      <c r="CI98" s="160"/>
      <c r="CJ98" s="160"/>
      <c r="CK98" s="160"/>
      <c r="CL98" s="160"/>
      <c r="CM98" s="160"/>
      <c r="CN98" s="160"/>
      <c r="CO98" s="160"/>
      <c r="CP98" s="160"/>
      <c r="CQ98" s="160"/>
      <c r="CR98" s="160"/>
      <c r="CS98" s="160"/>
      <c r="CT98" s="160"/>
      <c r="CU98" s="160"/>
      <c r="CV98" s="160"/>
      <c r="CW98" s="160"/>
      <c r="CX98" s="160"/>
      <c r="CY98" s="160"/>
      <c r="CZ98" s="160"/>
      <c r="DA98" s="160"/>
      <c r="DB98" s="160"/>
      <c r="DC98" s="160"/>
      <c r="DD98" s="160"/>
      <c r="DE98" s="160"/>
      <c r="DF98" s="160"/>
      <c r="DG98" s="160"/>
      <c r="DH98" s="160"/>
      <c r="DI98" s="160"/>
      <c r="DJ98" s="160"/>
      <c r="DK98" s="160"/>
      <c r="DL98" s="160"/>
      <c r="DM98" s="160"/>
      <c r="DN98" s="160"/>
      <c r="DO98" s="160"/>
      <c r="DP98" s="160"/>
      <c r="DQ98" s="160"/>
      <c r="DR98" s="160"/>
      <c r="DS98" s="160"/>
      <c r="DT98" s="160"/>
      <c r="DU98" s="160"/>
      <c r="DV98" s="160"/>
      <c r="DW98" s="160"/>
      <c r="DX98" s="160"/>
      <c r="DY98" s="160"/>
      <c r="DZ98" s="160"/>
      <c r="EA98" s="160"/>
      <c r="EB98" s="160"/>
      <c r="EC98" s="160"/>
      <c r="ED98" s="160"/>
      <c r="EE98" s="160"/>
      <c r="EF98" s="160"/>
      <c r="EG98" s="160"/>
      <c r="EH98" s="160"/>
      <c r="EI98" s="160"/>
      <c r="EJ98" s="160"/>
      <c r="EK98" s="160"/>
      <c r="EL98" s="160"/>
      <c r="EM98" s="160"/>
      <c r="EN98" s="160"/>
      <c r="EO98" s="160"/>
      <c r="EP98" s="160"/>
      <c r="EQ98" s="160"/>
      <c r="ER98" s="160"/>
      <c r="ES98" s="160"/>
      <c r="ET98" s="160"/>
      <c r="EU98" s="160"/>
      <c r="EV98" s="160"/>
      <c r="EW98" s="160"/>
      <c r="EX98" s="160"/>
      <c r="EY98" s="160"/>
      <c r="EZ98" s="160"/>
      <c r="FA98" s="160"/>
      <c r="FB98" s="160"/>
      <c r="FC98" s="160"/>
      <c r="FD98" s="160"/>
      <c r="FE98" s="160"/>
      <c r="FF98" s="160"/>
      <c r="FG98" s="160"/>
      <c r="FH98" s="160"/>
      <c r="FI98" s="160"/>
      <c r="FJ98" s="160"/>
      <c r="FK98" s="160"/>
      <c r="FL98" s="160"/>
      <c r="FM98" s="160"/>
      <c r="FN98" s="160"/>
      <c r="FO98" s="160"/>
      <c r="FP98" s="160"/>
      <c r="FQ98" s="160"/>
      <c r="FR98" s="160"/>
      <c r="FS98" s="160"/>
      <c r="FT98" s="160"/>
      <c r="FU98" s="160"/>
      <c r="FV98" s="160"/>
      <c r="FW98" s="160"/>
      <c r="FX98" s="160"/>
      <c r="FY98" s="160"/>
      <c r="FZ98" s="160"/>
      <c r="GA98" s="160"/>
      <c r="GB98" s="160"/>
      <c r="GC98" s="160"/>
      <c r="GD98" s="160"/>
      <c r="GE98" s="160"/>
      <c r="GF98" s="160"/>
      <c r="GG98" s="160"/>
      <c r="GH98" s="160"/>
      <c r="GI98" s="160"/>
      <c r="GJ98" s="160"/>
      <c r="GK98" s="160"/>
      <c r="GL98" s="160"/>
      <c r="GM98" s="160"/>
      <c r="GN98" s="160"/>
      <c r="GO98" s="160"/>
      <c r="GP98" s="160"/>
      <c r="GQ98" s="160"/>
      <c r="GR98" s="160"/>
      <c r="GS98" s="160"/>
      <c r="GT98" s="160"/>
      <c r="GU98" s="160"/>
    </row>
    <row r="99" customFormat="false" ht="15" hidden="false" customHeight="true" outlineLevel="0" collapsed="false">
      <c r="A99" s="131" t="n">
        <v>9060</v>
      </c>
      <c r="B99" s="131" t="s">
        <v>44</v>
      </c>
      <c r="C99" s="132" t="s">
        <v>317</v>
      </c>
      <c r="D99" s="133" t="s">
        <v>317</v>
      </c>
      <c r="E99" s="134" t="n">
        <f aca="false">IF(I99="regional",IF(R99*0.2975,S99*0.3484),S99*0.1939)</f>
        <v>415748.5072</v>
      </c>
      <c r="F99" s="134" t="n">
        <v>0</v>
      </c>
      <c r="G99" s="135" t="n">
        <f aca="false">E99+F99</f>
        <v>415748.5072</v>
      </c>
      <c r="H99" s="132"/>
      <c r="I99" s="133" t="s">
        <v>48</v>
      </c>
      <c r="J99" s="133" t="s">
        <v>44</v>
      </c>
      <c r="K99" s="133" t="s">
        <v>115</v>
      </c>
      <c r="L99" s="133"/>
      <c r="M99" s="136" t="n">
        <v>108</v>
      </c>
      <c r="N99" s="136" t="n">
        <v>0.909</v>
      </c>
      <c r="O99" s="136" t="n">
        <v>0.856</v>
      </c>
      <c r="P99" s="136" t="n">
        <v>0.873</v>
      </c>
      <c r="Q99" s="136" t="n">
        <v>0.809</v>
      </c>
      <c r="R99" s="136" t="n">
        <v>1342722</v>
      </c>
      <c r="S99" s="136" t="n">
        <v>1193308</v>
      </c>
      <c r="T99" s="8" t="n">
        <f aca="false">IF(I99="regional",IF(R99&gt;0,R99*0.2975,S99*0.3484),S99*0.1939)</f>
        <v>399459.795</v>
      </c>
      <c r="U99" s="136" t="n">
        <v>889002</v>
      </c>
      <c r="V99" s="136" t="n">
        <v>304306</v>
      </c>
      <c r="W99" s="136" t="n">
        <v>6417</v>
      </c>
      <c r="X99" s="136" t="n">
        <v>0</v>
      </c>
      <c r="Y99" s="136" t="n">
        <v>0</v>
      </c>
      <c r="Z99" s="136" t="n">
        <v>0</v>
      </c>
      <c r="AA99" s="136" t="n">
        <v>1592767.795</v>
      </c>
      <c r="AB99" s="136" t="n">
        <v>399459.795</v>
      </c>
      <c r="AC99" s="136" t="n">
        <v>1193308</v>
      </c>
      <c r="AD99" s="136" t="n">
        <v>0</v>
      </c>
      <c r="AE99" s="136" t="n">
        <v>0</v>
      </c>
      <c r="AF99" s="136" t="n">
        <v>1193308</v>
      </c>
      <c r="AG99" s="136" t="n">
        <v>0</v>
      </c>
      <c r="AH99" s="136" t="n">
        <v>170000</v>
      </c>
      <c r="AI99" s="136" t="n">
        <v>165000</v>
      </c>
      <c r="AJ99" s="132" t="n">
        <v>4</v>
      </c>
      <c r="AK99" s="132" t="s">
        <v>720</v>
      </c>
      <c r="AL99" s="133" t="s">
        <v>48</v>
      </c>
      <c r="AM99" s="132"/>
      <c r="AN99" s="133" t="s">
        <v>317</v>
      </c>
      <c r="AO99" s="133" t="n">
        <v>399459.795</v>
      </c>
      <c r="AP99" s="137" t="n">
        <f aca="false">AR99+AT99+AU99+AV99+AX99+AY99+AZ99+BD99+BF99+BG99+BH99+BJ99+BK99+(BL99+BM99+BN99)/1000+(0.1*BO99)</f>
        <v>262.2986</v>
      </c>
      <c r="AQ99" s="137" t="n">
        <f aca="false">AR99+AT99+AU99+AV99+AX99+AY99+AZ99+BB99+BC99+BD99+BF99+BG99+BH99+BJ99+BK99+(BL99+BM99+BN99)/1000+(0.1*BO99)</f>
        <v>275.2986</v>
      </c>
      <c r="AR99" s="171" t="n">
        <v>6</v>
      </c>
      <c r="AS99" s="158" t="n">
        <v>165</v>
      </c>
      <c r="AT99" s="172" t="n">
        <v>54</v>
      </c>
      <c r="AU99" s="131" t="n">
        <v>98</v>
      </c>
      <c r="AV99" s="131" t="n">
        <v>0</v>
      </c>
      <c r="AW99" s="131" t="n">
        <v>0</v>
      </c>
      <c r="AX99" s="131" t="n">
        <v>19</v>
      </c>
      <c r="AY99" s="131" t="n">
        <v>1</v>
      </c>
      <c r="AZ99" s="131" t="n">
        <v>0</v>
      </c>
      <c r="BA99" s="131" t="n">
        <v>0</v>
      </c>
      <c r="BB99" s="131" t="n">
        <v>9</v>
      </c>
      <c r="BC99" s="131" t="n">
        <v>4</v>
      </c>
      <c r="BD99" s="131" t="n">
        <v>0</v>
      </c>
      <c r="BE99" s="131" t="n">
        <v>0</v>
      </c>
      <c r="BF99" s="131" t="n">
        <v>0</v>
      </c>
      <c r="BG99" s="131" t="n">
        <v>0</v>
      </c>
      <c r="BH99" s="131" t="n">
        <v>0</v>
      </c>
      <c r="BI99" s="131" t="n">
        <v>0</v>
      </c>
      <c r="BJ99" s="131" t="n">
        <v>0</v>
      </c>
      <c r="BK99" s="131" t="n">
        <v>0</v>
      </c>
      <c r="BL99" s="131" t="n">
        <v>0</v>
      </c>
      <c r="BM99" s="131" t="n">
        <v>0</v>
      </c>
      <c r="BN99" s="131" t="n">
        <v>0</v>
      </c>
      <c r="BO99" s="131" t="n">
        <v>842.986</v>
      </c>
      <c r="CC99" s="160"/>
      <c r="CD99" s="160"/>
      <c r="CE99" s="160"/>
      <c r="CF99" s="160"/>
      <c r="CG99" s="160"/>
      <c r="CH99" s="160"/>
      <c r="CI99" s="160"/>
      <c r="CJ99" s="160"/>
      <c r="CK99" s="160"/>
      <c r="CL99" s="160"/>
      <c r="CM99" s="160"/>
      <c r="CN99" s="160"/>
      <c r="CO99" s="160"/>
      <c r="CP99" s="160"/>
      <c r="CQ99" s="160"/>
      <c r="CR99" s="160"/>
      <c r="CS99" s="160"/>
      <c r="CT99" s="160"/>
      <c r="CU99" s="160"/>
      <c r="CV99" s="160"/>
      <c r="CW99" s="160"/>
      <c r="CX99" s="160"/>
      <c r="CY99" s="160"/>
      <c r="CZ99" s="160"/>
      <c r="DA99" s="160"/>
      <c r="DB99" s="160"/>
      <c r="DC99" s="160"/>
      <c r="DD99" s="160"/>
      <c r="DE99" s="160"/>
      <c r="DF99" s="160"/>
      <c r="DG99" s="160"/>
      <c r="DH99" s="160"/>
      <c r="DI99" s="160"/>
      <c r="DJ99" s="160"/>
      <c r="DK99" s="160"/>
      <c r="DL99" s="160"/>
      <c r="DM99" s="160"/>
      <c r="DN99" s="160"/>
      <c r="DO99" s="160"/>
      <c r="DP99" s="160"/>
      <c r="DQ99" s="160"/>
      <c r="DR99" s="160"/>
      <c r="DS99" s="160"/>
      <c r="DT99" s="160"/>
      <c r="DU99" s="160"/>
      <c r="DV99" s="160"/>
      <c r="DW99" s="160"/>
      <c r="DX99" s="160"/>
      <c r="DY99" s="160"/>
      <c r="DZ99" s="160"/>
      <c r="EA99" s="160"/>
      <c r="EB99" s="160"/>
      <c r="EC99" s="160"/>
      <c r="ED99" s="160"/>
      <c r="EE99" s="160"/>
      <c r="EF99" s="160"/>
      <c r="EG99" s="160"/>
      <c r="EH99" s="160"/>
      <c r="EI99" s="160"/>
      <c r="EJ99" s="160"/>
      <c r="EK99" s="160"/>
      <c r="EL99" s="160"/>
      <c r="EM99" s="160"/>
      <c r="EN99" s="160"/>
      <c r="EO99" s="160"/>
      <c r="EP99" s="160"/>
      <c r="EQ99" s="160"/>
      <c r="ER99" s="160"/>
      <c r="ES99" s="160"/>
      <c r="ET99" s="160"/>
      <c r="EU99" s="160"/>
      <c r="EV99" s="160"/>
      <c r="EW99" s="160"/>
      <c r="EX99" s="160"/>
      <c r="EY99" s="160"/>
      <c r="EZ99" s="160"/>
      <c r="FA99" s="160"/>
      <c r="FB99" s="160"/>
      <c r="FC99" s="160"/>
      <c r="FD99" s="160"/>
      <c r="FE99" s="160"/>
      <c r="FF99" s="160"/>
      <c r="FG99" s="160"/>
      <c r="FH99" s="160"/>
      <c r="FI99" s="160"/>
      <c r="FJ99" s="160"/>
      <c r="FK99" s="160"/>
      <c r="FL99" s="160"/>
      <c r="FM99" s="160"/>
      <c r="FN99" s="160"/>
      <c r="FO99" s="160"/>
      <c r="FP99" s="160"/>
      <c r="FQ99" s="160"/>
      <c r="FR99" s="160"/>
      <c r="FS99" s="160"/>
      <c r="FT99" s="160"/>
      <c r="FU99" s="160"/>
      <c r="FV99" s="160"/>
      <c r="FW99" s="160"/>
      <c r="FX99" s="160"/>
      <c r="FY99" s="160"/>
      <c r="FZ99" s="160"/>
      <c r="GA99" s="160"/>
      <c r="GB99" s="160"/>
      <c r="GC99" s="160"/>
      <c r="GD99" s="160"/>
      <c r="GE99" s="160"/>
      <c r="GF99" s="160"/>
      <c r="GG99" s="160"/>
      <c r="GH99" s="160"/>
      <c r="GI99" s="160"/>
      <c r="GJ99" s="160"/>
      <c r="GK99" s="160"/>
      <c r="GL99" s="160"/>
      <c r="GM99" s="160"/>
      <c r="GN99" s="160"/>
      <c r="GO99" s="160"/>
      <c r="GP99" s="160"/>
      <c r="GQ99" s="160"/>
      <c r="GR99" s="160"/>
      <c r="GS99" s="160"/>
      <c r="GT99" s="160"/>
      <c r="GU99" s="160"/>
    </row>
    <row r="100" customFormat="false" ht="15" hidden="false" customHeight="true" outlineLevel="0" collapsed="false">
      <c r="A100" s="131" t="n">
        <v>4665</v>
      </c>
      <c r="B100" s="131" t="s">
        <v>44</v>
      </c>
      <c r="C100" s="132" t="s">
        <v>318</v>
      </c>
      <c r="D100" s="133" t="s">
        <v>318</v>
      </c>
      <c r="E100" s="134" t="n">
        <f aca="false">IF(I100="regional",IF(R100*0.2975,S100*0.3484),S100*0.1939)</f>
        <v>260761.0252</v>
      </c>
      <c r="F100" s="134" t="n">
        <v>0</v>
      </c>
      <c r="G100" s="135" t="n">
        <f aca="false">E100+F100</f>
        <v>260761.0252</v>
      </c>
      <c r="H100" s="132"/>
      <c r="I100" s="133" t="s">
        <v>48</v>
      </c>
      <c r="J100" s="133" t="s">
        <v>44</v>
      </c>
      <c r="K100" s="133" t="s">
        <v>109</v>
      </c>
      <c r="L100" s="133"/>
      <c r="M100" s="136" t="n">
        <v>170</v>
      </c>
      <c r="N100" s="136" t="n">
        <v>0.889</v>
      </c>
      <c r="O100" s="136" t="n">
        <v>0.893</v>
      </c>
      <c r="P100" s="136" t="n">
        <v>0.862</v>
      </c>
      <c r="Q100" s="136" t="n">
        <v>0.952</v>
      </c>
      <c r="R100" s="136" t="n">
        <v>879099</v>
      </c>
      <c r="S100" s="136" t="n">
        <v>748453</v>
      </c>
      <c r="T100" s="8" t="n">
        <f aca="false">IF(I100="regional",IF(R100&gt;0,R100*0.2975,S100*0.3484),S100*0.1939)</f>
        <v>261531.9525</v>
      </c>
      <c r="U100" s="136" t="n">
        <v>528914</v>
      </c>
      <c r="V100" s="136" t="n">
        <v>219539</v>
      </c>
      <c r="W100" s="136" t="n">
        <v>4480</v>
      </c>
      <c r="X100" s="136" t="n">
        <v>0</v>
      </c>
      <c r="Y100" s="136" t="n">
        <v>0</v>
      </c>
      <c r="Z100" s="136" t="n">
        <v>0</v>
      </c>
      <c r="AA100" s="136" t="n">
        <v>1009984.953</v>
      </c>
      <c r="AB100" s="136" t="n">
        <v>261531.9525</v>
      </c>
      <c r="AC100" s="136" t="n">
        <v>748453</v>
      </c>
      <c r="AD100" s="136" t="n">
        <v>0</v>
      </c>
      <c r="AE100" s="136" t="n">
        <v>0</v>
      </c>
      <c r="AF100" s="136" t="n">
        <v>748453</v>
      </c>
      <c r="AG100" s="136" t="n">
        <v>0</v>
      </c>
      <c r="AH100" s="136" t="n">
        <v>659000</v>
      </c>
      <c r="AI100" s="136" t="n">
        <v>746000</v>
      </c>
      <c r="AJ100" s="132" t="s">
        <v>721</v>
      </c>
      <c r="AK100" s="132" t="s">
        <v>108</v>
      </c>
      <c r="AL100" s="133" t="s">
        <v>48</v>
      </c>
      <c r="AM100" s="132"/>
      <c r="AN100" s="133" t="s">
        <v>318</v>
      </c>
      <c r="AO100" s="133" t="n">
        <v>261531.9525</v>
      </c>
      <c r="AP100" s="137" t="n">
        <f aca="false">AR100+AT100+AU100+AV100+AX100+AY100+AZ100+BD100+BF100+BG100+BH100+BJ100+BK100+(BL100+BM100+BN100)/1000+(0.1*BO100)</f>
        <v>210.9275</v>
      </c>
      <c r="AQ100" s="137" t="n">
        <f aca="false">AR100+AT100+AU100+AV100+AX100+AY100+AZ100+BB100+BC100+BD100+BF100+BG100+BH100+BJ100+BK100+(BL100+BM100+BN100)/1000+(0.1*BO100)</f>
        <v>304.9275</v>
      </c>
      <c r="AR100" s="131" t="n">
        <v>0</v>
      </c>
      <c r="AS100" s="173" t="n">
        <v>746</v>
      </c>
      <c r="AT100" s="131" t="n">
        <v>193</v>
      </c>
      <c r="AU100" s="131" t="n">
        <v>1</v>
      </c>
      <c r="AV100" s="131" t="n">
        <v>0</v>
      </c>
      <c r="AW100" s="131" t="n">
        <v>0</v>
      </c>
      <c r="AX100" s="131" t="n">
        <v>0</v>
      </c>
      <c r="AY100" s="131" t="n">
        <v>0</v>
      </c>
      <c r="AZ100" s="131" t="n">
        <v>0</v>
      </c>
      <c r="BA100" s="131" t="n">
        <v>0</v>
      </c>
      <c r="BB100" s="131" t="n">
        <v>94</v>
      </c>
      <c r="BC100" s="131" t="n">
        <v>0</v>
      </c>
      <c r="BD100" s="131" t="n">
        <v>0</v>
      </c>
      <c r="BE100" s="131" t="n">
        <v>0</v>
      </c>
      <c r="BF100" s="131" t="n">
        <v>0</v>
      </c>
      <c r="BG100" s="131" t="n">
        <v>0</v>
      </c>
      <c r="BH100" s="131" t="n">
        <v>0</v>
      </c>
      <c r="BI100" s="131" t="n">
        <v>0</v>
      </c>
      <c r="BJ100" s="131" t="n">
        <v>0</v>
      </c>
      <c r="BK100" s="131" t="n">
        <v>0</v>
      </c>
      <c r="BL100" s="131" t="n">
        <v>0</v>
      </c>
      <c r="BM100" s="131" t="n">
        <v>0</v>
      </c>
      <c r="BN100" s="131" t="n">
        <v>0</v>
      </c>
      <c r="BO100" s="131" t="n">
        <v>169.275</v>
      </c>
      <c r="CC100" s="160"/>
      <c r="CD100" s="160"/>
      <c r="CE100" s="160"/>
      <c r="CF100" s="160"/>
      <c r="CG100" s="160"/>
      <c r="CH100" s="160"/>
      <c r="CI100" s="160"/>
      <c r="CJ100" s="160"/>
      <c r="CK100" s="160"/>
      <c r="CL100" s="160"/>
      <c r="CM100" s="160"/>
      <c r="CN100" s="160"/>
      <c r="CO100" s="160"/>
      <c r="CP100" s="160"/>
      <c r="CQ100" s="160"/>
      <c r="CR100" s="160"/>
      <c r="CS100" s="160"/>
      <c r="CT100" s="160"/>
      <c r="CU100" s="160"/>
      <c r="CV100" s="160"/>
      <c r="CW100" s="160"/>
      <c r="CX100" s="160"/>
      <c r="CY100" s="160"/>
      <c r="CZ100" s="160"/>
      <c r="DA100" s="160"/>
      <c r="DB100" s="160"/>
      <c r="DC100" s="160"/>
      <c r="DD100" s="160"/>
      <c r="DE100" s="160"/>
      <c r="DF100" s="160"/>
      <c r="DG100" s="160"/>
      <c r="DH100" s="160"/>
      <c r="DI100" s="160"/>
      <c r="DJ100" s="160"/>
      <c r="DK100" s="160"/>
      <c r="DL100" s="160"/>
      <c r="DM100" s="160"/>
      <c r="DN100" s="160"/>
      <c r="DO100" s="160"/>
      <c r="DP100" s="160"/>
      <c r="DQ100" s="160"/>
      <c r="DR100" s="160"/>
      <c r="DS100" s="160"/>
      <c r="DT100" s="160"/>
      <c r="DU100" s="160"/>
      <c r="DV100" s="160"/>
      <c r="DW100" s="160"/>
      <c r="DX100" s="160"/>
      <c r="DY100" s="160"/>
      <c r="DZ100" s="160"/>
      <c r="EA100" s="160"/>
      <c r="EB100" s="160"/>
      <c r="EC100" s="160"/>
      <c r="ED100" s="160"/>
      <c r="EE100" s="160"/>
      <c r="EF100" s="160"/>
      <c r="EG100" s="160"/>
      <c r="EH100" s="160"/>
      <c r="EI100" s="160"/>
      <c r="EJ100" s="160"/>
      <c r="EK100" s="160"/>
      <c r="EL100" s="160"/>
      <c r="EM100" s="160"/>
      <c r="EN100" s="160"/>
      <c r="EO100" s="160"/>
      <c r="EP100" s="160"/>
      <c r="EQ100" s="160"/>
      <c r="ER100" s="160"/>
      <c r="ES100" s="160"/>
      <c r="ET100" s="160"/>
      <c r="EU100" s="160"/>
      <c r="EV100" s="160"/>
      <c r="EW100" s="160"/>
      <c r="EX100" s="160"/>
      <c r="EY100" s="160"/>
      <c r="EZ100" s="160"/>
      <c r="FA100" s="160"/>
      <c r="FB100" s="160"/>
      <c r="FC100" s="160"/>
      <c r="FD100" s="160"/>
      <c r="FE100" s="160"/>
      <c r="FF100" s="160"/>
      <c r="FG100" s="160"/>
      <c r="FH100" s="160"/>
      <c r="FI100" s="160"/>
      <c r="FJ100" s="160"/>
      <c r="FK100" s="160"/>
      <c r="FL100" s="160"/>
      <c r="FM100" s="160"/>
      <c r="FN100" s="160"/>
      <c r="FO100" s="160"/>
      <c r="FP100" s="160"/>
      <c r="FQ100" s="160"/>
      <c r="FR100" s="160"/>
      <c r="FS100" s="160"/>
      <c r="FT100" s="160"/>
      <c r="FU100" s="160"/>
      <c r="FV100" s="160"/>
      <c r="FW100" s="160"/>
      <c r="FX100" s="160"/>
      <c r="FY100" s="160"/>
      <c r="FZ100" s="160"/>
      <c r="GA100" s="160"/>
      <c r="GB100" s="160"/>
      <c r="GC100" s="160"/>
      <c r="GD100" s="160"/>
      <c r="GE100" s="160"/>
      <c r="GF100" s="160"/>
      <c r="GG100" s="160"/>
      <c r="GH100" s="160"/>
      <c r="GI100" s="160"/>
      <c r="GJ100" s="160"/>
      <c r="GK100" s="160"/>
      <c r="GL100" s="160"/>
      <c r="GM100" s="160"/>
      <c r="GN100" s="160"/>
      <c r="GO100" s="160"/>
      <c r="GP100" s="160"/>
      <c r="GQ100" s="160"/>
      <c r="GR100" s="160"/>
      <c r="GS100" s="160"/>
      <c r="GT100" s="160"/>
      <c r="GU100" s="160"/>
    </row>
    <row r="101" customFormat="false" ht="15" hidden="false" customHeight="true" outlineLevel="0" collapsed="false">
      <c r="A101" s="131" t="n">
        <v>4512</v>
      </c>
      <c r="B101" s="131"/>
      <c r="C101" s="132" t="s">
        <v>320</v>
      </c>
      <c r="D101" s="133" t="s">
        <v>320</v>
      </c>
      <c r="E101" s="134" t="n">
        <f aca="false">IF(I101="regional",IF(R101*0.2975,S101*0.3484),S101*0.1939)</f>
        <v>41785.0622</v>
      </c>
      <c r="F101" s="134" t="n">
        <v>0</v>
      </c>
      <c r="G101" s="135" t="n">
        <f aca="false">E101+F101</f>
        <v>41785.0622</v>
      </c>
      <c r="H101" s="132"/>
      <c r="I101" s="133" t="s">
        <v>62</v>
      </c>
      <c r="J101" s="133"/>
      <c r="K101" s="133" t="s">
        <v>98</v>
      </c>
      <c r="L101" s="133"/>
      <c r="M101" s="136" t="n">
        <v>15</v>
      </c>
      <c r="N101" s="136" t="n">
        <v>0.987</v>
      </c>
      <c r="O101" s="136" t="n">
        <v>0.984</v>
      </c>
      <c r="P101" s="136" t="n">
        <v>1</v>
      </c>
      <c r="Q101" s="136" t="n">
        <v>1</v>
      </c>
      <c r="R101" s="136" t="n">
        <v>0</v>
      </c>
      <c r="S101" s="136" t="n">
        <v>215498</v>
      </c>
      <c r="T101" s="8" t="n">
        <f aca="false">IF(I101="regional",IF(R101&gt;0,R101*0.2975,S101*0.3484),S101*0.1939)</f>
        <v>41785.0622</v>
      </c>
      <c r="U101" s="136" t="n">
        <v>170789</v>
      </c>
      <c r="V101" s="136" t="n">
        <v>44709</v>
      </c>
      <c r="W101" s="136" t="n">
        <v>1075</v>
      </c>
      <c r="X101" s="136" t="n">
        <v>0</v>
      </c>
      <c r="Y101" s="136" t="n">
        <v>0</v>
      </c>
      <c r="Z101" s="136" t="n">
        <v>0</v>
      </c>
      <c r="AA101" s="136" t="n">
        <v>257283.0622</v>
      </c>
      <c r="AB101" s="136" t="n">
        <v>41785.0622</v>
      </c>
      <c r="AC101" s="136" t="n">
        <v>215498</v>
      </c>
      <c r="AD101" s="136" t="n">
        <v>0</v>
      </c>
      <c r="AE101" s="136" t="n">
        <v>0</v>
      </c>
      <c r="AF101" s="136" t="n">
        <v>0</v>
      </c>
      <c r="AG101" s="136" t="n">
        <v>215498</v>
      </c>
      <c r="AH101" s="136" t="n">
        <v>0</v>
      </c>
      <c r="AI101" s="136" t="n">
        <v>0</v>
      </c>
      <c r="AJ101" s="132" t="n">
        <v>4</v>
      </c>
      <c r="AK101" s="132" t="s">
        <v>706</v>
      </c>
      <c r="AL101" s="133" t="s">
        <v>62</v>
      </c>
      <c r="AM101" s="132"/>
      <c r="AN101" s="133" t="s">
        <v>320</v>
      </c>
      <c r="AO101" s="133" t="n">
        <v>41785.0622</v>
      </c>
      <c r="AP101" s="137" t="n">
        <f aca="false">AR101+AT101+AU101+AV101+AX101+AY101+AZ101+BD101+BF101+BG101+BH101+BJ101+BK101+(BL101+BM101+BN101)/1000+(0.1*BO101)</f>
        <v>12</v>
      </c>
      <c r="AQ101" s="137" t="n">
        <f aca="false">AR101+AT101+AU101+AV101+AX101+AY101+AZ101+BB101+BC101+BD101+BF101+BG101+BH101+BJ101+BK101+(BL101+BM101+BN101)/1000+(0.1*BO101)</f>
        <v>12</v>
      </c>
      <c r="AR101" s="158" t="n">
        <v>0</v>
      </c>
      <c r="AS101" s="158" t="n">
        <v>0</v>
      </c>
      <c r="AT101" s="158" t="n">
        <v>12</v>
      </c>
      <c r="AU101" s="158" t="n">
        <v>0</v>
      </c>
      <c r="AV101" s="131" t="n">
        <v>0</v>
      </c>
      <c r="AW101" s="131" t="n">
        <v>0</v>
      </c>
      <c r="AX101" s="131" t="n">
        <v>0</v>
      </c>
      <c r="AY101" s="131" t="n">
        <v>0</v>
      </c>
      <c r="AZ101" s="158" t="n">
        <v>0</v>
      </c>
      <c r="BA101" s="158" t="n">
        <v>3</v>
      </c>
      <c r="BB101" s="158" t="n">
        <v>0</v>
      </c>
      <c r="BC101" s="158" t="n">
        <v>0</v>
      </c>
      <c r="BD101" s="131" t="n">
        <v>0</v>
      </c>
      <c r="BE101" s="131" t="n">
        <v>0</v>
      </c>
      <c r="BF101" s="131" t="n">
        <v>0</v>
      </c>
      <c r="BG101" s="131" t="n">
        <v>0</v>
      </c>
      <c r="BH101" s="131" t="n">
        <v>0</v>
      </c>
      <c r="BI101" s="131" t="n">
        <v>0</v>
      </c>
      <c r="BJ101" s="131" t="n">
        <v>0</v>
      </c>
      <c r="BK101" s="131" t="n">
        <v>0</v>
      </c>
      <c r="BL101" s="158" t="n">
        <v>0</v>
      </c>
      <c r="BM101" s="158" t="n">
        <v>0</v>
      </c>
      <c r="BN101" s="158" t="n">
        <v>0</v>
      </c>
      <c r="BO101" s="158" t="n">
        <v>0</v>
      </c>
      <c r="BP101" s="161"/>
      <c r="BQ101" s="160"/>
      <c r="BR101" s="160"/>
      <c r="BS101" s="160"/>
      <c r="BT101" s="160"/>
      <c r="BU101" s="160"/>
      <c r="BV101" s="160"/>
      <c r="BW101" s="160"/>
      <c r="BX101" s="160"/>
      <c r="BY101" s="160"/>
      <c r="BZ101" s="160"/>
      <c r="CA101" s="160"/>
      <c r="CB101" s="160"/>
      <c r="CC101" s="160"/>
      <c r="CD101" s="160"/>
      <c r="CE101" s="160"/>
      <c r="CF101" s="160"/>
      <c r="CG101" s="160"/>
      <c r="CH101" s="160"/>
      <c r="CI101" s="160"/>
      <c r="CJ101" s="160"/>
      <c r="CK101" s="160"/>
      <c r="CL101" s="160"/>
      <c r="CM101" s="160"/>
      <c r="CN101" s="160"/>
      <c r="CO101" s="160"/>
      <c r="CP101" s="160"/>
      <c r="CQ101" s="160"/>
      <c r="CR101" s="160"/>
      <c r="CS101" s="160"/>
      <c r="CT101" s="160"/>
      <c r="CU101" s="160"/>
      <c r="CV101" s="160"/>
      <c r="CW101" s="160"/>
      <c r="CX101" s="160"/>
      <c r="CY101" s="160"/>
      <c r="CZ101" s="160"/>
      <c r="DA101" s="160"/>
      <c r="DB101" s="160"/>
      <c r="DC101" s="160"/>
      <c r="DD101" s="160"/>
      <c r="DE101" s="160"/>
      <c r="DF101" s="160"/>
      <c r="DG101" s="160"/>
      <c r="DH101" s="160"/>
      <c r="DI101" s="160"/>
      <c r="DJ101" s="160"/>
      <c r="DK101" s="160"/>
      <c r="DL101" s="160"/>
      <c r="DM101" s="160"/>
      <c r="DN101" s="160"/>
      <c r="DO101" s="160"/>
      <c r="DP101" s="160"/>
      <c r="DQ101" s="160"/>
      <c r="DR101" s="160"/>
      <c r="DS101" s="160"/>
      <c r="DT101" s="160"/>
      <c r="DU101" s="160"/>
      <c r="DV101" s="160"/>
      <c r="DW101" s="160"/>
      <c r="DX101" s="160"/>
      <c r="DY101" s="160"/>
      <c r="DZ101" s="160"/>
      <c r="EA101" s="160"/>
      <c r="EB101" s="160"/>
      <c r="EC101" s="160"/>
      <c r="ED101" s="160"/>
      <c r="EE101" s="160"/>
      <c r="EF101" s="160"/>
      <c r="EG101" s="160"/>
      <c r="EH101" s="160"/>
      <c r="EI101" s="160"/>
      <c r="EJ101" s="160"/>
      <c r="EK101" s="160"/>
      <c r="EL101" s="160"/>
      <c r="EM101" s="160"/>
      <c r="EN101" s="160"/>
      <c r="EO101" s="160"/>
      <c r="EP101" s="160"/>
      <c r="EQ101" s="160"/>
      <c r="ER101" s="160"/>
      <c r="ES101" s="160"/>
      <c r="ET101" s="160"/>
      <c r="EU101" s="160"/>
      <c r="EV101" s="160"/>
      <c r="EW101" s="160"/>
      <c r="EX101" s="160"/>
      <c r="EY101" s="160"/>
      <c r="EZ101" s="160"/>
      <c r="FA101" s="160"/>
      <c r="FB101" s="160"/>
      <c r="FC101" s="160"/>
      <c r="FD101" s="160"/>
      <c r="FE101" s="160"/>
      <c r="FF101" s="160"/>
      <c r="FG101" s="160"/>
      <c r="FH101" s="160"/>
      <c r="FI101" s="160"/>
      <c r="FJ101" s="160"/>
      <c r="FK101" s="160"/>
      <c r="FL101" s="160"/>
      <c r="FM101" s="160"/>
      <c r="FN101" s="160"/>
      <c r="FO101" s="160"/>
      <c r="FP101" s="160"/>
      <c r="FQ101" s="160"/>
      <c r="FR101" s="160"/>
      <c r="FS101" s="160"/>
      <c r="FT101" s="160"/>
      <c r="FU101" s="160"/>
      <c r="FV101" s="160"/>
      <c r="FW101" s="160"/>
      <c r="FX101" s="160"/>
      <c r="FY101" s="160"/>
      <c r="FZ101" s="160"/>
      <c r="GA101" s="160"/>
      <c r="GB101" s="160"/>
      <c r="GC101" s="160"/>
      <c r="GD101" s="160"/>
      <c r="GE101" s="160"/>
      <c r="GF101" s="160"/>
      <c r="GG101" s="160"/>
      <c r="GH101" s="160"/>
      <c r="GI101" s="160"/>
      <c r="GJ101" s="160"/>
      <c r="GK101" s="160"/>
      <c r="GL101" s="160"/>
      <c r="GM101" s="160"/>
      <c r="GN101" s="160"/>
      <c r="GO101" s="160"/>
      <c r="GP101" s="160"/>
      <c r="GQ101" s="160"/>
      <c r="GR101" s="160"/>
      <c r="GS101" s="160"/>
      <c r="GT101" s="160"/>
      <c r="GU101" s="160"/>
    </row>
    <row r="102" customFormat="false" ht="15" hidden="false" customHeight="true" outlineLevel="0" collapsed="false">
      <c r="A102" s="168" t="n">
        <v>4774</v>
      </c>
      <c r="B102" s="168"/>
      <c r="C102" s="174" t="s">
        <v>735</v>
      </c>
      <c r="D102" s="133" t="s">
        <v>735</v>
      </c>
      <c r="E102" s="134" t="n">
        <f aca="false">IF(I102="regional",IF(R102*0.2975,S102*0.3484),S102*0.1939)</f>
        <v>0</v>
      </c>
      <c r="F102" s="134"/>
      <c r="G102" s="135" t="n">
        <f aca="false">E102+F102</f>
        <v>0</v>
      </c>
      <c r="H102" s="132" t="s">
        <v>49</v>
      </c>
      <c r="I102" s="133" t="s">
        <v>48</v>
      </c>
      <c r="J102" s="133"/>
      <c r="K102" s="133"/>
      <c r="L102" s="133"/>
      <c r="M102" s="136"/>
      <c r="N102" s="136"/>
      <c r="O102" s="136"/>
      <c r="P102" s="136"/>
      <c r="Q102" s="136"/>
      <c r="R102" s="136" t="n">
        <v>645028</v>
      </c>
      <c r="S102" s="136"/>
      <c r="T102" s="8" t="n">
        <f aca="false">IF(I102="regional",IF(R102&gt;0,R102*0.2975,S102*0.3484),S102*0.1939)</f>
        <v>191895.83</v>
      </c>
      <c r="U102" s="136"/>
      <c r="V102" s="136"/>
      <c r="W102" s="136"/>
      <c r="X102" s="136"/>
      <c r="Y102" s="136"/>
      <c r="Z102" s="136"/>
      <c r="AA102" s="136"/>
      <c r="AB102" s="136"/>
      <c r="AC102" s="136"/>
      <c r="AD102" s="136"/>
      <c r="AE102" s="136"/>
      <c r="AF102" s="136"/>
      <c r="AG102" s="136"/>
      <c r="AH102" s="136"/>
      <c r="AI102" s="136"/>
      <c r="AJ102" s="132" t="s">
        <v>707</v>
      </c>
      <c r="AK102" s="132" t="s">
        <v>714</v>
      </c>
      <c r="AL102" s="133" t="s">
        <v>128</v>
      </c>
      <c r="AM102" s="132" t="s">
        <v>49</v>
      </c>
      <c r="AN102" s="175" t="s">
        <v>735</v>
      </c>
      <c r="AO102" s="176" t="n">
        <v>0</v>
      </c>
      <c r="AP102" s="177" t="n">
        <v>0</v>
      </c>
      <c r="AQ102" s="137" t="n">
        <f aca="false">AR102+AT102+AU102+AV102+AX102+AY102+AZ102+BB102+BC102+BD102+BF102+BG102+BH102+BJ102+BK102+(BL102+BM102+BN102)/1000+(0.1*BO102)</f>
        <v>397</v>
      </c>
      <c r="AR102" s="156" t="n">
        <v>18</v>
      </c>
      <c r="AS102" s="156" t="n">
        <v>0</v>
      </c>
      <c r="AT102" s="156" t="n">
        <v>177</v>
      </c>
      <c r="AU102" s="156" t="n">
        <v>45</v>
      </c>
      <c r="AV102" s="178" t="n">
        <v>0</v>
      </c>
      <c r="AW102" s="178" t="n">
        <v>0</v>
      </c>
      <c r="AX102" s="178" t="n">
        <v>0</v>
      </c>
      <c r="AY102" s="178" t="n">
        <v>0</v>
      </c>
      <c r="AZ102" s="162" t="n">
        <v>0</v>
      </c>
      <c r="BA102" s="162" t="n">
        <v>63</v>
      </c>
      <c r="BB102" s="162" t="n">
        <v>57</v>
      </c>
      <c r="BC102" s="162" t="n">
        <v>0</v>
      </c>
      <c r="BD102" s="162" t="n">
        <v>0</v>
      </c>
      <c r="BE102" s="162" t="n">
        <v>0</v>
      </c>
      <c r="BF102" s="162" t="n">
        <v>0</v>
      </c>
      <c r="BG102" s="162" t="n">
        <v>0</v>
      </c>
      <c r="BH102" s="162" t="n">
        <v>0</v>
      </c>
      <c r="BI102" s="162" t="n">
        <v>0</v>
      </c>
      <c r="BJ102" s="162" t="n">
        <v>0</v>
      </c>
      <c r="BK102" s="162" t="n">
        <v>0</v>
      </c>
      <c r="BL102" s="156" t="n">
        <v>0</v>
      </c>
      <c r="BM102" s="156" t="n">
        <v>0</v>
      </c>
      <c r="BN102" s="156" t="n">
        <v>100000</v>
      </c>
      <c r="BO102" s="156" t="n">
        <v>0</v>
      </c>
      <c r="CC102" s="160"/>
      <c r="CD102" s="160"/>
      <c r="CE102" s="160"/>
      <c r="CF102" s="160"/>
      <c r="CG102" s="160"/>
      <c r="CH102" s="160"/>
      <c r="CI102" s="160"/>
      <c r="CJ102" s="160"/>
      <c r="CK102" s="160"/>
      <c r="CL102" s="160"/>
      <c r="CM102" s="160"/>
      <c r="CN102" s="160"/>
      <c r="CO102" s="160"/>
      <c r="CP102" s="160"/>
      <c r="CQ102" s="160"/>
      <c r="CR102" s="160"/>
      <c r="CS102" s="160"/>
      <c r="CT102" s="160"/>
      <c r="CU102" s="160"/>
      <c r="CV102" s="160"/>
      <c r="CW102" s="160"/>
      <c r="CX102" s="160"/>
      <c r="CY102" s="160"/>
      <c r="CZ102" s="160"/>
      <c r="DA102" s="160"/>
      <c r="DB102" s="160"/>
      <c r="DC102" s="160"/>
      <c r="DD102" s="160"/>
      <c r="DE102" s="160"/>
      <c r="DF102" s="160"/>
      <c r="DG102" s="160"/>
      <c r="DH102" s="160"/>
      <c r="DI102" s="160"/>
      <c r="DJ102" s="160"/>
      <c r="DK102" s="160"/>
      <c r="DL102" s="160"/>
      <c r="DM102" s="160"/>
      <c r="DN102" s="160"/>
      <c r="DO102" s="160"/>
      <c r="DP102" s="160"/>
      <c r="DQ102" s="160"/>
      <c r="DR102" s="160"/>
      <c r="DS102" s="160"/>
      <c r="DT102" s="160"/>
      <c r="DU102" s="160"/>
      <c r="DV102" s="160"/>
      <c r="DW102" s="160"/>
      <c r="DX102" s="160"/>
      <c r="DY102" s="160"/>
      <c r="DZ102" s="160"/>
      <c r="EA102" s="160"/>
      <c r="EB102" s="160"/>
      <c r="EC102" s="160"/>
      <c r="ED102" s="160"/>
      <c r="EE102" s="160"/>
      <c r="EF102" s="160"/>
      <c r="EG102" s="160"/>
      <c r="EH102" s="160"/>
      <c r="EI102" s="160"/>
      <c r="EJ102" s="160"/>
      <c r="EK102" s="160"/>
      <c r="EL102" s="160"/>
      <c r="EM102" s="160"/>
      <c r="EN102" s="160"/>
      <c r="EO102" s="160"/>
      <c r="EP102" s="160"/>
      <c r="EQ102" s="160"/>
      <c r="ER102" s="160"/>
      <c r="ES102" s="160"/>
      <c r="ET102" s="160"/>
      <c r="EU102" s="160"/>
      <c r="EV102" s="160"/>
      <c r="EW102" s="160"/>
      <c r="EX102" s="160"/>
      <c r="EY102" s="160"/>
      <c r="EZ102" s="160"/>
      <c r="FA102" s="160"/>
      <c r="FB102" s="160"/>
      <c r="FC102" s="160"/>
      <c r="FD102" s="160"/>
      <c r="FE102" s="160"/>
      <c r="FF102" s="160"/>
      <c r="FG102" s="160"/>
      <c r="FH102" s="160"/>
      <c r="FI102" s="160"/>
      <c r="FJ102" s="160"/>
      <c r="FK102" s="160"/>
      <c r="FL102" s="160"/>
      <c r="FM102" s="160"/>
      <c r="FN102" s="160"/>
      <c r="FO102" s="160"/>
      <c r="FP102" s="160"/>
      <c r="FQ102" s="160"/>
      <c r="FR102" s="160"/>
      <c r="FS102" s="160"/>
      <c r="FT102" s="160"/>
      <c r="FU102" s="160"/>
      <c r="FV102" s="160"/>
      <c r="FW102" s="160"/>
      <c r="FX102" s="160"/>
      <c r="FY102" s="160"/>
      <c r="FZ102" s="160"/>
      <c r="GA102" s="160"/>
      <c r="GB102" s="160"/>
      <c r="GC102" s="160"/>
      <c r="GD102" s="160"/>
      <c r="GE102" s="160"/>
      <c r="GF102" s="160"/>
      <c r="GG102" s="160"/>
      <c r="GH102" s="160"/>
      <c r="GI102" s="160"/>
      <c r="GJ102" s="160"/>
      <c r="GK102" s="160"/>
      <c r="GL102" s="160"/>
      <c r="GM102" s="160"/>
      <c r="GN102" s="160"/>
      <c r="GO102" s="160"/>
      <c r="GP102" s="160"/>
      <c r="GQ102" s="160"/>
      <c r="GR102" s="160"/>
      <c r="GS102" s="160"/>
      <c r="GT102" s="160"/>
      <c r="GU102" s="160"/>
    </row>
    <row r="103" customFormat="false" ht="15" hidden="false" customHeight="true" outlineLevel="0" collapsed="false">
      <c r="A103" s="131" t="n">
        <v>2952</v>
      </c>
      <c r="B103" s="131"/>
      <c r="C103" s="132" t="s">
        <v>322</v>
      </c>
      <c r="D103" s="133" t="s">
        <v>322</v>
      </c>
      <c r="E103" s="134" t="n">
        <f aca="false">IF(I103="regional",IF(R103*0.2975,S103*0.3484),S103*0.1939)</f>
        <v>73876.8695</v>
      </c>
      <c r="F103" s="134" t="n">
        <v>0</v>
      </c>
      <c r="G103" s="135" t="n">
        <f aca="false">E103+F103</f>
        <v>73876.8695</v>
      </c>
      <c r="H103" s="132"/>
      <c r="I103" s="133" t="s">
        <v>62</v>
      </c>
      <c r="J103" s="133" t="s">
        <v>49</v>
      </c>
      <c r="K103" s="133" t="s">
        <v>98</v>
      </c>
      <c r="L103" s="133"/>
      <c r="M103" s="136" t="n">
        <v>37</v>
      </c>
      <c r="N103" s="136" t="n">
        <v>0.893</v>
      </c>
      <c r="O103" s="136" t="n">
        <v>0.893</v>
      </c>
      <c r="P103" s="136" t="n">
        <v>0.909</v>
      </c>
      <c r="Q103" s="136" t="n">
        <v>0.897</v>
      </c>
      <c r="R103" s="136" t="n">
        <v>0</v>
      </c>
      <c r="S103" s="136" t="n">
        <v>381005</v>
      </c>
      <c r="T103" s="8" t="n">
        <f aca="false">IF(I103="regional",IF(R103&gt;0,R103*0.2975,S103*0.3484),S103*0.1939)</f>
        <v>73876.8695</v>
      </c>
      <c r="U103" s="136" t="n">
        <v>287355</v>
      </c>
      <c r="V103" s="136" t="n">
        <v>93650</v>
      </c>
      <c r="W103" s="136" t="n">
        <v>2600</v>
      </c>
      <c r="X103" s="136" t="n">
        <v>0</v>
      </c>
      <c r="Y103" s="136" t="n">
        <v>0</v>
      </c>
      <c r="Z103" s="136" t="n">
        <v>0</v>
      </c>
      <c r="AA103" s="136" t="n">
        <v>454881.8695</v>
      </c>
      <c r="AB103" s="136" t="n">
        <v>73876.8695</v>
      </c>
      <c r="AC103" s="136" t="n">
        <v>381005</v>
      </c>
      <c r="AD103" s="136" t="n">
        <v>0</v>
      </c>
      <c r="AE103" s="136" t="n">
        <v>0</v>
      </c>
      <c r="AF103" s="136" t="n">
        <v>0</v>
      </c>
      <c r="AG103" s="136" t="n">
        <v>381005</v>
      </c>
      <c r="AH103" s="136" t="n">
        <v>0</v>
      </c>
      <c r="AI103" s="136" t="n">
        <v>0</v>
      </c>
      <c r="AJ103" s="132" t="n">
        <v>4</v>
      </c>
      <c r="AK103" s="132" t="s">
        <v>706</v>
      </c>
      <c r="AL103" s="133" t="s">
        <v>62</v>
      </c>
      <c r="AM103" s="132"/>
      <c r="AN103" s="133" t="s">
        <v>322</v>
      </c>
      <c r="AO103" s="133" t="n">
        <v>73876.8695</v>
      </c>
      <c r="AP103" s="137" t="n">
        <f aca="false">AR103+AT103+AU103+AV103+AX103+AY103+AZ103+BD103+BF103+BG103+BH103+BJ103+BK103+(BL103+BM103+BN103)/1000+(0.1*BO103)</f>
        <v>38</v>
      </c>
      <c r="AQ103" s="137" t="n">
        <f aca="false">AR103+AT103+AU103+AV103+AX103+AY103+AZ103+BB103+BC103+BD103+BF103+BG103+BH103+BJ103+BK103+(BL103+BM103+BN103)/1000+(0.1*BO103)</f>
        <v>39</v>
      </c>
      <c r="AR103" s="131" t="n">
        <v>0</v>
      </c>
      <c r="AS103" s="131" t="n">
        <v>0</v>
      </c>
      <c r="AT103" s="131" t="n">
        <v>24</v>
      </c>
      <c r="AU103" s="131" t="n">
        <v>13</v>
      </c>
      <c r="AV103" s="131" t="n">
        <v>0</v>
      </c>
      <c r="AW103" s="131" t="n">
        <v>0</v>
      </c>
      <c r="AX103" s="131" t="n">
        <v>0</v>
      </c>
      <c r="AY103" s="131" t="n">
        <v>1</v>
      </c>
      <c r="AZ103" s="131" t="n">
        <v>0</v>
      </c>
      <c r="BA103" s="131" t="n">
        <v>0</v>
      </c>
      <c r="BB103" s="131" t="n">
        <v>0</v>
      </c>
      <c r="BC103" s="131" t="n">
        <v>1</v>
      </c>
      <c r="BD103" s="131" t="n">
        <v>0</v>
      </c>
      <c r="BE103" s="131" t="n">
        <v>0</v>
      </c>
      <c r="BF103" s="131" t="n">
        <v>0</v>
      </c>
      <c r="BG103" s="131" t="n">
        <v>0</v>
      </c>
      <c r="BH103" s="131" t="n">
        <v>0</v>
      </c>
      <c r="BI103" s="131" t="n">
        <v>0</v>
      </c>
      <c r="BJ103" s="131" t="n">
        <v>0</v>
      </c>
      <c r="BK103" s="131" t="n">
        <v>0</v>
      </c>
      <c r="BL103" s="131" t="n">
        <v>0</v>
      </c>
      <c r="BM103" s="131" t="n">
        <v>0</v>
      </c>
      <c r="BN103" s="131" t="n">
        <v>0</v>
      </c>
      <c r="BO103" s="131" t="n">
        <v>0</v>
      </c>
    </row>
    <row r="104" customFormat="false" ht="15" hidden="false" customHeight="true" outlineLevel="0" collapsed="false">
      <c r="A104" s="131" t="n">
        <v>9894</v>
      </c>
      <c r="B104" s="131"/>
      <c r="C104" s="132" t="s">
        <v>324</v>
      </c>
      <c r="D104" s="133" t="s">
        <v>324</v>
      </c>
      <c r="E104" s="134" t="n">
        <f aca="false">IF(I104="regional",IF(R104*0.2975,S104*0.3484),S104*0.1939)</f>
        <v>314315.6796</v>
      </c>
      <c r="F104" s="134" t="n">
        <v>0</v>
      </c>
      <c r="G104" s="135" t="n">
        <f aca="false">E104+F104</f>
        <v>314315.6796</v>
      </c>
      <c r="H104" s="132" t="s">
        <v>49</v>
      </c>
      <c r="I104" s="133" t="s">
        <v>48</v>
      </c>
      <c r="J104" s="133" t="s">
        <v>49</v>
      </c>
      <c r="K104" s="133" t="s">
        <v>271</v>
      </c>
      <c r="L104" s="133"/>
      <c r="M104" s="136" t="n">
        <v>143</v>
      </c>
      <c r="N104" s="136" t="n">
        <v>0.775</v>
      </c>
      <c r="O104" s="136" t="n">
        <v>0.846</v>
      </c>
      <c r="P104" s="136" t="n">
        <v>0.819</v>
      </c>
      <c r="Q104" s="136" t="n">
        <v>0.82</v>
      </c>
      <c r="R104" s="136" t="n">
        <v>1061914</v>
      </c>
      <c r="S104" s="136" t="n">
        <v>902169</v>
      </c>
      <c r="T104" s="8" t="n">
        <f aca="false">IF(I104="regional",IF(R104&gt;0,R104*0.2975,S104*0.3484),S104*0.1939)</f>
        <v>315919.415</v>
      </c>
      <c r="U104" s="136" t="n">
        <v>610038</v>
      </c>
      <c r="V104" s="136" t="n">
        <v>292131</v>
      </c>
      <c r="W104" s="136" t="n">
        <v>4476</v>
      </c>
      <c r="X104" s="136" t="n">
        <v>0</v>
      </c>
      <c r="Y104" s="136" t="n">
        <v>0</v>
      </c>
      <c r="Z104" s="136" t="n">
        <v>0</v>
      </c>
      <c r="AA104" s="136" t="n">
        <v>1218088.415</v>
      </c>
      <c r="AB104" s="136" t="n">
        <v>315919.415</v>
      </c>
      <c r="AC104" s="136" t="n">
        <v>902169</v>
      </c>
      <c r="AD104" s="136" t="n">
        <v>0</v>
      </c>
      <c r="AE104" s="136" t="n">
        <v>0</v>
      </c>
      <c r="AF104" s="136" t="n">
        <v>0</v>
      </c>
      <c r="AG104" s="136" t="n">
        <v>902169</v>
      </c>
      <c r="AH104" s="136" t="n">
        <v>0</v>
      </c>
      <c r="AI104" s="136" t="n">
        <v>0</v>
      </c>
      <c r="AJ104" s="132" t="s">
        <v>707</v>
      </c>
      <c r="AK104" s="132" t="s">
        <v>714</v>
      </c>
      <c r="AL104" s="133" t="s">
        <v>48</v>
      </c>
      <c r="AM104" s="132" t="s">
        <v>49</v>
      </c>
      <c r="AN104" s="133" t="s">
        <v>324</v>
      </c>
      <c r="AO104" s="133" t="n">
        <v>315919.415</v>
      </c>
      <c r="AP104" s="137" t="n">
        <f aca="false">AR104+AT104+AU104+AV104+AX104+AY104+AZ104+BD104+BF104+BG104+BH104+BJ104+BK104+(BL104+BM104+BN104)/1000+(0.1*BO104)</f>
        <v>296.2763</v>
      </c>
      <c r="AQ104" s="137" t="n">
        <f aca="false">AR104+AT104+AU104+AV104+AX104+AY104+AZ104+BB104+BC104+BD104+BF104+BG104+BH104+BJ104+BK104+(BL104+BM104+BN104)/1000+(0.1*BO104)</f>
        <v>317.2763</v>
      </c>
      <c r="AR104" s="131" t="n">
        <v>0</v>
      </c>
      <c r="AS104" s="131" t="n">
        <v>0</v>
      </c>
      <c r="AT104" s="131" t="n">
        <v>250</v>
      </c>
      <c r="AU104" s="131" t="n">
        <v>4</v>
      </c>
      <c r="AV104" s="131" t="n">
        <v>0</v>
      </c>
      <c r="AW104" s="131" t="n">
        <v>0</v>
      </c>
      <c r="AX104" s="131" t="n">
        <v>2</v>
      </c>
      <c r="AY104" s="131" t="n">
        <v>0</v>
      </c>
      <c r="AZ104" s="131" t="n">
        <v>0</v>
      </c>
      <c r="BA104" s="131" t="n">
        <v>0</v>
      </c>
      <c r="BB104" s="131" t="n">
        <v>20</v>
      </c>
      <c r="BC104" s="131" t="n">
        <v>1</v>
      </c>
      <c r="BD104" s="131" t="n">
        <v>0</v>
      </c>
      <c r="BE104" s="131" t="n">
        <v>0</v>
      </c>
      <c r="BF104" s="131" t="n">
        <v>0</v>
      </c>
      <c r="BG104" s="131" t="n">
        <v>0</v>
      </c>
      <c r="BH104" s="131" t="n">
        <v>0</v>
      </c>
      <c r="BI104" s="131" t="n">
        <v>0</v>
      </c>
      <c r="BJ104" s="131" t="n">
        <v>0</v>
      </c>
      <c r="BK104" s="131" t="n">
        <v>0</v>
      </c>
      <c r="BL104" s="131" t="n">
        <v>0</v>
      </c>
      <c r="BM104" s="131" t="n">
        <v>0</v>
      </c>
      <c r="BN104" s="131" t="n">
        <v>0</v>
      </c>
      <c r="BO104" s="131" t="n">
        <v>402.763</v>
      </c>
    </row>
    <row r="105" customFormat="false" ht="15" hidden="false" customHeight="true" outlineLevel="0" collapsed="false">
      <c r="A105" s="131" t="n">
        <v>2324</v>
      </c>
      <c r="B105" s="131" t="s">
        <v>44</v>
      </c>
      <c r="C105" s="132" t="s">
        <v>326</v>
      </c>
      <c r="D105" s="133" t="s">
        <v>326</v>
      </c>
      <c r="E105" s="134" t="n">
        <f aca="false">IF(I105="regional",IF(R105*0.2975,S105*0.3484),S105*0.1939)</f>
        <v>384259.7668</v>
      </c>
      <c r="F105" s="134" t="n">
        <v>0</v>
      </c>
      <c r="G105" s="135" t="n">
        <f aca="false">E105+F105</f>
        <v>384259.7668</v>
      </c>
      <c r="H105" s="132" t="s">
        <v>44</v>
      </c>
      <c r="I105" s="133" t="s">
        <v>48</v>
      </c>
      <c r="J105" s="133" t="s">
        <v>44</v>
      </c>
      <c r="K105" s="133" t="s">
        <v>328</v>
      </c>
      <c r="L105" s="133"/>
      <c r="M105" s="136" t="n">
        <v>120</v>
      </c>
      <c r="N105" s="136" t="n">
        <v>0.957</v>
      </c>
      <c r="O105" s="136" t="n">
        <v>0.949</v>
      </c>
      <c r="P105" s="136" t="n">
        <v>0.902</v>
      </c>
      <c r="Q105" s="136" t="n">
        <v>0.891</v>
      </c>
      <c r="R105" s="136" t="n">
        <v>1427795</v>
      </c>
      <c r="S105" s="136" t="n">
        <v>1102927</v>
      </c>
      <c r="T105" s="8" t="n">
        <f aca="false">IF(I105="regional",IF(R105&gt;0,R105*0.2975,S105*0.3484),S105*0.1939)</f>
        <v>424769.0125</v>
      </c>
      <c r="U105" s="136" t="n">
        <v>745179</v>
      </c>
      <c r="V105" s="136" t="n">
        <v>357748</v>
      </c>
      <c r="W105" s="136" t="n">
        <v>5420</v>
      </c>
      <c r="X105" s="136" t="n">
        <v>0</v>
      </c>
      <c r="Y105" s="136" t="n">
        <v>0</v>
      </c>
      <c r="Z105" s="136" t="n">
        <v>0</v>
      </c>
      <c r="AA105" s="136" t="n">
        <v>1527696.013</v>
      </c>
      <c r="AB105" s="136" t="n">
        <v>424769.0125</v>
      </c>
      <c r="AC105" s="136" t="n">
        <v>1102927</v>
      </c>
      <c r="AD105" s="136" t="n">
        <v>0</v>
      </c>
      <c r="AE105" s="136" t="n">
        <v>0</v>
      </c>
      <c r="AF105" s="136" t="n">
        <v>1102927</v>
      </c>
      <c r="AG105" s="136" t="n">
        <v>0</v>
      </c>
      <c r="AH105" s="136" t="n">
        <v>1075000</v>
      </c>
      <c r="AI105" s="136" t="n">
        <v>1022000</v>
      </c>
      <c r="AJ105" s="132" t="s">
        <v>707</v>
      </c>
      <c r="AK105" s="132" t="s">
        <v>708</v>
      </c>
      <c r="AL105" s="133" t="s">
        <v>48</v>
      </c>
      <c r="AM105" s="132"/>
      <c r="AN105" s="133" t="s">
        <v>326</v>
      </c>
      <c r="AO105" s="133" t="n">
        <v>424769.0125</v>
      </c>
      <c r="AP105" s="137" t="n">
        <f aca="false">AR105+AT105+AU105+AV105+AX105+AY105+AZ105+BD105+BF105+BG105+BH105+BJ105+BK105+(BL105+BM105+BN105)/1000+(0.1*BO105)</f>
        <v>751.0783</v>
      </c>
      <c r="AQ105" s="137" t="n">
        <f aca="false">AR105+AT105+AU105+AV105+AX105+AY105+AZ105+BB105+BC105+BD105+BF105+BG105+BH105+BJ105+BK105+(BL105+BM105+BN105)/1000+(0.1*BO105)</f>
        <v>816.0783</v>
      </c>
      <c r="AR105" s="131" t="n">
        <v>310</v>
      </c>
      <c r="AS105" s="131" t="n">
        <v>1022</v>
      </c>
      <c r="AT105" s="131" t="n">
        <v>97</v>
      </c>
      <c r="AU105" s="131" t="n">
        <v>50</v>
      </c>
      <c r="AV105" s="131" t="n">
        <v>0</v>
      </c>
      <c r="AW105" s="131" t="n">
        <v>0</v>
      </c>
      <c r="AX105" s="131" t="n">
        <v>0</v>
      </c>
      <c r="AY105" s="131" t="n">
        <v>0</v>
      </c>
      <c r="AZ105" s="131" t="n">
        <v>62</v>
      </c>
      <c r="BA105" s="131" t="n">
        <v>62</v>
      </c>
      <c r="BB105" s="131" t="n">
        <v>65</v>
      </c>
      <c r="BC105" s="131" t="n">
        <v>0</v>
      </c>
      <c r="BD105" s="131" t="n">
        <v>43</v>
      </c>
      <c r="BE105" s="131" t="n">
        <v>0</v>
      </c>
      <c r="BF105" s="131" t="n">
        <v>0</v>
      </c>
      <c r="BG105" s="131" t="n">
        <v>0</v>
      </c>
      <c r="BH105" s="131" t="n">
        <v>86</v>
      </c>
      <c r="BI105" s="131" t="n">
        <v>0</v>
      </c>
      <c r="BJ105" s="131" t="n">
        <v>0</v>
      </c>
      <c r="BK105" s="131" t="n">
        <v>0</v>
      </c>
      <c r="BL105" s="131" t="n">
        <v>0</v>
      </c>
      <c r="BM105" s="131" t="n">
        <v>0</v>
      </c>
      <c r="BN105" s="131" t="n">
        <v>0</v>
      </c>
      <c r="BO105" s="131" t="n">
        <v>1030.783</v>
      </c>
    </row>
    <row r="106" customFormat="false" ht="15" hidden="false" customHeight="true" outlineLevel="0" collapsed="false">
      <c r="A106" s="131" t="n">
        <v>2325</v>
      </c>
      <c r="B106" s="131"/>
      <c r="C106" s="132" t="s">
        <v>329</v>
      </c>
      <c r="D106" s="133" t="s">
        <v>329</v>
      </c>
      <c r="E106" s="134" t="n">
        <f aca="false">IF(I106="regional",IF(R106*0.2975,S106*0.3484),S106*0.1939)</f>
        <v>73875.9</v>
      </c>
      <c r="F106" s="134" t="n">
        <v>376250</v>
      </c>
      <c r="G106" s="135" t="n">
        <f aca="false">E106+F106</f>
        <v>450125.9</v>
      </c>
      <c r="H106" s="132"/>
      <c r="I106" s="133" t="s">
        <v>62</v>
      </c>
      <c r="J106" s="133"/>
      <c r="K106" s="133" t="s">
        <v>328</v>
      </c>
      <c r="L106" s="133" t="s">
        <v>44</v>
      </c>
      <c r="M106" s="136" t="n">
        <v>0</v>
      </c>
      <c r="N106" s="136" t="n">
        <v>0.837</v>
      </c>
      <c r="O106" s="136" t="n">
        <v>0.84</v>
      </c>
      <c r="P106" s="136" t="n">
        <v>0.902</v>
      </c>
      <c r="Q106" s="136" t="n">
        <v>0.891</v>
      </c>
      <c r="R106" s="136" t="n">
        <v>0</v>
      </c>
      <c r="S106" s="136" t="n">
        <v>381000</v>
      </c>
      <c r="T106" s="8" t="n">
        <f aca="false">IF(I106="regional",IF(R106&gt;0,R106*0.2975,S106*0.3484),S106*0.1939)</f>
        <v>73875.9</v>
      </c>
      <c r="U106" s="136" t="n">
        <v>293855</v>
      </c>
      <c r="V106" s="136" t="n">
        <v>87145</v>
      </c>
      <c r="W106" s="136" t="n">
        <v>0</v>
      </c>
      <c r="X106" s="136" t="n">
        <v>450125.9</v>
      </c>
      <c r="Y106" s="136" t="n">
        <v>73875.9</v>
      </c>
      <c r="Z106" s="136" t="n">
        <v>376250</v>
      </c>
      <c r="AA106" s="136" t="n">
        <v>4750</v>
      </c>
      <c r="AB106" s="136" t="n">
        <v>0</v>
      </c>
      <c r="AC106" s="136" t="n">
        <v>4750</v>
      </c>
      <c r="AD106" s="136" t="n">
        <v>0</v>
      </c>
      <c r="AE106" s="136" t="n">
        <v>376250</v>
      </c>
      <c r="AF106" s="136" t="n">
        <v>0</v>
      </c>
      <c r="AG106" s="136" t="n">
        <v>4750</v>
      </c>
      <c r="AH106" s="136" t="n">
        <v>0</v>
      </c>
      <c r="AI106" s="136" t="n">
        <v>0</v>
      </c>
      <c r="AJ106" s="132" t="s">
        <v>707</v>
      </c>
      <c r="AK106" s="132" t="s">
        <v>708</v>
      </c>
      <c r="AL106" s="133" t="s">
        <v>62</v>
      </c>
      <c r="AM106" s="132"/>
      <c r="AN106" s="133" t="s">
        <v>329</v>
      </c>
      <c r="AO106" s="133" t="n">
        <v>450125.9</v>
      </c>
      <c r="AP106" s="137" t="n">
        <f aca="false">AR106+AT106+AU106+AV106+AX106+AY106+AZ106+BD106+BF106+BG106+BH106+BJ106+BK106+(BL106+BM106+BN106)/1000+(0.1*BO106)</f>
        <v>16.487696</v>
      </c>
      <c r="AQ106" s="137" t="n">
        <f aca="false">AR106+AT106+AU106+AV106+AX106+AY106+AZ106+BB106+BC106+BD106+BF106+BG106+BH106+BJ106+BK106+(BL106+BM106+BN106)/1000+(0.1*BO106)</f>
        <v>32.487696</v>
      </c>
      <c r="AR106" s="158" t="n">
        <v>0</v>
      </c>
      <c r="AS106" s="158" t="n">
        <v>0</v>
      </c>
      <c r="AT106" s="158" t="n">
        <v>8</v>
      </c>
      <c r="AU106" s="158" t="n">
        <v>4</v>
      </c>
      <c r="AV106" s="131" t="n">
        <v>0</v>
      </c>
      <c r="AW106" s="131" t="n">
        <v>0</v>
      </c>
      <c r="AX106" s="131" t="n">
        <v>0</v>
      </c>
      <c r="AY106" s="131" t="n">
        <v>0</v>
      </c>
      <c r="AZ106" s="158" t="n">
        <v>0</v>
      </c>
      <c r="BA106" s="158" t="n">
        <v>0</v>
      </c>
      <c r="BB106" s="158" t="n">
        <v>13</v>
      </c>
      <c r="BC106" s="158" t="n">
        <v>3</v>
      </c>
      <c r="BD106" s="158" t="n">
        <v>0</v>
      </c>
      <c r="BE106" s="158" t="n">
        <v>0</v>
      </c>
      <c r="BF106" s="158" t="n">
        <v>0</v>
      </c>
      <c r="BG106" s="158" t="n">
        <v>0</v>
      </c>
      <c r="BH106" s="158" t="n">
        <v>0</v>
      </c>
      <c r="BI106" s="158" t="n">
        <v>0</v>
      </c>
      <c r="BJ106" s="158" t="n">
        <v>0</v>
      </c>
      <c r="BK106" s="158" t="n">
        <v>0</v>
      </c>
      <c r="BL106" s="131" t="n">
        <v>0</v>
      </c>
      <c r="BM106" s="131" t="n">
        <v>0</v>
      </c>
      <c r="BN106" s="131" t="n">
        <v>0</v>
      </c>
      <c r="BO106" s="131" t="n">
        <v>44.87696</v>
      </c>
      <c r="BP106" s="159"/>
      <c r="BQ106" s="159"/>
      <c r="BR106" s="159"/>
      <c r="BS106" s="159"/>
      <c r="BT106" s="159"/>
      <c r="BU106" s="159"/>
      <c r="BV106" s="159"/>
      <c r="BW106" s="159"/>
      <c r="BX106" s="159"/>
      <c r="BY106" s="159"/>
      <c r="BZ106" s="159"/>
      <c r="CA106" s="159"/>
      <c r="CB106" s="159"/>
      <c r="CC106" s="159"/>
      <c r="CD106" s="159"/>
      <c r="CE106" s="159"/>
      <c r="CF106" s="159"/>
      <c r="CG106" s="159"/>
      <c r="CH106" s="159"/>
      <c r="CI106" s="159"/>
      <c r="CJ106" s="159"/>
      <c r="CK106" s="159"/>
      <c r="CL106" s="159"/>
      <c r="CM106" s="159"/>
      <c r="CN106" s="159"/>
      <c r="CO106" s="159"/>
      <c r="CP106" s="159"/>
      <c r="CQ106" s="159"/>
      <c r="CR106" s="159"/>
      <c r="CS106" s="159"/>
      <c r="CT106" s="159"/>
      <c r="CU106" s="159"/>
      <c r="CV106" s="159"/>
      <c r="CW106" s="159"/>
      <c r="CX106" s="159"/>
      <c r="CY106" s="159"/>
      <c r="CZ106" s="159"/>
      <c r="DA106" s="159"/>
      <c r="DB106" s="179"/>
      <c r="DC106" s="179"/>
      <c r="DD106" s="179"/>
      <c r="DE106" s="179"/>
      <c r="DF106" s="179"/>
      <c r="DG106" s="179"/>
      <c r="DH106" s="179"/>
      <c r="DI106" s="179"/>
      <c r="DJ106" s="179"/>
      <c r="DK106" s="179"/>
      <c r="DL106" s="179"/>
      <c r="DM106" s="179"/>
      <c r="DN106" s="179"/>
      <c r="DO106" s="179"/>
      <c r="DP106" s="179"/>
      <c r="DQ106" s="179"/>
      <c r="DR106" s="179"/>
      <c r="DS106" s="179"/>
      <c r="DT106" s="179"/>
      <c r="DU106" s="179"/>
      <c r="DV106" s="179"/>
      <c r="DW106" s="179"/>
      <c r="DX106" s="179"/>
      <c r="DY106" s="179"/>
      <c r="DZ106" s="179"/>
      <c r="EA106" s="179"/>
      <c r="EB106" s="179"/>
      <c r="EC106" s="179"/>
      <c r="ED106" s="179"/>
      <c r="EE106" s="179"/>
      <c r="EF106" s="179"/>
      <c r="EG106" s="179"/>
      <c r="EH106" s="179"/>
      <c r="EI106" s="179"/>
      <c r="EJ106" s="179"/>
      <c r="EK106" s="179"/>
      <c r="EL106" s="179"/>
      <c r="EM106" s="179"/>
      <c r="EN106" s="179"/>
      <c r="EO106" s="179"/>
      <c r="EP106" s="179"/>
      <c r="EQ106" s="179"/>
      <c r="ER106" s="179"/>
      <c r="ES106" s="179"/>
      <c r="ET106" s="179"/>
      <c r="EU106" s="179"/>
      <c r="EV106" s="179"/>
      <c r="EW106" s="179"/>
      <c r="EX106" s="179"/>
      <c r="EY106" s="179"/>
      <c r="EZ106" s="179"/>
      <c r="FA106" s="179"/>
      <c r="FB106" s="179"/>
      <c r="FC106" s="179"/>
      <c r="FD106" s="179"/>
      <c r="FE106" s="179"/>
      <c r="FF106" s="179"/>
      <c r="FG106" s="179"/>
      <c r="FH106" s="179"/>
      <c r="FI106" s="179"/>
      <c r="FJ106" s="179"/>
      <c r="FK106" s="179"/>
      <c r="FL106" s="179"/>
      <c r="FM106" s="179"/>
      <c r="FN106" s="179"/>
      <c r="FO106" s="179"/>
      <c r="FP106" s="179"/>
      <c r="FQ106" s="179"/>
      <c r="FR106" s="179"/>
      <c r="FS106" s="179"/>
      <c r="FT106" s="179"/>
      <c r="FU106" s="179"/>
      <c r="FV106" s="179"/>
      <c r="FW106" s="179"/>
      <c r="FX106" s="179"/>
      <c r="FY106" s="179"/>
      <c r="FZ106" s="179"/>
      <c r="GA106" s="179"/>
      <c r="GB106" s="179"/>
      <c r="GC106" s="179"/>
      <c r="GD106" s="179"/>
      <c r="GE106" s="179"/>
      <c r="GF106" s="179"/>
      <c r="GG106" s="179"/>
      <c r="GH106" s="179"/>
      <c r="GI106" s="179"/>
      <c r="GJ106" s="179"/>
      <c r="GK106" s="179"/>
      <c r="GL106" s="179"/>
      <c r="GM106" s="179"/>
      <c r="GN106" s="179"/>
      <c r="GO106" s="179"/>
      <c r="GP106" s="179"/>
      <c r="GQ106" s="179"/>
      <c r="GR106" s="179"/>
      <c r="GS106" s="179"/>
      <c r="GT106" s="179"/>
      <c r="GU106" s="179"/>
      <c r="GV106" s="179"/>
      <c r="GW106" s="179"/>
      <c r="GX106" s="179"/>
      <c r="GY106" s="179"/>
      <c r="GZ106" s="179"/>
      <c r="HA106" s="179"/>
      <c r="HB106" s="179"/>
      <c r="HC106" s="179"/>
      <c r="HD106" s="179"/>
      <c r="HE106" s="179"/>
      <c r="HF106" s="179"/>
      <c r="HG106" s="179"/>
      <c r="HH106" s="179"/>
      <c r="HI106" s="179"/>
      <c r="HJ106" s="179"/>
      <c r="HK106" s="179"/>
      <c r="HL106" s="179"/>
      <c r="HM106" s="179"/>
      <c r="HN106" s="179"/>
      <c r="HO106" s="179"/>
      <c r="HP106" s="179"/>
      <c r="HQ106" s="179"/>
      <c r="HR106" s="179"/>
      <c r="HS106" s="179"/>
      <c r="HT106" s="179"/>
      <c r="HU106" s="179"/>
      <c r="HV106" s="179"/>
      <c r="HW106" s="179"/>
      <c r="HX106" s="179"/>
      <c r="HY106" s="179"/>
      <c r="HZ106" s="179"/>
      <c r="IA106" s="179"/>
      <c r="IB106" s="179"/>
      <c r="IC106" s="179"/>
      <c r="ID106" s="179"/>
      <c r="IE106" s="179"/>
      <c r="IF106" s="179"/>
    </row>
    <row r="107" customFormat="false" ht="15" hidden="false" customHeight="true" outlineLevel="0" collapsed="false">
      <c r="A107" s="151" t="n">
        <v>4848</v>
      </c>
      <c r="B107" s="151"/>
      <c r="C107" s="152" t="s">
        <v>736</v>
      </c>
      <c r="D107" s="140" t="s">
        <v>736</v>
      </c>
      <c r="E107" s="134" t="n">
        <f aca="false">IF(I107="regional",IF(R107*0.2975,S107*0.3484),S107*0.1939)</f>
        <v>67506.6728</v>
      </c>
      <c r="F107" s="141"/>
      <c r="G107" s="135" t="n">
        <f aca="false">E107+F107</f>
        <v>67506.6728</v>
      </c>
      <c r="H107" s="139"/>
      <c r="I107" s="140" t="s">
        <v>718</v>
      </c>
      <c r="J107" s="140"/>
      <c r="K107" s="140"/>
      <c r="L107" s="140"/>
      <c r="M107" s="142"/>
      <c r="N107" s="142"/>
      <c r="O107" s="142"/>
      <c r="P107" s="142"/>
      <c r="Q107" s="142"/>
      <c r="R107" s="142"/>
      <c r="S107" s="142" t="n">
        <v>348152</v>
      </c>
      <c r="T107" s="8" t="n">
        <f aca="false">IF(I107="regional",IF(R107&gt;0,R107*0.2975,S107*0.3484),S107*0.1939)</f>
        <v>67506.6728</v>
      </c>
      <c r="U107" s="142"/>
      <c r="V107" s="142"/>
      <c r="W107" s="142"/>
      <c r="X107" s="142"/>
      <c r="Y107" s="142"/>
      <c r="Z107" s="142"/>
      <c r="AA107" s="142"/>
      <c r="AB107" s="142"/>
      <c r="AC107" s="142"/>
      <c r="AD107" s="142"/>
      <c r="AE107" s="142"/>
      <c r="AF107" s="142"/>
      <c r="AG107" s="142"/>
      <c r="AH107" s="142"/>
      <c r="AI107" s="142"/>
      <c r="AJ107" s="139" t="s">
        <v>707</v>
      </c>
      <c r="AK107" s="139" t="s">
        <v>712</v>
      </c>
      <c r="AL107" s="143" t="s">
        <v>737</v>
      </c>
      <c r="AM107" s="139"/>
      <c r="AN107" s="154" t="s">
        <v>736</v>
      </c>
      <c r="AO107" s="154" t="n">
        <v>0</v>
      </c>
      <c r="AP107" s="155" t="n">
        <v>0</v>
      </c>
      <c r="AQ107" s="137" t="n">
        <f aca="false">AR107+AT107+AU107+AV107+AX107+AY107+AZ107+BB107+BC107+BD107+BF107+BG107+BH107+BJ107+BK107+(BL107+BM107+BN107)/1000+(0.1*BO107)</f>
        <v>593</v>
      </c>
      <c r="AR107" s="156" t="n">
        <v>0</v>
      </c>
      <c r="AS107" s="156" t="n">
        <v>0</v>
      </c>
      <c r="AT107" s="156" t="n">
        <v>502</v>
      </c>
      <c r="AU107" s="156" t="n">
        <v>0</v>
      </c>
      <c r="AV107" s="131" t="n">
        <v>0</v>
      </c>
      <c r="AW107" s="131" t="n">
        <v>0</v>
      </c>
      <c r="AX107" s="131" t="n">
        <v>0</v>
      </c>
      <c r="AY107" s="131" t="n">
        <v>0</v>
      </c>
      <c r="AZ107" s="156" t="n">
        <v>0</v>
      </c>
      <c r="BA107" s="156" t="n">
        <v>0</v>
      </c>
      <c r="BB107" s="156" t="n">
        <v>70</v>
      </c>
      <c r="BC107" s="156" t="n">
        <v>0</v>
      </c>
      <c r="BD107" s="180" t="n">
        <v>0</v>
      </c>
      <c r="BE107" s="180" t="n">
        <v>0</v>
      </c>
      <c r="BF107" s="180" t="n">
        <v>0</v>
      </c>
      <c r="BG107" s="180" t="n">
        <v>0</v>
      </c>
      <c r="BH107" s="156" t="n">
        <v>21</v>
      </c>
      <c r="BI107" s="156" t="n">
        <v>0</v>
      </c>
      <c r="BJ107" s="156" t="n">
        <v>0</v>
      </c>
      <c r="BK107" s="156" t="n">
        <v>0</v>
      </c>
      <c r="BL107" s="138" t="n">
        <v>0</v>
      </c>
      <c r="BM107" s="138" t="n">
        <v>0</v>
      </c>
      <c r="BN107" s="138" t="n">
        <v>0</v>
      </c>
      <c r="BO107" s="151" t="n">
        <v>0</v>
      </c>
    </row>
    <row r="108" customFormat="false" ht="15" hidden="false" customHeight="true" outlineLevel="0" collapsed="false">
      <c r="A108" s="131" t="n">
        <v>4827</v>
      </c>
      <c r="B108" s="131"/>
      <c r="C108" s="132" t="s">
        <v>738</v>
      </c>
      <c r="D108" s="133" t="s">
        <v>666</v>
      </c>
      <c r="E108" s="134" t="n">
        <f aca="false">IF(I108="regional",IF(R108*0.2975,S108*0.3484),S108*0.1939)</f>
        <v>505180</v>
      </c>
      <c r="F108" s="134" t="n">
        <v>841000</v>
      </c>
      <c r="G108" s="135" t="n">
        <f aca="false">E108+F108</f>
        <v>1346180</v>
      </c>
      <c r="H108" s="132"/>
      <c r="I108" s="133" t="s">
        <v>48</v>
      </c>
      <c r="J108" s="133" t="s">
        <v>49</v>
      </c>
      <c r="K108" s="133" t="s">
        <v>277</v>
      </c>
      <c r="L108" s="133" t="s">
        <v>44</v>
      </c>
      <c r="M108" s="136" t="n">
        <v>260</v>
      </c>
      <c r="N108" s="136" t="n">
        <v>0.954</v>
      </c>
      <c r="O108" s="136" t="n">
        <v>0.962</v>
      </c>
      <c r="P108" s="136" t="n">
        <v>0.925</v>
      </c>
      <c r="Q108" s="136" t="n">
        <v>0.952</v>
      </c>
      <c r="R108" s="136" t="n">
        <v>2062167</v>
      </c>
      <c r="S108" s="136" t="n">
        <v>1450000</v>
      </c>
      <c r="T108" s="8" t="n">
        <f aca="false">IF(I108="regional",IF(R108&gt;0,R108*0.2975,S108*0.3484),S108*0.1939)</f>
        <v>613494.6825</v>
      </c>
      <c r="U108" s="136" t="n">
        <v>777000</v>
      </c>
      <c r="V108" s="136" t="n">
        <v>673000</v>
      </c>
      <c r="W108" s="136" t="n">
        <v>7000</v>
      </c>
      <c r="X108" s="136" t="n">
        <v>1454494.683</v>
      </c>
      <c r="Y108" s="136" t="n">
        <v>613494.6825</v>
      </c>
      <c r="Z108" s="136" t="n">
        <v>841000</v>
      </c>
      <c r="AA108" s="136" t="n">
        <v>609000</v>
      </c>
      <c r="AB108" s="136" t="n">
        <v>0</v>
      </c>
      <c r="AC108" s="136" t="n">
        <v>609000</v>
      </c>
      <c r="AD108" s="136" t="n">
        <v>0</v>
      </c>
      <c r="AE108" s="136" t="n">
        <v>841000</v>
      </c>
      <c r="AF108" s="136" t="n">
        <v>0</v>
      </c>
      <c r="AG108" s="136" t="n">
        <v>609000</v>
      </c>
      <c r="AH108" s="136" t="n">
        <v>0</v>
      </c>
      <c r="AI108" s="136" t="n">
        <v>0</v>
      </c>
      <c r="AJ108" s="132" t="s">
        <v>707</v>
      </c>
      <c r="AK108" s="132" t="s">
        <v>712</v>
      </c>
      <c r="AL108" s="133" t="s">
        <v>48</v>
      </c>
      <c r="AM108" s="132"/>
      <c r="AN108" s="133" t="s">
        <v>666</v>
      </c>
      <c r="AO108" s="133" t="n">
        <v>1454494.6825</v>
      </c>
      <c r="AP108" s="137" t="n">
        <f aca="false">AR108+AT108+AU108+AV108+AX108+AY108+AZ108+BD108+BF108+BG108+BH108+BJ108+BK108+(BL108+BM108+BN108)/1000+(0.1*BO108)</f>
        <v>909.0655</v>
      </c>
      <c r="AQ108" s="137" t="n">
        <f aca="false">AR108+AT108+AU108+AV108+AX108+AY108+AZ108+BB108+BC108+BD108+BF108+BG108+BH108+BJ108+BK108+(BL108+BM108+BN108)/1000+(0.1*BO108)</f>
        <v>1020.0655</v>
      </c>
      <c r="AR108" s="131" t="n">
        <v>272</v>
      </c>
      <c r="AS108" s="131" t="n">
        <v>43</v>
      </c>
      <c r="AT108" s="131" t="n">
        <v>471</v>
      </c>
      <c r="AU108" s="131" t="n">
        <v>16</v>
      </c>
      <c r="AV108" s="131" t="n">
        <v>0</v>
      </c>
      <c r="AW108" s="131" t="n">
        <v>0</v>
      </c>
      <c r="AX108" s="131" t="n">
        <v>2</v>
      </c>
      <c r="AY108" s="131" t="n">
        <v>0</v>
      </c>
      <c r="AZ108" s="131" t="n">
        <v>50</v>
      </c>
      <c r="BA108" s="131" t="n">
        <v>320</v>
      </c>
      <c r="BB108" s="131" t="n">
        <v>111</v>
      </c>
      <c r="BC108" s="131" t="n">
        <v>0</v>
      </c>
      <c r="BD108" s="131" t="n">
        <v>46</v>
      </c>
      <c r="BE108" s="131" t="n">
        <v>2</v>
      </c>
      <c r="BF108" s="131" t="n">
        <v>0</v>
      </c>
      <c r="BG108" s="131" t="n">
        <v>0</v>
      </c>
      <c r="BH108" s="131" t="n">
        <v>46</v>
      </c>
      <c r="BI108" s="131" t="n">
        <v>0</v>
      </c>
      <c r="BJ108" s="131" t="n">
        <v>0</v>
      </c>
      <c r="BK108" s="131" t="n">
        <v>0</v>
      </c>
      <c r="BL108" s="131" t="n">
        <v>0</v>
      </c>
      <c r="BM108" s="131" t="n">
        <v>0</v>
      </c>
      <c r="BN108" s="131" t="n">
        <v>0</v>
      </c>
      <c r="BO108" s="131" t="n">
        <v>60.655</v>
      </c>
    </row>
    <row r="109" customFormat="false" ht="15" hidden="false" customHeight="true" outlineLevel="0" collapsed="false">
      <c r="A109" s="131" t="n">
        <v>9080</v>
      </c>
      <c r="B109" s="131"/>
      <c r="C109" s="132" t="s">
        <v>332</v>
      </c>
      <c r="D109" s="133" t="s">
        <v>332</v>
      </c>
      <c r="E109" s="134" t="n">
        <f aca="false">IF(I109="regional",IF(R109*0.2975,S109*0.3484),S109*0.1939)</f>
        <v>39003.7606</v>
      </c>
      <c r="F109" s="134" t="n">
        <v>0</v>
      </c>
      <c r="G109" s="135" t="n">
        <f aca="false">E109+F109</f>
        <v>39003.7606</v>
      </c>
      <c r="H109" s="132"/>
      <c r="I109" s="133" t="s">
        <v>62</v>
      </c>
      <c r="J109" s="133" t="s">
        <v>49</v>
      </c>
      <c r="K109" s="133" t="s">
        <v>334</v>
      </c>
      <c r="L109" s="133"/>
      <c r="M109" s="136" t="n">
        <v>9</v>
      </c>
      <c r="N109" s="136" t="n">
        <v>0.986</v>
      </c>
      <c r="O109" s="136" t="n">
        <v>0.986</v>
      </c>
      <c r="P109" s="136" t="n">
        <v>0.956</v>
      </c>
      <c r="Q109" s="136" t="n">
        <v>0.868</v>
      </c>
      <c r="R109" s="136" t="n">
        <v>0</v>
      </c>
      <c r="S109" s="136" t="n">
        <v>201154</v>
      </c>
      <c r="T109" s="8" t="n">
        <f aca="false">IF(I109="regional",IF(R109&gt;0,R109*0.2975,S109*0.3484),S109*0.1939)</f>
        <v>39003.7606</v>
      </c>
      <c r="U109" s="136" t="n">
        <v>140860</v>
      </c>
      <c r="V109" s="136" t="n">
        <v>60294</v>
      </c>
      <c r="W109" s="136" t="n">
        <v>1000</v>
      </c>
      <c r="X109" s="136" t="n">
        <v>0</v>
      </c>
      <c r="Y109" s="136" t="n">
        <v>0</v>
      </c>
      <c r="Z109" s="136" t="n">
        <v>0</v>
      </c>
      <c r="AA109" s="136" t="n">
        <v>240157.7606</v>
      </c>
      <c r="AB109" s="136" t="n">
        <v>39003.7606</v>
      </c>
      <c r="AC109" s="136" t="n">
        <v>201154</v>
      </c>
      <c r="AD109" s="136" t="n">
        <v>0</v>
      </c>
      <c r="AE109" s="136" t="n">
        <v>0</v>
      </c>
      <c r="AF109" s="136" t="n">
        <v>0</v>
      </c>
      <c r="AG109" s="136" t="n">
        <v>201154</v>
      </c>
      <c r="AH109" s="136" t="n">
        <v>0</v>
      </c>
      <c r="AI109" s="136" t="n">
        <v>0</v>
      </c>
      <c r="AJ109" s="132" t="n">
        <v>4</v>
      </c>
      <c r="AK109" s="132" t="s">
        <v>720</v>
      </c>
      <c r="AL109" s="133" t="s">
        <v>62</v>
      </c>
      <c r="AM109" s="132"/>
      <c r="AN109" s="133" t="s">
        <v>332</v>
      </c>
      <c r="AO109" s="133" t="n">
        <v>39003.7606</v>
      </c>
      <c r="AP109" s="137" t="n">
        <f aca="false">AR109+AT109+AU109+AV109+AX109+AY109+AZ109+BD109+BF109+BG109+BH109+BJ109+BK109+(BL109+BM109+BN109)/1000+(0.1*BO109)</f>
        <v>7</v>
      </c>
      <c r="AQ109" s="137" t="n">
        <f aca="false">AR109+AT109+AU109+AV109+AX109+AY109+AZ109+BB109+BC109+BD109+BF109+BG109+BH109+BJ109+BK109+(BL109+BM109+BN109)/1000+(0.1*BO109)</f>
        <v>-9</v>
      </c>
      <c r="AR109" s="131" t="n">
        <v>0</v>
      </c>
      <c r="AS109" s="131" t="n">
        <v>0</v>
      </c>
      <c r="AT109" s="131" t="n">
        <v>6</v>
      </c>
      <c r="AU109" s="131" t="n">
        <v>1</v>
      </c>
      <c r="AV109" s="131" t="n">
        <v>0</v>
      </c>
      <c r="AW109" s="131" t="n">
        <v>0</v>
      </c>
      <c r="AX109" s="131" t="n">
        <v>0</v>
      </c>
      <c r="AY109" s="131" t="n">
        <v>0</v>
      </c>
      <c r="AZ109" s="131" t="n">
        <v>0</v>
      </c>
      <c r="BA109" s="131" t="n">
        <v>0</v>
      </c>
      <c r="BB109" s="131" t="n">
        <v>3</v>
      </c>
      <c r="BC109" s="131" t="n">
        <v>-19</v>
      </c>
      <c r="BD109" s="131" t="n">
        <v>0</v>
      </c>
      <c r="BE109" s="131" t="n">
        <v>0</v>
      </c>
      <c r="BF109" s="131" t="n">
        <v>0</v>
      </c>
      <c r="BG109" s="131" t="n">
        <v>0</v>
      </c>
      <c r="BH109" s="131" t="n">
        <v>0</v>
      </c>
      <c r="BI109" s="131" t="n">
        <v>0</v>
      </c>
      <c r="BJ109" s="131" t="n">
        <v>0</v>
      </c>
      <c r="BK109" s="131" t="n">
        <v>0</v>
      </c>
      <c r="BL109" s="131" t="n">
        <v>0</v>
      </c>
      <c r="BM109" s="131" t="n">
        <v>0</v>
      </c>
      <c r="BN109" s="131" t="n">
        <v>0</v>
      </c>
      <c r="BO109" s="131" t="n">
        <v>0</v>
      </c>
    </row>
    <row r="110" customFormat="false" ht="15" hidden="false" customHeight="true" outlineLevel="0" collapsed="false">
      <c r="A110" s="131" t="n">
        <v>9075</v>
      </c>
      <c r="B110" s="131"/>
      <c r="C110" s="132" t="s">
        <v>335</v>
      </c>
      <c r="D110" s="133" t="s">
        <v>335</v>
      </c>
      <c r="E110" s="134" t="n">
        <f aca="false">IF(I110="regional",IF(R110*0.2975,S110*0.3484),S110*0.1939)</f>
        <v>260656.1568</v>
      </c>
      <c r="F110" s="134" t="n">
        <v>0</v>
      </c>
      <c r="G110" s="135" t="n">
        <f aca="false">E110+F110</f>
        <v>260656.1568</v>
      </c>
      <c r="H110" s="132"/>
      <c r="I110" s="133" t="s">
        <v>48</v>
      </c>
      <c r="J110" s="133" t="s">
        <v>49</v>
      </c>
      <c r="K110" s="133" t="s">
        <v>334</v>
      </c>
      <c r="L110" s="133"/>
      <c r="M110" s="136" t="n">
        <v>65</v>
      </c>
      <c r="N110" s="136" t="n">
        <v>0.971</v>
      </c>
      <c r="O110" s="136" t="n">
        <v>0.969</v>
      </c>
      <c r="P110" s="136" t="n">
        <v>0.938</v>
      </c>
      <c r="Q110" s="136" t="n">
        <v>0.868</v>
      </c>
      <c r="R110" s="136" t="n">
        <v>878870</v>
      </c>
      <c r="S110" s="136" t="n">
        <v>748152</v>
      </c>
      <c r="T110" s="8" t="n">
        <f aca="false">IF(I110="regional",IF(R110&gt;0,R110*0.2975,S110*0.3484),S110*0.1939)</f>
        <v>261463.825</v>
      </c>
      <c r="U110" s="136" t="n">
        <v>748421</v>
      </c>
      <c r="V110" s="136" t="n">
        <v>-269</v>
      </c>
      <c r="W110" s="136" t="n">
        <v>4477</v>
      </c>
      <c r="X110" s="136" t="n">
        <v>0</v>
      </c>
      <c r="Y110" s="136" t="n">
        <v>0</v>
      </c>
      <c r="Z110" s="136" t="n">
        <v>0</v>
      </c>
      <c r="AA110" s="136" t="n">
        <v>1009615.825</v>
      </c>
      <c r="AB110" s="136" t="n">
        <v>261463.825</v>
      </c>
      <c r="AC110" s="136" t="n">
        <v>748152</v>
      </c>
      <c r="AD110" s="136" t="n">
        <v>0</v>
      </c>
      <c r="AE110" s="136" t="n">
        <v>0</v>
      </c>
      <c r="AF110" s="136" t="n">
        <v>0</v>
      </c>
      <c r="AG110" s="136" t="n">
        <v>748152</v>
      </c>
      <c r="AH110" s="136" t="n">
        <v>0</v>
      </c>
      <c r="AI110" s="136" t="n">
        <v>0</v>
      </c>
      <c r="AJ110" s="132" t="n">
        <v>4</v>
      </c>
      <c r="AK110" s="132" t="s">
        <v>720</v>
      </c>
      <c r="AL110" s="133" t="s">
        <v>48</v>
      </c>
      <c r="AM110" s="132"/>
      <c r="AN110" s="133" t="s">
        <v>335</v>
      </c>
      <c r="AO110" s="133" t="n">
        <v>261463.825</v>
      </c>
      <c r="AP110" s="137" t="n">
        <f aca="false">AR110+AT110+AU110+AV110+AX110+AY110+AZ110+BD110+BF110+BG110+BH110+BJ110+BK110+(BL110+BM110+BN110)/1000+(0.1*BO110)</f>
        <v>126.742</v>
      </c>
      <c r="AQ110" s="137" t="n">
        <f aca="false">AR110+AT110+AU110+AV110+AX110+AY110+AZ110+BB110+BC110+BD110+BF110+BG110+BH110+BJ110+BK110+(BL110+BM110+BN110)/1000+(0.1*BO110)</f>
        <v>214.742</v>
      </c>
      <c r="AR110" s="131" t="n">
        <v>0</v>
      </c>
      <c r="AS110" s="131" t="n">
        <v>0</v>
      </c>
      <c r="AT110" s="131" t="n">
        <v>50</v>
      </c>
      <c r="AU110" s="131" t="n">
        <v>19</v>
      </c>
      <c r="AV110" s="131" t="n">
        <v>0</v>
      </c>
      <c r="AW110" s="131" t="n">
        <v>0</v>
      </c>
      <c r="AX110" s="131" t="n">
        <v>10</v>
      </c>
      <c r="AY110" s="131" t="n">
        <v>1</v>
      </c>
      <c r="AZ110" s="131" t="n">
        <v>0</v>
      </c>
      <c r="BA110" s="131" t="n">
        <v>0</v>
      </c>
      <c r="BB110" s="131" t="n">
        <v>56</v>
      </c>
      <c r="BC110" s="131" t="n">
        <v>32</v>
      </c>
      <c r="BD110" s="131" t="n">
        <v>0</v>
      </c>
      <c r="BE110" s="131" t="n">
        <v>0</v>
      </c>
      <c r="BF110" s="131" t="n">
        <v>0</v>
      </c>
      <c r="BG110" s="131" t="n">
        <v>0</v>
      </c>
      <c r="BH110" s="131" t="n">
        <v>0</v>
      </c>
      <c r="BI110" s="131" t="n">
        <v>0</v>
      </c>
      <c r="BJ110" s="131" t="n">
        <v>0</v>
      </c>
      <c r="BK110" s="131" t="n">
        <v>0</v>
      </c>
      <c r="BL110" s="131" t="n">
        <v>0</v>
      </c>
      <c r="BM110" s="131" t="n">
        <v>0</v>
      </c>
      <c r="BN110" s="131" t="n">
        <v>46742</v>
      </c>
      <c r="BO110" s="131" t="n">
        <v>0</v>
      </c>
    </row>
    <row r="111" customFormat="false" ht="15" hidden="false" customHeight="true" outlineLevel="0" collapsed="false">
      <c r="A111" s="131" t="n">
        <v>2912</v>
      </c>
      <c r="B111" s="131"/>
      <c r="C111" s="132" t="s">
        <v>336</v>
      </c>
      <c r="D111" s="133" t="s">
        <v>336</v>
      </c>
      <c r="E111" s="134" t="n">
        <f aca="false">IF(I111="regional",IF(R111*0.2975,S111*0.3484),S111*0.1939)</f>
        <v>31285.3772</v>
      </c>
      <c r="F111" s="134" t="n">
        <v>0</v>
      </c>
      <c r="G111" s="135" t="n">
        <f aca="false">E111+F111</f>
        <v>31285.3772</v>
      </c>
      <c r="H111" s="132"/>
      <c r="I111" s="133" t="s">
        <v>62</v>
      </c>
      <c r="J111" s="133" t="s">
        <v>49</v>
      </c>
      <c r="K111" s="133" t="s">
        <v>338</v>
      </c>
      <c r="L111" s="133"/>
      <c r="M111" s="136" t="n">
        <v>10</v>
      </c>
      <c r="N111" s="136" t="n">
        <v>0.851</v>
      </c>
      <c r="O111" s="136" t="n">
        <v>1</v>
      </c>
      <c r="P111" s="136" t="n">
        <v>1</v>
      </c>
      <c r="Q111" s="136" t="n">
        <v>0.805</v>
      </c>
      <c r="R111" s="136" t="n">
        <v>0</v>
      </c>
      <c r="S111" s="136" t="n">
        <v>161348</v>
      </c>
      <c r="T111" s="8" t="n">
        <f aca="false">IF(I111="regional",IF(R111&gt;0,R111*0.2975,S111*0.3484),S111*0.1939)</f>
        <v>31285.3772</v>
      </c>
      <c r="U111" s="136" t="n">
        <v>134935</v>
      </c>
      <c r="V111" s="136" t="n">
        <v>26413</v>
      </c>
      <c r="W111" s="136" t="n">
        <v>685</v>
      </c>
      <c r="X111" s="136" t="n">
        <v>0</v>
      </c>
      <c r="Y111" s="136" t="n">
        <v>0</v>
      </c>
      <c r="Z111" s="136" t="n">
        <v>0</v>
      </c>
      <c r="AA111" s="136" t="n">
        <v>192633.3772</v>
      </c>
      <c r="AB111" s="136" t="n">
        <v>31285.3772</v>
      </c>
      <c r="AC111" s="136" t="n">
        <v>161348</v>
      </c>
      <c r="AD111" s="136" t="n">
        <v>0</v>
      </c>
      <c r="AE111" s="136" t="n">
        <v>0</v>
      </c>
      <c r="AF111" s="136" t="n">
        <v>0</v>
      </c>
      <c r="AG111" s="136" t="n">
        <v>161348</v>
      </c>
      <c r="AH111" s="136" t="n">
        <v>0</v>
      </c>
      <c r="AI111" s="136" t="n">
        <v>0</v>
      </c>
      <c r="AJ111" s="132" t="n">
        <v>4</v>
      </c>
      <c r="AK111" s="132" t="s">
        <v>706</v>
      </c>
      <c r="AL111" s="133" t="s">
        <v>62</v>
      </c>
      <c r="AM111" s="132"/>
      <c r="AN111" s="133" t="s">
        <v>336</v>
      </c>
      <c r="AO111" s="133" t="n">
        <v>31285.3772</v>
      </c>
      <c r="AP111" s="137" t="n">
        <f aca="false">AR111+AT111+AU111+AV111+AX111+AY111+AZ111+BD111+BF111+BG111+BH111+BJ111+BK111+(BL111+BM111+BN111)/1000+(0.1*BO111)</f>
        <v>19.6385</v>
      </c>
      <c r="AQ111" s="137" t="n">
        <f aca="false">AR111+AT111+AU111+AV111+AX111+AY111+AZ111+BB111+BC111+BD111+BF111+BG111+BH111+BJ111+BK111+(BL111+BM111+BN111)/1000+(0.1*BO111)</f>
        <v>20.6385</v>
      </c>
      <c r="AR111" s="131" t="n">
        <v>0</v>
      </c>
      <c r="AS111" s="131" t="n">
        <v>0</v>
      </c>
      <c r="AT111" s="131" t="n">
        <v>12</v>
      </c>
      <c r="AU111" s="131" t="n">
        <v>1</v>
      </c>
      <c r="AV111" s="131" t="n">
        <v>0</v>
      </c>
      <c r="AW111" s="131" t="n">
        <v>0</v>
      </c>
      <c r="AX111" s="131" t="n">
        <v>0</v>
      </c>
      <c r="AY111" s="131" t="n">
        <v>0</v>
      </c>
      <c r="AZ111" s="131" t="n">
        <v>0</v>
      </c>
      <c r="BA111" s="131" t="n">
        <v>0</v>
      </c>
      <c r="BB111" s="131" t="n">
        <v>1</v>
      </c>
      <c r="BC111" s="131" t="n">
        <v>0</v>
      </c>
      <c r="BD111" s="131" t="n">
        <v>0</v>
      </c>
      <c r="BE111" s="131" t="n">
        <v>0</v>
      </c>
      <c r="BF111" s="131" t="n">
        <v>0</v>
      </c>
      <c r="BG111" s="131" t="n">
        <v>0</v>
      </c>
      <c r="BH111" s="131" t="n">
        <v>0</v>
      </c>
      <c r="BI111" s="131" t="n">
        <v>0</v>
      </c>
      <c r="BJ111" s="131" t="n">
        <v>0</v>
      </c>
      <c r="BK111" s="131" t="n">
        <v>0</v>
      </c>
      <c r="BL111" s="131" t="n">
        <v>0</v>
      </c>
      <c r="BM111" s="131" t="n">
        <v>0</v>
      </c>
      <c r="BN111" s="131" t="n">
        <v>0</v>
      </c>
      <c r="BO111" s="131" t="n">
        <v>66.385</v>
      </c>
    </row>
    <row r="112" customFormat="false" ht="15" hidden="false" customHeight="true" outlineLevel="0" collapsed="false">
      <c r="A112" s="131" t="n">
        <v>2340</v>
      </c>
      <c r="B112" s="131"/>
      <c r="C112" s="132" t="s">
        <v>339</v>
      </c>
      <c r="D112" s="133" t="s">
        <v>339</v>
      </c>
      <c r="E112" s="134" t="n">
        <f aca="false">IF(I112="regional",IF(R112*0.2975,S112*0.3484),S112*0.1939)</f>
        <v>149337.8276</v>
      </c>
      <c r="F112" s="134" t="n">
        <v>548228</v>
      </c>
      <c r="G112" s="135" t="n">
        <f aca="false">E112+F112</f>
        <v>697565.8276</v>
      </c>
      <c r="H112" s="132"/>
      <c r="I112" s="133" t="s">
        <v>48</v>
      </c>
      <c r="J112" s="133" t="s">
        <v>49</v>
      </c>
      <c r="K112" s="133" t="s">
        <v>341</v>
      </c>
      <c r="L112" s="133" t="s">
        <v>44</v>
      </c>
      <c r="M112" s="136" t="n">
        <v>68</v>
      </c>
      <c r="N112" s="136" t="n">
        <v>0.93</v>
      </c>
      <c r="O112" s="136" t="n">
        <v>0.93</v>
      </c>
      <c r="P112" s="136" t="n">
        <v>0.939</v>
      </c>
      <c r="Q112" s="136" t="n">
        <v>0.946</v>
      </c>
      <c r="R112" s="136" t="n">
        <v>591387</v>
      </c>
      <c r="S112" s="136" t="n">
        <v>428639</v>
      </c>
      <c r="T112" s="8" t="n">
        <f aca="false">IF(I112="regional",IF(R112&gt;0,R112*0.2975,S112*0.3484),S112*0.1939)</f>
        <v>175937.6325</v>
      </c>
      <c r="U112" s="136" t="n">
        <v>220830</v>
      </c>
      <c r="V112" s="136" t="n">
        <v>207809</v>
      </c>
      <c r="W112" s="136" t="n">
        <v>2000</v>
      </c>
      <c r="X112" s="136" t="n">
        <v>724165.6325</v>
      </c>
      <c r="Y112" s="136" t="n">
        <v>175937.6325</v>
      </c>
      <c r="Z112" s="136" t="n">
        <v>548228</v>
      </c>
      <c r="AA112" s="136" t="n">
        <v>-119589</v>
      </c>
      <c r="AB112" s="136" t="n">
        <v>0</v>
      </c>
      <c r="AC112" s="136" t="n">
        <v>-119589</v>
      </c>
      <c r="AD112" s="136" t="n">
        <v>0</v>
      </c>
      <c r="AE112" s="136" t="n">
        <v>548228</v>
      </c>
      <c r="AF112" s="136" t="n">
        <v>0</v>
      </c>
      <c r="AG112" s="136" t="n">
        <v>-119589</v>
      </c>
      <c r="AH112" s="136" t="n">
        <v>0</v>
      </c>
      <c r="AI112" s="136" t="n">
        <v>0</v>
      </c>
      <c r="AJ112" s="132" t="n">
        <v>4</v>
      </c>
      <c r="AK112" s="132" t="s">
        <v>706</v>
      </c>
      <c r="AL112" s="133" t="s">
        <v>48</v>
      </c>
      <c r="AM112" s="132"/>
      <c r="AN112" s="133" t="s">
        <v>339</v>
      </c>
      <c r="AO112" s="133" t="n">
        <v>724165.6325</v>
      </c>
      <c r="AP112" s="137" t="n">
        <f aca="false">AR112+AT112+AU112+AV112+AX112+AY112+AZ112+BD112+BF112+BG112+BH112+BJ112+BK112+(BL112+BM112+BN112)/1000+(0.1*BO112)</f>
        <v>681.7261</v>
      </c>
      <c r="AQ112" s="137" t="n">
        <f aca="false">AR112+AT112+AU112+AV112+AX112+AY112+AZ112+BB112+BC112+BD112+BF112+BG112+BH112+BJ112+BK112+(BL112+BM112+BN112)/1000+(0.1*BO112)</f>
        <v>716.7261</v>
      </c>
      <c r="AR112" s="131" t="n">
        <v>277</v>
      </c>
      <c r="AS112" s="131" t="n">
        <v>0</v>
      </c>
      <c r="AT112" s="131" t="n">
        <v>99</v>
      </c>
      <c r="AU112" s="131" t="n">
        <v>8</v>
      </c>
      <c r="AV112" s="131" t="n">
        <v>44</v>
      </c>
      <c r="AW112" s="131" t="n">
        <v>5</v>
      </c>
      <c r="AX112" s="131" t="n">
        <v>0</v>
      </c>
      <c r="AY112" s="131" t="n">
        <v>0</v>
      </c>
      <c r="AZ112" s="131" t="n">
        <v>10</v>
      </c>
      <c r="BA112" s="131" t="n">
        <v>6</v>
      </c>
      <c r="BB112" s="131" t="n">
        <v>35</v>
      </c>
      <c r="BC112" s="131" t="n">
        <v>0</v>
      </c>
      <c r="BD112" s="131" t="n">
        <v>45</v>
      </c>
      <c r="BE112" s="131" t="n">
        <v>0</v>
      </c>
      <c r="BF112" s="131" t="n">
        <v>0</v>
      </c>
      <c r="BG112" s="131" t="n">
        <v>0</v>
      </c>
      <c r="BH112" s="131" t="n">
        <v>92</v>
      </c>
      <c r="BI112" s="131" t="n">
        <v>0</v>
      </c>
      <c r="BJ112" s="131" t="n">
        <v>0</v>
      </c>
      <c r="BK112" s="131" t="n">
        <v>0</v>
      </c>
      <c r="BL112" s="131" t="n">
        <v>0</v>
      </c>
      <c r="BM112" s="131" t="n">
        <v>0</v>
      </c>
      <c r="BN112" s="131" t="n">
        <v>24041</v>
      </c>
      <c r="BO112" s="131" t="n">
        <v>826.851</v>
      </c>
    </row>
    <row r="113" customFormat="false" ht="15" hidden="false" customHeight="true" outlineLevel="0" collapsed="false">
      <c r="A113" s="131" t="n">
        <v>4828</v>
      </c>
      <c r="B113" s="131" t="s">
        <v>44</v>
      </c>
      <c r="C113" s="132" t="s">
        <v>739</v>
      </c>
      <c r="D113" s="133" t="s">
        <v>667</v>
      </c>
      <c r="E113" s="134" t="n">
        <f aca="false">IF(I113="regional",IF(R113*0.2975,S113*0.3484),S113*0.1939)</f>
        <v>344916</v>
      </c>
      <c r="F113" s="134" t="n">
        <v>513000</v>
      </c>
      <c r="G113" s="135" t="n">
        <f aca="false">E113+F113</f>
        <v>857916</v>
      </c>
      <c r="H113" s="132"/>
      <c r="I113" s="133" t="s">
        <v>48</v>
      </c>
      <c r="J113" s="133" t="s">
        <v>44</v>
      </c>
      <c r="K113" s="133" t="s">
        <v>345</v>
      </c>
      <c r="L113" s="133" t="s">
        <v>44</v>
      </c>
      <c r="M113" s="136" t="n">
        <v>131</v>
      </c>
      <c r="N113" s="136" t="n">
        <v>0.929</v>
      </c>
      <c r="O113" s="136" t="n">
        <v>0.952</v>
      </c>
      <c r="P113" s="136" t="n">
        <v>0.925</v>
      </c>
      <c r="Q113" s="136" t="n">
        <v>0.952</v>
      </c>
      <c r="R113" s="136" t="n">
        <v>1110031</v>
      </c>
      <c r="S113" s="136" t="n">
        <v>990000</v>
      </c>
      <c r="T113" s="8" t="n">
        <f aca="false">IF(I113="regional",IF(R113&gt;0,R113*0.2975,S113*0.3484),S113*0.1939)</f>
        <v>330234.2225</v>
      </c>
      <c r="U113" s="136" t="n">
        <v>578100</v>
      </c>
      <c r="V113" s="136" t="n">
        <v>411900</v>
      </c>
      <c r="W113" s="136" t="n">
        <v>5774</v>
      </c>
      <c r="X113" s="136" t="n">
        <v>843234.2225</v>
      </c>
      <c r="Y113" s="136" t="n">
        <v>330234.2225</v>
      </c>
      <c r="Z113" s="136" t="n">
        <v>513000</v>
      </c>
      <c r="AA113" s="136" t="n">
        <v>477000</v>
      </c>
      <c r="AB113" s="136" t="n">
        <v>0</v>
      </c>
      <c r="AC113" s="136" t="n">
        <v>477000</v>
      </c>
      <c r="AD113" s="136" t="n">
        <v>513000</v>
      </c>
      <c r="AE113" s="136" t="n">
        <v>0</v>
      </c>
      <c r="AF113" s="136" t="n">
        <v>477000</v>
      </c>
      <c r="AG113" s="136" t="n">
        <v>0</v>
      </c>
      <c r="AH113" s="136" t="n">
        <v>1474000</v>
      </c>
      <c r="AI113" s="136" t="n">
        <v>779000</v>
      </c>
      <c r="AJ113" s="132" t="s">
        <v>715</v>
      </c>
      <c r="AK113" s="132" t="s">
        <v>716</v>
      </c>
      <c r="AL113" s="133" t="s">
        <v>48</v>
      </c>
      <c r="AM113" s="132"/>
      <c r="AN113" s="133" t="s">
        <v>667</v>
      </c>
      <c r="AO113" s="133" t="n">
        <v>843234.2225</v>
      </c>
      <c r="AP113" s="137" t="n">
        <f aca="false">AR113+AT113+AU113+AV113+AX113+AY113+AZ113+BD113+BF113+BG113+BH113+BJ113+BK113+(BL113+BM113+BN113)/1000+(0.1*BO113)</f>
        <v>925.5018</v>
      </c>
      <c r="AQ113" s="137" t="n">
        <f aca="false">AR113+AT113+AU113+AV113+AX113+AY113+AZ113+BB113+BC113+BD113+BF113+BG113+BH113+BJ113+BK113+(BL113+BM113+BN113)/1000+(0.1*BO113)</f>
        <v>926.5018</v>
      </c>
      <c r="AR113" s="131" t="n">
        <v>329</v>
      </c>
      <c r="AS113" s="131" t="n">
        <v>779</v>
      </c>
      <c r="AT113" s="131" t="n">
        <v>394</v>
      </c>
      <c r="AU113" s="131" t="n">
        <v>0</v>
      </c>
      <c r="AV113" s="131" t="n">
        <v>0</v>
      </c>
      <c r="AW113" s="131" t="n">
        <v>0</v>
      </c>
      <c r="AX113" s="131" t="n">
        <v>0</v>
      </c>
      <c r="AY113" s="131" t="n">
        <v>0</v>
      </c>
      <c r="AZ113" s="131" t="n">
        <v>25</v>
      </c>
      <c r="BA113" s="131" t="n">
        <v>67</v>
      </c>
      <c r="BB113" s="131" t="n">
        <v>1</v>
      </c>
      <c r="BC113" s="131" t="n">
        <v>0</v>
      </c>
      <c r="BD113" s="131" t="n">
        <v>36</v>
      </c>
      <c r="BE113" s="131" t="n">
        <v>3</v>
      </c>
      <c r="BF113" s="131" t="n">
        <v>0</v>
      </c>
      <c r="BG113" s="131" t="n">
        <v>0</v>
      </c>
      <c r="BH113" s="131" t="n">
        <v>110</v>
      </c>
      <c r="BI113" s="131" t="n">
        <v>0</v>
      </c>
      <c r="BJ113" s="131" t="n">
        <v>0</v>
      </c>
      <c r="BK113" s="131" t="n">
        <v>0</v>
      </c>
      <c r="BL113" s="131" t="n">
        <v>0</v>
      </c>
      <c r="BM113" s="131" t="n">
        <v>0</v>
      </c>
      <c r="BN113" s="131" t="n">
        <v>0</v>
      </c>
      <c r="BO113" s="131" t="n">
        <v>315.018</v>
      </c>
    </row>
    <row r="114" customFormat="false" ht="15" hidden="false" customHeight="true" outlineLevel="0" collapsed="false">
      <c r="A114" s="131" t="n">
        <v>2356</v>
      </c>
      <c r="B114" s="131" t="s">
        <v>44</v>
      </c>
      <c r="C114" s="132" t="s">
        <v>346</v>
      </c>
      <c r="D114" s="133" t="s">
        <v>346</v>
      </c>
      <c r="E114" s="134" t="n">
        <f aca="false">IF(I114="regional",IF(R114*0.2975,S114*0.3484),S114*0.1939)</f>
        <v>225628.7176</v>
      </c>
      <c r="F114" s="134" t="n">
        <v>0</v>
      </c>
      <c r="G114" s="135" t="n">
        <f aca="false">E114+F114</f>
        <v>225628.7176</v>
      </c>
      <c r="H114" s="132"/>
      <c r="I114" s="133" t="s">
        <v>48</v>
      </c>
      <c r="J114" s="133" t="s">
        <v>44</v>
      </c>
      <c r="K114" s="133" t="s">
        <v>348</v>
      </c>
      <c r="L114" s="133"/>
      <c r="M114" s="136" t="n">
        <v>81</v>
      </c>
      <c r="N114" s="136" t="n">
        <v>0.825</v>
      </c>
      <c r="O114" s="136" t="n">
        <v>0.886</v>
      </c>
      <c r="P114" s="136" t="n">
        <v>0.835</v>
      </c>
      <c r="Q114" s="136" t="n">
        <v>0.86</v>
      </c>
      <c r="R114" s="136" t="n">
        <v>720389</v>
      </c>
      <c r="S114" s="136" t="n">
        <v>647614</v>
      </c>
      <c r="T114" s="8" t="n">
        <f aca="false">IF(I114="regional",IF(R114&gt;0,R114*0.2975,S114*0.3484),S114*0.1939)</f>
        <v>214315.7275</v>
      </c>
      <c r="U114" s="136" t="n">
        <v>437360</v>
      </c>
      <c r="V114" s="136" t="n">
        <v>210254</v>
      </c>
      <c r="W114" s="136" t="n">
        <v>3404</v>
      </c>
      <c r="X114" s="136" t="n">
        <v>0</v>
      </c>
      <c r="Y114" s="136" t="n">
        <v>0</v>
      </c>
      <c r="Z114" s="136" t="n">
        <v>0</v>
      </c>
      <c r="AA114" s="136" t="n">
        <v>861929.7275</v>
      </c>
      <c r="AB114" s="136" t="n">
        <v>214315.7275</v>
      </c>
      <c r="AC114" s="136" t="n">
        <v>647614</v>
      </c>
      <c r="AD114" s="136" t="n">
        <v>0</v>
      </c>
      <c r="AE114" s="136" t="n">
        <v>0</v>
      </c>
      <c r="AF114" s="136" t="n">
        <v>647614</v>
      </c>
      <c r="AG114" s="136" t="n">
        <v>0</v>
      </c>
      <c r="AH114" s="136" t="n">
        <v>335000</v>
      </c>
      <c r="AI114" s="136" t="n">
        <v>290000</v>
      </c>
      <c r="AJ114" s="132" t="s">
        <v>707</v>
      </c>
      <c r="AK114" s="132" t="s">
        <v>708</v>
      </c>
      <c r="AL114" s="133" t="s">
        <v>48</v>
      </c>
      <c r="AM114" s="132"/>
      <c r="AN114" s="133" t="s">
        <v>346</v>
      </c>
      <c r="AO114" s="133" t="n">
        <v>214315.7275</v>
      </c>
      <c r="AP114" s="137" t="n">
        <f aca="false">AR114+AT114+AU114+AV114+AX114+AY114+AZ114+BD114+BF114+BG114+BH114+BJ114+BK114+(BL114+BM114+BN114)/1000+(0.1*BO114)</f>
        <v>192.4875</v>
      </c>
      <c r="AQ114" s="137" t="n">
        <f aca="false">AR114+AT114+AU114+AV114+AX114+AY114+AZ114+BB114+BC114+BD114+BF114+BG114+BH114+BJ114+BK114+(BL114+BM114+BN114)/1000+(0.1*BO114)</f>
        <v>201.4875</v>
      </c>
      <c r="AR114" s="131" t="n">
        <v>66</v>
      </c>
      <c r="AS114" s="131" t="n">
        <v>290</v>
      </c>
      <c r="AT114" s="131" t="n">
        <v>78</v>
      </c>
      <c r="AU114" s="131" t="n">
        <v>0</v>
      </c>
      <c r="AV114" s="131" t="n">
        <v>0</v>
      </c>
      <c r="AW114" s="131" t="n">
        <v>0</v>
      </c>
      <c r="AX114" s="131" t="n">
        <v>0</v>
      </c>
      <c r="AY114" s="131" t="n">
        <v>0</v>
      </c>
      <c r="AZ114" s="131" t="n">
        <v>0</v>
      </c>
      <c r="BA114" s="131" t="n">
        <v>22</v>
      </c>
      <c r="BB114" s="131" t="n">
        <v>9</v>
      </c>
      <c r="BC114" s="131" t="n">
        <v>0</v>
      </c>
      <c r="BD114" s="131" t="n">
        <v>0</v>
      </c>
      <c r="BE114" s="131" t="n">
        <v>0</v>
      </c>
      <c r="BF114" s="131" t="n">
        <v>0</v>
      </c>
      <c r="BG114" s="131" t="n">
        <v>0</v>
      </c>
      <c r="BH114" s="131" t="n">
        <v>0</v>
      </c>
      <c r="BI114" s="131" t="n">
        <v>0</v>
      </c>
      <c r="BJ114" s="131" t="n">
        <v>0</v>
      </c>
      <c r="BK114" s="131" t="n">
        <v>0</v>
      </c>
      <c r="BL114" s="131" t="n">
        <v>0</v>
      </c>
      <c r="BM114" s="131" t="n">
        <v>0</v>
      </c>
      <c r="BN114" s="131" t="n">
        <v>3358</v>
      </c>
      <c r="BO114" s="131" t="n">
        <v>451.295</v>
      </c>
    </row>
    <row r="115" customFormat="false" ht="15" hidden="false" customHeight="true" outlineLevel="0" collapsed="false">
      <c r="A115" s="131" t="n">
        <v>2380</v>
      </c>
      <c r="B115" s="131" t="s">
        <v>44</v>
      </c>
      <c r="C115" s="132" t="s">
        <v>740</v>
      </c>
      <c r="D115" s="133" t="s">
        <v>678</v>
      </c>
      <c r="E115" s="134" t="n">
        <f aca="false">IF(I115="regional",IF(R115*0.2975,S115*0.3484),S115*0.1939)</f>
        <v>384720.0032</v>
      </c>
      <c r="F115" s="134" t="n">
        <v>637927</v>
      </c>
      <c r="G115" s="135" t="n">
        <f aca="false">E115+F115</f>
        <v>1022647.0032</v>
      </c>
      <c r="H115" s="132" t="s">
        <v>49</v>
      </c>
      <c r="I115" s="133" t="s">
        <v>48</v>
      </c>
      <c r="J115" s="133" t="s">
        <v>44</v>
      </c>
      <c r="K115" s="133" t="s">
        <v>351</v>
      </c>
      <c r="L115" s="133" t="s">
        <v>44</v>
      </c>
      <c r="M115" s="136" t="n">
        <v>162</v>
      </c>
      <c r="N115" s="136" t="n">
        <v>0.835</v>
      </c>
      <c r="O115" s="136" t="n">
        <v>0.864</v>
      </c>
      <c r="P115" s="136" t="n">
        <v>0.934</v>
      </c>
      <c r="Q115" s="136" t="n">
        <v>0.926</v>
      </c>
      <c r="R115" s="136" t="n">
        <v>1118115</v>
      </c>
      <c r="S115" s="136" t="n">
        <v>1104248</v>
      </c>
      <c r="T115" s="8" t="n">
        <f aca="false">IF(I115="regional",IF(R115&gt;0,R115*0.2975,S115*0.3484),S115*0.1939)</f>
        <v>332639.2125</v>
      </c>
      <c r="U115" s="136" t="n">
        <v>690636</v>
      </c>
      <c r="V115" s="136" t="n">
        <v>413612</v>
      </c>
      <c r="W115" s="136" t="n">
        <v>6500</v>
      </c>
      <c r="X115" s="136" t="n">
        <v>970566.2125</v>
      </c>
      <c r="Y115" s="136" t="n">
        <v>332639.2125</v>
      </c>
      <c r="Z115" s="136" t="n">
        <v>637927</v>
      </c>
      <c r="AA115" s="136" t="n">
        <v>466321</v>
      </c>
      <c r="AB115" s="136" t="n">
        <v>0</v>
      </c>
      <c r="AC115" s="136" t="n">
        <v>466321</v>
      </c>
      <c r="AD115" s="136" t="n">
        <v>637927</v>
      </c>
      <c r="AE115" s="136" t="n">
        <v>0</v>
      </c>
      <c r="AF115" s="136" t="n">
        <v>466321</v>
      </c>
      <c r="AG115" s="136" t="n">
        <v>0</v>
      </c>
      <c r="AH115" s="136" t="n">
        <v>749000</v>
      </c>
      <c r="AI115" s="136" t="n">
        <v>596000</v>
      </c>
      <c r="AJ115" s="132" t="s">
        <v>707</v>
      </c>
      <c r="AK115" s="132" t="s">
        <v>712</v>
      </c>
      <c r="AL115" s="133" t="s">
        <v>48</v>
      </c>
      <c r="AM115" s="132" t="s">
        <v>49</v>
      </c>
      <c r="AN115" s="133" t="s">
        <v>678</v>
      </c>
      <c r="AO115" s="133" t="n">
        <v>970566.2125</v>
      </c>
      <c r="AP115" s="137" t="n">
        <f aca="false">AR115+AT115+AU115+AV115+AX115+AY115+AZ115+BD115+BF115+BG115+BH115+BJ115+BK115+(BL115+BM115+BN115)/1000+(0.1*BO115)</f>
        <v>546.553</v>
      </c>
      <c r="AQ115" s="137" t="n">
        <f aca="false">AR115+AT115+AU115+AV115+AX115+AY115+AZ115+BB115+BC115+BD115+BF115+BG115+BH115+BJ115+BK115+(BL115+BM115+BN115)/1000+(0.1*BO115)</f>
        <v>627.553</v>
      </c>
      <c r="AR115" s="131" t="n">
        <v>207</v>
      </c>
      <c r="AS115" s="131" t="n">
        <v>596</v>
      </c>
      <c r="AT115" s="131" t="n">
        <v>109</v>
      </c>
      <c r="AU115" s="131" t="n">
        <v>1</v>
      </c>
      <c r="AV115" s="131" t="n">
        <v>9</v>
      </c>
      <c r="AW115" s="131" t="n">
        <v>23</v>
      </c>
      <c r="AX115" s="131" t="n">
        <v>2</v>
      </c>
      <c r="AY115" s="131" t="n">
        <v>0</v>
      </c>
      <c r="AZ115" s="131" t="n">
        <v>31</v>
      </c>
      <c r="BA115" s="131" t="n">
        <v>58</v>
      </c>
      <c r="BB115" s="131" t="n">
        <v>70</v>
      </c>
      <c r="BC115" s="131" t="n">
        <v>11</v>
      </c>
      <c r="BD115" s="131" t="n">
        <v>77</v>
      </c>
      <c r="BE115" s="131" t="n">
        <v>0</v>
      </c>
      <c r="BF115" s="131" t="n">
        <v>0</v>
      </c>
      <c r="BG115" s="131" t="n">
        <v>0</v>
      </c>
      <c r="BH115" s="131" t="n">
        <v>61</v>
      </c>
      <c r="BI115" s="131" t="n">
        <v>0</v>
      </c>
      <c r="BJ115" s="131" t="n">
        <v>0</v>
      </c>
      <c r="BK115" s="131" t="n">
        <v>0</v>
      </c>
      <c r="BL115" s="131" t="n">
        <v>49553</v>
      </c>
      <c r="BM115" s="131" t="n">
        <v>0</v>
      </c>
      <c r="BN115" s="131" t="n">
        <v>0</v>
      </c>
      <c r="BO115" s="131" t="n">
        <v>0</v>
      </c>
    </row>
    <row r="116" customFormat="false" ht="15" hidden="false" customHeight="true" outlineLevel="0" collapsed="false">
      <c r="A116" s="131" t="n">
        <v>2518</v>
      </c>
      <c r="B116" s="131" t="s">
        <v>44</v>
      </c>
      <c r="C116" s="132" t="s">
        <v>352</v>
      </c>
      <c r="D116" s="133" t="s">
        <v>352</v>
      </c>
      <c r="E116" s="134" t="n">
        <f aca="false">IF(I116="regional",IF(R116*0.2975,S116*0.3484),S116*0.1939)</f>
        <v>191745.424</v>
      </c>
      <c r="F116" s="134" t="n">
        <v>0</v>
      </c>
      <c r="G116" s="135" t="n">
        <f aca="false">E116+F116</f>
        <v>191745.424</v>
      </c>
      <c r="H116" s="132"/>
      <c r="I116" s="133" t="s">
        <v>48</v>
      </c>
      <c r="J116" s="133" t="s">
        <v>44</v>
      </c>
      <c r="K116" s="133" t="s">
        <v>98</v>
      </c>
      <c r="L116" s="133"/>
      <c r="M116" s="136" t="n">
        <v>93</v>
      </c>
      <c r="N116" s="136" t="n">
        <v>0.756</v>
      </c>
      <c r="O116" s="136" t="n">
        <v>0.748</v>
      </c>
      <c r="P116" s="136" t="n">
        <v>0.763</v>
      </c>
      <c r="Q116" s="136" t="n">
        <v>0.818</v>
      </c>
      <c r="R116" s="136" t="n">
        <v>665063</v>
      </c>
      <c r="S116" s="136" t="n">
        <v>550360</v>
      </c>
      <c r="T116" s="8" t="n">
        <f aca="false">IF(I116="regional",IF(R116&gt;0,R116*0.2975,S116*0.3484),S116*0.1939)</f>
        <v>197856.2425</v>
      </c>
      <c r="U116" s="136" t="n">
        <v>312920</v>
      </c>
      <c r="V116" s="136" t="n">
        <v>237440</v>
      </c>
      <c r="W116" s="136" t="n">
        <v>3600</v>
      </c>
      <c r="X116" s="136" t="n">
        <v>0</v>
      </c>
      <c r="Y116" s="136" t="n">
        <v>0</v>
      </c>
      <c r="Z116" s="136" t="n">
        <v>0</v>
      </c>
      <c r="AA116" s="136" t="n">
        <v>748216.2425</v>
      </c>
      <c r="AB116" s="136" t="n">
        <v>197856.2425</v>
      </c>
      <c r="AC116" s="136" t="n">
        <v>550360</v>
      </c>
      <c r="AD116" s="136" t="n">
        <v>0</v>
      </c>
      <c r="AE116" s="136" t="n">
        <v>0</v>
      </c>
      <c r="AF116" s="136" t="n">
        <v>550360</v>
      </c>
      <c r="AG116" s="136" t="n">
        <v>0</v>
      </c>
      <c r="AH116" s="136" t="n">
        <v>358000</v>
      </c>
      <c r="AI116" s="136" t="n">
        <v>382000</v>
      </c>
      <c r="AJ116" s="132" t="n">
        <v>4</v>
      </c>
      <c r="AK116" s="132" t="s">
        <v>706</v>
      </c>
      <c r="AL116" s="133" t="s">
        <v>48</v>
      </c>
      <c r="AM116" s="132"/>
      <c r="AN116" s="133" t="s">
        <v>352</v>
      </c>
      <c r="AO116" s="133" t="n">
        <v>197856.2425</v>
      </c>
      <c r="AP116" s="137" t="n">
        <f aca="false">AR116+AT116+AU116+AV116+AX116+AY116+AZ116+BD116+BF116+BG116+BH116+BJ116+BK116+(BL116+BM116+BN116)/1000+(0.1*BO116)</f>
        <v>216.032</v>
      </c>
      <c r="AQ116" s="137" t="n">
        <f aca="false">AR116+AT116+AU116+AV116+AX116+AY116+AZ116+BB116+BC116+BD116+BF116+BG116+BH116+BJ116+BK116+(BL116+BM116+BN116)/1000+(0.1*BO116)</f>
        <v>232.032</v>
      </c>
      <c r="AR116" s="131" t="n">
        <v>84</v>
      </c>
      <c r="AS116" s="131" t="n">
        <v>382</v>
      </c>
      <c r="AT116" s="131" t="n">
        <v>80</v>
      </c>
      <c r="AU116" s="131" t="n">
        <v>39</v>
      </c>
      <c r="AV116" s="131" t="n">
        <v>0</v>
      </c>
      <c r="AW116" s="131" t="n">
        <v>0</v>
      </c>
      <c r="AX116" s="131" t="n">
        <v>0</v>
      </c>
      <c r="AY116" s="131" t="n">
        <v>4</v>
      </c>
      <c r="AZ116" s="131" t="n">
        <v>0</v>
      </c>
      <c r="BA116" s="131" t="n">
        <v>9</v>
      </c>
      <c r="BB116" s="131" t="n">
        <v>15</v>
      </c>
      <c r="BC116" s="131" t="n">
        <v>1</v>
      </c>
      <c r="BD116" s="131" t="n">
        <v>0</v>
      </c>
      <c r="BE116" s="131" t="n">
        <v>0</v>
      </c>
      <c r="BF116" s="131" t="n">
        <v>0</v>
      </c>
      <c r="BG116" s="131" t="n">
        <v>0</v>
      </c>
      <c r="BH116" s="131" t="n">
        <v>0</v>
      </c>
      <c r="BI116" s="131" t="n">
        <v>0</v>
      </c>
      <c r="BJ116" s="131" t="n">
        <v>0</v>
      </c>
      <c r="BK116" s="131" t="n">
        <v>0</v>
      </c>
      <c r="BL116" s="131" t="n">
        <v>9032</v>
      </c>
      <c r="BM116" s="131" t="n">
        <v>0</v>
      </c>
      <c r="BN116" s="131" t="n">
        <v>0</v>
      </c>
      <c r="BO116" s="131" t="n">
        <v>0</v>
      </c>
    </row>
    <row r="117" customFormat="false" ht="15" hidden="false" customHeight="true" outlineLevel="0" collapsed="false">
      <c r="A117" s="131" t="n">
        <v>9605</v>
      </c>
      <c r="B117" s="131" t="s">
        <v>44</v>
      </c>
      <c r="C117" s="132" t="s">
        <v>353</v>
      </c>
      <c r="D117" s="133" t="s">
        <v>353</v>
      </c>
      <c r="E117" s="134" t="n">
        <f aca="false">IF(I117="regional",IF(R117*0.2975,S117*0.3484),S117*0.1939)</f>
        <v>75812.1854</v>
      </c>
      <c r="F117" s="134" t="n">
        <v>0</v>
      </c>
      <c r="G117" s="135" t="n">
        <f aca="false">E117+F117</f>
        <v>75812.1854</v>
      </c>
      <c r="H117" s="132"/>
      <c r="I117" s="133" t="s">
        <v>62</v>
      </c>
      <c r="J117" s="133" t="s">
        <v>44</v>
      </c>
      <c r="K117" s="133" t="s">
        <v>355</v>
      </c>
      <c r="L117" s="133"/>
      <c r="M117" s="136" t="n">
        <v>26</v>
      </c>
      <c r="N117" s="136" t="n">
        <v>0.765</v>
      </c>
      <c r="O117" s="136" t="n">
        <v>0.765</v>
      </c>
      <c r="P117" s="136" t="n">
        <v>0.772</v>
      </c>
      <c r="Q117" s="136" t="n">
        <v>0.388</v>
      </c>
      <c r="R117" s="136" t="n">
        <v>0</v>
      </c>
      <c r="S117" s="136" t="n">
        <v>390986</v>
      </c>
      <c r="T117" s="8" t="n">
        <f aca="false">IF(I117="regional",IF(R117&gt;0,R117*0.2975,S117*0.3484),S117*0.1939)</f>
        <v>75812.1854</v>
      </c>
      <c r="U117" s="136" t="n">
        <v>306158</v>
      </c>
      <c r="V117" s="136" t="n">
        <v>84828</v>
      </c>
      <c r="W117" s="136" t="n">
        <v>2000</v>
      </c>
      <c r="X117" s="136" t="n">
        <v>0</v>
      </c>
      <c r="Y117" s="136" t="n">
        <v>0</v>
      </c>
      <c r="Z117" s="136" t="n">
        <v>0</v>
      </c>
      <c r="AA117" s="136" t="n">
        <v>466798.1854</v>
      </c>
      <c r="AB117" s="136" t="n">
        <v>75812.1854</v>
      </c>
      <c r="AC117" s="136" t="n">
        <v>390986</v>
      </c>
      <c r="AD117" s="136" t="n">
        <v>0</v>
      </c>
      <c r="AE117" s="136" t="n">
        <v>0</v>
      </c>
      <c r="AF117" s="136" t="n">
        <v>390986</v>
      </c>
      <c r="AG117" s="136" t="n">
        <v>0</v>
      </c>
      <c r="AH117" s="136" t="n">
        <v>100000</v>
      </c>
      <c r="AI117" s="136" t="n">
        <v>123000</v>
      </c>
      <c r="AJ117" s="132" t="s">
        <v>707</v>
      </c>
      <c r="AK117" s="132" t="s">
        <v>708</v>
      </c>
      <c r="AL117" s="133" t="s">
        <v>62</v>
      </c>
      <c r="AM117" s="132"/>
      <c r="AN117" s="133" t="s">
        <v>353</v>
      </c>
      <c r="AO117" s="133" t="n">
        <v>75812.1854</v>
      </c>
      <c r="AP117" s="137" t="n">
        <f aca="false">AR117+AT117+AU117+AV117+AX117+AY117+AZ117+BD117+BF117+BG117+BH117+BJ117+BK117+(BL117+BM117+BN117)/1000+(0.1*BO117)</f>
        <v>10.3206</v>
      </c>
      <c r="AQ117" s="137" t="n">
        <f aca="false">AR117+AT117+AU117+AV117+AX117+AY117+AZ117+BB117+BC117+BD117+BF117+BG117+BH117+BJ117+BK117+(BL117+BM117+BN117)/1000+(0.1*BO117)</f>
        <v>22.3206</v>
      </c>
      <c r="AR117" s="131" t="n">
        <v>0</v>
      </c>
      <c r="AS117" s="131" t="n">
        <v>123</v>
      </c>
      <c r="AT117" s="131" t="n">
        <v>7</v>
      </c>
      <c r="AU117" s="131" t="n">
        <v>0</v>
      </c>
      <c r="AV117" s="131" t="n">
        <v>0</v>
      </c>
      <c r="AW117" s="131" t="n">
        <v>0</v>
      </c>
      <c r="AX117" s="131" t="n">
        <v>0</v>
      </c>
      <c r="AY117" s="131" t="n">
        <v>0</v>
      </c>
      <c r="AZ117" s="131" t="n">
        <v>0</v>
      </c>
      <c r="BA117" s="131" t="n">
        <v>0</v>
      </c>
      <c r="BB117" s="131" t="n">
        <v>12</v>
      </c>
      <c r="BC117" s="131" t="n">
        <v>0</v>
      </c>
      <c r="BD117" s="131" t="n">
        <v>0</v>
      </c>
      <c r="BE117" s="131" t="n">
        <v>0</v>
      </c>
      <c r="BF117" s="131" t="n">
        <v>0</v>
      </c>
      <c r="BG117" s="131" t="n">
        <v>0</v>
      </c>
      <c r="BH117" s="131" t="n">
        <v>0</v>
      </c>
      <c r="BI117" s="131" t="n">
        <v>0</v>
      </c>
      <c r="BJ117" s="131" t="n">
        <v>0</v>
      </c>
      <c r="BK117" s="131" t="n">
        <v>0</v>
      </c>
      <c r="BL117" s="131" t="n">
        <v>0</v>
      </c>
      <c r="BM117" s="131" t="n">
        <v>0</v>
      </c>
      <c r="BN117" s="131" t="n">
        <v>0</v>
      </c>
      <c r="BO117" s="131" t="n">
        <v>33.206</v>
      </c>
    </row>
    <row r="118" customFormat="false" ht="15" hidden="false" customHeight="true" outlineLevel="0" collapsed="false">
      <c r="A118" s="131" t="n">
        <v>2631</v>
      </c>
      <c r="B118" s="131" t="s">
        <v>44</v>
      </c>
      <c r="C118" s="132" t="s">
        <v>741</v>
      </c>
      <c r="D118" s="133" t="s">
        <v>741</v>
      </c>
      <c r="E118" s="134" t="n">
        <f aca="false">IF(I118="regional",IF(R118*0.2975,S118*0.3484),S118*0.1939)</f>
        <v>0</v>
      </c>
      <c r="F118" s="134" t="n">
        <v>0</v>
      </c>
      <c r="G118" s="135" t="n">
        <f aca="false">E118+F118</f>
        <v>0</v>
      </c>
      <c r="H118" s="132" t="s">
        <v>49</v>
      </c>
      <c r="I118" s="133" t="s">
        <v>48</v>
      </c>
      <c r="J118" s="133" t="s">
        <v>44</v>
      </c>
      <c r="K118" s="133" t="s">
        <v>357</v>
      </c>
      <c r="L118" s="133" t="s">
        <v>44</v>
      </c>
      <c r="M118" s="136" t="n">
        <v>333</v>
      </c>
      <c r="N118" s="136" t="n">
        <v>0.948</v>
      </c>
      <c r="O118" s="136" t="n">
        <v>0.949</v>
      </c>
      <c r="P118" s="136" t="n">
        <v>0.92</v>
      </c>
      <c r="Q118" s="136" t="n">
        <v>0.868</v>
      </c>
      <c r="R118" s="136" t="n">
        <v>0</v>
      </c>
      <c r="S118" s="136" t="n">
        <v>2574525</v>
      </c>
      <c r="T118" s="8" t="n">
        <f aca="false">IF(I118="regional",IF(R118&gt;0,R118*0.2975,S118*0.3484),S118*0.1939)</f>
        <v>896964.51</v>
      </c>
      <c r="U118" s="136" t="n">
        <v>884036</v>
      </c>
      <c r="V118" s="136" t="n">
        <v>1690489</v>
      </c>
      <c r="W118" s="136" t="n">
        <v>12500</v>
      </c>
      <c r="X118" s="136" t="n">
        <v>2215000</v>
      </c>
      <c r="Y118" s="136" t="n">
        <v>0</v>
      </c>
      <c r="Z118" s="136" t="n">
        <v>0</v>
      </c>
      <c r="AA118" s="136" t="n">
        <v>2587453.51</v>
      </c>
      <c r="AB118" s="136" t="n">
        <v>0</v>
      </c>
      <c r="AC118" s="136" t="n">
        <v>0</v>
      </c>
      <c r="AD118" s="136" t="n">
        <v>2215000</v>
      </c>
      <c r="AE118" s="136" t="n">
        <v>0</v>
      </c>
      <c r="AF118" s="136" t="n">
        <v>2587453.51</v>
      </c>
      <c r="AG118" s="136" t="n">
        <v>0</v>
      </c>
      <c r="AH118" s="136" t="n">
        <v>0</v>
      </c>
      <c r="AI118" s="136" t="n">
        <v>0</v>
      </c>
      <c r="AJ118" s="132" t="n">
        <v>4</v>
      </c>
      <c r="AK118" s="132" t="s">
        <v>728</v>
      </c>
      <c r="AL118" s="133" t="s">
        <v>48</v>
      </c>
      <c r="AM118" s="132" t="s">
        <v>49</v>
      </c>
      <c r="AN118" s="133" t="s">
        <v>679</v>
      </c>
      <c r="AO118" s="133" t="n">
        <v>0</v>
      </c>
      <c r="AP118" s="137" t="n">
        <f aca="false">AR118+AT118+AU118+AV118+AX118+AY118+AZ118+BD118+BF118+BG118+BH118+BJ118+BK118+(BL118+BM118+BN118)/1000+(0.1*BO118)</f>
        <v>0</v>
      </c>
      <c r="AQ118" s="137" t="n">
        <f aca="false">AR118+AT118+AU118+AV118+AX118+AY118+AZ118+BB118+BC118+BD118+BF118+BG118+BH118+BJ118+BK118+(BL118+BM118+BN118)/1000+(0.1*BO118)</f>
        <v>0</v>
      </c>
      <c r="AR118" s="158" t="n">
        <v>0</v>
      </c>
      <c r="AS118" s="158" t="n">
        <v>0</v>
      </c>
      <c r="AT118" s="158" t="n">
        <v>0</v>
      </c>
      <c r="AU118" s="158" t="n">
        <v>0</v>
      </c>
      <c r="AV118" s="131" t="n">
        <v>0</v>
      </c>
      <c r="AW118" s="131" t="n">
        <v>0</v>
      </c>
      <c r="AX118" s="131" t="n">
        <v>0</v>
      </c>
      <c r="AY118" s="131" t="n">
        <v>0</v>
      </c>
      <c r="AZ118" s="158" t="n">
        <v>0</v>
      </c>
      <c r="BA118" s="158" t="n">
        <v>0</v>
      </c>
      <c r="BB118" s="158" t="n">
        <v>0</v>
      </c>
      <c r="BC118" s="158" t="n">
        <v>0</v>
      </c>
      <c r="BD118" s="131" t="n">
        <v>0</v>
      </c>
      <c r="BE118" s="131" t="n">
        <v>0</v>
      </c>
      <c r="BF118" s="131" t="n">
        <v>0</v>
      </c>
      <c r="BG118" s="131" t="n">
        <v>0</v>
      </c>
      <c r="BH118" s="131" t="n">
        <v>0</v>
      </c>
      <c r="BI118" s="131" t="n">
        <v>0</v>
      </c>
      <c r="BJ118" s="131" t="n">
        <v>0</v>
      </c>
      <c r="BK118" s="131" t="n">
        <v>0</v>
      </c>
      <c r="BL118" s="131" t="n">
        <v>0</v>
      </c>
      <c r="BM118" s="131" t="n">
        <v>0</v>
      </c>
      <c r="BN118" s="131" t="n">
        <v>0</v>
      </c>
      <c r="BO118" s="131" t="n">
        <v>0</v>
      </c>
    </row>
    <row r="119" customFormat="false" ht="15" hidden="false" customHeight="true" outlineLevel="0" collapsed="false">
      <c r="A119" s="151" t="n">
        <v>4852</v>
      </c>
      <c r="B119" s="151"/>
      <c r="C119" s="152" t="s">
        <v>742</v>
      </c>
      <c r="D119" s="140" t="s">
        <v>742</v>
      </c>
      <c r="E119" s="134" t="n">
        <f aca="false">IF(I119="regional",IF(R119*0.2975,S119*0.3484),S119*0.1939)</f>
        <v>0</v>
      </c>
      <c r="F119" s="141"/>
      <c r="G119" s="135" t="n">
        <f aca="false">E119+F119</f>
        <v>0</v>
      </c>
      <c r="H119" s="139" t="s">
        <v>49</v>
      </c>
      <c r="I119" s="140" t="s">
        <v>48</v>
      </c>
      <c r="J119" s="140"/>
      <c r="K119" s="140"/>
      <c r="L119" s="140"/>
      <c r="M119" s="142"/>
      <c r="N119" s="142"/>
      <c r="O119" s="142"/>
      <c r="P119" s="142"/>
      <c r="Q119" s="142"/>
      <c r="R119" s="142"/>
      <c r="S119" s="142" t="n">
        <v>129152</v>
      </c>
      <c r="T119" s="8" t="n">
        <f aca="false">IF(I119="regional",IF(R119&gt;0,R119*0.2975,S119*0.3484),S119*0.1939)</f>
        <v>44996.5568</v>
      </c>
      <c r="U119" s="142"/>
      <c r="V119" s="142"/>
      <c r="W119" s="142"/>
      <c r="X119" s="142"/>
      <c r="Y119" s="142"/>
      <c r="Z119" s="142"/>
      <c r="AA119" s="142"/>
      <c r="AB119" s="142"/>
      <c r="AC119" s="142"/>
      <c r="AD119" s="142"/>
      <c r="AE119" s="142"/>
      <c r="AF119" s="142"/>
      <c r="AG119" s="142"/>
      <c r="AH119" s="142"/>
      <c r="AI119" s="142"/>
      <c r="AJ119" s="139" t="s">
        <v>707</v>
      </c>
      <c r="AK119" s="139" t="s">
        <v>712</v>
      </c>
      <c r="AL119" s="143" t="s">
        <v>48</v>
      </c>
      <c r="AM119" s="139" t="s">
        <v>49</v>
      </c>
      <c r="AN119" s="154" t="s">
        <v>742</v>
      </c>
      <c r="AO119" s="154" t="n">
        <v>0</v>
      </c>
      <c r="AP119" s="155" t="n">
        <v>0</v>
      </c>
      <c r="AQ119" s="137" t="n">
        <f aca="false">AR119+AT119+AU119+AV119+AX119+AY119+AZ119+BB119+BC119+BD119+BF119+BG119+BH119+BJ119+BK119+(BL119+BM119+BN119)/1000+(0.1*BO119)</f>
        <v>141</v>
      </c>
      <c r="AR119" s="151" t="n">
        <v>0</v>
      </c>
      <c r="AS119" s="151" t="n">
        <v>0</v>
      </c>
      <c r="AT119" s="151" t="n">
        <v>0</v>
      </c>
      <c r="AU119" s="151" t="n">
        <v>0</v>
      </c>
      <c r="AV119" s="151" t="n">
        <v>0</v>
      </c>
      <c r="AW119" s="151" t="n">
        <v>0</v>
      </c>
      <c r="AX119" s="151" t="n">
        <v>0</v>
      </c>
      <c r="AY119" s="151" t="n">
        <v>0</v>
      </c>
      <c r="AZ119" s="162" t="n">
        <v>0</v>
      </c>
      <c r="BA119" s="162" t="n">
        <v>0</v>
      </c>
      <c r="BB119" s="162" t="n">
        <v>21</v>
      </c>
      <c r="BC119" s="162" t="n">
        <v>0</v>
      </c>
      <c r="BD119" s="162" t="n">
        <v>60</v>
      </c>
      <c r="BE119" s="162" t="n">
        <v>0</v>
      </c>
      <c r="BF119" s="162" t="n">
        <v>0</v>
      </c>
      <c r="BG119" s="162" t="n">
        <v>0</v>
      </c>
      <c r="BH119" s="181" t="n">
        <v>60</v>
      </c>
      <c r="BI119" s="181" t="n">
        <v>0</v>
      </c>
      <c r="BJ119" s="181" t="n">
        <v>0</v>
      </c>
      <c r="BK119" s="181" t="n">
        <v>0</v>
      </c>
      <c r="BL119" s="151" t="n">
        <v>0</v>
      </c>
      <c r="BM119" s="151" t="n">
        <v>0</v>
      </c>
      <c r="BN119" s="151" t="n">
        <v>0</v>
      </c>
      <c r="BO119" s="151" t="n">
        <v>0</v>
      </c>
      <c r="BP119" s="159"/>
      <c r="BQ119" s="159"/>
      <c r="BR119" s="159"/>
      <c r="BS119" s="159"/>
      <c r="BT119" s="159"/>
      <c r="BU119" s="159"/>
      <c r="BV119" s="159"/>
      <c r="BW119" s="159"/>
      <c r="BX119" s="159"/>
      <c r="BY119" s="159"/>
      <c r="BZ119" s="159"/>
      <c r="CA119" s="159"/>
      <c r="CB119" s="159"/>
      <c r="CC119" s="159"/>
      <c r="CD119" s="159"/>
      <c r="CE119" s="159"/>
      <c r="CF119" s="159"/>
      <c r="CG119" s="159"/>
      <c r="CH119" s="159"/>
      <c r="CI119" s="159"/>
      <c r="CJ119" s="159"/>
      <c r="CK119" s="159"/>
      <c r="CL119" s="159"/>
      <c r="CM119" s="159"/>
      <c r="CN119" s="159"/>
      <c r="CO119" s="159"/>
      <c r="CP119" s="159"/>
      <c r="CQ119" s="159"/>
    </row>
    <row r="120" customFormat="false" ht="15" hidden="false" customHeight="true" outlineLevel="0" collapsed="false">
      <c r="A120" s="138" t="n">
        <v>4855</v>
      </c>
      <c r="B120" s="138"/>
      <c r="C120" s="139" t="s">
        <v>743</v>
      </c>
      <c r="D120" s="140" t="s">
        <v>742</v>
      </c>
      <c r="E120" s="134" t="n">
        <f aca="false">IF(I120="regional",IF(R120*0.2975,S120*0.3484),S120*0.1939)</f>
        <v>0</v>
      </c>
      <c r="F120" s="141"/>
      <c r="G120" s="135" t="n">
        <f aca="false">E120+F120</f>
        <v>0</v>
      </c>
      <c r="H120" s="139" t="s">
        <v>49</v>
      </c>
      <c r="I120" s="140" t="s">
        <v>62</v>
      </c>
      <c r="J120" s="140"/>
      <c r="K120" s="140"/>
      <c r="L120" s="140"/>
      <c r="M120" s="142"/>
      <c r="N120" s="142"/>
      <c r="O120" s="142"/>
      <c r="P120" s="142"/>
      <c r="Q120" s="142"/>
      <c r="R120" s="142"/>
      <c r="S120" s="142"/>
      <c r="T120" s="8" t="n">
        <f aca="false">IF(I120="regional",IF(R120&gt;0,R120*0.2975,S120*0.3484),S120*0.1939)</f>
        <v>0</v>
      </c>
      <c r="U120" s="142"/>
      <c r="V120" s="142"/>
      <c r="W120" s="142"/>
      <c r="X120" s="142"/>
      <c r="Y120" s="142"/>
      <c r="Z120" s="142"/>
      <c r="AA120" s="142"/>
      <c r="AB120" s="142"/>
      <c r="AC120" s="142"/>
      <c r="AD120" s="142"/>
      <c r="AE120" s="142"/>
      <c r="AF120" s="142"/>
      <c r="AG120" s="142"/>
      <c r="AH120" s="142"/>
      <c r="AI120" s="142"/>
      <c r="AJ120" s="139" t="s">
        <v>707</v>
      </c>
      <c r="AK120" s="139" t="s">
        <v>712</v>
      </c>
      <c r="AL120" s="143" t="s">
        <v>62</v>
      </c>
      <c r="AM120" s="139" t="s">
        <v>49</v>
      </c>
      <c r="AN120" s="143" t="s">
        <v>742</v>
      </c>
      <c r="AO120" s="143" t="n">
        <v>0</v>
      </c>
      <c r="AP120" s="143" t="n">
        <v>0</v>
      </c>
      <c r="AQ120" s="137" t="n">
        <f aca="false">AR120+AT120+AU120+AV120+AX120+AY120+AZ120+BB120+BC120+BD120+BF120+BG120+BH120+BJ120+BK120+(BL120+BM120+BN120)/1000+(0.1*BO120)</f>
        <v>0</v>
      </c>
      <c r="AR120" s="143" t="n">
        <v>0</v>
      </c>
      <c r="AS120" s="143" t="n">
        <v>0</v>
      </c>
      <c r="AT120" s="143" t="n">
        <v>0</v>
      </c>
      <c r="AU120" s="143" t="n">
        <v>0</v>
      </c>
      <c r="AV120" s="143" t="n">
        <v>0</v>
      </c>
      <c r="AW120" s="143" t="n">
        <v>0</v>
      </c>
      <c r="AX120" s="143" t="n">
        <v>0</v>
      </c>
      <c r="AY120" s="143" t="n">
        <v>0</v>
      </c>
      <c r="AZ120" s="143" t="n">
        <v>0</v>
      </c>
      <c r="BA120" s="143" t="n">
        <v>0</v>
      </c>
      <c r="BB120" s="143" t="n">
        <v>0</v>
      </c>
      <c r="BC120" s="143" t="n">
        <v>0</v>
      </c>
      <c r="BD120" s="143" t="n">
        <v>0</v>
      </c>
      <c r="BE120" s="143" t="n">
        <v>0</v>
      </c>
      <c r="BF120" s="143" t="n">
        <v>0</v>
      </c>
      <c r="BG120" s="143" t="n">
        <v>0</v>
      </c>
      <c r="BH120" s="143" t="n">
        <v>0</v>
      </c>
      <c r="BI120" s="143" t="n">
        <v>0</v>
      </c>
      <c r="BJ120" s="143" t="n">
        <v>0</v>
      </c>
      <c r="BK120" s="143" t="n">
        <v>0</v>
      </c>
      <c r="BL120" s="143" t="n">
        <v>0</v>
      </c>
      <c r="BM120" s="143" t="n">
        <v>0</v>
      </c>
      <c r="BN120" s="143" t="n">
        <v>0</v>
      </c>
      <c r="BO120" s="143" t="n">
        <v>0</v>
      </c>
      <c r="BP120" s="159"/>
      <c r="BQ120" s="159"/>
      <c r="BR120" s="159"/>
      <c r="BS120" s="159"/>
      <c r="BT120" s="159"/>
      <c r="BU120" s="159"/>
      <c r="BV120" s="159"/>
      <c r="BW120" s="159"/>
      <c r="BX120" s="159"/>
      <c r="BY120" s="159"/>
      <c r="BZ120" s="159"/>
      <c r="CA120" s="159"/>
      <c r="CB120" s="159"/>
      <c r="CC120" s="159"/>
      <c r="CD120" s="159"/>
      <c r="CE120" s="159"/>
      <c r="CF120" s="159"/>
      <c r="CG120" s="159"/>
      <c r="CH120" s="159"/>
      <c r="CI120" s="159"/>
      <c r="CJ120" s="159"/>
      <c r="CK120" s="159"/>
      <c r="CL120" s="159"/>
      <c r="CM120" s="159"/>
      <c r="CN120" s="159"/>
      <c r="CO120" s="159"/>
      <c r="CP120" s="159"/>
      <c r="CQ120" s="159"/>
    </row>
    <row r="121" customFormat="false" ht="15" hidden="false" customHeight="true" outlineLevel="0" collapsed="false">
      <c r="A121" s="138" t="n">
        <v>3878</v>
      </c>
      <c r="B121" s="138"/>
      <c r="C121" s="139" t="s">
        <v>744</v>
      </c>
      <c r="D121" s="140"/>
      <c r="E121" s="134" t="n">
        <f aca="false">IF(I121="regional",IF(R121*0.2975,S121*0.3484),S121*0.1939)</f>
        <v>0</v>
      </c>
      <c r="F121" s="141"/>
      <c r="G121" s="135"/>
      <c r="H121" s="139"/>
      <c r="I121" s="140" t="s">
        <v>48</v>
      </c>
      <c r="J121" s="140"/>
      <c r="K121" s="140"/>
      <c r="L121" s="140"/>
      <c r="M121" s="142"/>
      <c r="N121" s="142"/>
      <c r="O121" s="142"/>
      <c r="P121" s="142"/>
      <c r="Q121" s="142"/>
      <c r="R121" s="142"/>
      <c r="S121" s="142"/>
      <c r="T121" s="8" t="n">
        <f aca="false">IF(I121="regional",IF(R121&gt;0,R121*0.2975,S121*0.3484),S121*0.1939)</f>
        <v>0</v>
      </c>
      <c r="U121" s="142"/>
      <c r="V121" s="142"/>
      <c r="W121" s="142"/>
      <c r="X121" s="142"/>
      <c r="Y121" s="142"/>
      <c r="Z121" s="142"/>
      <c r="AA121" s="142"/>
      <c r="AB121" s="142"/>
      <c r="AC121" s="142"/>
      <c r="AD121" s="142"/>
      <c r="AE121" s="142"/>
      <c r="AF121" s="142"/>
      <c r="AG121" s="142"/>
      <c r="AH121" s="142"/>
      <c r="AI121" s="142"/>
      <c r="AJ121" s="139"/>
      <c r="AK121" s="139"/>
      <c r="AL121" s="143" t="s">
        <v>48</v>
      </c>
      <c r="AM121" s="139"/>
      <c r="AN121" s="143"/>
      <c r="AO121" s="143"/>
      <c r="AP121" s="143"/>
      <c r="AQ121" s="137" t="n">
        <f aca="false">AR121+AT121+AU121+AV121+AX121+AY121+AZ121+BB121+BC121+BD121+BF121+BG121+BH121+BJ121+BK121+(BL121+BM121+BN121)/1000+(0.1*BO121)</f>
        <v>1986</v>
      </c>
      <c r="AR121" s="162" t="n">
        <v>800</v>
      </c>
      <c r="AS121" s="162" t="n">
        <v>1262</v>
      </c>
      <c r="AT121" s="162" t="n">
        <v>460</v>
      </c>
      <c r="AU121" s="162" t="n">
        <v>50</v>
      </c>
      <c r="AV121" s="156" t="n">
        <v>0</v>
      </c>
      <c r="AW121" s="156" t="n">
        <v>34</v>
      </c>
      <c r="AX121" s="156" t="n">
        <v>0</v>
      </c>
      <c r="AY121" s="156" t="n">
        <v>0</v>
      </c>
      <c r="AZ121" s="162" t="n">
        <v>-1</v>
      </c>
      <c r="BA121" s="162" t="n">
        <v>102</v>
      </c>
      <c r="BB121" s="162" t="n">
        <v>68</v>
      </c>
      <c r="BC121" s="162" t="n">
        <v>0</v>
      </c>
      <c r="BD121" s="156" t="n">
        <v>536</v>
      </c>
      <c r="BE121" s="156" t="n">
        <v>0</v>
      </c>
      <c r="BF121" s="156" t="n">
        <v>0</v>
      </c>
      <c r="BG121" s="156" t="n">
        <v>0</v>
      </c>
      <c r="BH121" s="156" t="n">
        <v>73</v>
      </c>
      <c r="BI121" s="156" t="n">
        <v>22</v>
      </c>
      <c r="BJ121" s="156" t="n">
        <v>0</v>
      </c>
      <c r="BK121" s="156" t="n">
        <v>0</v>
      </c>
      <c r="BL121" s="151"/>
      <c r="BM121" s="151"/>
      <c r="BN121" s="151"/>
      <c r="BO121" s="151"/>
      <c r="BP121" s="159"/>
      <c r="BQ121" s="159"/>
      <c r="BR121" s="159"/>
      <c r="BS121" s="159"/>
      <c r="BT121" s="159"/>
      <c r="BU121" s="159"/>
      <c r="BV121" s="159"/>
      <c r="BW121" s="159"/>
      <c r="BX121" s="159"/>
      <c r="BY121" s="159"/>
      <c r="BZ121" s="159"/>
      <c r="CA121" s="159"/>
      <c r="CB121" s="159"/>
      <c r="CC121" s="159"/>
      <c r="CD121" s="159"/>
      <c r="CE121" s="159"/>
      <c r="CF121" s="159"/>
      <c r="CG121" s="159"/>
      <c r="CH121" s="159"/>
      <c r="CI121" s="159"/>
      <c r="CJ121" s="159"/>
      <c r="CK121" s="159"/>
      <c r="CL121" s="159"/>
      <c r="CM121" s="159"/>
      <c r="CN121" s="159"/>
      <c r="CO121" s="159"/>
      <c r="CP121" s="159"/>
      <c r="CQ121" s="159"/>
    </row>
    <row r="122" customFormat="false" ht="15" hidden="false" customHeight="true" outlineLevel="0" collapsed="false">
      <c r="A122" s="138" t="n">
        <v>3621</v>
      </c>
      <c r="B122" s="138"/>
      <c r="C122" s="139" t="s">
        <v>745</v>
      </c>
      <c r="D122" s="140"/>
      <c r="E122" s="134" t="n">
        <f aca="false">IF(I122="regional",IF(R122*0.2975,S122*0.3484),S122*0.1939)</f>
        <v>0</v>
      </c>
      <c r="F122" s="141"/>
      <c r="G122" s="135"/>
      <c r="H122" s="139"/>
      <c r="I122" s="140" t="s">
        <v>718</v>
      </c>
      <c r="J122" s="140"/>
      <c r="K122" s="140"/>
      <c r="L122" s="140"/>
      <c r="M122" s="142"/>
      <c r="N122" s="142"/>
      <c r="O122" s="142"/>
      <c r="P122" s="142"/>
      <c r="Q122" s="142"/>
      <c r="R122" s="142"/>
      <c r="S122" s="142"/>
      <c r="T122" s="8" t="n">
        <f aca="false">IF(I122="regional",IF(R122&gt;0,R122*0.2975,S122*0.3484),S122*0.1939)</f>
        <v>0</v>
      </c>
      <c r="U122" s="142"/>
      <c r="V122" s="142"/>
      <c r="W122" s="142"/>
      <c r="X122" s="142"/>
      <c r="Y122" s="142"/>
      <c r="Z122" s="142"/>
      <c r="AA122" s="142"/>
      <c r="AB122" s="142"/>
      <c r="AC122" s="142"/>
      <c r="AD122" s="142"/>
      <c r="AE122" s="142"/>
      <c r="AF122" s="142"/>
      <c r="AG122" s="142"/>
      <c r="AH122" s="142"/>
      <c r="AI122" s="142"/>
      <c r="AJ122" s="139"/>
      <c r="AK122" s="139"/>
      <c r="AL122" s="143" t="s">
        <v>62</v>
      </c>
      <c r="AM122" s="139"/>
      <c r="AN122" s="143"/>
      <c r="AO122" s="143"/>
      <c r="AP122" s="143"/>
      <c r="AQ122" s="137" t="n">
        <f aca="false">AR122+AT122+AU122+AV122+AX122+AY122+AZ122+BB122+BC122+BD122+BF122+BG122+BH122+BJ122+BK122+(BL122+BM122+BN122)/1000+(0.1*BO122)</f>
        <v>159</v>
      </c>
      <c r="AR122" s="182" t="n">
        <v>0</v>
      </c>
      <c r="AS122" s="182" t="n">
        <v>293</v>
      </c>
      <c r="AT122" s="182" t="n">
        <v>0</v>
      </c>
      <c r="AU122" s="182" t="n">
        <v>130</v>
      </c>
      <c r="AV122" s="183"/>
      <c r="AW122" s="183"/>
      <c r="AX122" s="183"/>
      <c r="AY122" s="183"/>
      <c r="AZ122" s="162" t="n">
        <v>0</v>
      </c>
      <c r="BA122" s="162" t="n">
        <v>0</v>
      </c>
      <c r="BB122" s="162" t="n">
        <v>0</v>
      </c>
      <c r="BC122" s="162" t="n">
        <v>29</v>
      </c>
      <c r="BD122" s="184"/>
      <c r="BE122" s="184"/>
      <c r="BF122" s="184"/>
      <c r="BG122" s="184"/>
      <c r="BH122" s="184"/>
      <c r="BI122" s="184"/>
      <c r="BJ122" s="184"/>
      <c r="BK122" s="184"/>
      <c r="BL122" s="138"/>
      <c r="BM122" s="138"/>
      <c r="BN122" s="138"/>
      <c r="BO122" s="138"/>
      <c r="BP122" s="159"/>
      <c r="BQ122" s="159"/>
      <c r="BR122" s="159"/>
      <c r="BS122" s="159"/>
      <c r="BT122" s="159"/>
      <c r="BU122" s="159"/>
      <c r="BV122" s="159"/>
      <c r="BW122" s="159"/>
      <c r="BX122" s="159"/>
      <c r="BY122" s="159"/>
      <c r="BZ122" s="159"/>
      <c r="CA122" s="159"/>
      <c r="CB122" s="159"/>
      <c r="CC122" s="159"/>
      <c r="CD122" s="159"/>
      <c r="CE122" s="159"/>
      <c r="CF122" s="159"/>
      <c r="CG122" s="159"/>
      <c r="CH122" s="159"/>
      <c r="CI122" s="159"/>
      <c r="CJ122" s="159"/>
      <c r="CK122" s="159"/>
      <c r="CL122" s="159"/>
      <c r="CM122" s="159"/>
      <c r="CN122" s="159"/>
      <c r="CO122" s="159"/>
      <c r="CP122" s="159"/>
      <c r="CQ122" s="159"/>
    </row>
    <row r="123" customFormat="false" ht="15" hidden="false" customHeight="true" outlineLevel="0" collapsed="false">
      <c r="A123" s="131" t="n">
        <v>2530</v>
      </c>
      <c r="B123" s="131"/>
      <c r="C123" s="132" t="s">
        <v>360</v>
      </c>
      <c r="D123" s="133" t="s">
        <v>360</v>
      </c>
      <c r="E123" s="134" t="n">
        <f aca="false">IF(I123="regional",IF(R123*0.2975,S123*0.3484),S123*0.1939)</f>
        <v>24002.6871</v>
      </c>
      <c r="F123" s="134" t="n">
        <v>0</v>
      </c>
      <c r="G123" s="135" t="n">
        <f aca="false">E123+F123</f>
        <v>24002.6871</v>
      </c>
      <c r="H123" s="132"/>
      <c r="I123" s="133" t="s">
        <v>62</v>
      </c>
      <c r="J123" s="133"/>
      <c r="K123" s="133" t="s">
        <v>191</v>
      </c>
      <c r="L123" s="133"/>
      <c r="M123" s="136" t="n">
        <v>12</v>
      </c>
      <c r="N123" s="136" t="n">
        <v>0.941</v>
      </c>
      <c r="O123" s="136" t="n">
        <v>0.941</v>
      </c>
      <c r="P123" s="136" t="n">
        <v>0.941</v>
      </c>
      <c r="Q123" s="136" t="n">
        <v>0.808</v>
      </c>
      <c r="R123" s="136" t="n">
        <v>0</v>
      </c>
      <c r="S123" s="136" t="n">
        <v>123789</v>
      </c>
      <c r="T123" s="8" t="n">
        <f aca="false">IF(I123="regional",IF(R123&gt;0,R123*0.2975,S123*0.3484),S123*0.1939)</f>
        <v>24002.6871</v>
      </c>
      <c r="U123" s="136" t="n">
        <v>112714</v>
      </c>
      <c r="V123" s="136" t="n">
        <v>11075</v>
      </c>
      <c r="W123" s="136" t="n">
        <v>751</v>
      </c>
      <c r="X123" s="136" t="n">
        <v>0</v>
      </c>
      <c r="Y123" s="136" t="n">
        <v>0</v>
      </c>
      <c r="Z123" s="136" t="n">
        <v>0</v>
      </c>
      <c r="AA123" s="136" t="n">
        <v>147791.6871</v>
      </c>
      <c r="AB123" s="136" t="n">
        <v>24002.6871</v>
      </c>
      <c r="AC123" s="136" t="n">
        <v>123789</v>
      </c>
      <c r="AD123" s="136" t="n">
        <v>0</v>
      </c>
      <c r="AE123" s="136" t="n">
        <v>0</v>
      </c>
      <c r="AF123" s="136" t="n">
        <v>0</v>
      </c>
      <c r="AG123" s="136" t="n">
        <v>123789</v>
      </c>
      <c r="AH123" s="136" t="n">
        <v>0</v>
      </c>
      <c r="AI123" s="136" t="n">
        <v>0</v>
      </c>
      <c r="AJ123" s="132" t="n">
        <v>4</v>
      </c>
      <c r="AK123" s="132" t="s">
        <v>728</v>
      </c>
      <c r="AL123" s="133" t="s">
        <v>62</v>
      </c>
      <c r="AM123" s="132"/>
      <c r="AN123" s="133" t="s">
        <v>360</v>
      </c>
      <c r="AO123" s="133" t="n">
        <v>24002.6871</v>
      </c>
      <c r="AP123" s="137" t="n">
        <f aca="false">AR123+AT123+AU123+AV123+AX123+AY123+AZ123+BD123+BF123+BG123+BH123+BJ123+BK123+(BL123+BM123+BN123)/1000+(0.1*BO123)</f>
        <v>8</v>
      </c>
      <c r="AQ123" s="137" t="n">
        <f aca="false">AR123+AT123+AU123+AV123+AX123+AY123+AZ123+BB123+BC123+BD123+BF123+BG123+BH123+BJ123+BK123+(BL123+BM123+BN123)/1000+(0.1*BO123)</f>
        <v>9</v>
      </c>
      <c r="AR123" s="131" t="n">
        <v>0</v>
      </c>
      <c r="AS123" s="131" t="n">
        <v>0</v>
      </c>
      <c r="AT123" s="131" t="n">
        <v>4</v>
      </c>
      <c r="AU123" s="131" t="n">
        <v>3</v>
      </c>
      <c r="AV123" s="131" t="n">
        <v>0</v>
      </c>
      <c r="AW123" s="131" t="n">
        <v>0</v>
      </c>
      <c r="AX123" s="131" t="n">
        <v>0</v>
      </c>
      <c r="AY123" s="131" t="n">
        <v>1</v>
      </c>
      <c r="AZ123" s="131" t="n">
        <v>0</v>
      </c>
      <c r="BA123" s="131" t="n">
        <v>0</v>
      </c>
      <c r="BB123" s="131" t="n">
        <v>0</v>
      </c>
      <c r="BC123" s="131" t="n">
        <v>1</v>
      </c>
      <c r="BD123" s="131" t="n">
        <v>0</v>
      </c>
      <c r="BE123" s="131" t="n">
        <v>0</v>
      </c>
      <c r="BF123" s="131" t="n">
        <v>0</v>
      </c>
      <c r="BG123" s="131" t="n">
        <v>0</v>
      </c>
      <c r="BH123" s="131" t="n">
        <v>0</v>
      </c>
      <c r="BI123" s="131" t="n">
        <v>0</v>
      </c>
      <c r="BJ123" s="131" t="n">
        <v>0</v>
      </c>
      <c r="BK123" s="131" t="n">
        <v>0</v>
      </c>
      <c r="BL123" s="131" t="n">
        <v>0</v>
      </c>
      <c r="BM123" s="131" t="n">
        <v>0</v>
      </c>
      <c r="BN123" s="131" t="n">
        <v>0</v>
      </c>
      <c r="BO123" s="131" t="n">
        <v>0</v>
      </c>
    </row>
    <row r="124" customFormat="false" ht="15" hidden="false" customHeight="true" outlineLevel="0" collapsed="false">
      <c r="A124" s="131" t="n">
        <v>1506</v>
      </c>
      <c r="B124" s="131"/>
      <c r="C124" s="132" t="s">
        <v>361</v>
      </c>
      <c r="D124" s="133" t="s">
        <v>361</v>
      </c>
      <c r="E124" s="134" t="n">
        <f aca="false">IF(I124="regional",IF(R124*0.2975,S124*0.3484),S124*0.1939)</f>
        <v>134223.5388</v>
      </c>
      <c r="F124" s="134" t="n">
        <v>428123</v>
      </c>
      <c r="G124" s="135" t="n">
        <f aca="false">E124+F124</f>
        <v>562346.5388</v>
      </c>
      <c r="H124" s="132"/>
      <c r="I124" s="133" t="s">
        <v>48</v>
      </c>
      <c r="J124" s="133" t="s">
        <v>49</v>
      </c>
      <c r="K124" s="133" t="s">
        <v>170</v>
      </c>
      <c r="L124" s="133" t="s">
        <v>44</v>
      </c>
      <c r="M124" s="136" t="n">
        <v>50</v>
      </c>
      <c r="N124" s="136" t="n">
        <v>0.779</v>
      </c>
      <c r="O124" s="136" t="n">
        <v>0.779</v>
      </c>
      <c r="P124" s="136" t="n">
        <v>0.86</v>
      </c>
      <c r="Q124" s="136" t="n">
        <v>0.882</v>
      </c>
      <c r="R124" s="136" t="n">
        <v>442056</v>
      </c>
      <c r="S124" s="136" t="n">
        <v>385257</v>
      </c>
      <c r="T124" s="8" t="n">
        <f aca="false">IF(I124="regional",IF(R124&gt;0,R124*0.2975,S124*0.3484),S124*0.1939)</f>
        <v>131511.66</v>
      </c>
      <c r="U124" s="136" t="n">
        <v>252444</v>
      </c>
      <c r="V124" s="136" t="n">
        <v>132813</v>
      </c>
      <c r="W124" s="136" t="n">
        <v>1926</v>
      </c>
      <c r="X124" s="136" t="n">
        <v>559634.66</v>
      </c>
      <c r="Y124" s="136" t="n">
        <v>131511.66</v>
      </c>
      <c r="Z124" s="136" t="n">
        <v>428123</v>
      </c>
      <c r="AA124" s="136" t="n">
        <v>-42866</v>
      </c>
      <c r="AB124" s="136" t="n">
        <v>0</v>
      </c>
      <c r="AC124" s="136" t="n">
        <v>-42866</v>
      </c>
      <c r="AD124" s="136" t="n">
        <v>0</v>
      </c>
      <c r="AE124" s="136" t="n">
        <v>428123</v>
      </c>
      <c r="AF124" s="136" t="n">
        <v>0</v>
      </c>
      <c r="AG124" s="136" t="n">
        <v>-42866</v>
      </c>
      <c r="AH124" s="136" t="n">
        <v>0</v>
      </c>
      <c r="AI124" s="136" t="n">
        <v>0</v>
      </c>
      <c r="AJ124" s="132" t="n">
        <v>4</v>
      </c>
      <c r="AK124" s="132" t="s">
        <v>706</v>
      </c>
      <c r="AL124" s="133" t="s">
        <v>48</v>
      </c>
      <c r="AM124" s="132"/>
      <c r="AN124" s="133" t="s">
        <v>361</v>
      </c>
      <c r="AO124" s="133" t="n">
        <v>559634.66</v>
      </c>
      <c r="AP124" s="137" t="n">
        <f aca="false">AR124+AT124+AU124+AV124+AX124+AY124+AZ124+BD124+BF124+BG124+BH124+BJ124+BK124+(BL124+BM124+BN124)/1000+(0.1*BO124)</f>
        <v>48.3853</v>
      </c>
      <c r="AQ124" s="137" t="n">
        <f aca="false">AR124+AT124+AU124+AV124+AX124+AY124+AZ124+BB124+BC124+BD124+BF124+BG124+BH124+BJ124+BK124+(BL124+BM124+BN124)/1000+(0.1*BO124)</f>
        <v>50.3853</v>
      </c>
      <c r="AR124" s="131" t="n">
        <v>20</v>
      </c>
      <c r="AS124" s="131" t="n">
        <v>0</v>
      </c>
      <c r="AT124" s="131" t="n">
        <v>13</v>
      </c>
      <c r="AU124" s="131" t="n">
        <v>5</v>
      </c>
      <c r="AV124" s="131" t="n">
        <v>0</v>
      </c>
      <c r="AW124" s="131" t="n">
        <v>0</v>
      </c>
      <c r="AX124" s="131" t="n">
        <v>1</v>
      </c>
      <c r="AY124" s="131" t="n">
        <v>2</v>
      </c>
      <c r="AZ124" s="131" t="n">
        <v>0</v>
      </c>
      <c r="BA124" s="131" t="n">
        <v>0</v>
      </c>
      <c r="BB124" s="131" t="n">
        <v>2</v>
      </c>
      <c r="BC124" s="131" t="n">
        <v>0</v>
      </c>
      <c r="BD124" s="131" t="n">
        <v>0</v>
      </c>
      <c r="BE124" s="131" t="n">
        <v>0</v>
      </c>
      <c r="BF124" s="131" t="n">
        <v>0</v>
      </c>
      <c r="BG124" s="131" t="n">
        <v>0</v>
      </c>
      <c r="BH124" s="131" t="n">
        <v>0</v>
      </c>
      <c r="BI124" s="131" t="n">
        <v>0</v>
      </c>
      <c r="BJ124" s="131" t="n">
        <v>0</v>
      </c>
      <c r="BK124" s="131" t="n">
        <v>0</v>
      </c>
      <c r="BL124" s="131" t="n">
        <v>0</v>
      </c>
      <c r="BM124" s="131" t="n">
        <v>0</v>
      </c>
      <c r="BN124" s="131" t="n">
        <v>0</v>
      </c>
      <c r="BO124" s="131" t="n">
        <v>73.853</v>
      </c>
    </row>
    <row r="125" customFormat="false" ht="15" hidden="false" customHeight="true" outlineLevel="0" collapsed="false">
      <c r="A125" s="131" t="n">
        <v>2531</v>
      </c>
      <c r="B125" s="131"/>
      <c r="C125" s="132" t="s">
        <v>363</v>
      </c>
      <c r="D125" s="133" t="s">
        <v>363</v>
      </c>
      <c r="E125" s="134" t="n">
        <f aca="false">IF(I125="regional",IF(R125*0.2975,S125*0.3484),S125*0.1939)</f>
        <v>19201.7231</v>
      </c>
      <c r="F125" s="134" t="n">
        <v>0</v>
      </c>
      <c r="G125" s="135" t="n">
        <f aca="false">E125+F125</f>
        <v>19201.7231</v>
      </c>
      <c r="H125" s="132"/>
      <c r="I125" s="133" t="s">
        <v>62</v>
      </c>
      <c r="J125" s="133"/>
      <c r="K125" s="133" t="s">
        <v>170</v>
      </c>
      <c r="L125" s="133"/>
      <c r="M125" s="136" t="n">
        <v>9</v>
      </c>
      <c r="N125" s="136" t="n">
        <v>1</v>
      </c>
      <c r="O125" s="136" t="n">
        <v>1</v>
      </c>
      <c r="P125" s="136" t="n">
        <v>1</v>
      </c>
      <c r="Q125" s="136" t="n">
        <v>1</v>
      </c>
      <c r="R125" s="136" t="n">
        <v>0</v>
      </c>
      <c r="S125" s="136" t="n">
        <v>99029</v>
      </c>
      <c r="T125" s="8" t="n">
        <f aca="false">IF(I125="regional",IF(R125&gt;0,R125*0.2975,S125*0.3484),S125*0.1939)</f>
        <v>19201.7231</v>
      </c>
      <c r="U125" s="136" t="n">
        <v>72104</v>
      </c>
      <c r="V125" s="136" t="n">
        <v>26925</v>
      </c>
      <c r="W125" s="136" t="n">
        <v>600</v>
      </c>
      <c r="X125" s="136" t="n">
        <v>0</v>
      </c>
      <c r="Y125" s="136" t="n">
        <v>0</v>
      </c>
      <c r="Z125" s="136" t="n">
        <v>0</v>
      </c>
      <c r="AA125" s="136" t="n">
        <v>118230.7231</v>
      </c>
      <c r="AB125" s="136" t="n">
        <v>19201.7231</v>
      </c>
      <c r="AC125" s="136" t="n">
        <v>99029</v>
      </c>
      <c r="AD125" s="136" t="n">
        <v>0</v>
      </c>
      <c r="AE125" s="136" t="n">
        <v>0</v>
      </c>
      <c r="AF125" s="136" t="n">
        <v>0</v>
      </c>
      <c r="AG125" s="136" t="n">
        <v>99029</v>
      </c>
      <c r="AH125" s="136" t="n">
        <v>0</v>
      </c>
      <c r="AI125" s="136" t="n">
        <v>0</v>
      </c>
      <c r="AJ125" s="132" t="n">
        <v>4</v>
      </c>
      <c r="AK125" s="132" t="s">
        <v>720</v>
      </c>
      <c r="AL125" s="133" t="s">
        <v>62</v>
      </c>
      <c r="AM125" s="132"/>
      <c r="AN125" s="133" t="s">
        <v>363</v>
      </c>
      <c r="AO125" s="133" t="n">
        <v>19201.7231</v>
      </c>
      <c r="AP125" s="137" t="n">
        <f aca="false">AR125+AT125+AU125+AV125+AX125+AY125+AZ125+BD125+BF125+BG125+BH125+BJ125+BK125+(BL125+BM125+BN125)/1000+(0.1*BO125)</f>
        <v>5.786996</v>
      </c>
      <c r="AQ125" s="137" t="n">
        <f aca="false">AR125+AT125+AU125+AV125+AX125+AY125+AZ125+BB125+BC125+BD125+BF125+BG125+BH125+BJ125+BK125+(BL125+BM125+BN125)/1000+(0.1*BO125)</f>
        <v>5.786996</v>
      </c>
      <c r="AR125" s="131" t="n">
        <v>0</v>
      </c>
      <c r="AS125" s="131" t="n">
        <v>0</v>
      </c>
      <c r="AT125" s="131" t="n">
        <v>4</v>
      </c>
      <c r="AU125" s="131" t="n">
        <v>0</v>
      </c>
      <c r="AV125" s="131" t="n">
        <v>0</v>
      </c>
      <c r="AW125" s="131" t="n">
        <v>0</v>
      </c>
      <c r="AX125" s="131" t="n">
        <v>0</v>
      </c>
      <c r="AY125" s="131" t="n">
        <v>0</v>
      </c>
      <c r="AZ125" s="131" t="n">
        <v>0</v>
      </c>
      <c r="BA125" s="131" t="n">
        <v>0</v>
      </c>
      <c r="BB125" s="131" t="n">
        <v>0</v>
      </c>
      <c r="BC125" s="131" t="n">
        <v>0</v>
      </c>
      <c r="BD125" s="131" t="n">
        <v>0</v>
      </c>
      <c r="BE125" s="131" t="n">
        <v>0</v>
      </c>
      <c r="BF125" s="131" t="n">
        <v>0</v>
      </c>
      <c r="BG125" s="131" t="n">
        <v>0</v>
      </c>
      <c r="BH125" s="131" t="n">
        <v>0</v>
      </c>
      <c r="BI125" s="131" t="n">
        <v>0</v>
      </c>
      <c r="BJ125" s="131" t="n">
        <v>0</v>
      </c>
      <c r="BK125" s="131" t="n">
        <v>0</v>
      </c>
      <c r="BL125" s="131" t="n">
        <v>0</v>
      </c>
      <c r="BM125" s="131" t="n">
        <v>0</v>
      </c>
      <c r="BN125" s="131" t="n">
        <v>0</v>
      </c>
      <c r="BO125" s="131" t="n">
        <v>17.86996</v>
      </c>
    </row>
    <row r="126" customFormat="false" ht="15" hidden="false" customHeight="true" outlineLevel="0" collapsed="false">
      <c r="A126" s="131" t="n">
        <v>2544</v>
      </c>
      <c r="B126" s="131"/>
      <c r="C126" s="132" t="s">
        <v>364</v>
      </c>
      <c r="D126" s="133" t="s">
        <v>364</v>
      </c>
      <c r="E126" s="134" t="n">
        <f aca="false">IF(I126="regional",IF(R126*0.2975,S126*0.3484),S126*0.1939)</f>
        <v>18373.7701</v>
      </c>
      <c r="F126" s="134" t="n">
        <v>0</v>
      </c>
      <c r="G126" s="135" t="n">
        <f aca="false">E126+F126</f>
        <v>18373.7701</v>
      </c>
      <c r="H126" s="132"/>
      <c r="I126" s="133" t="s">
        <v>62</v>
      </c>
      <c r="J126" s="133"/>
      <c r="K126" s="133" t="s">
        <v>334</v>
      </c>
      <c r="L126" s="133"/>
      <c r="M126" s="136" t="n">
        <v>3</v>
      </c>
      <c r="N126" s="136" t="n">
        <v>0.971</v>
      </c>
      <c r="O126" s="136" t="n">
        <v>0.971</v>
      </c>
      <c r="P126" s="136" t="n">
        <v>0.971</v>
      </c>
      <c r="Q126" s="136" t="n">
        <v>0.971</v>
      </c>
      <c r="R126" s="136" t="n">
        <v>0</v>
      </c>
      <c r="S126" s="136" t="n">
        <v>94759</v>
      </c>
      <c r="T126" s="8" t="n">
        <f aca="false">IF(I126="regional",IF(R126&gt;0,R126*0.2975,S126*0.3484),S126*0.1939)</f>
        <v>18373.7701</v>
      </c>
      <c r="U126" s="136" t="n">
        <v>88470</v>
      </c>
      <c r="V126" s="136" t="n">
        <v>6289</v>
      </c>
      <c r="W126" s="136" t="n">
        <v>584</v>
      </c>
      <c r="X126" s="136" t="n">
        <v>0</v>
      </c>
      <c r="Y126" s="136" t="n">
        <v>0</v>
      </c>
      <c r="Z126" s="136" t="n">
        <v>0</v>
      </c>
      <c r="AA126" s="136" t="n">
        <v>113132.7701</v>
      </c>
      <c r="AB126" s="136" t="n">
        <v>18373.7701</v>
      </c>
      <c r="AC126" s="136" t="n">
        <v>94759</v>
      </c>
      <c r="AD126" s="136" t="n">
        <v>0</v>
      </c>
      <c r="AE126" s="136" t="n">
        <v>0</v>
      </c>
      <c r="AF126" s="136" t="n">
        <v>0</v>
      </c>
      <c r="AG126" s="136" t="n">
        <v>94759</v>
      </c>
      <c r="AH126" s="136" t="n">
        <v>0</v>
      </c>
      <c r="AI126" s="136" t="n">
        <v>0</v>
      </c>
      <c r="AJ126" s="132" t="s">
        <v>707</v>
      </c>
      <c r="AK126" s="132" t="s">
        <v>712</v>
      </c>
      <c r="AL126" s="133" t="s">
        <v>62</v>
      </c>
      <c r="AM126" s="132"/>
      <c r="AN126" s="133" t="s">
        <v>364</v>
      </c>
      <c r="AO126" s="133" t="n">
        <v>18373.7701</v>
      </c>
      <c r="AP126" s="137" t="n">
        <f aca="false">AR126+AT126+AU126+AV126+AX126+AY126+AZ126+BD126+BF126+BG126+BH126+BJ126+BK126+(BL126+BM126+BN126)/1000+(0.1*BO126)</f>
        <v>0</v>
      </c>
      <c r="AQ126" s="137" t="n">
        <f aca="false">AR126+AT126+AU126+AV126+AX126+AY126+AZ126+BB126+BC126+BD126+BF126+BG126+BH126+BJ126+BK126+(BL126+BM126+BN126)/1000+(0.1*BO126)</f>
        <v>0</v>
      </c>
      <c r="AR126" s="131" t="n">
        <v>0</v>
      </c>
      <c r="AS126" s="131" t="n">
        <v>0</v>
      </c>
      <c r="AT126" s="131" t="n">
        <v>0</v>
      </c>
      <c r="AU126" s="131" t="n">
        <v>0</v>
      </c>
      <c r="AV126" s="131" t="n">
        <v>0</v>
      </c>
      <c r="AW126" s="131" t="n">
        <v>0</v>
      </c>
      <c r="AX126" s="131" t="n">
        <v>0</v>
      </c>
      <c r="AY126" s="131" t="n">
        <v>0</v>
      </c>
      <c r="AZ126" s="131" t="n">
        <v>0</v>
      </c>
      <c r="BA126" s="131" t="n">
        <v>0</v>
      </c>
      <c r="BB126" s="131" t="n">
        <v>0</v>
      </c>
      <c r="BC126" s="131" t="n">
        <v>0</v>
      </c>
      <c r="BD126" s="131" t="n">
        <v>0</v>
      </c>
      <c r="BE126" s="131" t="n">
        <v>0</v>
      </c>
      <c r="BF126" s="131" t="n">
        <v>0</v>
      </c>
      <c r="BG126" s="131" t="n">
        <v>0</v>
      </c>
      <c r="BH126" s="131" t="n">
        <v>0</v>
      </c>
      <c r="BI126" s="131" t="n">
        <v>0</v>
      </c>
      <c r="BJ126" s="131" t="n">
        <v>0</v>
      </c>
      <c r="BK126" s="131" t="n">
        <v>0</v>
      </c>
      <c r="BL126" s="131" t="n">
        <v>0</v>
      </c>
      <c r="BM126" s="131" t="n">
        <v>0</v>
      </c>
      <c r="BN126" s="131" t="n">
        <v>0</v>
      </c>
      <c r="BO126" s="131" t="n">
        <v>0</v>
      </c>
    </row>
    <row r="127" customFormat="false" ht="15" hidden="false" customHeight="true" outlineLevel="0" collapsed="false">
      <c r="A127" s="131" t="n">
        <v>1583</v>
      </c>
      <c r="B127" s="131"/>
      <c r="C127" s="132" t="s">
        <v>366</v>
      </c>
      <c r="D127" s="133" t="s">
        <v>366</v>
      </c>
      <c r="E127" s="134" t="n">
        <f aca="false">IF(I127="regional",IF(R127*0.2975,S127*0.3484),S127*0.1939)</f>
        <v>19865.2489</v>
      </c>
      <c r="F127" s="134" t="n">
        <v>0</v>
      </c>
      <c r="G127" s="135" t="n">
        <f aca="false">E127+F127</f>
        <v>19865.2489</v>
      </c>
      <c r="H127" s="132"/>
      <c r="I127" s="133" t="s">
        <v>62</v>
      </c>
      <c r="J127" s="133"/>
      <c r="K127" s="133" t="s">
        <v>115</v>
      </c>
      <c r="L127" s="133"/>
      <c r="M127" s="136" t="n">
        <v>11</v>
      </c>
      <c r="N127" s="136" t="n">
        <v>0.876</v>
      </c>
      <c r="O127" s="136" t="n">
        <v>0.876</v>
      </c>
      <c r="P127" s="136" t="n">
        <v>0.876</v>
      </c>
      <c r="Q127" s="136" t="n">
        <v>1</v>
      </c>
      <c r="R127" s="136" t="n">
        <v>0</v>
      </c>
      <c r="S127" s="136" t="n">
        <v>102451</v>
      </c>
      <c r="T127" s="8" t="n">
        <f aca="false">IF(I127="regional",IF(R127&gt;0,R127*0.2975,S127*0.3484),S127*0.1939)</f>
        <v>19865.2489</v>
      </c>
      <c r="U127" s="136" t="n">
        <v>45427</v>
      </c>
      <c r="V127" s="136" t="n">
        <v>57024</v>
      </c>
      <c r="W127" s="136" t="n">
        <v>590</v>
      </c>
      <c r="X127" s="136" t="n">
        <v>0</v>
      </c>
      <c r="Y127" s="136" t="n">
        <v>0</v>
      </c>
      <c r="Z127" s="136" t="n">
        <v>0</v>
      </c>
      <c r="AA127" s="136" t="n">
        <v>122316.2489</v>
      </c>
      <c r="AB127" s="136" t="n">
        <v>19865.2489</v>
      </c>
      <c r="AC127" s="136" t="n">
        <v>102451</v>
      </c>
      <c r="AD127" s="136" t="n">
        <v>0</v>
      </c>
      <c r="AE127" s="136" t="n">
        <v>0</v>
      </c>
      <c r="AF127" s="136" t="n">
        <v>0</v>
      </c>
      <c r="AG127" s="136" t="n">
        <v>102451</v>
      </c>
      <c r="AH127" s="136" t="n">
        <v>0</v>
      </c>
      <c r="AI127" s="136" t="n">
        <v>0</v>
      </c>
      <c r="AJ127" s="132" t="n">
        <v>4</v>
      </c>
      <c r="AK127" s="132" t="s">
        <v>720</v>
      </c>
      <c r="AL127" s="133" t="s">
        <v>62</v>
      </c>
      <c r="AM127" s="132"/>
      <c r="AN127" s="133" t="s">
        <v>366</v>
      </c>
      <c r="AO127" s="133" t="n">
        <v>19865.2489</v>
      </c>
      <c r="AP127" s="137" t="n">
        <f aca="false">AR127+AT127+AU127+AV127+AX127+AY127+AZ127+BD127+BF127+BG127+BH127+BJ127+BK127+(BL127+BM127+BN127)/1000+(0.1*BO127)</f>
        <v>14</v>
      </c>
      <c r="AQ127" s="137" t="n">
        <f aca="false">AR127+AT127+AU127+AV127+AX127+AY127+AZ127+BB127+BC127+BD127+BF127+BG127+BH127+BJ127+BK127+(BL127+BM127+BN127)/1000+(0.1*BO127)</f>
        <v>14</v>
      </c>
      <c r="AR127" s="131" t="n">
        <v>0</v>
      </c>
      <c r="AS127" s="131" t="n">
        <v>0</v>
      </c>
      <c r="AT127" s="131" t="n">
        <v>7</v>
      </c>
      <c r="AU127" s="131" t="n">
        <v>5</v>
      </c>
      <c r="AV127" s="131" t="n">
        <v>0</v>
      </c>
      <c r="AW127" s="131" t="n">
        <v>0</v>
      </c>
      <c r="AX127" s="131" t="n">
        <v>0</v>
      </c>
      <c r="AY127" s="131" t="n">
        <v>2</v>
      </c>
      <c r="AZ127" s="131" t="n">
        <v>0</v>
      </c>
      <c r="BA127" s="131" t="n">
        <v>0</v>
      </c>
      <c r="BB127" s="131" t="n">
        <v>0</v>
      </c>
      <c r="BC127" s="131" t="n">
        <v>0</v>
      </c>
      <c r="BD127" s="131" t="n">
        <v>0</v>
      </c>
      <c r="BE127" s="131" t="n">
        <v>0</v>
      </c>
      <c r="BF127" s="131" t="n">
        <v>0</v>
      </c>
      <c r="BG127" s="131" t="n">
        <v>0</v>
      </c>
      <c r="BH127" s="131" t="n">
        <v>0</v>
      </c>
      <c r="BI127" s="131" t="n">
        <v>0</v>
      </c>
      <c r="BJ127" s="131" t="n">
        <v>0</v>
      </c>
      <c r="BK127" s="131" t="n">
        <v>0</v>
      </c>
      <c r="BL127" s="131" t="n">
        <v>0</v>
      </c>
      <c r="BM127" s="131" t="n">
        <v>0</v>
      </c>
      <c r="BN127" s="131" t="n">
        <v>0</v>
      </c>
      <c r="BO127" s="131" t="n">
        <v>0</v>
      </c>
    </row>
    <row r="128" customFormat="false" ht="15" hidden="false" customHeight="true" outlineLevel="0" collapsed="false">
      <c r="A128" s="131" t="n">
        <v>2614</v>
      </c>
      <c r="B128" s="131"/>
      <c r="C128" s="132" t="s">
        <v>367</v>
      </c>
      <c r="D128" s="133" t="s">
        <v>367</v>
      </c>
      <c r="E128" s="134" t="n">
        <f aca="false">IF(I128="regional",IF(R128*0.2975,S128*0.3484),S128*0.1939)</f>
        <v>51859.5245</v>
      </c>
      <c r="F128" s="134" t="n">
        <v>0</v>
      </c>
      <c r="G128" s="135" t="n">
        <f aca="false">E128+F128</f>
        <v>51859.5245</v>
      </c>
      <c r="H128" s="132"/>
      <c r="I128" s="133" t="s">
        <v>62</v>
      </c>
      <c r="J128" s="133"/>
      <c r="K128" s="133" t="s">
        <v>98</v>
      </c>
      <c r="L128" s="133"/>
      <c r="M128" s="136" t="n">
        <v>14</v>
      </c>
      <c r="N128" s="136" t="n">
        <v>0.886</v>
      </c>
      <c r="O128" s="136" t="n">
        <v>0.86</v>
      </c>
      <c r="P128" s="136" t="n">
        <v>0.86</v>
      </c>
      <c r="Q128" s="136" t="n">
        <v>0.864</v>
      </c>
      <c r="R128" s="136" t="n">
        <v>0</v>
      </c>
      <c r="S128" s="136" t="n">
        <v>267455</v>
      </c>
      <c r="T128" s="8" t="n">
        <f aca="false">IF(I128="regional",IF(R128&gt;0,R128*0.2975,S128*0.3484),S128*0.1939)</f>
        <v>51859.5245</v>
      </c>
      <c r="U128" s="136" t="n">
        <v>230855</v>
      </c>
      <c r="V128" s="136" t="n">
        <v>36600</v>
      </c>
      <c r="W128" s="136" t="n">
        <v>1232</v>
      </c>
      <c r="X128" s="136" t="n">
        <v>0</v>
      </c>
      <c r="Y128" s="136" t="n">
        <v>0</v>
      </c>
      <c r="Z128" s="136" t="n">
        <v>0</v>
      </c>
      <c r="AA128" s="136" t="n">
        <v>319314.5245</v>
      </c>
      <c r="AB128" s="136" t="n">
        <v>51859.5245</v>
      </c>
      <c r="AC128" s="136" t="n">
        <v>267455</v>
      </c>
      <c r="AD128" s="136" t="n">
        <v>0</v>
      </c>
      <c r="AE128" s="136" t="n">
        <v>0</v>
      </c>
      <c r="AF128" s="136" t="n">
        <v>0</v>
      </c>
      <c r="AG128" s="136" t="n">
        <v>267455</v>
      </c>
      <c r="AH128" s="136" t="n">
        <v>0</v>
      </c>
      <c r="AI128" s="136" t="n">
        <v>0</v>
      </c>
      <c r="AJ128" s="132" t="n">
        <v>4</v>
      </c>
      <c r="AK128" s="132" t="s">
        <v>706</v>
      </c>
      <c r="AL128" s="133" t="s">
        <v>62</v>
      </c>
      <c r="AM128" s="132"/>
      <c r="AN128" s="133" t="s">
        <v>367</v>
      </c>
      <c r="AO128" s="133" t="n">
        <v>51859.5245</v>
      </c>
      <c r="AP128" s="137" t="n">
        <f aca="false">AR128+AT128+AU128+AV128+AX128+AY128+AZ128+BD128+BF128+BG128+BH128+BJ128+BK128+(BL128+BM128+BN128)/1000+(0.1*BO128)</f>
        <v>16</v>
      </c>
      <c r="AQ128" s="137" t="n">
        <f aca="false">AR128+AT128+AU128+AV128+AX128+AY128+AZ128+BB128+BC128+BD128+BF128+BG128+BH128+BJ128+BK128+(BL128+BM128+BN128)/1000+(0.1*BO128)</f>
        <v>19</v>
      </c>
      <c r="AR128" s="131" t="n">
        <v>0</v>
      </c>
      <c r="AS128" s="131" t="n">
        <v>0</v>
      </c>
      <c r="AT128" s="131" t="n">
        <v>12</v>
      </c>
      <c r="AU128" s="131" t="n">
        <v>4</v>
      </c>
      <c r="AV128" s="131" t="n">
        <v>0</v>
      </c>
      <c r="AW128" s="131" t="n">
        <v>0</v>
      </c>
      <c r="AX128" s="131" t="n">
        <v>0</v>
      </c>
      <c r="AY128" s="131" t="n">
        <v>0</v>
      </c>
      <c r="AZ128" s="131" t="n">
        <v>0</v>
      </c>
      <c r="BA128" s="131" t="n">
        <v>2</v>
      </c>
      <c r="BB128" s="131" t="n">
        <v>3</v>
      </c>
      <c r="BC128" s="131" t="n">
        <v>0</v>
      </c>
      <c r="BD128" s="131" t="n">
        <v>0</v>
      </c>
      <c r="BE128" s="131" t="n">
        <v>0</v>
      </c>
      <c r="BF128" s="131" t="n">
        <v>0</v>
      </c>
      <c r="BG128" s="131" t="n">
        <v>0</v>
      </c>
      <c r="BH128" s="131" t="n">
        <v>0</v>
      </c>
      <c r="BI128" s="131" t="n">
        <v>0</v>
      </c>
      <c r="BJ128" s="131" t="n">
        <v>0</v>
      </c>
      <c r="BK128" s="131" t="n">
        <v>0</v>
      </c>
      <c r="BL128" s="131" t="n">
        <v>0</v>
      </c>
      <c r="BM128" s="131" t="n">
        <v>0</v>
      </c>
      <c r="BN128" s="131" t="n">
        <v>0</v>
      </c>
      <c r="BO128" s="131" t="n">
        <v>0</v>
      </c>
    </row>
    <row r="129" customFormat="false" ht="15" hidden="false" customHeight="true" outlineLevel="0" collapsed="false">
      <c r="A129" s="131" t="n">
        <v>2547</v>
      </c>
      <c r="B129" s="131"/>
      <c r="C129" s="132" t="s">
        <v>369</v>
      </c>
      <c r="D129" s="133" t="s">
        <v>369</v>
      </c>
      <c r="E129" s="134" t="n">
        <f aca="false">IF(I129="regional",IF(R129*0.2975,S129*0.3484),S129*0.1939)</f>
        <v>265371.054</v>
      </c>
      <c r="F129" s="134" t="n">
        <v>276347</v>
      </c>
      <c r="G129" s="135" t="n">
        <f aca="false">E129+F129</f>
        <v>541718.054</v>
      </c>
      <c r="H129" s="132"/>
      <c r="I129" s="133" t="s">
        <v>48</v>
      </c>
      <c r="J129" s="133" t="s">
        <v>49</v>
      </c>
      <c r="K129" s="133" t="s">
        <v>372</v>
      </c>
      <c r="L129" s="133" t="s">
        <v>44</v>
      </c>
      <c r="M129" s="136" t="n">
        <v>83</v>
      </c>
      <c r="N129" s="136" t="n">
        <v>0.864</v>
      </c>
      <c r="O129" s="136" t="n">
        <v>0.964</v>
      </c>
      <c r="P129" s="136" t="n">
        <v>0.951</v>
      </c>
      <c r="Q129" s="136" t="n">
        <v>0.954</v>
      </c>
      <c r="R129" s="136" t="n">
        <v>862393</v>
      </c>
      <c r="S129" s="136" t="n">
        <v>761685</v>
      </c>
      <c r="T129" s="8" t="n">
        <f aca="false">IF(I129="regional",IF(R129&gt;0,R129*0.2975,S129*0.3484),S129*0.1939)</f>
        <v>256561.9175</v>
      </c>
      <c r="U129" s="136" t="n">
        <v>554156</v>
      </c>
      <c r="V129" s="136" t="n">
        <v>207529</v>
      </c>
      <c r="W129" s="136" t="n">
        <v>3815</v>
      </c>
      <c r="X129" s="136" t="n">
        <v>532908.9175</v>
      </c>
      <c r="Y129" s="136" t="n">
        <v>256561.9175</v>
      </c>
      <c r="Z129" s="136" t="n">
        <v>276347</v>
      </c>
      <c r="AA129" s="136" t="n">
        <v>485338</v>
      </c>
      <c r="AB129" s="136" t="n">
        <v>0</v>
      </c>
      <c r="AC129" s="136" t="n">
        <v>485338</v>
      </c>
      <c r="AD129" s="136" t="n">
        <v>0</v>
      </c>
      <c r="AE129" s="136" t="n">
        <v>276347</v>
      </c>
      <c r="AF129" s="136" t="n">
        <v>0</v>
      </c>
      <c r="AG129" s="136" t="n">
        <v>485338</v>
      </c>
      <c r="AH129" s="136" t="n">
        <v>0</v>
      </c>
      <c r="AI129" s="136" t="n">
        <v>0</v>
      </c>
      <c r="AJ129" s="132" t="s">
        <v>707</v>
      </c>
      <c r="AK129" s="132" t="s">
        <v>729</v>
      </c>
      <c r="AL129" s="133" t="s">
        <v>48</v>
      </c>
      <c r="AM129" s="132"/>
      <c r="AN129" s="133" t="s">
        <v>369</v>
      </c>
      <c r="AO129" s="133" t="n">
        <v>532908.9175</v>
      </c>
      <c r="AP129" s="137" t="n">
        <f aca="false">AR129+AT129+AU129+AV129+AX129+AY129+AZ129+BD129+BF129+BG129+BH129+BJ129+BK129+(BL129+BM129+BN129)/1000+(0.1*BO129)</f>
        <v>669.2128</v>
      </c>
      <c r="AQ129" s="137" t="n">
        <f aca="false">AR129+AT129+AU129+AV129+AX129+AY129+AZ129+BB129+BC129+BD129+BF129+BG129+BH129+BJ129+BK129+(BL129+BM129+BN129)/1000+(0.1*BO129)</f>
        <v>691.2128</v>
      </c>
      <c r="AR129" s="131" t="n">
        <v>199</v>
      </c>
      <c r="AS129" s="131" t="n">
        <v>0</v>
      </c>
      <c r="AT129" s="131" t="n">
        <v>72</v>
      </c>
      <c r="AU129" s="131" t="n">
        <v>7</v>
      </c>
      <c r="AV129" s="131" t="n">
        <v>0</v>
      </c>
      <c r="AW129" s="131" t="n">
        <v>0</v>
      </c>
      <c r="AX129" s="131" t="n">
        <v>0</v>
      </c>
      <c r="AY129" s="131" t="n">
        <v>0</v>
      </c>
      <c r="AZ129" s="131" t="n">
        <v>14</v>
      </c>
      <c r="BA129" s="131" t="n">
        <v>7</v>
      </c>
      <c r="BB129" s="131" t="n">
        <v>21</v>
      </c>
      <c r="BC129" s="131" t="n">
        <v>1</v>
      </c>
      <c r="BD129" s="131" t="n">
        <v>21</v>
      </c>
      <c r="BE129" s="131" t="n">
        <v>0</v>
      </c>
      <c r="BF129" s="131" t="n">
        <v>0</v>
      </c>
      <c r="BG129" s="131" t="n">
        <v>0</v>
      </c>
      <c r="BH129" s="131" t="n">
        <v>59</v>
      </c>
      <c r="BI129" s="131" t="n">
        <v>0</v>
      </c>
      <c r="BJ129" s="131" t="n">
        <v>0</v>
      </c>
      <c r="BK129" s="131" t="n">
        <v>0</v>
      </c>
      <c r="BL129" s="131" t="n">
        <v>0</v>
      </c>
      <c r="BM129" s="131" t="n">
        <v>0</v>
      </c>
      <c r="BN129" s="131" t="n">
        <v>250209</v>
      </c>
      <c r="BO129" s="131" t="n">
        <v>470.038</v>
      </c>
    </row>
    <row r="130" customFormat="false" ht="15" hidden="false" customHeight="true" outlineLevel="0" collapsed="false">
      <c r="A130" s="131" t="n">
        <v>9133</v>
      </c>
      <c r="B130" s="131"/>
      <c r="C130" s="132" t="s">
        <v>373</v>
      </c>
      <c r="D130" s="133" t="s">
        <v>373</v>
      </c>
      <c r="E130" s="134" t="n">
        <f aca="false">IF(I130="regional",IF(R130*0.2975,S130*0.3484),S130*0.1939)</f>
        <v>257892.2996</v>
      </c>
      <c r="F130" s="134" t="n">
        <v>0</v>
      </c>
      <c r="G130" s="135" t="n">
        <f aca="false">E130+F130</f>
        <v>257892.2996</v>
      </c>
      <c r="H130" s="132"/>
      <c r="I130" s="133" t="s">
        <v>48</v>
      </c>
      <c r="J130" s="133"/>
      <c r="K130" s="133" t="s">
        <v>105</v>
      </c>
      <c r="L130" s="133"/>
      <c r="M130" s="136" t="n">
        <v>141</v>
      </c>
      <c r="N130" s="136" t="n">
        <v>0.851</v>
      </c>
      <c r="O130" s="136" t="n">
        <v>0.856</v>
      </c>
      <c r="P130" s="136" t="n">
        <v>0.806</v>
      </c>
      <c r="Q130" s="136" t="n">
        <v>0.815</v>
      </c>
      <c r="R130" s="136" t="n">
        <v>771233</v>
      </c>
      <c r="S130" s="136" t="n">
        <v>740219</v>
      </c>
      <c r="T130" s="8" t="n">
        <f aca="false">IF(I130="regional",IF(R130&gt;0,R130*0.2975,S130*0.3484),S130*0.1939)</f>
        <v>229441.8175</v>
      </c>
      <c r="U130" s="136" t="n">
        <v>472605</v>
      </c>
      <c r="V130" s="136" t="n">
        <v>267614</v>
      </c>
      <c r="W130" s="136" t="n">
        <v>3892</v>
      </c>
      <c r="X130" s="136" t="n">
        <v>0</v>
      </c>
      <c r="Y130" s="136" t="n">
        <v>0</v>
      </c>
      <c r="Z130" s="136" t="n">
        <v>0</v>
      </c>
      <c r="AA130" s="136" t="n">
        <v>969660.8175</v>
      </c>
      <c r="AB130" s="136" t="n">
        <v>229441.8175</v>
      </c>
      <c r="AC130" s="136" t="n">
        <v>740219</v>
      </c>
      <c r="AD130" s="136" t="n">
        <v>0</v>
      </c>
      <c r="AE130" s="136" t="n">
        <v>0</v>
      </c>
      <c r="AF130" s="136" t="n">
        <v>0</v>
      </c>
      <c r="AG130" s="136" t="n">
        <v>740219</v>
      </c>
      <c r="AH130" s="136" t="n">
        <v>0</v>
      </c>
      <c r="AI130" s="136" t="n">
        <v>0</v>
      </c>
      <c r="AJ130" s="132" t="s">
        <v>707</v>
      </c>
      <c r="AK130" s="132" t="s">
        <v>714</v>
      </c>
      <c r="AL130" s="133" t="s">
        <v>48</v>
      </c>
      <c r="AM130" s="132"/>
      <c r="AN130" s="133" t="s">
        <v>373</v>
      </c>
      <c r="AO130" s="133" t="n">
        <v>229441.8175</v>
      </c>
      <c r="AP130" s="137" t="n">
        <f aca="false">AR130+AT130+AU130+AV130+AX130+AY130+AZ130+BD130+BF130+BG130+BH130+BJ130+BK130+(BL130+BM130+BN130)/1000+(0.1*BO130)</f>
        <v>227.9077</v>
      </c>
      <c r="AQ130" s="137" t="n">
        <f aca="false">AR130+AT130+AU130+AV130+AX130+AY130+AZ130+BB130+BC130+BD130+BF130+BG130+BH130+BJ130+BK130+(BL130+BM130+BN130)/1000+(0.1*BO130)</f>
        <v>239.9077</v>
      </c>
      <c r="AR130" s="131" t="n">
        <v>0</v>
      </c>
      <c r="AS130" s="131" t="n">
        <v>0</v>
      </c>
      <c r="AT130" s="131" t="n">
        <v>103</v>
      </c>
      <c r="AU130" s="131" t="n">
        <v>9</v>
      </c>
      <c r="AV130" s="131" t="n">
        <v>0</v>
      </c>
      <c r="AW130" s="131" t="n">
        <v>0</v>
      </c>
      <c r="AX130" s="131" t="n">
        <v>2</v>
      </c>
      <c r="AY130" s="131" t="n">
        <v>0</v>
      </c>
      <c r="AZ130" s="131" t="n">
        <v>0</v>
      </c>
      <c r="BA130" s="131" t="n">
        <v>0</v>
      </c>
      <c r="BB130" s="131" t="n">
        <v>11</v>
      </c>
      <c r="BC130" s="131" t="n">
        <v>1</v>
      </c>
      <c r="BD130" s="131" t="n">
        <v>0</v>
      </c>
      <c r="BE130" s="131" t="n">
        <v>0</v>
      </c>
      <c r="BF130" s="131" t="n">
        <v>0</v>
      </c>
      <c r="BG130" s="131" t="n">
        <v>0</v>
      </c>
      <c r="BH130" s="131" t="n">
        <v>0</v>
      </c>
      <c r="BI130" s="131" t="n">
        <v>0</v>
      </c>
      <c r="BJ130" s="131" t="n">
        <v>0</v>
      </c>
      <c r="BK130" s="131" t="n">
        <v>0</v>
      </c>
      <c r="BL130" s="131" t="n">
        <v>31780</v>
      </c>
      <c r="BM130" s="131" t="n">
        <v>0</v>
      </c>
      <c r="BN130" s="131" t="n">
        <v>9128</v>
      </c>
      <c r="BO130" s="131" t="n">
        <v>729.997</v>
      </c>
    </row>
    <row r="131" customFormat="false" ht="15" hidden="false" customHeight="true" outlineLevel="0" collapsed="false">
      <c r="A131" s="131" t="n">
        <v>1509</v>
      </c>
      <c r="B131" s="131"/>
      <c r="C131" s="132" t="s">
        <v>375</v>
      </c>
      <c r="D131" s="133" t="s">
        <v>375</v>
      </c>
      <c r="E131" s="134" t="n">
        <f aca="false">IF(I131="regional",IF(R131*0.2975,S131*0.3484),S131*0.1939)</f>
        <v>147240.1112</v>
      </c>
      <c r="F131" s="134" t="n">
        <v>0</v>
      </c>
      <c r="G131" s="135" t="n">
        <f aca="false">E131+F131</f>
        <v>147240.1112</v>
      </c>
      <c r="H131" s="132"/>
      <c r="I131" s="133" t="s">
        <v>48</v>
      </c>
      <c r="J131" s="133" t="s">
        <v>49</v>
      </c>
      <c r="K131" s="133" t="s">
        <v>232</v>
      </c>
      <c r="L131" s="133"/>
      <c r="M131" s="136" t="n">
        <v>43</v>
      </c>
      <c r="N131" s="136" t="n">
        <v>0.999</v>
      </c>
      <c r="O131" s="136" t="n">
        <v>1</v>
      </c>
      <c r="P131" s="136" t="n">
        <v>1</v>
      </c>
      <c r="Q131" s="136" t="n">
        <v>0.897</v>
      </c>
      <c r="R131" s="136" t="n">
        <v>458455</v>
      </c>
      <c r="S131" s="136" t="n">
        <v>422618</v>
      </c>
      <c r="T131" s="8" t="n">
        <f aca="false">IF(I131="regional",IF(R131&gt;0,R131*0.2975,S131*0.3484),S131*0.1939)</f>
        <v>136390.3625</v>
      </c>
      <c r="U131" s="136" t="n">
        <v>307884</v>
      </c>
      <c r="V131" s="136" t="n">
        <v>114734</v>
      </c>
      <c r="W131" s="136" t="n">
        <v>1868</v>
      </c>
      <c r="X131" s="136" t="n">
        <v>0</v>
      </c>
      <c r="Y131" s="136" t="n">
        <v>0</v>
      </c>
      <c r="Z131" s="136" t="n">
        <v>0</v>
      </c>
      <c r="AA131" s="136" t="n">
        <v>559008.3625</v>
      </c>
      <c r="AB131" s="136" t="n">
        <v>136390.3625</v>
      </c>
      <c r="AC131" s="136" t="n">
        <v>422618</v>
      </c>
      <c r="AD131" s="136" t="n">
        <v>0</v>
      </c>
      <c r="AE131" s="136" t="n">
        <v>0</v>
      </c>
      <c r="AF131" s="136" t="n">
        <v>0</v>
      </c>
      <c r="AG131" s="136" t="n">
        <v>422618</v>
      </c>
      <c r="AH131" s="136" t="n">
        <v>0</v>
      </c>
      <c r="AI131" s="136" t="n">
        <v>0</v>
      </c>
      <c r="AJ131" s="132" t="n">
        <v>4</v>
      </c>
      <c r="AK131" s="132" t="s">
        <v>706</v>
      </c>
      <c r="AL131" s="133" t="s">
        <v>48</v>
      </c>
      <c r="AM131" s="132"/>
      <c r="AN131" s="133" t="s">
        <v>375</v>
      </c>
      <c r="AO131" s="133" t="n">
        <v>136390.3625</v>
      </c>
      <c r="AP131" s="137" t="n">
        <f aca="false">AR131+AT131+AU131+AV131+AX131+AY131+AZ131+BD131+BF131+BG131+BH131+BJ131+BK131+(BL131+BM131+BN131)/1000+(0.1*BO131)</f>
        <v>44.572394</v>
      </c>
      <c r="AQ131" s="137" t="n">
        <f aca="false">AR131+AT131+AU131+AV131+AX131+AY131+AZ131+BB131+BC131+BD131+BF131+BG131+BH131+BJ131+BK131+(BL131+BM131+BN131)/1000+(0.1*BO131)</f>
        <v>45.572394</v>
      </c>
      <c r="AR131" s="131" t="n">
        <v>14</v>
      </c>
      <c r="AS131" s="131" t="n">
        <v>0</v>
      </c>
      <c r="AT131" s="131" t="n">
        <v>19</v>
      </c>
      <c r="AU131" s="131" t="n">
        <v>3</v>
      </c>
      <c r="AV131" s="131" t="n">
        <v>0</v>
      </c>
      <c r="AW131" s="131" t="n">
        <v>0</v>
      </c>
      <c r="AX131" s="131" t="n">
        <v>1</v>
      </c>
      <c r="AY131" s="131" t="n">
        <v>1</v>
      </c>
      <c r="AZ131" s="131" t="n">
        <v>0</v>
      </c>
      <c r="BA131" s="131" t="n">
        <v>0</v>
      </c>
      <c r="BB131" s="131" t="n">
        <v>1</v>
      </c>
      <c r="BC131" s="131" t="n">
        <v>0</v>
      </c>
      <c r="BD131" s="131" t="n">
        <v>0</v>
      </c>
      <c r="BE131" s="131" t="n">
        <v>0</v>
      </c>
      <c r="BF131" s="131" t="n">
        <v>0</v>
      </c>
      <c r="BG131" s="131" t="n">
        <v>0</v>
      </c>
      <c r="BH131" s="131" t="n">
        <v>0</v>
      </c>
      <c r="BI131" s="131" t="n">
        <v>0</v>
      </c>
      <c r="BJ131" s="131" t="n">
        <v>0</v>
      </c>
      <c r="BK131" s="131" t="n">
        <v>0</v>
      </c>
      <c r="BL131" s="131" t="n">
        <v>0</v>
      </c>
      <c r="BM131" s="131" t="n">
        <v>0</v>
      </c>
      <c r="BN131" s="131" t="n">
        <v>0</v>
      </c>
      <c r="BO131" s="131" t="n">
        <v>65.72394</v>
      </c>
    </row>
    <row r="132" customFormat="false" ht="15" hidden="false" customHeight="true" outlineLevel="0" collapsed="false">
      <c r="A132" s="131" t="n">
        <v>3724</v>
      </c>
      <c r="B132" s="131"/>
      <c r="C132" s="132" t="s">
        <v>377</v>
      </c>
      <c r="D132" s="133" t="s">
        <v>377</v>
      </c>
      <c r="E132" s="134" t="n">
        <f aca="false">IF(I132="regional",IF(R132*0.2975,S132*0.3484),S132*0.1939)</f>
        <v>17152.9757</v>
      </c>
      <c r="F132" s="134" t="n">
        <v>0</v>
      </c>
      <c r="G132" s="135" t="n">
        <f aca="false">E132+F132</f>
        <v>17152.9757</v>
      </c>
      <c r="H132" s="132"/>
      <c r="I132" s="133" t="s">
        <v>62</v>
      </c>
      <c r="J132" s="133"/>
      <c r="K132" s="133" t="s">
        <v>232</v>
      </c>
      <c r="L132" s="133"/>
      <c r="M132" s="136" t="n">
        <v>2</v>
      </c>
      <c r="N132" s="136" t="n">
        <v>0.482</v>
      </c>
      <c r="O132" s="136" t="n">
        <v>0.492</v>
      </c>
      <c r="P132" s="136" t="n">
        <v>0.492</v>
      </c>
      <c r="Q132" s="136" t="n">
        <v>0.24</v>
      </c>
      <c r="R132" s="136" t="n">
        <v>0</v>
      </c>
      <c r="S132" s="136" t="n">
        <v>88463</v>
      </c>
      <c r="T132" s="8" t="n">
        <f aca="false">IF(I132="regional",IF(R132&gt;0,R132*0.2975,S132*0.3484),S132*0.1939)</f>
        <v>17152.9757</v>
      </c>
      <c r="U132" s="136" t="n">
        <v>58820</v>
      </c>
      <c r="V132" s="136" t="n">
        <v>29643</v>
      </c>
      <c r="W132" s="136" t="n">
        <v>460</v>
      </c>
      <c r="X132" s="136" t="n">
        <v>0</v>
      </c>
      <c r="Y132" s="136" t="n">
        <v>0</v>
      </c>
      <c r="Z132" s="136" t="n">
        <v>0</v>
      </c>
      <c r="AA132" s="136" t="n">
        <v>105615.9757</v>
      </c>
      <c r="AB132" s="136" t="n">
        <v>17152.9757</v>
      </c>
      <c r="AC132" s="136" t="n">
        <v>88463</v>
      </c>
      <c r="AD132" s="136" t="n">
        <v>0</v>
      </c>
      <c r="AE132" s="136" t="n">
        <v>0</v>
      </c>
      <c r="AF132" s="136" t="n">
        <v>0</v>
      </c>
      <c r="AG132" s="136" t="n">
        <v>88463</v>
      </c>
      <c r="AH132" s="136" t="n">
        <v>0</v>
      </c>
      <c r="AI132" s="136" t="n">
        <v>0</v>
      </c>
      <c r="AJ132" s="132" t="n">
        <v>4</v>
      </c>
      <c r="AK132" s="132" t="s">
        <v>706</v>
      </c>
      <c r="AL132" s="133" t="s">
        <v>62</v>
      </c>
      <c r="AM132" s="132"/>
      <c r="AN132" s="133" t="s">
        <v>377</v>
      </c>
      <c r="AO132" s="133" t="n">
        <v>17152.9757</v>
      </c>
      <c r="AP132" s="137" t="n">
        <f aca="false">AR132+AT132+AU132+AV132+AX132+AY132+AZ132+BD132+BF132+BG132+BH132+BJ132+BK132+(BL132+BM132+BN132)/1000+(0.1*BO132)</f>
        <v>5.375142</v>
      </c>
      <c r="AQ132" s="137" t="n">
        <f aca="false">AR132+AT132+AU132+AV132+AX132+AY132+AZ132+BB132+BC132+BD132+BF132+BG132+BH132+BJ132+BK132+(BL132+BM132+BN132)/1000+(0.1*BO132)</f>
        <v>5.375142</v>
      </c>
      <c r="AR132" s="131" t="n">
        <v>0</v>
      </c>
      <c r="AS132" s="131" t="n">
        <v>0</v>
      </c>
      <c r="AT132" s="131" t="n">
        <v>1</v>
      </c>
      <c r="AU132" s="131" t="n">
        <v>0</v>
      </c>
      <c r="AV132" s="131" t="n">
        <v>0</v>
      </c>
      <c r="AW132" s="131" t="n">
        <v>0</v>
      </c>
      <c r="AX132" s="131" t="n">
        <v>0</v>
      </c>
      <c r="AY132" s="131" t="n">
        <v>4</v>
      </c>
      <c r="AZ132" s="131" t="n">
        <v>0</v>
      </c>
      <c r="BA132" s="131" t="n">
        <v>0</v>
      </c>
      <c r="BB132" s="131" t="n">
        <v>0</v>
      </c>
      <c r="BC132" s="131" t="n">
        <v>0</v>
      </c>
      <c r="BD132" s="131" t="n">
        <v>0</v>
      </c>
      <c r="BE132" s="131" t="n">
        <v>0</v>
      </c>
      <c r="BF132" s="131" t="n">
        <v>0</v>
      </c>
      <c r="BG132" s="131" t="n">
        <v>0</v>
      </c>
      <c r="BH132" s="131" t="n">
        <v>0</v>
      </c>
      <c r="BI132" s="131" t="n">
        <v>0</v>
      </c>
      <c r="BJ132" s="131" t="n">
        <v>0</v>
      </c>
      <c r="BK132" s="131" t="n">
        <v>0</v>
      </c>
      <c r="BL132" s="131" t="n">
        <v>0</v>
      </c>
      <c r="BM132" s="131" t="n">
        <v>0</v>
      </c>
      <c r="BN132" s="131" t="n">
        <v>0</v>
      </c>
      <c r="BO132" s="131" t="n">
        <v>3.75142</v>
      </c>
    </row>
    <row r="133" customFormat="false" ht="15" hidden="false" customHeight="true" outlineLevel="0" collapsed="false">
      <c r="A133" s="168" t="n">
        <v>4666</v>
      </c>
      <c r="B133" s="168"/>
      <c r="C133" s="174" t="s">
        <v>378</v>
      </c>
      <c r="D133" s="133" t="s">
        <v>378</v>
      </c>
      <c r="E133" s="134" t="n">
        <f aca="false">IF(I133="regional",IF(R133*0.2975,S133*0.3484),S133*0.1939)</f>
        <v>425807.512</v>
      </c>
      <c r="F133" s="134" t="n">
        <v>0</v>
      </c>
      <c r="G133" s="135" t="n">
        <f aca="false">E133+F133</f>
        <v>425807.512</v>
      </c>
      <c r="H133" s="132"/>
      <c r="I133" s="133" t="s">
        <v>48</v>
      </c>
      <c r="J133" s="133" t="s">
        <v>49</v>
      </c>
      <c r="K133" s="133" t="s">
        <v>380</v>
      </c>
      <c r="L133" s="133"/>
      <c r="M133" s="136" t="n">
        <v>170</v>
      </c>
      <c r="N133" s="136" t="n">
        <v>0.927</v>
      </c>
      <c r="O133" s="136" t="n">
        <v>0.965</v>
      </c>
      <c r="P133" s="136" t="n">
        <v>0.932</v>
      </c>
      <c r="Q133" s="136" t="n">
        <v>0.952</v>
      </c>
      <c r="R133" s="136" t="n">
        <v>1421049</v>
      </c>
      <c r="S133" s="136" t="n">
        <v>1222180</v>
      </c>
      <c r="T133" s="8" t="n">
        <f aca="false">IF(I133="regional",IF(R133&gt;0,R133*0.2975,S133*0.3484),S133*0.1939)</f>
        <v>422762.0775</v>
      </c>
      <c r="U133" s="136" t="n">
        <v>587591</v>
      </c>
      <c r="V133" s="136" t="n">
        <v>634589</v>
      </c>
      <c r="W133" s="136" t="n">
        <v>6700</v>
      </c>
      <c r="X133" s="136" t="n">
        <v>0</v>
      </c>
      <c r="Y133" s="136" t="n">
        <v>0</v>
      </c>
      <c r="Z133" s="136" t="n">
        <v>0</v>
      </c>
      <c r="AA133" s="136" t="n">
        <v>1644942.078</v>
      </c>
      <c r="AB133" s="136" t="n">
        <v>422762.0775</v>
      </c>
      <c r="AC133" s="136" t="n">
        <v>1222180</v>
      </c>
      <c r="AD133" s="136" t="n">
        <v>0</v>
      </c>
      <c r="AE133" s="136" t="n">
        <v>0</v>
      </c>
      <c r="AF133" s="136" t="n">
        <v>0</v>
      </c>
      <c r="AG133" s="136" t="n">
        <v>1222180</v>
      </c>
      <c r="AH133" s="136" t="n">
        <v>0</v>
      </c>
      <c r="AI133" s="136" t="n">
        <v>0</v>
      </c>
      <c r="AJ133" s="132" t="s">
        <v>715</v>
      </c>
      <c r="AK133" s="132" t="s">
        <v>716</v>
      </c>
      <c r="AL133" s="133" t="s">
        <v>48</v>
      </c>
      <c r="AM133" s="132"/>
      <c r="AN133" s="133" t="s">
        <v>378</v>
      </c>
      <c r="AO133" s="133" t="n">
        <v>422762.0775</v>
      </c>
      <c r="AP133" s="137" t="n">
        <f aca="false">AR133+AT133+AU133+AV133+AX133+AY133+AZ133+BD133+BF133+BG133+BH133+BJ133+BK133+(BL133+BM133+BN133)/1000+(0.1*BO133)</f>
        <v>1573</v>
      </c>
      <c r="AQ133" s="137" t="n">
        <f aca="false">AR133+AT133+AU133+AV133+AX133+AY133+AZ133+BB133+BC133+BD133+BF133+BG133+BH133+BJ133+BK133+(BL133+BM133+BN133)/1000+(0.1*BO133)</f>
        <v>1666</v>
      </c>
      <c r="AR133" s="158" t="n">
        <v>967</v>
      </c>
      <c r="AS133" s="158" t="n">
        <v>0</v>
      </c>
      <c r="AT133" s="158" t="n">
        <v>553</v>
      </c>
      <c r="AU133" s="158" t="n">
        <v>0</v>
      </c>
      <c r="AV133" s="158" t="n">
        <v>0</v>
      </c>
      <c r="AW133" s="158" t="n">
        <v>0</v>
      </c>
      <c r="AX133" s="158" t="n">
        <v>0</v>
      </c>
      <c r="AY133" s="158" t="n">
        <v>0</v>
      </c>
      <c r="AZ133" s="158" t="n">
        <v>0</v>
      </c>
      <c r="BA133" s="158" t="n">
        <v>165</v>
      </c>
      <c r="BB133" s="158" t="n">
        <v>93</v>
      </c>
      <c r="BC133" s="158" t="n">
        <v>0</v>
      </c>
      <c r="BD133" s="131" t="n">
        <v>11</v>
      </c>
      <c r="BE133" s="131" t="n">
        <v>0</v>
      </c>
      <c r="BF133" s="131" t="n">
        <v>0</v>
      </c>
      <c r="BG133" s="131" t="n">
        <v>0</v>
      </c>
      <c r="BH133" s="131" t="n">
        <v>42</v>
      </c>
      <c r="BI133" s="131" t="n">
        <v>0</v>
      </c>
      <c r="BJ133" s="131" t="n">
        <v>0</v>
      </c>
      <c r="BK133" s="131" t="n">
        <v>0</v>
      </c>
      <c r="BL133" s="158" t="n">
        <v>0</v>
      </c>
      <c r="BM133" s="158" t="n">
        <v>0</v>
      </c>
      <c r="BN133" s="158" t="n">
        <v>0</v>
      </c>
      <c r="BO133" s="131" t="n">
        <v>0</v>
      </c>
      <c r="BP133" s="159"/>
      <c r="BQ133" s="159"/>
      <c r="BR133" s="159"/>
      <c r="BS133" s="159"/>
      <c r="BT133" s="159"/>
      <c r="BU133" s="159"/>
      <c r="BV133" s="159"/>
      <c r="BW133" s="159"/>
      <c r="BX133" s="159"/>
      <c r="BY133" s="159"/>
      <c r="BZ133" s="159"/>
      <c r="CA133" s="159"/>
      <c r="CB133" s="159"/>
      <c r="CC133" s="159"/>
      <c r="CD133" s="159"/>
      <c r="CE133" s="159"/>
      <c r="CF133" s="159"/>
      <c r="CG133" s="159"/>
      <c r="CH133" s="159"/>
      <c r="CI133" s="159"/>
      <c r="CJ133" s="159"/>
      <c r="CK133" s="159"/>
      <c r="CL133" s="159"/>
      <c r="CM133" s="159"/>
      <c r="CN133" s="159"/>
      <c r="CO133" s="159"/>
      <c r="CP133" s="159"/>
      <c r="CQ133" s="159"/>
      <c r="CR133" s="159"/>
      <c r="CS133" s="159"/>
      <c r="CT133" s="159"/>
      <c r="CU133" s="159"/>
      <c r="CV133" s="159"/>
      <c r="CW133" s="159"/>
      <c r="CX133" s="159"/>
      <c r="CY133" s="159"/>
      <c r="CZ133" s="159"/>
      <c r="DA133" s="159"/>
      <c r="DB133" s="159"/>
      <c r="DC133" s="159"/>
      <c r="DD133" s="159"/>
      <c r="DE133" s="159"/>
      <c r="DF133" s="159"/>
      <c r="DG133" s="159"/>
      <c r="DH133" s="159"/>
      <c r="DI133" s="159"/>
      <c r="DJ133" s="159"/>
      <c r="DK133" s="159"/>
      <c r="DL133" s="159"/>
    </row>
    <row r="134" customFormat="false" ht="15" hidden="false" customHeight="true" outlineLevel="0" collapsed="false">
      <c r="A134" s="151" t="n">
        <v>4667</v>
      </c>
      <c r="B134" s="151" t="s">
        <v>44</v>
      </c>
      <c r="C134" s="152" t="s">
        <v>746</v>
      </c>
      <c r="D134" s="140" t="s">
        <v>746</v>
      </c>
      <c r="E134" s="134" t="n">
        <f aca="false">IF(I134="regional",IF(R134*0.2975,S134*0.3484),S134*0.1939)</f>
        <v>7849.4598</v>
      </c>
      <c r="F134" s="141"/>
      <c r="G134" s="135" t="n">
        <f aca="false">E134+F134</f>
        <v>7849.4598</v>
      </c>
      <c r="H134" s="152"/>
      <c r="I134" s="140" t="s">
        <v>718</v>
      </c>
      <c r="J134" s="140"/>
      <c r="K134" s="140"/>
      <c r="L134" s="140"/>
      <c r="M134" s="142"/>
      <c r="N134" s="142"/>
      <c r="O134" s="142"/>
      <c r="P134" s="142"/>
      <c r="Q134" s="142"/>
      <c r="R134" s="142"/>
      <c r="S134" s="142" t="n">
        <v>40482</v>
      </c>
      <c r="T134" s="8" t="n">
        <f aca="false">IF(I134="regional",IF(R134&gt;0,R134*0.2975,S134*0.3484),S134*0.1939)</f>
        <v>7849.4598</v>
      </c>
      <c r="U134" s="142"/>
      <c r="V134" s="142"/>
      <c r="W134" s="142"/>
      <c r="X134" s="142"/>
      <c r="Y134" s="142"/>
      <c r="Z134" s="142"/>
      <c r="AA134" s="142"/>
      <c r="AB134" s="142"/>
      <c r="AC134" s="142"/>
      <c r="AD134" s="142"/>
      <c r="AE134" s="142"/>
      <c r="AF134" s="142"/>
      <c r="AG134" s="142"/>
      <c r="AH134" s="142"/>
      <c r="AI134" s="142"/>
      <c r="AJ134" s="152" t="s">
        <v>715</v>
      </c>
      <c r="AK134" s="152" t="s">
        <v>716</v>
      </c>
      <c r="AL134" s="154" t="s">
        <v>718</v>
      </c>
      <c r="AM134" s="152"/>
      <c r="AN134" s="154" t="s">
        <v>746</v>
      </c>
      <c r="AO134" s="154" t="n">
        <v>0</v>
      </c>
      <c r="AP134" s="155" t="n">
        <v>0</v>
      </c>
      <c r="AQ134" s="137" t="n">
        <f aca="false">AR134+AT134+AU134+AV134+AX134+AY134+AZ134+BB134+BC134+BD134+BF134+BG134+BH134+BJ134+BK134+(BL134+BM134+BN134)/1000+(0.1*BO134)</f>
        <v>159</v>
      </c>
      <c r="AR134" s="156" t="n">
        <v>0</v>
      </c>
      <c r="AS134" s="156" t="n">
        <v>0</v>
      </c>
      <c r="AT134" s="156" t="n">
        <v>136</v>
      </c>
      <c r="AU134" s="156" t="n">
        <v>0</v>
      </c>
      <c r="AV134" s="156" t="n">
        <v>0</v>
      </c>
      <c r="AW134" s="156" t="n">
        <v>0</v>
      </c>
      <c r="AX134" s="156" t="n">
        <v>15</v>
      </c>
      <c r="AY134" s="156" t="n">
        <v>0</v>
      </c>
      <c r="AZ134" s="156" t="n">
        <v>0</v>
      </c>
      <c r="BA134" s="156" t="n">
        <v>0</v>
      </c>
      <c r="BB134" s="156" t="n">
        <v>2</v>
      </c>
      <c r="BC134" s="156" t="n">
        <v>0</v>
      </c>
      <c r="BD134" s="138" t="n">
        <v>0</v>
      </c>
      <c r="BE134" s="138" t="n">
        <v>0</v>
      </c>
      <c r="BF134" s="138" t="n">
        <v>0</v>
      </c>
      <c r="BG134" s="138" t="n">
        <v>0</v>
      </c>
      <c r="BH134" s="138" t="n">
        <v>0</v>
      </c>
      <c r="BI134" s="138" t="n">
        <v>0</v>
      </c>
      <c r="BJ134" s="138" t="n">
        <v>0</v>
      </c>
      <c r="BK134" s="138" t="n">
        <v>0</v>
      </c>
      <c r="BL134" s="138" t="n">
        <v>0</v>
      </c>
      <c r="BM134" s="164" t="n">
        <v>6000</v>
      </c>
      <c r="BN134" s="164" t="n">
        <v>0</v>
      </c>
      <c r="BO134" s="151" t="n">
        <v>0</v>
      </c>
      <c r="BP134" s="159"/>
      <c r="BQ134" s="159"/>
      <c r="BR134" s="159"/>
      <c r="BS134" s="159"/>
      <c r="BT134" s="159"/>
      <c r="BU134" s="159"/>
      <c r="BV134" s="159"/>
      <c r="BW134" s="159"/>
      <c r="BX134" s="159"/>
      <c r="BY134" s="159"/>
      <c r="BZ134" s="159"/>
      <c r="CA134" s="159"/>
      <c r="CB134" s="159"/>
      <c r="CC134" s="159"/>
      <c r="CD134" s="159"/>
      <c r="CE134" s="159"/>
      <c r="CF134" s="159"/>
      <c r="CG134" s="159"/>
      <c r="CH134" s="159"/>
      <c r="CI134" s="159"/>
      <c r="CJ134" s="159"/>
      <c r="CK134" s="159"/>
      <c r="CL134" s="159"/>
      <c r="CM134" s="159"/>
      <c r="CN134" s="159"/>
      <c r="CO134" s="159"/>
      <c r="CP134" s="159"/>
      <c r="CQ134" s="159"/>
      <c r="CR134" s="159"/>
      <c r="CS134" s="159"/>
      <c r="CT134" s="159"/>
      <c r="CU134" s="159"/>
      <c r="CV134" s="159"/>
      <c r="CW134" s="159"/>
      <c r="CX134" s="159"/>
      <c r="CY134" s="159"/>
      <c r="CZ134" s="159"/>
      <c r="DA134" s="159"/>
      <c r="DB134" s="159"/>
      <c r="DC134" s="159"/>
      <c r="DD134" s="159"/>
      <c r="DE134" s="159"/>
      <c r="DF134" s="159"/>
      <c r="DG134" s="159"/>
      <c r="DH134" s="159"/>
      <c r="DI134" s="159"/>
      <c r="DJ134" s="159"/>
      <c r="DK134" s="159"/>
      <c r="DL134" s="159"/>
    </row>
    <row r="135" customFormat="false" ht="15" hidden="false" customHeight="true" outlineLevel="0" collapsed="false">
      <c r="A135" s="138" t="n">
        <v>9780</v>
      </c>
      <c r="B135" s="138"/>
      <c r="C135" s="139" t="s">
        <v>382</v>
      </c>
      <c r="D135" s="133" t="s">
        <v>382</v>
      </c>
      <c r="E135" s="134" t="n">
        <f aca="false">IF(I135="regional",IF(R135*0.2975,S135*0.3484),S135*0.1939)</f>
        <v>303954.2636</v>
      </c>
      <c r="F135" s="134" t="n">
        <v>0</v>
      </c>
      <c r="G135" s="135" t="n">
        <f aca="false">E135+F135</f>
        <v>303954.2636</v>
      </c>
      <c r="H135" s="139" t="s">
        <v>49</v>
      </c>
      <c r="I135" s="133" t="s">
        <v>48</v>
      </c>
      <c r="J135" s="133" t="s">
        <v>49</v>
      </c>
      <c r="K135" s="133" t="s">
        <v>105</v>
      </c>
      <c r="L135" s="133"/>
      <c r="M135" s="136" t="n">
        <v>141</v>
      </c>
      <c r="N135" s="136" t="n">
        <v>0.918</v>
      </c>
      <c r="O135" s="136" t="n">
        <v>0.919</v>
      </c>
      <c r="P135" s="136" t="n">
        <v>0.957</v>
      </c>
      <c r="Q135" s="136" t="n">
        <v>0.945</v>
      </c>
      <c r="R135" s="136" t="n">
        <v>1030690</v>
      </c>
      <c r="S135" s="136" t="n">
        <v>872429</v>
      </c>
      <c r="T135" s="8" t="n">
        <f aca="false">IF(I135="regional",IF(R135&gt;0,R135*0.2975,S135*0.3484),S135*0.1939)</f>
        <v>306630.275</v>
      </c>
      <c r="U135" s="136" t="n">
        <v>683308</v>
      </c>
      <c r="V135" s="136" t="n">
        <v>189121</v>
      </c>
      <c r="W135" s="136" t="n">
        <v>4984</v>
      </c>
      <c r="X135" s="136" t="n">
        <v>0</v>
      </c>
      <c r="Y135" s="136" t="n">
        <v>0</v>
      </c>
      <c r="Z135" s="136" t="n">
        <v>0</v>
      </c>
      <c r="AA135" s="136" t="n">
        <v>1179059.275</v>
      </c>
      <c r="AB135" s="136" t="n">
        <v>306630.275</v>
      </c>
      <c r="AC135" s="136" t="n">
        <v>872429</v>
      </c>
      <c r="AD135" s="136" t="n">
        <v>0</v>
      </c>
      <c r="AE135" s="136" t="n">
        <v>0</v>
      </c>
      <c r="AF135" s="136" t="n">
        <v>0</v>
      </c>
      <c r="AG135" s="136" t="n">
        <v>872429</v>
      </c>
      <c r="AH135" s="136" t="n">
        <v>0</v>
      </c>
      <c r="AI135" s="136" t="n">
        <v>0</v>
      </c>
      <c r="AJ135" s="139" t="s">
        <v>707</v>
      </c>
      <c r="AK135" s="139" t="s">
        <v>714</v>
      </c>
      <c r="AL135" s="143" t="s">
        <v>48</v>
      </c>
      <c r="AM135" s="139" t="s">
        <v>49</v>
      </c>
      <c r="AN135" s="143" t="s">
        <v>382</v>
      </c>
      <c r="AO135" s="143" t="n">
        <v>306630.275</v>
      </c>
      <c r="AP135" s="144" t="n">
        <f aca="false">AR135+AT135+AU135+AV135+AX135+AY135+AZ135+BD135+BF135+BG135+BH135+BJ135+BK135+(BL135+BM135+BN135)/1000+(0.1*BO135)</f>
        <v>460.12</v>
      </c>
      <c r="AQ135" s="137" t="n">
        <f aca="false">AR135+AT135+AU135+AV135+AX135+AY135+AZ135+BB135+BC135+BD135+BF135+BG135+BH135+BJ135+BK135+(BL135+BM135+BN135)/1000+(0.1*BO135)</f>
        <v>496.12</v>
      </c>
      <c r="AR135" s="138" t="n">
        <v>0</v>
      </c>
      <c r="AS135" s="138" t="n">
        <v>0</v>
      </c>
      <c r="AT135" s="138" t="n">
        <v>251</v>
      </c>
      <c r="AU135" s="138" t="n">
        <v>3</v>
      </c>
      <c r="AV135" s="138" t="n">
        <v>0</v>
      </c>
      <c r="AW135" s="138" t="n">
        <v>0</v>
      </c>
      <c r="AX135" s="138" t="n">
        <v>1</v>
      </c>
      <c r="AY135" s="138" t="n">
        <v>0</v>
      </c>
      <c r="AZ135" s="138" t="n">
        <v>0</v>
      </c>
      <c r="BA135" s="138" t="n">
        <v>0</v>
      </c>
      <c r="BB135" s="138" t="n">
        <v>36</v>
      </c>
      <c r="BC135" s="138" t="n">
        <v>0</v>
      </c>
      <c r="BD135" s="138" t="n">
        <v>0</v>
      </c>
      <c r="BE135" s="138" t="n">
        <v>0</v>
      </c>
      <c r="BF135" s="138" t="n">
        <v>0</v>
      </c>
      <c r="BG135" s="138" t="n">
        <v>0</v>
      </c>
      <c r="BH135" s="138" t="n">
        <v>0</v>
      </c>
      <c r="BI135" s="138" t="n">
        <v>0</v>
      </c>
      <c r="BJ135" s="138" t="n">
        <v>0</v>
      </c>
      <c r="BK135" s="138" t="n">
        <v>0</v>
      </c>
      <c r="BL135" s="138" t="n">
        <v>0</v>
      </c>
      <c r="BM135" s="138" t="n">
        <v>81652</v>
      </c>
      <c r="BN135" s="138" t="n">
        <v>0</v>
      </c>
      <c r="BO135" s="138" t="n">
        <v>1234.68</v>
      </c>
      <c r="BP135" s="159"/>
      <c r="BQ135" s="159"/>
      <c r="BR135" s="159"/>
      <c r="BS135" s="159"/>
      <c r="BT135" s="159"/>
      <c r="BU135" s="159"/>
      <c r="BV135" s="159"/>
      <c r="BW135" s="159"/>
      <c r="BX135" s="159"/>
      <c r="BY135" s="159"/>
      <c r="BZ135" s="159"/>
      <c r="CA135" s="159"/>
      <c r="CB135" s="159"/>
      <c r="CC135" s="159"/>
      <c r="CD135" s="159"/>
      <c r="CE135" s="159"/>
      <c r="CF135" s="159"/>
      <c r="CG135" s="159"/>
      <c r="CH135" s="159"/>
      <c r="CI135" s="159"/>
      <c r="CJ135" s="159"/>
      <c r="CK135" s="159"/>
      <c r="CL135" s="159"/>
      <c r="CM135" s="159"/>
      <c r="CN135" s="159"/>
      <c r="CO135" s="159"/>
      <c r="CP135" s="159"/>
      <c r="CQ135" s="159"/>
      <c r="CR135" s="159"/>
      <c r="CS135" s="159"/>
      <c r="CT135" s="159"/>
      <c r="CU135" s="159"/>
      <c r="CV135" s="159"/>
      <c r="CW135" s="159"/>
      <c r="CX135" s="159"/>
      <c r="CY135" s="159"/>
      <c r="CZ135" s="159"/>
      <c r="DA135" s="159"/>
      <c r="DB135" s="159"/>
      <c r="DC135" s="159"/>
      <c r="DD135" s="159"/>
      <c r="DE135" s="159"/>
      <c r="DF135" s="159"/>
      <c r="DG135" s="159"/>
      <c r="DH135" s="159"/>
      <c r="DI135" s="159"/>
      <c r="DJ135" s="159"/>
      <c r="DK135" s="159"/>
      <c r="DL135" s="159"/>
    </row>
    <row r="136" customFormat="false" ht="15" hidden="false" customHeight="true" outlineLevel="0" collapsed="false">
      <c r="A136" s="138" t="n">
        <v>2580</v>
      </c>
      <c r="B136" s="138" t="s">
        <v>44</v>
      </c>
      <c r="C136" s="139" t="s">
        <v>383</v>
      </c>
      <c r="D136" s="133" t="s">
        <v>383</v>
      </c>
      <c r="E136" s="134" t="n">
        <f aca="false">IF(I136="regional",IF(R136*0.2975,S136*0.3484),S136*0.1939)</f>
        <v>219659.9288</v>
      </c>
      <c r="F136" s="134" t="n">
        <v>0</v>
      </c>
      <c r="G136" s="135" t="n">
        <f aca="false">E136+F136</f>
        <v>219659.9288</v>
      </c>
      <c r="H136" s="139"/>
      <c r="I136" s="133" t="s">
        <v>48</v>
      </c>
      <c r="J136" s="133" t="s">
        <v>44</v>
      </c>
      <c r="K136" s="133" t="s">
        <v>118</v>
      </c>
      <c r="L136" s="133"/>
      <c r="M136" s="136" t="n">
        <v>104</v>
      </c>
      <c r="N136" s="136" t="n">
        <v>0.829</v>
      </c>
      <c r="O136" s="136" t="n">
        <v>0.832</v>
      </c>
      <c r="P136" s="136" t="n">
        <v>0.89</v>
      </c>
      <c r="Q136" s="136" t="n">
        <v>0.787</v>
      </c>
      <c r="R136" s="136" t="n">
        <v>767081</v>
      </c>
      <c r="S136" s="136" t="n">
        <v>630482</v>
      </c>
      <c r="T136" s="8" t="n">
        <f aca="false">IF(I136="regional",IF(R136&gt;0,R136*0.2975,S136*0.3484),S136*0.1939)</f>
        <v>228206.5975</v>
      </c>
      <c r="U136" s="136" t="n">
        <v>376198</v>
      </c>
      <c r="V136" s="136" t="n">
        <v>254284</v>
      </c>
      <c r="W136" s="136" t="n">
        <v>3600</v>
      </c>
      <c r="X136" s="136" t="n">
        <v>0</v>
      </c>
      <c r="Y136" s="136" t="n">
        <v>0</v>
      </c>
      <c r="Z136" s="136" t="n">
        <v>0</v>
      </c>
      <c r="AA136" s="136" t="n">
        <v>858688.5975</v>
      </c>
      <c r="AB136" s="136" t="n">
        <v>228206.5975</v>
      </c>
      <c r="AC136" s="136" t="n">
        <v>630482</v>
      </c>
      <c r="AD136" s="136" t="n">
        <v>0</v>
      </c>
      <c r="AE136" s="136" t="n">
        <v>0</v>
      </c>
      <c r="AF136" s="136" t="n">
        <v>630482</v>
      </c>
      <c r="AG136" s="136" t="n">
        <v>0</v>
      </c>
      <c r="AH136" s="136" t="n">
        <v>586000</v>
      </c>
      <c r="AI136" s="136" t="n">
        <v>484000</v>
      </c>
      <c r="AJ136" s="139" t="s">
        <v>707</v>
      </c>
      <c r="AK136" s="139" t="s">
        <v>708</v>
      </c>
      <c r="AL136" s="143" t="s">
        <v>48</v>
      </c>
      <c r="AM136" s="139"/>
      <c r="AN136" s="143" t="s">
        <v>383</v>
      </c>
      <c r="AO136" s="143" t="n">
        <v>228206.5975</v>
      </c>
      <c r="AP136" s="144" t="n">
        <f aca="false">AR136+AT136+AU136+AV136+AX136+AY136+AZ136+BD136+BF136+BG136+BH136+BJ136+BK136+(BL136+BM136+BN136)/1000+(0.1*BO136)</f>
        <v>238.6467</v>
      </c>
      <c r="AQ136" s="137" t="n">
        <f aca="false">AR136+AT136+AU136+AV136+AX136+AY136+AZ136+BB136+BC136+BD136+BF136+BG136+BH136+BJ136+BK136+(BL136+BM136+BN136)/1000+(0.1*BO136)</f>
        <v>268.6467</v>
      </c>
      <c r="AR136" s="184" t="n">
        <v>35</v>
      </c>
      <c r="AS136" s="184" t="n">
        <v>484</v>
      </c>
      <c r="AT136" s="184" t="n">
        <v>85</v>
      </c>
      <c r="AU136" s="184" t="n">
        <v>40</v>
      </c>
      <c r="AV136" s="138" t="n">
        <v>0</v>
      </c>
      <c r="AW136" s="138" t="n">
        <v>0</v>
      </c>
      <c r="AX136" s="138" t="n">
        <v>0</v>
      </c>
      <c r="AY136" s="138" t="n">
        <v>0</v>
      </c>
      <c r="AZ136" s="184" t="n">
        <v>0</v>
      </c>
      <c r="BA136" s="184" t="n">
        <v>17</v>
      </c>
      <c r="BB136" s="184" t="n">
        <v>30</v>
      </c>
      <c r="BC136" s="184" t="n">
        <v>0</v>
      </c>
      <c r="BD136" s="184" t="n">
        <v>22</v>
      </c>
      <c r="BE136" s="184" t="n">
        <v>0</v>
      </c>
      <c r="BF136" s="184" t="n">
        <v>0</v>
      </c>
      <c r="BG136" s="184" t="n">
        <v>0</v>
      </c>
      <c r="BH136" s="184" t="n">
        <v>0</v>
      </c>
      <c r="BI136" s="184" t="n">
        <v>0</v>
      </c>
      <c r="BJ136" s="184" t="n">
        <v>0</v>
      </c>
      <c r="BK136" s="184" t="n">
        <v>0</v>
      </c>
      <c r="BL136" s="184" t="n">
        <v>8534</v>
      </c>
      <c r="BM136" s="184" t="n">
        <v>0</v>
      </c>
      <c r="BN136" s="184" t="n">
        <v>10755</v>
      </c>
      <c r="BO136" s="138" t="n">
        <v>373.577</v>
      </c>
      <c r="BP136" s="159"/>
      <c r="BQ136" s="159"/>
      <c r="BR136" s="159"/>
      <c r="BS136" s="159"/>
      <c r="BT136" s="159"/>
      <c r="BU136" s="159"/>
      <c r="BV136" s="159"/>
      <c r="BW136" s="159"/>
      <c r="BX136" s="159"/>
      <c r="BY136" s="159"/>
      <c r="BZ136" s="159"/>
      <c r="CA136" s="159"/>
      <c r="CB136" s="159"/>
      <c r="CC136" s="159"/>
      <c r="CD136" s="159"/>
      <c r="CE136" s="159"/>
      <c r="CF136" s="159"/>
      <c r="CG136" s="159"/>
      <c r="CH136" s="159"/>
      <c r="CI136" s="159"/>
      <c r="CJ136" s="159"/>
      <c r="CK136" s="159"/>
      <c r="CL136" s="159"/>
      <c r="CM136" s="159"/>
      <c r="CN136" s="159"/>
      <c r="CO136" s="159"/>
      <c r="CP136" s="159"/>
      <c r="CQ136" s="159"/>
      <c r="CR136" s="159"/>
      <c r="CS136" s="159"/>
      <c r="CT136" s="159"/>
      <c r="CU136" s="159"/>
      <c r="CV136" s="159"/>
      <c r="CW136" s="159"/>
      <c r="CX136" s="159"/>
      <c r="CY136" s="159"/>
      <c r="CZ136" s="159"/>
      <c r="DA136" s="159"/>
      <c r="DB136" s="159"/>
      <c r="DC136" s="159"/>
      <c r="DD136" s="159"/>
      <c r="DE136" s="159"/>
      <c r="DF136" s="159"/>
      <c r="DG136" s="159"/>
      <c r="DH136" s="159"/>
      <c r="DI136" s="159"/>
      <c r="DJ136" s="159"/>
      <c r="DK136" s="159"/>
      <c r="DL136" s="159"/>
    </row>
    <row r="137" customFormat="false" ht="15" hidden="false" customHeight="true" outlineLevel="0" collapsed="false">
      <c r="A137" s="151" t="n">
        <v>3854</v>
      </c>
      <c r="B137" s="151" t="s">
        <v>44</v>
      </c>
      <c r="C137" s="152" t="s">
        <v>385</v>
      </c>
      <c r="D137" s="133" t="s">
        <v>385</v>
      </c>
      <c r="E137" s="134" t="n">
        <f aca="false">IF(I137="regional",IF(R137*0.2975,S137*0.3484),S137*0.1939)</f>
        <v>0</v>
      </c>
      <c r="F137" s="134" t="n">
        <v>0</v>
      </c>
      <c r="G137" s="135" t="n">
        <f aca="false">E137+F137</f>
        <v>0</v>
      </c>
      <c r="H137" s="152" t="s">
        <v>49</v>
      </c>
      <c r="I137" s="140" t="s">
        <v>48</v>
      </c>
      <c r="J137" s="133"/>
      <c r="K137" s="133"/>
      <c r="L137" s="133" t="s">
        <v>44</v>
      </c>
      <c r="M137" s="136" t="n">
        <v>0</v>
      </c>
      <c r="N137" s="136" t="n">
        <v>0</v>
      </c>
      <c r="O137" s="136" t="n">
        <v>0</v>
      </c>
      <c r="P137" s="136" t="n">
        <v>0</v>
      </c>
      <c r="Q137" s="136" t="n">
        <v>0</v>
      </c>
      <c r="R137" s="136" t="n">
        <v>727381</v>
      </c>
      <c r="S137" s="136" t="n">
        <v>0</v>
      </c>
      <c r="T137" s="8" t="n">
        <f aca="false">IF(I137="regional",IF(R137&gt;0,R137*0.2975,S137*0.3484),S137*0.1939)</f>
        <v>216395.8475</v>
      </c>
      <c r="U137" s="136" t="n">
        <v>0</v>
      </c>
      <c r="V137" s="136" t="n">
        <v>0</v>
      </c>
      <c r="W137" s="136" t="n">
        <v>0</v>
      </c>
      <c r="X137" s="136" t="n">
        <v>0</v>
      </c>
      <c r="Y137" s="136" t="n">
        <v>0</v>
      </c>
      <c r="Z137" s="136" t="n">
        <v>0</v>
      </c>
      <c r="AA137" s="136" t="n">
        <v>0</v>
      </c>
      <c r="AB137" s="136" t="n">
        <v>0</v>
      </c>
      <c r="AC137" s="136" t="n">
        <v>0</v>
      </c>
      <c r="AD137" s="136" t="n">
        <v>0</v>
      </c>
      <c r="AE137" s="136" t="n">
        <v>0</v>
      </c>
      <c r="AF137" s="136" t="n">
        <v>0</v>
      </c>
      <c r="AG137" s="136" t="n">
        <v>0</v>
      </c>
      <c r="AH137" s="136" t="n">
        <v>364000</v>
      </c>
      <c r="AI137" s="136" t="n">
        <v>360000</v>
      </c>
      <c r="AJ137" s="152" t="s">
        <v>707</v>
      </c>
      <c r="AK137" s="152" t="s">
        <v>708</v>
      </c>
      <c r="AL137" s="154" t="s">
        <v>718</v>
      </c>
      <c r="AM137" s="139" t="s">
        <v>49</v>
      </c>
      <c r="AN137" s="154" t="s">
        <v>385</v>
      </c>
      <c r="AO137" s="154" t="n">
        <v>0</v>
      </c>
      <c r="AP137" s="155" t="n">
        <v>0</v>
      </c>
      <c r="AQ137" s="137" t="n">
        <f aca="false">AR137+AT137+AU137+AV137+AX137+AY137+AZ137+BB137+BC137+BD137+BF137+BG137+BH137+BJ137+BK137+(BL137+BM137+BN137)/1000+(0.1*BO137)</f>
        <v>237</v>
      </c>
      <c r="AR137" s="156" t="n">
        <v>113</v>
      </c>
      <c r="AS137" s="156" t="n">
        <v>360</v>
      </c>
      <c r="AT137" s="156" t="n">
        <v>83</v>
      </c>
      <c r="AU137" s="156" t="n">
        <v>-2</v>
      </c>
      <c r="AV137" s="138" t="n">
        <v>0</v>
      </c>
      <c r="AW137" s="138" t="n">
        <v>0</v>
      </c>
      <c r="AX137" s="138" t="n">
        <v>0</v>
      </c>
      <c r="AY137" s="138" t="n">
        <v>0</v>
      </c>
      <c r="AZ137" s="156" t="n">
        <v>0</v>
      </c>
      <c r="BA137" s="156" t="n">
        <v>25</v>
      </c>
      <c r="BB137" s="156" t="n">
        <v>29</v>
      </c>
      <c r="BC137" s="156" t="n">
        <v>0</v>
      </c>
      <c r="BD137" s="185" t="n">
        <v>0</v>
      </c>
      <c r="BE137" s="185" t="n">
        <v>0</v>
      </c>
      <c r="BF137" s="185" t="n">
        <v>0</v>
      </c>
      <c r="BG137" s="185" t="n">
        <v>0</v>
      </c>
      <c r="BH137" s="156" t="n">
        <v>0</v>
      </c>
      <c r="BI137" s="156" t="n">
        <v>3</v>
      </c>
      <c r="BJ137" s="156" t="n">
        <v>0</v>
      </c>
      <c r="BK137" s="156" t="n">
        <v>0</v>
      </c>
      <c r="BL137" s="156" t="n">
        <v>0</v>
      </c>
      <c r="BM137" s="156" t="n">
        <v>9000</v>
      </c>
      <c r="BN137" s="156" t="n">
        <v>5000</v>
      </c>
      <c r="BO137" s="151" t="n">
        <v>0</v>
      </c>
    </row>
    <row r="138" customFormat="false" ht="15" hidden="false" customHeight="true" outlineLevel="0" collapsed="false">
      <c r="A138" s="131" t="n">
        <v>732</v>
      </c>
      <c r="B138" s="131" t="s">
        <v>44</v>
      </c>
      <c r="C138" s="132" t="s">
        <v>386</v>
      </c>
      <c r="D138" s="133" t="s">
        <v>386</v>
      </c>
      <c r="E138" s="134" t="n">
        <f aca="false">IF(I138="regional",IF(R138*0.2975,S138*0.3484),S138*0.1939)</f>
        <v>205036.5356</v>
      </c>
      <c r="F138" s="134" t="n">
        <v>0</v>
      </c>
      <c r="G138" s="135" t="n">
        <f aca="false">E138+F138</f>
        <v>205036.5356</v>
      </c>
      <c r="H138" s="132"/>
      <c r="I138" s="133" t="s">
        <v>48</v>
      </c>
      <c r="J138" s="133" t="s">
        <v>44</v>
      </c>
      <c r="K138" s="133" t="s">
        <v>388</v>
      </c>
      <c r="L138" s="133"/>
      <c r="M138" s="136" t="n">
        <v>108</v>
      </c>
      <c r="N138" s="136" t="n">
        <v>0.955</v>
      </c>
      <c r="O138" s="136" t="n">
        <v>0.962</v>
      </c>
      <c r="P138" s="136" t="n">
        <v>0.913</v>
      </c>
      <c r="Q138" s="136" t="n">
        <v>0.91</v>
      </c>
      <c r="R138" s="136" t="n">
        <v>913969</v>
      </c>
      <c r="S138" s="136" t="n">
        <v>588509</v>
      </c>
      <c r="T138" s="8" t="n">
        <f aca="false">IF(I138="regional",IF(R138&gt;0,R138*0.2975,S138*0.3484),S138*0.1939)</f>
        <v>271905.7775</v>
      </c>
      <c r="U138" s="136" t="n">
        <v>545891</v>
      </c>
      <c r="V138" s="136" t="n">
        <v>42618</v>
      </c>
      <c r="W138" s="136" t="n">
        <v>3442</v>
      </c>
      <c r="X138" s="136" t="n">
        <v>0</v>
      </c>
      <c r="Y138" s="136" t="n">
        <v>0</v>
      </c>
      <c r="Z138" s="136" t="n">
        <v>0</v>
      </c>
      <c r="AA138" s="136" t="n">
        <v>860414.7775</v>
      </c>
      <c r="AB138" s="136" t="n">
        <v>271905.7775</v>
      </c>
      <c r="AC138" s="136" t="n">
        <v>588509</v>
      </c>
      <c r="AD138" s="136" t="n">
        <v>0</v>
      </c>
      <c r="AE138" s="136" t="n">
        <v>0</v>
      </c>
      <c r="AF138" s="136" t="n">
        <v>588509</v>
      </c>
      <c r="AG138" s="136" t="n">
        <v>0</v>
      </c>
      <c r="AH138" s="136" t="n">
        <v>1079000</v>
      </c>
      <c r="AI138" s="136" t="n">
        <v>876000</v>
      </c>
      <c r="AJ138" s="132" t="n">
        <v>4</v>
      </c>
      <c r="AK138" s="132" t="s">
        <v>728</v>
      </c>
      <c r="AL138" s="133" t="s">
        <v>48</v>
      </c>
      <c r="AM138" s="132"/>
      <c r="AN138" s="133" t="s">
        <v>386</v>
      </c>
      <c r="AO138" s="133" t="n">
        <v>271905.7775</v>
      </c>
      <c r="AP138" s="137" t="n">
        <f aca="false">AR138+AT138+AU138+AV138+AX138+AY138+AZ138+BD138+BF138+BG138+BH138+BJ138+BK138+(BL138+BM138+BN138)/1000+(0.1*BO138)</f>
        <v>169.918924</v>
      </c>
      <c r="AQ138" s="137" t="n">
        <f aca="false">AR138+AT138+AU138+AV138+AX138+AY138+AZ138+BB138+BC138+BD138+BF138+BG138+BH138+BJ138+BK138+(BL138+BM138+BN138)/1000+(0.1*BO138)</f>
        <v>178.918924</v>
      </c>
      <c r="AR138" s="131" t="n">
        <v>26</v>
      </c>
      <c r="AS138" s="131" t="n">
        <v>876</v>
      </c>
      <c r="AT138" s="131" t="n">
        <v>92</v>
      </c>
      <c r="AU138" s="131" t="n">
        <v>19</v>
      </c>
      <c r="AV138" s="131" t="n">
        <v>0</v>
      </c>
      <c r="AW138" s="131" t="n">
        <v>9</v>
      </c>
      <c r="AX138" s="131" t="n">
        <v>9</v>
      </c>
      <c r="AY138" s="131" t="n">
        <v>3</v>
      </c>
      <c r="AZ138" s="131" t="n">
        <v>0</v>
      </c>
      <c r="BA138" s="131" t="n">
        <v>50</v>
      </c>
      <c r="BB138" s="131" t="n">
        <v>9</v>
      </c>
      <c r="BC138" s="131" t="n">
        <v>0</v>
      </c>
      <c r="BD138" s="131" t="n">
        <v>0</v>
      </c>
      <c r="BE138" s="131" t="n">
        <v>0</v>
      </c>
      <c r="BF138" s="131" t="n">
        <v>0</v>
      </c>
      <c r="BG138" s="131" t="n">
        <v>0</v>
      </c>
      <c r="BH138" s="131" t="n">
        <v>0</v>
      </c>
      <c r="BI138" s="131" t="n">
        <v>0</v>
      </c>
      <c r="BJ138" s="131" t="n">
        <v>0</v>
      </c>
      <c r="BK138" s="131" t="n">
        <v>0</v>
      </c>
      <c r="BL138" s="131" t="n">
        <v>0</v>
      </c>
      <c r="BM138" s="131" t="n">
        <v>0</v>
      </c>
      <c r="BN138" s="131" t="n">
        <v>0</v>
      </c>
      <c r="BO138" s="131" t="n">
        <v>209.18924</v>
      </c>
    </row>
    <row r="139" customFormat="false" ht="15" hidden="false" customHeight="true" outlineLevel="0" collapsed="false">
      <c r="A139" s="131" t="n">
        <v>9180</v>
      </c>
      <c r="B139" s="131"/>
      <c r="C139" s="132" t="s">
        <v>389</v>
      </c>
      <c r="D139" s="133" t="s">
        <v>389</v>
      </c>
      <c r="E139" s="134" t="n">
        <f aca="false">IF(I139="regional",IF(R139*0.2975,S139*0.3484),S139*0.1939)</f>
        <v>285050.0796</v>
      </c>
      <c r="F139" s="134" t="n">
        <v>0</v>
      </c>
      <c r="G139" s="135" t="n">
        <f aca="false">E139+F139</f>
        <v>285050.0796</v>
      </c>
      <c r="H139" s="132"/>
      <c r="I139" s="133" t="s">
        <v>48</v>
      </c>
      <c r="J139" s="133" t="s">
        <v>49</v>
      </c>
      <c r="K139" s="133" t="s">
        <v>391</v>
      </c>
      <c r="L139" s="133"/>
      <c r="M139" s="136" t="n">
        <v>137</v>
      </c>
      <c r="N139" s="136" t="n">
        <v>0.356</v>
      </c>
      <c r="O139" s="136" t="n">
        <v>0.386</v>
      </c>
      <c r="P139" s="136" t="n">
        <v>0.488</v>
      </c>
      <c r="Q139" s="136" t="n">
        <v>0.638</v>
      </c>
      <c r="R139" s="136" t="n">
        <v>987234</v>
      </c>
      <c r="S139" s="136" t="n">
        <v>818169</v>
      </c>
      <c r="T139" s="8" t="n">
        <f aca="false">IF(I139="regional",IF(R139&gt;0,R139*0.2975,S139*0.3484),S139*0.1939)</f>
        <v>293702.115</v>
      </c>
      <c r="U139" s="136" t="n">
        <v>519434</v>
      </c>
      <c r="V139" s="136" t="n">
        <v>298735</v>
      </c>
      <c r="W139" s="136" t="n">
        <v>5040</v>
      </c>
      <c r="X139" s="136" t="n">
        <v>0</v>
      </c>
      <c r="Y139" s="136" t="n">
        <v>0</v>
      </c>
      <c r="Z139" s="136" t="n">
        <v>0</v>
      </c>
      <c r="AA139" s="136" t="n">
        <v>1111871.115</v>
      </c>
      <c r="AB139" s="136" t="n">
        <v>293702.115</v>
      </c>
      <c r="AC139" s="136" t="n">
        <v>818169</v>
      </c>
      <c r="AD139" s="136" t="n">
        <v>0</v>
      </c>
      <c r="AE139" s="136" t="n">
        <v>0</v>
      </c>
      <c r="AF139" s="136" t="n">
        <v>0</v>
      </c>
      <c r="AG139" s="136" t="n">
        <v>818169</v>
      </c>
      <c r="AH139" s="136" t="n">
        <v>0</v>
      </c>
      <c r="AI139" s="136" t="n">
        <v>0</v>
      </c>
      <c r="AJ139" s="132" t="s">
        <v>721</v>
      </c>
      <c r="AK139" s="132" t="s">
        <v>108</v>
      </c>
      <c r="AL139" s="133" t="s">
        <v>48</v>
      </c>
      <c r="AM139" s="132"/>
      <c r="AN139" s="133" t="s">
        <v>389</v>
      </c>
      <c r="AO139" s="133" t="n">
        <v>293702.115</v>
      </c>
      <c r="AP139" s="137" t="n">
        <f aca="false">AR139+AT139+AU139+AV139+AX139+AY139+AZ139+BD139+BF139+BG139+BH139+BJ139+BK139+(BL139+BM139+BN139)/1000+(0.1*BO139)</f>
        <v>247.0497</v>
      </c>
      <c r="AQ139" s="137" t="n">
        <f aca="false">AR139+AT139+AU139+AV139+AX139+AY139+AZ139+BB139+BC139+BD139+BF139+BG139+BH139+BJ139+BK139+(BL139+BM139+BN139)/1000+(0.1*BO139)</f>
        <v>320.0497</v>
      </c>
      <c r="AR139" s="131" t="n">
        <v>0</v>
      </c>
      <c r="AS139" s="131" t="n">
        <v>0</v>
      </c>
      <c r="AT139" s="131" t="n">
        <v>174</v>
      </c>
      <c r="AU139" s="131" t="n">
        <v>15</v>
      </c>
      <c r="AV139" s="131" t="n">
        <v>0</v>
      </c>
      <c r="AW139" s="131" t="n">
        <v>0</v>
      </c>
      <c r="AX139" s="131" t="n">
        <v>0</v>
      </c>
      <c r="AY139" s="131" t="n">
        <v>0</v>
      </c>
      <c r="AZ139" s="131" t="n">
        <v>0</v>
      </c>
      <c r="BA139" s="131" t="n">
        <v>0</v>
      </c>
      <c r="BB139" s="131" t="n">
        <v>79</v>
      </c>
      <c r="BC139" s="131" t="n">
        <v>-6</v>
      </c>
      <c r="BD139" s="131" t="n">
        <v>0</v>
      </c>
      <c r="BE139" s="131" t="n">
        <v>0</v>
      </c>
      <c r="BF139" s="131" t="n">
        <v>0</v>
      </c>
      <c r="BG139" s="131" t="n">
        <v>0</v>
      </c>
      <c r="BH139" s="131" t="n">
        <v>0</v>
      </c>
      <c r="BI139" s="131" t="n">
        <v>0</v>
      </c>
      <c r="BJ139" s="131" t="n">
        <v>0</v>
      </c>
      <c r="BK139" s="131" t="n">
        <v>0</v>
      </c>
      <c r="BL139" s="131" t="n">
        <v>0</v>
      </c>
      <c r="BM139" s="131" t="n">
        <v>0</v>
      </c>
      <c r="BN139" s="131" t="n">
        <v>5000</v>
      </c>
      <c r="BO139" s="131" t="n">
        <v>530.497</v>
      </c>
    </row>
    <row r="140" customFormat="false" ht="15" hidden="false" customHeight="true" outlineLevel="0" collapsed="false">
      <c r="A140" s="131" t="n">
        <v>2568</v>
      </c>
      <c r="B140" s="131"/>
      <c r="C140" s="132" t="s">
        <v>392</v>
      </c>
      <c r="D140" s="133" t="s">
        <v>392</v>
      </c>
      <c r="E140" s="134" t="n">
        <f aca="false">IF(I140="regional",IF(R140*0.2975,S140*0.3484),S140*0.1939)</f>
        <v>137713.4616</v>
      </c>
      <c r="F140" s="134" t="n">
        <v>0</v>
      </c>
      <c r="G140" s="135" t="n">
        <f aca="false">E140+F140</f>
        <v>137713.4616</v>
      </c>
      <c r="H140" s="132"/>
      <c r="I140" s="133" t="s">
        <v>48</v>
      </c>
      <c r="J140" s="133" t="s">
        <v>49</v>
      </c>
      <c r="K140" s="133" t="s">
        <v>393</v>
      </c>
      <c r="L140" s="133"/>
      <c r="M140" s="136" t="n">
        <v>38</v>
      </c>
      <c r="N140" s="136" t="n">
        <v>0.771</v>
      </c>
      <c r="O140" s="136" t="n">
        <v>0.771</v>
      </c>
      <c r="P140" s="136" t="n">
        <v>0.874</v>
      </c>
      <c r="Q140" s="136" t="n">
        <v>0.84</v>
      </c>
      <c r="R140" s="136" t="n">
        <v>447368</v>
      </c>
      <c r="S140" s="136" t="n">
        <v>395274</v>
      </c>
      <c r="T140" s="8" t="n">
        <f aca="false">IF(I140="regional",IF(R140&gt;0,R140*0.2975,S140*0.3484),S140*0.1939)</f>
        <v>133091.98</v>
      </c>
      <c r="U140" s="136" t="n">
        <v>292256</v>
      </c>
      <c r="V140" s="136" t="n">
        <v>103018</v>
      </c>
      <c r="W140" s="136" t="n">
        <v>2565</v>
      </c>
      <c r="X140" s="136" t="n">
        <v>0</v>
      </c>
      <c r="Y140" s="136" t="n">
        <v>0</v>
      </c>
      <c r="Z140" s="136" t="n">
        <v>0</v>
      </c>
      <c r="AA140" s="136" t="n">
        <v>528365.98</v>
      </c>
      <c r="AB140" s="136" t="n">
        <v>133091.98</v>
      </c>
      <c r="AC140" s="136" t="n">
        <v>395274</v>
      </c>
      <c r="AD140" s="136" t="n">
        <v>0</v>
      </c>
      <c r="AE140" s="136" t="n">
        <v>0</v>
      </c>
      <c r="AF140" s="136" t="n">
        <v>0</v>
      </c>
      <c r="AG140" s="136" t="n">
        <v>395274</v>
      </c>
      <c r="AH140" s="136" t="n">
        <v>0</v>
      </c>
      <c r="AI140" s="136" t="n">
        <v>0</v>
      </c>
      <c r="AJ140" s="132" t="n">
        <v>4</v>
      </c>
      <c r="AK140" s="132" t="s">
        <v>720</v>
      </c>
      <c r="AL140" s="133" t="s">
        <v>48</v>
      </c>
      <c r="AM140" s="132"/>
      <c r="AN140" s="133" t="s">
        <v>392</v>
      </c>
      <c r="AO140" s="133" t="n">
        <v>133091.98</v>
      </c>
      <c r="AP140" s="137" t="n">
        <f aca="false">AR140+AT140+AU140+AV140+AX140+AY140+AZ140+BD140+BF140+BG140+BH140+BJ140+BK140+(BL140+BM140+BN140)/1000+(0.1*BO140)</f>
        <v>238.226</v>
      </c>
      <c r="AQ140" s="137" t="n">
        <f aca="false">AR140+AT140+AU140+AV140+AX140+AY140+AZ140+BB140+BC140+BD140+BF140+BG140+BH140+BJ140+BK140+(BL140+BM140+BN140)/1000+(0.1*BO140)</f>
        <v>242.226</v>
      </c>
      <c r="AR140" s="131" t="n">
        <v>10</v>
      </c>
      <c r="AS140" s="131" t="n">
        <v>0</v>
      </c>
      <c r="AT140" s="131" t="n">
        <v>33</v>
      </c>
      <c r="AU140" s="131" t="n">
        <v>6</v>
      </c>
      <c r="AV140" s="131" t="n">
        <v>0</v>
      </c>
      <c r="AW140" s="131" t="n">
        <v>0</v>
      </c>
      <c r="AX140" s="131" t="n">
        <v>13</v>
      </c>
      <c r="AY140" s="131" t="n">
        <v>1</v>
      </c>
      <c r="AZ140" s="131" t="n">
        <v>0</v>
      </c>
      <c r="BA140" s="131" t="n">
        <v>2</v>
      </c>
      <c r="BB140" s="131" t="n">
        <v>3</v>
      </c>
      <c r="BC140" s="131" t="n">
        <v>1</v>
      </c>
      <c r="BD140" s="131" t="n">
        <v>0</v>
      </c>
      <c r="BE140" s="131" t="n">
        <v>0</v>
      </c>
      <c r="BF140" s="131" t="n">
        <v>0</v>
      </c>
      <c r="BG140" s="131" t="n">
        <v>0</v>
      </c>
      <c r="BH140" s="131" t="n">
        <v>0</v>
      </c>
      <c r="BI140" s="131" t="n">
        <v>0</v>
      </c>
      <c r="BJ140" s="131" t="n">
        <v>0</v>
      </c>
      <c r="BK140" s="131" t="n">
        <v>0</v>
      </c>
      <c r="BL140" s="131" t="n">
        <v>0</v>
      </c>
      <c r="BM140" s="131" t="n">
        <v>0</v>
      </c>
      <c r="BN140" s="131" t="n">
        <v>175226</v>
      </c>
      <c r="BO140" s="131" t="n">
        <v>0</v>
      </c>
    </row>
    <row r="141" customFormat="false" ht="15" hidden="false" customHeight="true" outlineLevel="0" collapsed="false">
      <c r="A141" s="131" t="n">
        <v>520</v>
      </c>
      <c r="B141" s="131"/>
      <c r="C141" s="132" t="s">
        <v>747</v>
      </c>
      <c r="D141" s="133" t="s">
        <v>747</v>
      </c>
      <c r="E141" s="134" t="n">
        <f aca="false">IF(I141="regional",IF(R141*0.2975,S141*0.3484),S141*0.1939)</f>
        <v>1454.25</v>
      </c>
      <c r="F141" s="134" t="n">
        <v>0</v>
      </c>
      <c r="G141" s="135" t="n">
        <f aca="false">E141+F141</f>
        <v>1454.25</v>
      </c>
      <c r="H141" s="132"/>
      <c r="I141" s="133" t="s">
        <v>62</v>
      </c>
      <c r="J141" s="133"/>
      <c r="K141" s="133" t="s">
        <v>393</v>
      </c>
      <c r="L141" s="133"/>
      <c r="M141" s="136" t="n">
        <v>1</v>
      </c>
      <c r="N141" s="136" t="n">
        <v>1</v>
      </c>
      <c r="O141" s="136" t="n">
        <v>1</v>
      </c>
      <c r="P141" s="136" t="n">
        <v>1</v>
      </c>
      <c r="Q141" s="136" t="n">
        <v>1</v>
      </c>
      <c r="R141" s="136" t="n">
        <v>0</v>
      </c>
      <c r="S141" s="136" t="n">
        <v>7500</v>
      </c>
      <c r="T141" s="8" t="n">
        <f aca="false">IF(I141="regional",IF(R141&gt;0,R141*0.2975,S141*0.3484),S141*0.1939)</f>
        <v>1454.25</v>
      </c>
      <c r="U141" s="136" t="n">
        <v>7500</v>
      </c>
      <c r="V141" s="136" t="n">
        <v>0</v>
      </c>
      <c r="W141" s="136" t="n">
        <v>0</v>
      </c>
      <c r="X141" s="136" t="n">
        <v>0</v>
      </c>
      <c r="Y141" s="136" t="n">
        <v>0</v>
      </c>
      <c r="Z141" s="136" t="n">
        <v>0</v>
      </c>
      <c r="AA141" s="136" t="n">
        <v>8954.25</v>
      </c>
      <c r="AB141" s="136" t="n">
        <v>1454.25</v>
      </c>
      <c r="AC141" s="136" t="n">
        <v>7500</v>
      </c>
      <c r="AD141" s="136" t="n">
        <v>0</v>
      </c>
      <c r="AE141" s="136" t="n">
        <v>0</v>
      </c>
      <c r="AF141" s="136" t="n">
        <v>0</v>
      </c>
      <c r="AG141" s="136" t="n">
        <v>7500</v>
      </c>
      <c r="AH141" s="136" t="n">
        <v>0</v>
      </c>
      <c r="AI141" s="136" t="n">
        <v>0</v>
      </c>
      <c r="AJ141" s="132" t="n">
        <v>4</v>
      </c>
      <c r="AK141" s="132" t="s">
        <v>720</v>
      </c>
      <c r="AL141" s="133" t="s">
        <v>62</v>
      </c>
      <c r="AM141" s="132"/>
      <c r="AN141" s="133" t="s">
        <v>392</v>
      </c>
      <c r="AO141" s="133" t="n">
        <v>1454.25</v>
      </c>
      <c r="AP141" s="137" t="n">
        <f aca="false">AR141+AT141+AU141+AV141+AX141+AY141+AZ141+BD141+BF141+BG141+BH141+BJ141+BK141+(BL141+BM141+BN141)/1000+(0.1*BO141)</f>
        <v>9.7268</v>
      </c>
      <c r="AQ141" s="137" t="n">
        <f aca="false">AR141+AT141+AU141+AV141+AX141+AY141+AZ141+BB141+BC141+BD141+BF141+BG141+BH141+BJ141+BK141+(BL141+BM141+BN141)/1000+(0.1*BO141)</f>
        <v>9.7268</v>
      </c>
      <c r="AR141" s="131" t="n">
        <v>0</v>
      </c>
      <c r="AS141" s="131" t="n">
        <v>0</v>
      </c>
      <c r="AT141" s="131" t="n">
        <v>0</v>
      </c>
      <c r="AU141" s="131" t="n">
        <v>0</v>
      </c>
      <c r="AV141" s="131" t="n">
        <v>0</v>
      </c>
      <c r="AW141" s="131" t="n">
        <v>0</v>
      </c>
      <c r="AX141" s="131" t="n">
        <v>0</v>
      </c>
      <c r="AY141" s="131" t="n">
        <v>0</v>
      </c>
      <c r="AZ141" s="131" t="n">
        <v>0</v>
      </c>
      <c r="BA141" s="131" t="n">
        <v>0</v>
      </c>
      <c r="BB141" s="131" t="n">
        <v>0</v>
      </c>
      <c r="BC141" s="131" t="n">
        <v>0</v>
      </c>
      <c r="BD141" s="131" t="n">
        <v>0</v>
      </c>
      <c r="BE141" s="131" t="n">
        <v>0</v>
      </c>
      <c r="BF141" s="131" t="n">
        <v>0</v>
      </c>
      <c r="BG141" s="131" t="n">
        <v>0</v>
      </c>
      <c r="BH141" s="131" t="n">
        <v>0</v>
      </c>
      <c r="BI141" s="131" t="n">
        <v>0</v>
      </c>
      <c r="BJ141" s="131" t="n">
        <v>0</v>
      </c>
      <c r="BK141" s="131" t="n">
        <v>0</v>
      </c>
      <c r="BL141" s="131" t="n">
        <v>0</v>
      </c>
      <c r="BM141" s="131" t="n">
        <v>0</v>
      </c>
      <c r="BN141" s="131" t="n">
        <v>0</v>
      </c>
      <c r="BO141" s="131" t="n">
        <v>97.268</v>
      </c>
    </row>
    <row r="142" customFormat="false" ht="15" hidden="false" customHeight="true" outlineLevel="0" collapsed="false">
      <c r="A142" s="131" t="n">
        <v>1584</v>
      </c>
      <c r="B142" s="131"/>
      <c r="C142" s="132" t="s">
        <v>394</v>
      </c>
      <c r="D142" s="133" t="s">
        <v>394</v>
      </c>
      <c r="E142" s="134" t="n">
        <f aca="false">IF(I142="regional",IF(R142*0.2975,S142*0.3484),S142*0.1939)</f>
        <v>228399.5428</v>
      </c>
      <c r="F142" s="134" t="n">
        <v>0</v>
      </c>
      <c r="G142" s="135" t="n">
        <f aca="false">E142+F142</f>
        <v>228399.5428</v>
      </c>
      <c r="H142" s="132"/>
      <c r="I142" s="133" t="s">
        <v>48</v>
      </c>
      <c r="J142" s="133" t="s">
        <v>49</v>
      </c>
      <c r="K142" s="133" t="s">
        <v>334</v>
      </c>
      <c r="L142" s="133"/>
      <c r="M142" s="136" t="n">
        <v>61</v>
      </c>
      <c r="N142" s="136" t="n">
        <v>0.901</v>
      </c>
      <c r="O142" s="136" t="n">
        <v>0.92</v>
      </c>
      <c r="P142" s="136" t="n">
        <v>0.898</v>
      </c>
      <c r="Q142" s="136" t="n">
        <v>0.854</v>
      </c>
      <c r="R142" s="136" t="n">
        <v>705862</v>
      </c>
      <c r="S142" s="136" t="n">
        <v>655567</v>
      </c>
      <c r="T142" s="8" t="n">
        <f aca="false">IF(I142="regional",IF(R142&gt;0,R142*0.2975,S142*0.3484),S142*0.1939)</f>
        <v>209993.945</v>
      </c>
      <c r="U142" s="136" t="n">
        <v>435956</v>
      </c>
      <c r="V142" s="136" t="n">
        <v>219611</v>
      </c>
      <c r="W142" s="136" t="n">
        <v>3222</v>
      </c>
      <c r="X142" s="136" t="n">
        <v>0</v>
      </c>
      <c r="Y142" s="136" t="n">
        <v>0</v>
      </c>
      <c r="Z142" s="136" t="n">
        <v>0</v>
      </c>
      <c r="AA142" s="136" t="n">
        <v>865560.945</v>
      </c>
      <c r="AB142" s="136" t="n">
        <v>209993.945</v>
      </c>
      <c r="AC142" s="136" t="n">
        <v>655567</v>
      </c>
      <c r="AD142" s="136" t="n">
        <v>0</v>
      </c>
      <c r="AE142" s="136" t="n">
        <v>0</v>
      </c>
      <c r="AF142" s="136" t="n">
        <v>0</v>
      </c>
      <c r="AG142" s="136" t="n">
        <v>655567</v>
      </c>
      <c r="AH142" s="136" t="n">
        <v>0</v>
      </c>
      <c r="AI142" s="136" t="n">
        <v>0</v>
      </c>
      <c r="AJ142" s="132" t="n">
        <v>4</v>
      </c>
      <c r="AK142" s="132" t="s">
        <v>720</v>
      </c>
      <c r="AL142" s="133" t="s">
        <v>48</v>
      </c>
      <c r="AM142" s="132"/>
      <c r="AN142" s="133" t="s">
        <v>394</v>
      </c>
      <c r="AO142" s="133" t="n">
        <v>209993.945</v>
      </c>
      <c r="AP142" s="137" t="n">
        <f aca="false">AR142+AT142+AU142+AV142+AX142+AY142+AZ142+BD142+BF142+BG142+BH142+BJ142+BK142+(BL142+BM142+BN142)/1000+(0.1*BO142)</f>
        <v>271.185</v>
      </c>
      <c r="AQ142" s="137" t="n">
        <f aca="false">AR142+AT142+AU142+AV142+AX142+AY142+AZ142+BB142+BC142+BD142+BF142+BG142+BH142+BJ142+BK142+(BL142+BM142+BN142)/1000+(0.1*BO142)</f>
        <v>285.185</v>
      </c>
      <c r="AR142" s="131" t="n">
        <v>43</v>
      </c>
      <c r="AS142" s="131" t="n">
        <v>0</v>
      </c>
      <c r="AT142" s="131" t="n">
        <v>61</v>
      </c>
      <c r="AU142" s="131" t="n">
        <v>17</v>
      </c>
      <c r="AV142" s="131" t="n">
        <v>0</v>
      </c>
      <c r="AW142" s="131" t="n">
        <v>0</v>
      </c>
      <c r="AX142" s="131" t="n">
        <v>8</v>
      </c>
      <c r="AY142" s="131" t="n">
        <v>1</v>
      </c>
      <c r="AZ142" s="131" t="n">
        <v>0</v>
      </c>
      <c r="BA142" s="131" t="n">
        <v>0</v>
      </c>
      <c r="BB142" s="131" t="n">
        <v>12</v>
      </c>
      <c r="BC142" s="131" t="n">
        <v>2</v>
      </c>
      <c r="BD142" s="131" t="n">
        <v>0</v>
      </c>
      <c r="BE142" s="131" t="n">
        <v>0</v>
      </c>
      <c r="BF142" s="131" t="n">
        <v>0</v>
      </c>
      <c r="BG142" s="131" t="n">
        <v>0</v>
      </c>
      <c r="BH142" s="131" t="n">
        <v>0</v>
      </c>
      <c r="BI142" s="131" t="n">
        <v>0</v>
      </c>
      <c r="BJ142" s="131" t="n">
        <v>0</v>
      </c>
      <c r="BK142" s="131" t="n">
        <v>0</v>
      </c>
      <c r="BL142" s="131" t="n">
        <v>0</v>
      </c>
      <c r="BM142" s="131" t="n">
        <v>0</v>
      </c>
      <c r="BN142" s="131" t="n">
        <v>90213</v>
      </c>
      <c r="BO142" s="131" t="n">
        <v>509.72</v>
      </c>
    </row>
    <row r="143" customFormat="false" ht="15" hidden="false" customHeight="true" outlineLevel="0" collapsed="false">
      <c r="A143" s="131" t="n">
        <v>2654</v>
      </c>
      <c r="B143" s="131"/>
      <c r="C143" s="132" t="s">
        <v>396</v>
      </c>
      <c r="D143" s="133" t="s">
        <v>396</v>
      </c>
      <c r="E143" s="134" t="n">
        <f aca="false">IF(I143="regional",IF(R143*0.2975,S143*0.3484),S143*0.1939)</f>
        <v>29762.8744</v>
      </c>
      <c r="F143" s="134" t="n">
        <v>0</v>
      </c>
      <c r="G143" s="135" t="n">
        <f aca="false">E143+F143</f>
        <v>29762.8744</v>
      </c>
      <c r="H143" s="132"/>
      <c r="I143" s="133" t="s">
        <v>62</v>
      </c>
      <c r="J143" s="133"/>
      <c r="K143" s="133" t="s">
        <v>334</v>
      </c>
      <c r="L143" s="133"/>
      <c r="M143" s="136" t="n">
        <v>0</v>
      </c>
      <c r="N143" s="136" t="n">
        <v>0.946</v>
      </c>
      <c r="O143" s="136" t="n">
        <v>0.899</v>
      </c>
      <c r="P143" s="136" t="n">
        <v>1</v>
      </c>
      <c r="Q143" s="136" t="n">
        <v>0.868</v>
      </c>
      <c r="R143" s="136" t="n">
        <v>0</v>
      </c>
      <c r="S143" s="136" t="n">
        <v>153496</v>
      </c>
      <c r="T143" s="8" t="n">
        <f aca="false">IF(I143="regional",IF(R143&gt;0,R143*0.2975,S143*0.3484),S143*0.1939)</f>
        <v>29762.8744</v>
      </c>
      <c r="U143" s="136" t="n">
        <v>153496</v>
      </c>
      <c r="V143" s="136" t="n">
        <v>0</v>
      </c>
      <c r="W143" s="136" t="n">
        <v>0</v>
      </c>
      <c r="X143" s="136" t="n">
        <v>0</v>
      </c>
      <c r="Y143" s="136" t="n">
        <v>0</v>
      </c>
      <c r="Z143" s="136" t="n">
        <v>0</v>
      </c>
      <c r="AA143" s="136" t="n">
        <v>183258.8744</v>
      </c>
      <c r="AB143" s="136" t="n">
        <v>29762.8744</v>
      </c>
      <c r="AC143" s="136" t="n">
        <v>153496</v>
      </c>
      <c r="AD143" s="136" t="n">
        <v>0</v>
      </c>
      <c r="AE143" s="136" t="n">
        <v>0</v>
      </c>
      <c r="AF143" s="136" t="n">
        <v>0</v>
      </c>
      <c r="AG143" s="136" t="n">
        <v>153496</v>
      </c>
      <c r="AH143" s="136" t="n">
        <v>0</v>
      </c>
      <c r="AI143" s="136" t="n">
        <v>0</v>
      </c>
      <c r="AJ143" s="132" t="n">
        <v>4</v>
      </c>
      <c r="AK143" s="132" t="s">
        <v>720</v>
      </c>
      <c r="AL143" s="133" t="s">
        <v>62</v>
      </c>
      <c r="AM143" s="132"/>
      <c r="AN143" s="133" t="s">
        <v>396</v>
      </c>
      <c r="AO143" s="133" t="n">
        <v>29762.8744</v>
      </c>
      <c r="AP143" s="137" t="n">
        <f aca="false">AR143+AT143+AU143+AV143+AX143+AY143+AZ143+BD143+BF143+BG143+BH143+BJ143+BK143+(BL143+BM143+BN143)/1000+(0.1*BO143)</f>
        <v>23.871</v>
      </c>
      <c r="AQ143" s="137" t="n">
        <f aca="false">AR143+AT143+AU143+AV143+AX143+AY143+AZ143+BB143+BC143+BD143+BF143+BG143+BH143+BJ143+BK143+(BL143+BM143+BN143)/1000+(0.1*BO143)</f>
        <v>31.871</v>
      </c>
      <c r="AR143" s="131" t="n">
        <v>0</v>
      </c>
      <c r="AS143" s="131" t="n">
        <v>0</v>
      </c>
      <c r="AT143" s="131" t="n">
        <v>11</v>
      </c>
      <c r="AU143" s="131" t="n">
        <v>4</v>
      </c>
      <c r="AV143" s="131" t="n">
        <v>0</v>
      </c>
      <c r="AW143" s="131" t="n">
        <v>0</v>
      </c>
      <c r="AX143" s="131" t="n">
        <v>0</v>
      </c>
      <c r="AY143" s="131" t="n">
        <v>1</v>
      </c>
      <c r="AZ143" s="131" t="n">
        <v>0</v>
      </c>
      <c r="BA143" s="131" t="n">
        <v>0</v>
      </c>
      <c r="BB143" s="131" t="n">
        <v>3</v>
      </c>
      <c r="BC143" s="131" t="n">
        <v>5</v>
      </c>
      <c r="BD143" s="131" t="n">
        <v>0</v>
      </c>
      <c r="BE143" s="131" t="n">
        <v>0</v>
      </c>
      <c r="BF143" s="131" t="n">
        <v>0</v>
      </c>
      <c r="BG143" s="131" t="n">
        <v>0</v>
      </c>
      <c r="BH143" s="131" t="n">
        <v>0</v>
      </c>
      <c r="BI143" s="131" t="n">
        <v>0</v>
      </c>
      <c r="BJ143" s="131" t="n">
        <v>0</v>
      </c>
      <c r="BK143" s="131" t="n">
        <v>0</v>
      </c>
      <c r="BL143" s="131" t="n">
        <v>0</v>
      </c>
      <c r="BM143" s="131" t="n">
        <v>0</v>
      </c>
      <c r="BN143" s="131" t="n">
        <v>0</v>
      </c>
      <c r="BO143" s="131" t="n">
        <v>78.71</v>
      </c>
    </row>
    <row r="144" customFormat="false" ht="15" hidden="false" customHeight="true" outlineLevel="0" collapsed="false">
      <c r="A144" s="131" t="n">
        <v>4830</v>
      </c>
      <c r="B144" s="131" t="s">
        <v>44</v>
      </c>
      <c r="C144" s="132" t="s">
        <v>748</v>
      </c>
      <c r="D144" s="133" t="s">
        <v>668</v>
      </c>
      <c r="E144" s="134" t="n">
        <f aca="false">IF(I144="regional",IF(R144*0.2975,S144*0.3484),S144*0.1939)</f>
        <v>317044</v>
      </c>
      <c r="F144" s="134" t="n">
        <v>396000</v>
      </c>
      <c r="G144" s="135" t="n">
        <f aca="false">E144+F144</f>
        <v>713044</v>
      </c>
      <c r="H144" s="132"/>
      <c r="I144" s="133" t="s">
        <v>48</v>
      </c>
      <c r="J144" s="133" t="s">
        <v>49</v>
      </c>
      <c r="K144" s="133" t="s">
        <v>399</v>
      </c>
      <c r="L144" s="133" t="s">
        <v>44</v>
      </c>
      <c r="M144" s="136" t="n">
        <v>24</v>
      </c>
      <c r="N144" s="136" t="n">
        <v>0.904</v>
      </c>
      <c r="O144" s="136" t="n">
        <v>0.931</v>
      </c>
      <c r="P144" s="136" t="n">
        <v>0.925</v>
      </c>
      <c r="Q144" s="136" t="n">
        <v>0.952</v>
      </c>
      <c r="R144" s="136" t="n">
        <v>980009</v>
      </c>
      <c r="S144" s="136" t="n">
        <v>910000</v>
      </c>
      <c r="T144" s="8" t="n">
        <f aca="false">IF(I144="regional",IF(R144&gt;0,R144*0.2975,S144*0.3484),S144*0.1939)</f>
        <v>291552.6775</v>
      </c>
      <c r="U144" s="136" t="n">
        <v>592700</v>
      </c>
      <c r="V144" s="136" t="n">
        <v>317300</v>
      </c>
      <c r="W144" s="136" t="n">
        <v>4000</v>
      </c>
      <c r="X144" s="136" t="n">
        <v>687552.6775</v>
      </c>
      <c r="Y144" s="136" t="n">
        <v>291552.6775</v>
      </c>
      <c r="Z144" s="136" t="n">
        <v>396000</v>
      </c>
      <c r="AA144" s="136" t="n">
        <v>514000</v>
      </c>
      <c r="AB144" s="136" t="n">
        <v>0</v>
      </c>
      <c r="AC144" s="136" t="n">
        <v>514000</v>
      </c>
      <c r="AD144" s="136" t="n">
        <v>0</v>
      </c>
      <c r="AE144" s="136" t="n">
        <v>396000</v>
      </c>
      <c r="AF144" s="136" t="n">
        <v>0</v>
      </c>
      <c r="AG144" s="136" t="n">
        <v>514000</v>
      </c>
      <c r="AH144" s="136" t="n">
        <v>275000</v>
      </c>
      <c r="AI144" s="136" t="n">
        <v>593000</v>
      </c>
      <c r="AJ144" s="132" t="n">
        <v>4</v>
      </c>
      <c r="AK144" s="132" t="s">
        <v>724</v>
      </c>
      <c r="AL144" s="133" t="s">
        <v>48</v>
      </c>
      <c r="AM144" s="132"/>
      <c r="AN144" s="133" t="s">
        <v>668</v>
      </c>
      <c r="AO144" s="133" t="n">
        <v>687552.6775</v>
      </c>
      <c r="AP144" s="137" t="n">
        <f aca="false">AR144+AT144+AU144+AV144+AX144+AY144+AZ144+BD144+BF144+BG144+BH144+BJ144+BK144+(BL144+BM144+BN144)/1000+(0.1*BO144)</f>
        <v>1267.9439</v>
      </c>
      <c r="AQ144" s="137" t="n">
        <f aca="false">AR144+AT144+AU144+AV144+AX144+AY144+AZ144+BB144+BC144+BD144+BF144+BG144+BH144+BJ144+BK144+(BL144+BM144+BN144)/1000+(0.1*BO144)</f>
        <v>1293.9439</v>
      </c>
      <c r="AR144" s="131" t="n">
        <v>662</v>
      </c>
      <c r="AS144" s="131" t="n">
        <v>593</v>
      </c>
      <c r="AT144" s="131" t="n">
        <v>314</v>
      </c>
      <c r="AU144" s="131" t="n">
        <v>6</v>
      </c>
      <c r="AV144" s="131" t="n">
        <v>0</v>
      </c>
      <c r="AW144" s="131" t="n">
        <v>0</v>
      </c>
      <c r="AX144" s="131" t="n">
        <v>64</v>
      </c>
      <c r="AY144" s="131" t="n">
        <v>1</v>
      </c>
      <c r="AZ144" s="131" t="n">
        <v>13</v>
      </c>
      <c r="BA144" s="131" t="n">
        <v>32</v>
      </c>
      <c r="BB144" s="131" t="n">
        <v>25</v>
      </c>
      <c r="BC144" s="131" t="n">
        <v>1</v>
      </c>
      <c r="BD144" s="131" t="n">
        <v>25</v>
      </c>
      <c r="BE144" s="131" t="n">
        <v>3</v>
      </c>
      <c r="BF144" s="131" t="n">
        <v>0</v>
      </c>
      <c r="BG144" s="131" t="n">
        <v>0</v>
      </c>
      <c r="BH144" s="131" t="n">
        <v>175</v>
      </c>
      <c r="BI144" s="131" t="n">
        <v>0</v>
      </c>
      <c r="BJ144" s="131" t="n">
        <v>0</v>
      </c>
      <c r="BK144" s="131" t="n">
        <v>0</v>
      </c>
      <c r="BL144" s="131" t="n">
        <v>0</v>
      </c>
      <c r="BM144" s="131" t="n">
        <v>0</v>
      </c>
      <c r="BN144" s="131" t="n">
        <v>0</v>
      </c>
      <c r="BO144" s="131" t="n">
        <v>79.439</v>
      </c>
    </row>
    <row r="145" customFormat="false" ht="15" hidden="false" customHeight="true" outlineLevel="0" collapsed="false">
      <c r="A145" s="131" t="n">
        <v>1585</v>
      </c>
      <c r="B145" s="131"/>
      <c r="C145" s="132" t="s">
        <v>400</v>
      </c>
      <c r="D145" s="133" t="s">
        <v>400</v>
      </c>
      <c r="E145" s="134" t="n">
        <f aca="false">IF(I145="regional",IF(R145*0.2975,S145*0.3484),S145*0.1939)</f>
        <v>17770.935</v>
      </c>
      <c r="F145" s="134" t="n">
        <v>0</v>
      </c>
      <c r="G145" s="135" t="n">
        <f aca="false">E145+F145</f>
        <v>17770.935</v>
      </c>
      <c r="H145" s="132"/>
      <c r="I145" s="133" t="s">
        <v>62</v>
      </c>
      <c r="J145" s="133"/>
      <c r="K145" s="133" t="s">
        <v>170</v>
      </c>
      <c r="L145" s="133"/>
      <c r="M145" s="136" t="n">
        <v>7</v>
      </c>
      <c r="N145" s="136" t="n">
        <v>1</v>
      </c>
      <c r="O145" s="136" t="n">
        <v>1</v>
      </c>
      <c r="P145" s="136" t="n">
        <v>1</v>
      </c>
      <c r="Q145" s="136" t="n">
        <v>1</v>
      </c>
      <c r="R145" s="136" t="n">
        <v>0</v>
      </c>
      <c r="S145" s="136" t="n">
        <v>91650</v>
      </c>
      <c r="T145" s="8" t="n">
        <f aca="false">IF(I145="regional",IF(R145&gt;0,R145*0.2975,S145*0.3484),S145*0.1939)</f>
        <v>17770.935</v>
      </c>
      <c r="U145" s="136" t="n">
        <v>24912</v>
      </c>
      <c r="V145" s="136" t="n">
        <v>66738</v>
      </c>
      <c r="W145" s="136" t="n">
        <v>502</v>
      </c>
      <c r="X145" s="136" t="n">
        <v>0</v>
      </c>
      <c r="Y145" s="136" t="n">
        <v>0</v>
      </c>
      <c r="Z145" s="136" t="n">
        <v>0</v>
      </c>
      <c r="AA145" s="136" t="n">
        <v>109420.935</v>
      </c>
      <c r="AB145" s="136" t="n">
        <v>17770.935</v>
      </c>
      <c r="AC145" s="136" t="n">
        <v>91650</v>
      </c>
      <c r="AD145" s="136" t="n">
        <v>0</v>
      </c>
      <c r="AE145" s="136" t="n">
        <v>0</v>
      </c>
      <c r="AF145" s="136" t="n">
        <v>0</v>
      </c>
      <c r="AG145" s="136" t="n">
        <v>91650</v>
      </c>
      <c r="AH145" s="136" t="n">
        <v>0</v>
      </c>
      <c r="AI145" s="136" t="n">
        <v>0</v>
      </c>
      <c r="AJ145" s="132" t="n">
        <v>4</v>
      </c>
      <c r="AK145" s="132" t="s">
        <v>720</v>
      </c>
      <c r="AL145" s="133" t="s">
        <v>62</v>
      </c>
      <c r="AM145" s="132"/>
      <c r="AN145" s="133" t="s">
        <v>400</v>
      </c>
      <c r="AO145" s="133" t="n">
        <v>17770.935</v>
      </c>
      <c r="AP145" s="137" t="n">
        <f aca="false">AR145+AT145+AU145+AV145+AX145+AY145+AZ145+BD145+BF145+BG145+BH145+BJ145+BK145+(BL145+BM145+BN145)/1000+(0.1*BO145)</f>
        <v>13</v>
      </c>
      <c r="AQ145" s="137" t="n">
        <f aca="false">AR145+AT145+AU145+AV145+AX145+AY145+AZ145+BB145+BC145+BD145+BF145+BG145+BH145+BJ145+BK145+(BL145+BM145+BN145)/1000+(0.1*BO145)</f>
        <v>13</v>
      </c>
      <c r="AR145" s="131" t="n">
        <v>0</v>
      </c>
      <c r="AS145" s="131" t="n">
        <v>0</v>
      </c>
      <c r="AT145" s="131" t="n">
        <v>8</v>
      </c>
      <c r="AU145" s="131" t="n">
        <v>5</v>
      </c>
      <c r="AV145" s="131" t="n">
        <v>0</v>
      </c>
      <c r="AW145" s="131" t="n">
        <v>0</v>
      </c>
      <c r="AX145" s="131" t="n">
        <v>0</v>
      </c>
      <c r="AY145" s="131" t="n">
        <v>0</v>
      </c>
      <c r="AZ145" s="131" t="n">
        <v>0</v>
      </c>
      <c r="BA145" s="131" t="n">
        <v>0</v>
      </c>
      <c r="BB145" s="131" t="n">
        <v>0</v>
      </c>
      <c r="BC145" s="131" t="n">
        <v>0</v>
      </c>
      <c r="BD145" s="131" t="n">
        <v>0</v>
      </c>
      <c r="BE145" s="131" t="n">
        <v>0</v>
      </c>
      <c r="BF145" s="131" t="n">
        <v>0</v>
      </c>
      <c r="BG145" s="131" t="n">
        <v>0</v>
      </c>
      <c r="BH145" s="131" t="n">
        <v>0</v>
      </c>
      <c r="BI145" s="131" t="n">
        <v>0</v>
      </c>
      <c r="BJ145" s="131" t="n">
        <v>0</v>
      </c>
      <c r="BK145" s="131" t="n">
        <v>0</v>
      </c>
      <c r="BL145" s="131" t="n">
        <v>0</v>
      </c>
      <c r="BM145" s="131" t="n">
        <v>0</v>
      </c>
      <c r="BN145" s="131" t="n">
        <v>0</v>
      </c>
      <c r="BO145" s="131" t="n">
        <v>0</v>
      </c>
    </row>
    <row r="146" customFormat="false" ht="15" hidden="false" customHeight="true" outlineLevel="0" collapsed="false">
      <c r="A146" s="138" t="n">
        <v>9395</v>
      </c>
      <c r="B146" s="138"/>
      <c r="C146" s="139" t="s">
        <v>402</v>
      </c>
      <c r="D146" s="133" t="s">
        <v>402</v>
      </c>
      <c r="E146" s="134" t="n">
        <f aca="false">IF(I146="regional",IF(R146*0.2975,S146*0.3484),S146*0.1939)</f>
        <v>94375.5897</v>
      </c>
      <c r="F146" s="134" t="n">
        <v>0</v>
      </c>
      <c r="G146" s="135" t="n">
        <f aca="false">E146+F146</f>
        <v>94375.5897</v>
      </c>
      <c r="H146" s="139"/>
      <c r="I146" s="133" t="s">
        <v>405</v>
      </c>
      <c r="J146" s="133" t="s">
        <v>49</v>
      </c>
      <c r="K146" s="133" t="s">
        <v>406</v>
      </c>
      <c r="L146" s="133"/>
      <c r="M146" s="136" t="n">
        <v>115</v>
      </c>
      <c r="N146" s="136" t="n">
        <v>0.637</v>
      </c>
      <c r="O146" s="136" t="n">
        <v>0.619</v>
      </c>
      <c r="P146" s="136" t="n">
        <v>0.552</v>
      </c>
      <c r="Q146" s="136" t="n">
        <v>0.537</v>
      </c>
      <c r="R146" s="136" t="n">
        <v>640416</v>
      </c>
      <c r="S146" s="142" t="n">
        <v>486723</v>
      </c>
      <c r="T146" s="8" t="n">
        <f aca="false">IF(I146="regional",IF(R146&gt;0,R146*0.2975,S146*0.3484),S146*0.1939)</f>
        <v>94375.5897</v>
      </c>
      <c r="U146" s="136" t="n">
        <v>331831</v>
      </c>
      <c r="V146" s="136" t="n">
        <v>205099</v>
      </c>
      <c r="W146" s="136" t="n">
        <v>3610</v>
      </c>
      <c r="X146" s="136" t="n">
        <v>0</v>
      </c>
      <c r="Y146" s="136" t="n">
        <v>0</v>
      </c>
      <c r="Z146" s="136" t="n">
        <v>0</v>
      </c>
      <c r="AA146" s="136" t="n">
        <v>641040.727</v>
      </c>
      <c r="AB146" s="136" t="n">
        <v>104110.727</v>
      </c>
      <c r="AC146" s="136" t="n">
        <v>536930</v>
      </c>
      <c r="AD146" s="136" t="n">
        <v>0</v>
      </c>
      <c r="AE146" s="136" t="n">
        <v>0</v>
      </c>
      <c r="AF146" s="136" t="n">
        <v>0</v>
      </c>
      <c r="AG146" s="136" t="n">
        <v>536930</v>
      </c>
      <c r="AH146" s="136" t="n">
        <v>0</v>
      </c>
      <c r="AI146" s="136" t="n">
        <v>0</v>
      </c>
      <c r="AJ146" s="139" t="s">
        <v>707</v>
      </c>
      <c r="AK146" s="139" t="s">
        <v>729</v>
      </c>
      <c r="AL146" s="143" t="s">
        <v>749</v>
      </c>
      <c r="AM146" s="139"/>
      <c r="AN146" s="154" t="s">
        <v>750</v>
      </c>
      <c r="AO146" s="154" t="n">
        <v>0</v>
      </c>
      <c r="AP146" s="155" t="n">
        <v>0</v>
      </c>
      <c r="AQ146" s="137" t="n">
        <f aca="false">AR146+AT146+AU146+AV146+AX146+AY146+AZ146+BB146+BC146+BD146+BF146+BG146+BH146+BJ146+BK146+(BL146+BM146+BN146)/1000+(0.1*BO146)</f>
        <v>846</v>
      </c>
      <c r="AR146" s="162" t="n">
        <v>0</v>
      </c>
      <c r="AS146" s="162" t="n">
        <v>0</v>
      </c>
      <c r="AT146" s="162" t="n">
        <v>762</v>
      </c>
      <c r="AU146" s="162" t="n">
        <v>0</v>
      </c>
      <c r="AV146" s="138" t="n">
        <v>0</v>
      </c>
      <c r="AW146" s="138" t="n">
        <v>0</v>
      </c>
      <c r="AX146" s="138" t="n">
        <v>0</v>
      </c>
      <c r="AY146" s="138" t="n">
        <v>0</v>
      </c>
      <c r="AZ146" s="162" t="n">
        <v>0</v>
      </c>
      <c r="BA146" s="162" t="n">
        <v>0</v>
      </c>
      <c r="BB146" s="162" t="n">
        <v>72</v>
      </c>
      <c r="BC146" s="162" t="n">
        <v>0</v>
      </c>
      <c r="BD146" s="145" t="n">
        <v>0</v>
      </c>
      <c r="BE146" s="145" t="n">
        <v>0</v>
      </c>
      <c r="BF146" s="145" t="n">
        <v>0</v>
      </c>
      <c r="BG146" s="145" t="n">
        <v>0</v>
      </c>
      <c r="BH146" s="162" t="n">
        <v>0</v>
      </c>
      <c r="BI146" s="162" t="n">
        <v>0</v>
      </c>
      <c r="BJ146" s="162" t="n">
        <v>0</v>
      </c>
      <c r="BK146" s="162" t="n">
        <v>0</v>
      </c>
      <c r="BL146" s="162" t="n">
        <v>0</v>
      </c>
      <c r="BM146" s="162" t="n">
        <v>12000</v>
      </c>
      <c r="BN146" s="162" t="n">
        <v>0</v>
      </c>
      <c r="BO146" s="186"/>
      <c r="BP146" s="159"/>
      <c r="BQ146" s="159"/>
      <c r="BR146" s="159"/>
      <c r="BS146" s="159"/>
      <c r="BT146" s="159"/>
      <c r="BU146" s="159"/>
      <c r="BV146" s="159"/>
      <c r="BW146" s="159"/>
      <c r="BX146" s="159"/>
      <c r="BY146" s="159"/>
      <c r="BZ146" s="159"/>
      <c r="CA146" s="159"/>
      <c r="CB146" s="159"/>
      <c r="CC146" s="159"/>
      <c r="CD146" s="159"/>
      <c r="CE146" s="159"/>
      <c r="CF146" s="159"/>
      <c r="CG146" s="159"/>
      <c r="CH146" s="159"/>
      <c r="CI146" s="159"/>
      <c r="CJ146" s="159"/>
      <c r="CK146" s="159"/>
      <c r="CL146" s="159"/>
      <c r="CM146" s="159"/>
      <c r="CN146" s="159"/>
      <c r="CO146" s="159"/>
      <c r="CP146" s="159"/>
      <c r="CQ146" s="159"/>
      <c r="CR146" s="159"/>
      <c r="CS146" s="159"/>
      <c r="CT146" s="159"/>
      <c r="CU146" s="159"/>
      <c r="CV146" s="159"/>
      <c r="CW146" s="159"/>
      <c r="CX146" s="159"/>
      <c r="CY146" s="159"/>
      <c r="CZ146" s="159"/>
      <c r="DA146" s="159"/>
    </row>
    <row r="147" customFormat="false" ht="15" hidden="false" customHeight="true" outlineLevel="0" collapsed="false">
      <c r="A147" s="131" t="n">
        <v>9397</v>
      </c>
      <c r="B147" s="131"/>
      <c r="C147" s="132" t="s">
        <v>402</v>
      </c>
      <c r="D147" s="140" t="s">
        <v>402</v>
      </c>
      <c r="E147" s="134" t="n">
        <f aca="false">IF(I147="regional",IF(R147*0.2975,S147*0.3484),S147*0.1939)</f>
        <v>0</v>
      </c>
      <c r="F147" s="141"/>
      <c r="G147" s="135" t="n">
        <f aca="false">E147+F147</f>
        <v>0</v>
      </c>
      <c r="H147" s="132"/>
      <c r="I147" s="140" t="s">
        <v>718</v>
      </c>
      <c r="J147" s="140"/>
      <c r="K147" s="140"/>
      <c r="L147" s="140"/>
      <c r="M147" s="142"/>
      <c r="N147" s="142"/>
      <c r="O147" s="142"/>
      <c r="P147" s="142"/>
      <c r="Q147" s="142"/>
      <c r="R147" s="142"/>
      <c r="S147" s="142"/>
      <c r="T147" s="8" t="n">
        <f aca="false">IF(I147="regional",IF(R147&gt;0,R147*0.2975,S147*0.3484),S147*0.1939)</f>
        <v>0</v>
      </c>
      <c r="U147" s="142"/>
      <c r="V147" s="142"/>
      <c r="W147" s="142"/>
      <c r="X147" s="142"/>
      <c r="Y147" s="142"/>
      <c r="Z147" s="142"/>
      <c r="AA147" s="142"/>
      <c r="AB147" s="142"/>
      <c r="AC147" s="142"/>
      <c r="AD147" s="142"/>
      <c r="AE147" s="142"/>
      <c r="AF147" s="142"/>
      <c r="AG147" s="142"/>
      <c r="AH147" s="142"/>
      <c r="AI147" s="142"/>
      <c r="AJ147" s="132" t="s">
        <v>707</v>
      </c>
      <c r="AK147" s="132" t="s">
        <v>729</v>
      </c>
      <c r="AL147" s="133" t="s">
        <v>405</v>
      </c>
      <c r="AM147" s="132"/>
      <c r="AN147" s="133" t="s">
        <v>402</v>
      </c>
      <c r="AO147" s="133" t="n">
        <v>104110.727</v>
      </c>
      <c r="AP147" s="137" t="n">
        <f aca="false">AR147+AT147+AU147+AV147+AX147+AY147+AZ147+BD147+BF147+BG147+BH147+BJ147+BK147+(BL147+BM147+BN147)/1000+(0.1*BO147)</f>
        <v>397.3824</v>
      </c>
      <c r="AQ147" s="137" t="n">
        <f aca="false">AR147+AT147+AU147+AV147+AX147+AY147+AZ147+BB147+BC147+BD147+BF147+BG147+BH147+BJ147+BK147+(BL147+BM147+BN147)/1000+(0.1*BO147)</f>
        <v>464.3824</v>
      </c>
      <c r="AR147" s="131" t="n">
        <v>199</v>
      </c>
      <c r="AS147" s="131" t="n">
        <v>0</v>
      </c>
      <c r="AT147" s="131" t="n">
        <v>116</v>
      </c>
      <c r="AU147" s="131" t="n">
        <v>-49</v>
      </c>
      <c r="AV147" s="131" t="n">
        <v>0</v>
      </c>
      <c r="AW147" s="131" t="n">
        <v>0</v>
      </c>
      <c r="AX147" s="131" t="n">
        <v>0</v>
      </c>
      <c r="AY147" s="131" t="n">
        <v>0</v>
      </c>
      <c r="AZ147" s="131" t="n">
        <v>0</v>
      </c>
      <c r="BA147" s="131" t="n">
        <v>0</v>
      </c>
      <c r="BB147" s="131" t="n">
        <v>67</v>
      </c>
      <c r="BC147" s="131" t="n">
        <v>0</v>
      </c>
      <c r="BD147" s="131" t="n">
        <v>12</v>
      </c>
      <c r="BE147" s="131" t="n">
        <v>0</v>
      </c>
      <c r="BF147" s="131" t="n">
        <v>0</v>
      </c>
      <c r="BG147" s="131" t="n">
        <v>0</v>
      </c>
      <c r="BH147" s="131" t="n">
        <v>27</v>
      </c>
      <c r="BI147" s="131" t="n">
        <v>0</v>
      </c>
      <c r="BJ147" s="131" t="n">
        <v>0</v>
      </c>
      <c r="BK147" s="131" t="n">
        <v>0</v>
      </c>
      <c r="BL147" s="131" t="n">
        <v>16458</v>
      </c>
      <c r="BM147" s="131" t="n">
        <v>0</v>
      </c>
      <c r="BN147" s="131" t="n">
        <v>0</v>
      </c>
      <c r="BO147" s="131" t="n">
        <v>759.244</v>
      </c>
    </row>
    <row r="148" customFormat="false" ht="15" hidden="false" customHeight="true" outlineLevel="0" collapsed="false">
      <c r="A148" s="131" t="n">
        <v>2810</v>
      </c>
      <c r="B148" s="131" t="s">
        <v>44</v>
      </c>
      <c r="C148" s="132" t="s">
        <v>407</v>
      </c>
      <c r="D148" s="133" t="s">
        <v>407</v>
      </c>
      <c r="E148" s="134" t="n">
        <f aca="false">IF(I148="regional",IF(R148*0.2975,S148*0.3484),S148*0.1939)</f>
        <v>320775.0156</v>
      </c>
      <c r="F148" s="134" t="n">
        <v>699163</v>
      </c>
      <c r="G148" s="135" t="n">
        <f aca="false">E148+F148</f>
        <v>1019938.0156</v>
      </c>
      <c r="H148" s="132" t="s">
        <v>49</v>
      </c>
      <c r="I148" s="133" t="s">
        <v>48</v>
      </c>
      <c r="J148" s="133" t="s">
        <v>44</v>
      </c>
      <c r="K148" s="133" t="s">
        <v>409</v>
      </c>
      <c r="L148" s="133" t="s">
        <v>44</v>
      </c>
      <c r="M148" s="136" t="n">
        <v>126</v>
      </c>
      <c r="N148" s="136" t="n">
        <v>0.939</v>
      </c>
      <c r="O148" s="136" t="n">
        <v>0.932</v>
      </c>
      <c r="P148" s="136" t="n">
        <v>0.929</v>
      </c>
      <c r="Q148" s="136" t="n">
        <v>0.927</v>
      </c>
      <c r="R148" s="136" t="n">
        <v>1400573</v>
      </c>
      <c r="S148" s="136" t="n">
        <v>920709</v>
      </c>
      <c r="T148" s="8" t="n">
        <f aca="false">IF(I148="regional",IF(R148&gt;0,R148*0.2975,S148*0.3484),S148*0.1939)</f>
        <v>416670.4675</v>
      </c>
      <c r="U148" s="136" t="n">
        <v>530971</v>
      </c>
      <c r="V148" s="136" t="n">
        <v>389738</v>
      </c>
      <c r="W148" s="136" t="n">
        <v>4500</v>
      </c>
      <c r="X148" s="136" t="n">
        <v>1115833.468</v>
      </c>
      <c r="Y148" s="136" t="n">
        <v>416670.4675</v>
      </c>
      <c r="Z148" s="136" t="n">
        <v>699163</v>
      </c>
      <c r="AA148" s="136" t="n">
        <v>221546</v>
      </c>
      <c r="AB148" s="136" t="n">
        <v>0</v>
      </c>
      <c r="AC148" s="136" t="n">
        <v>221546</v>
      </c>
      <c r="AD148" s="136" t="n">
        <v>699163</v>
      </c>
      <c r="AE148" s="136" t="n">
        <v>0</v>
      </c>
      <c r="AF148" s="136" t="n">
        <v>221546</v>
      </c>
      <c r="AG148" s="136" t="n">
        <v>0</v>
      </c>
      <c r="AH148" s="136" t="n">
        <v>1021000</v>
      </c>
      <c r="AI148" s="136" t="n">
        <v>969000</v>
      </c>
      <c r="AJ148" s="132" t="s">
        <v>715</v>
      </c>
      <c r="AK148" s="132" t="s">
        <v>716</v>
      </c>
      <c r="AL148" s="133" t="s">
        <v>48</v>
      </c>
      <c r="AM148" s="132" t="s">
        <v>49</v>
      </c>
      <c r="AN148" s="133" t="s">
        <v>407</v>
      </c>
      <c r="AO148" s="133" t="n">
        <v>1115833.4675</v>
      </c>
      <c r="AP148" s="137" t="n">
        <f aca="false">AR148+AT148+AU148+AV148+AX148+AY148+AZ148+BD148+BF148+BG148+BH148+BJ148+BK148+(BL148+BM148+BN148)/1000+(0.1*BO148)</f>
        <v>1100.0844</v>
      </c>
      <c r="AQ148" s="137" t="n">
        <f aca="false">AR148+AT148+AU148+AV148+AX148+AY148+AZ148+BB148+BC148+BD148+BF148+BG148+BH148+BJ148+BK148+(BL148+BM148+BN148)/1000+(0.1*BO148)</f>
        <v>1268.0844</v>
      </c>
      <c r="AR148" s="131" t="n">
        <v>476</v>
      </c>
      <c r="AS148" s="131" t="n">
        <v>969</v>
      </c>
      <c r="AT148" s="131" t="n">
        <v>278</v>
      </c>
      <c r="AU148" s="131" t="n">
        <v>0</v>
      </c>
      <c r="AV148" s="131" t="n">
        <v>33</v>
      </c>
      <c r="AW148" s="131" t="n">
        <v>17</v>
      </c>
      <c r="AX148" s="131" t="n">
        <v>0</v>
      </c>
      <c r="AY148" s="131" t="n">
        <v>0</v>
      </c>
      <c r="AZ148" s="131" t="n">
        <v>29</v>
      </c>
      <c r="BA148" s="131" t="n">
        <v>48</v>
      </c>
      <c r="BB148" s="131" t="n">
        <v>168</v>
      </c>
      <c r="BC148" s="131" t="n">
        <v>0</v>
      </c>
      <c r="BD148" s="131" t="n">
        <v>69</v>
      </c>
      <c r="BE148" s="131" t="n">
        <v>0</v>
      </c>
      <c r="BF148" s="131" t="n">
        <v>0</v>
      </c>
      <c r="BG148" s="131" t="n">
        <v>0</v>
      </c>
      <c r="BH148" s="131" t="n">
        <v>152</v>
      </c>
      <c r="BI148" s="131" t="n">
        <v>0</v>
      </c>
      <c r="BJ148" s="131" t="n">
        <v>0</v>
      </c>
      <c r="BK148" s="131" t="n">
        <v>0</v>
      </c>
      <c r="BL148" s="131" t="n">
        <v>41063</v>
      </c>
      <c r="BM148" s="131" t="n">
        <v>0</v>
      </c>
      <c r="BN148" s="131" t="n">
        <v>0</v>
      </c>
      <c r="BO148" s="131" t="n">
        <v>220.214</v>
      </c>
    </row>
    <row r="149" customFormat="false" ht="15" hidden="false" customHeight="true" outlineLevel="0" collapsed="false">
      <c r="A149" s="146" t="n">
        <v>2811</v>
      </c>
      <c r="B149" s="146"/>
      <c r="C149" s="146" t="s">
        <v>751</v>
      </c>
      <c r="D149" s="147" t="s">
        <v>751</v>
      </c>
      <c r="E149" s="134" t="n">
        <f aca="false">IF(I149="regional",IF(R149*0.2975,S149*0.3484),S149*0.1939)</f>
        <v>0</v>
      </c>
      <c r="F149" s="148"/>
      <c r="G149" s="135" t="n">
        <f aca="false">E149+F149</f>
        <v>0</v>
      </c>
      <c r="H149" s="146"/>
      <c r="I149" s="147" t="s">
        <v>62</v>
      </c>
      <c r="J149" s="147"/>
      <c r="K149" s="147"/>
      <c r="L149" s="147"/>
      <c r="M149" s="147"/>
      <c r="N149" s="147"/>
      <c r="O149" s="147"/>
      <c r="P149" s="147"/>
      <c r="Q149" s="147"/>
      <c r="R149" s="147"/>
      <c r="S149" s="147"/>
      <c r="T149" s="8" t="n">
        <f aca="false">IF(I149="regional",IF(R149&gt;0,R149*0.2975,S149*0.3484),S149*0.1939)</f>
        <v>0</v>
      </c>
      <c r="U149" s="147"/>
      <c r="V149" s="147"/>
      <c r="W149" s="147"/>
      <c r="X149" s="147"/>
      <c r="Y149" s="147"/>
      <c r="Z149" s="147"/>
      <c r="AA149" s="147"/>
      <c r="AB149" s="147"/>
      <c r="AC149" s="147"/>
      <c r="AD149" s="147"/>
      <c r="AE149" s="147"/>
      <c r="AF149" s="147"/>
      <c r="AG149" s="147"/>
      <c r="AH149" s="147"/>
      <c r="AI149" s="147"/>
      <c r="AJ149" s="146"/>
      <c r="AK149" s="146"/>
      <c r="AL149" s="146" t="s">
        <v>62</v>
      </c>
      <c r="AM149" s="146"/>
      <c r="AN149" s="146"/>
      <c r="AO149" s="146"/>
      <c r="AP149" s="149"/>
      <c r="AQ149" s="137" t="n">
        <f aca="false">AR149+AT149+AU149+AV149+AX149+AY149+AZ149+BB149+BC149+BD149+BF149+BG149+BH149+BJ149+BK149+(BL149+BM149+BN149)/1000+(0.1*BO149)</f>
        <v>12</v>
      </c>
      <c r="AR149" s="156" t="n">
        <v>0</v>
      </c>
      <c r="AS149" s="156" t="n">
        <v>0</v>
      </c>
      <c r="AT149" s="156" t="n">
        <v>12</v>
      </c>
      <c r="AU149" s="156" t="n">
        <v>0</v>
      </c>
      <c r="AV149" s="156" t="n">
        <v>0</v>
      </c>
      <c r="AW149" s="156" t="n">
        <v>0</v>
      </c>
      <c r="AX149" s="156" t="n">
        <v>0</v>
      </c>
      <c r="AY149" s="156" t="n">
        <v>0</v>
      </c>
      <c r="AZ149" s="156" t="n">
        <v>0</v>
      </c>
      <c r="BA149" s="156" t="n">
        <v>6</v>
      </c>
      <c r="BB149" s="156" t="n">
        <v>0</v>
      </c>
      <c r="BC149" s="156" t="n">
        <v>0</v>
      </c>
      <c r="BD149" s="146"/>
      <c r="BE149" s="146"/>
      <c r="BF149" s="146"/>
      <c r="BG149" s="146"/>
      <c r="BH149" s="146"/>
      <c r="BI149" s="146"/>
      <c r="BJ149" s="146"/>
      <c r="BK149" s="146"/>
      <c r="BL149" s="146"/>
      <c r="BM149" s="146"/>
      <c r="BN149" s="146"/>
      <c r="BO149" s="146"/>
    </row>
    <row r="150" customFormat="false" ht="15" hidden="false" customHeight="true" outlineLevel="0" collapsed="false">
      <c r="A150" s="131" t="n">
        <v>1540</v>
      </c>
      <c r="B150" s="131"/>
      <c r="C150" s="132" t="s">
        <v>410</v>
      </c>
      <c r="D150" s="133" t="s">
        <v>410</v>
      </c>
      <c r="E150" s="134" t="n">
        <f aca="false">IF(I150="regional",IF(R150*0.2975,S150*0.3484),S150*0.1939)</f>
        <v>397718.1104</v>
      </c>
      <c r="F150" s="134" t="n">
        <v>0</v>
      </c>
      <c r="G150" s="135" t="n">
        <f aca="false">E150+F150</f>
        <v>397718.1104</v>
      </c>
      <c r="H150" s="132"/>
      <c r="I150" s="133" t="s">
        <v>48</v>
      </c>
      <c r="J150" s="133" t="s">
        <v>49</v>
      </c>
      <c r="K150" s="133" t="s">
        <v>118</v>
      </c>
      <c r="L150" s="133"/>
      <c r="M150" s="136" t="n">
        <v>113</v>
      </c>
      <c r="N150" s="136" t="n">
        <v>0.744</v>
      </c>
      <c r="O150" s="136" t="n">
        <v>0.879</v>
      </c>
      <c r="P150" s="136" t="n">
        <v>0.884</v>
      </c>
      <c r="Q150" s="136" t="n">
        <v>0.865</v>
      </c>
      <c r="R150" s="136" t="n">
        <v>1288322</v>
      </c>
      <c r="S150" s="136" t="n">
        <v>1141556</v>
      </c>
      <c r="T150" s="8" t="n">
        <f aca="false">IF(I150="regional",IF(R150&gt;0,R150*0.2975,S150*0.3484),S150*0.1939)</f>
        <v>383275.795</v>
      </c>
      <c r="U150" s="136" t="n">
        <v>839873</v>
      </c>
      <c r="V150" s="136" t="n">
        <v>301683</v>
      </c>
      <c r="W150" s="136" t="n">
        <v>6055</v>
      </c>
      <c r="X150" s="136" t="n">
        <v>0</v>
      </c>
      <c r="Y150" s="136" t="n">
        <v>0</v>
      </c>
      <c r="Z150" s="136" t="n">
        <v>0</v>
      </c>
      <c r="AA150" s="136" t="n">
        <v>1524831.795</v>
      </c>
      <c r="AB150" s="136" t="n">
        <v>383275.795</v>
      </c>
      <c r="AC150" s="136" t="n">
        <v>1141556</v>
      </c>
      <c r="AD150" s="136" t="n">
        <v>0</v>
      </c>
      <c r="AE150" s="136" t="n">
        <v>0</v>
      </c>
      <c r="AF150" s="136" t="n">
        <v>0</v>
      </c>
      <c r="AG150" s="136" t="n">
        <v>1141556</v>
      </c>
      <c r="AH150" s="136" t="n">
        <v>0</v>
      </c>
      <c r="AI150" s="136" t="n">
        <v>0</v>
      </c>
      <c r="AJ150" s="132" t="s">
        <v>707</v>
      </c>
      <c r="AK150" s="132" t="s">
        <v>708</v>
      </c>
      <c r="AL150" s="133" t="s">
        <v>48</v>
      </c>
      <c r="AM150" s="132"/>
      <c r="AN150" s="133" t="s">
        <v>410</v>
      </c>
      <c r="AO150" s="133" t="n">
        <v>383275.795</v>
      </c>
      <c r="AP150" s="137" t="n">
        <f aca="false">AR150+AT150+AU150+AV150+AX150+AY150+AZ150+BD150+BF150+BG150+BH150+BJ150+BK150+(BL150+BM150+BN150)/1000+(0.1*BO150)</f>
        <v>320.1338</v>
      </c>
      <c r="AQ150" s="137" t="n">
        <f aca="false">AR150+AT150+AU150+AV150+AX150+AY150+AZ150+BB150+BC150+BD150+BF150+BG150+BH150+BJ150+BK150+(BL150+BM150+BN150)/1000+(0.1*BO150)</f>
        <v>385.1338</v>
      </c>
      <c r="AR150" s="131" t="n">
        <v>116</v>
      </c>
      <c r="AS150" s="131" t="n">
        <v>6</v>
      </c>
      <c r="AT150" s="131" t="n">
        <v>113</v>
      </c>
      <c r="AU150" s="131" t="n">
        <v>53</v>
      </c>
      <c r="AV150" s="131" t="n">
        <v>0</v>
      </c>
      <c r="AW150" s="131" t="n">
        <v>0</v>
      </c>
      <c r="AX150" s="131" t="n">
        <v>1</v>
      </c>
      <c r="AY150" s="131" t="n">
        <v>0</v>
      </c>
      <c r="AZ150" s="131" t="n">
        <v>0</v>
      </c>
      <c r="BA150" s="131" t="n">
        <v>4</v>
      </c>
      <c r="BB150" s="131" t="n">
        <v>64</v>
      </c>
      <c r="BC150" s="131" t="n">
        <v>1</v>
      </c>
      <c r="BD150" s="131" t="n">
        <v>0</v>
      </c>
      <c r="BE150" s="131" t="n">
        <v>0</v>
      </c>
      <c r="BF150" s="131" t="n">
        <v>0</v>
      </c>
      <c r="BG150" s="131" t="n">
        <v>0</v>
      </c>
      <c r="BH150" s="131" t="n">
        <v>0</v>
      </c>
      <c r="BI150" s="131" t="n">
        <v>0</v>
      </c>
      <c r="BJ150" s="131" t="n">
        <v>0</v>
      </c>
      <c r="BK150" s="131" t="n">
        <v>0</v>
      </c>
      <c r="BL150" s="131" t="n">
        <v>0</v>
      </c>
      <c r="BM150" s="131" t="n">
        <v>0</v>
      </c>
      <c r="BN150" s="131" t="n">
        <v>0</v>
      </c>
      <c r="BO150" s="131" t="n">
        <v>371.338</v>
      </c>
    </row>
    <row r="151" customFormat="false" ht="15" hidden="false" customHeight="true" outlineLevel="0" collapsed="false">
      <c r="A151" s="131" t="n">
        <v>4771</v>
      </c>
      <c r="B151" s="131" t="s">
        <v>44</v>
      </c>
      <c r="C151" s="132" t="s">
        <v>680</v>
      </c>
      <c r="D151" s="133" t="s">
        <v>680</v>
      </c>
      <c r="E151" s="134" t="n">
        <f aca="false">IF(I151="regional",IF(R151*0.2975,S151*0.3484),S151*0.1939)</f>
        <v>345946.9156</v>
      </c>
      <c r="F151" s="134" t="n">
        <v>426000</v>
      </c>
      <c r="G151" s="135" t="n">
        <f aca="false">E151+F151</f>
        <v>771946.9156</v>
      </c>
      <c r="H151" s="132" t="s">
        <v>49</v>
      </c>
      <c r="I151" s="133" t="s">
        <v>48</v>
      </c>
      <c r="J151" s="133" t="s">
        <v>44</v>
      </c>
      <c r="K151" s="133" t="s">
        <v>414</v>
      </c>
      <c r="L151" s="133" t="s">
        <v>44</v>
      </c>
      <c r="M151" s="136" t="n">
        <v>120</v>
      </c>
      <c r="N151" s="136" t="n">
        <v>0.85</v>
      </c>
      <c r="O151" s="136" t="n">
        <v>0.866</v>
      </c>
      <c r="P151" s="136" t="n">
        <v>0.925</v>
      </c>
      <c r="Q151" s="136" t="n">
        <v>0.952</v>
      </c>
      <c r="R151" s="136" t="n">
        <v>1133987</v>
      </c>
      <c r="S151" s="136" t="n">
        <v>992959</v>
      </c>
      <c r="T151" s="8" t="n">
        <f aca="false">IF(I151="regional",IF(R151&gt;0,R151*0.2975,S151*0.3484),S151*0.1939)</f>
        <v>337361.1325</v>
      </c>
      <c r="U151" s="136" t="n">
        <v>651533</v>
      </c>
      <c r="V151" s="136" t="n">
        <v>341426</v>
      </c>
      <c r="W151" s="136" t="n">
        <v>5829</v>
      </c>
      <c r="X151" s="136" t="n">
        <v>763361.1325</v>
      </c>
      <c r="Y151" s="136" t="n">
        <v>337361.1325</v>
      </c>
      <c r="Z151" s="136" t="n">
        <v>426000</v>
      </c>
      <c r="AA151" s="136" t="n">
        <v>566959</v>
      </c>
      <c r="AB151" s="136" t="n">
        <v>0</v>
      </c>
      <c r="AC151" s="136" t="n">
        <v>566959</v>
      </c>
      <c r="AD151" s="136" t="n">
        <v>426000</v>
      </c>
      <c r="AE151" s="136" t="n">
        <v>0</v>
      </c>
      <c r="AF151" s="136" t="n">
        <v>566959</v>
      </c>
      <c r="AG151" s="136" t="n">
        <v>0</v>
      </c>
      <c r="AH151" s="136" t="n">
        <v>373000</v>
      </c>
      <c r="AI151" s="136" t="n">
        <v>185000</v>
      </c>
      <c r="AJ151" s="132" t="n">
        <v>4</v>
      </c>
      <c r="AK151" s="132" t="s">
        <v>728</v>
      </c>
      <c r="AL151" s="133" t="s">
        <v>48</v>
      </c>
      <c r="AM151" s="132" t="s">
        <v>49</v>
      </c>
      <c r="AN151" s="133" t="s">
        <v>680</v>
      </c>
      <c r="AO151" s="133" t="n">
        <v>763361.1325</v>
      </c>
      <c r="AP151" s="137" t="n">
        <f aca="false">AR151+AT151+AU151+AV151+AX151+AY151+AZ151+BD151+BF151+BG151+BH151+BJ151+BK151+(BL151+BM151+BN151)/1000+(0.1*BO151)</f>
        <v>398.4319</v>
      </c>
      <c r="AQ151" s="137" t="n">
        <f aca="false">AR151+AT151+AU151+AV151+AX151+AY151+AZ151+BB151+BC151+BD151+BF151+BG151+BH151+BJ151+BK151+(BL151+BM151+BN151)/1000+(0.1*BO151)</f>
        <v>422.4319</v>
      </c>
      <c r="AR151" s="131" t="n">
        <v>0</v>
      </c>
      <c r="AS151" s="131" t="n">
        <v>185</v>
      </c>
      <c r="AT151" s="131" t="n">
        <v>268</v>
      </c>
      <c r="AU151" s="131" t="n">
        <v>48</v>
      </c>
      <c r="AV151" s="131" t="n">
        <v>0</v>
      </c>
      <c r="AW151" s="131" t="n">
        <v>6</v>
      </c>
      <c r="AX151" s="131" t="n">
        <v>11</v>
      </c>
      <c r="AY151" s="131" t="n">
        <v>11</v>
      </c>
      <c r="AZ151" s="131" t="n">
        <v>0</v>
      </c>
      <c r="BA151" s="131" t="n">
        <v>34</v>
      </c>
      <c r="BB151" s="131" t="n">
        <v>24</v>
      </c>
      <c r="BC151" s="131" t="n">
        <v>0</v>
      </c>
      <c r="BD151" s="131" t="n">
        <v>0</v>
      </c>
      <c r="BE151" s="131" t="n">
        <v>0</v>
      </c>
      <c r="BF151" s="131" t="n">
        <v>0</v>
      </c>
      <c r="BG151" s="131" t="n">
        <v>0</v>
      </c>
      <c r="BH151" s="131" t="n">
        <v>0</v>
      </c>
      <c r="BI151" s="131" t="n">
        <v>0</v>
      </c>
      <c r="BJ151" s="131" t="n">
        <v>0</v>
      </c>
      <c r="BK151" s="131" t="n">
        <v>0</v>
      </c>
      <c r="BL151" s="131" t="n">
        <v>31510</v>
      </c>
      <c r="BM151" s="131" t="n">
        <v>0</v>
      </c>
      <c r="BN151" s="131" t="n">
        <v>0</v>
      </c>
      <c r="BO151" s="131" t="n">
        <v>289.219</v>
      </c>
    </row>
    <row r="152" customFormat="false" ht="15" hidden="false" customHeight="true" outlineLevel="0" collapsed="false">
      <c r="A152" s="131" t="n">
        <v>1926</v>
      </c>
      <c r="B152" s="131"/>
      <c r="C152" s="132" t="s">
        <v>415</v>
      </c>
      <c r="D152" s="133" t="s">
        <v>415</v>
      </c>
      <c r="E152" s="134" t="n">
        <f aca="false">IF(I152="regional",IF(R152*0.2975,S152*0.3484),S152*0.1939)</f>
        <v>47662.1712</v>
      </c>
      <c r="F152" s="134" t="n">
        <v>0</v>
      </c>
      <c r="G152" s="135" t="n">
        <f aca="false">E152+F152</f>
        <v>47662.1712</v>
      </c>
      <c r="H152" s="132"/>
      <c r="I152" s="133" t="s">
        <v>62</v>
      </c>
      <c r="J152" s="133"/>
      <c r="K152" s="133" t="s">
        <v>98</v>
      </c>
      <c r="L152" s="133"/>
      <c r="M152" s="136" t="n">
        <v>11</v>
      </c>
      <c r="N152" s="136" t="n">
        <v>0.98</v>
      </c>
      <c r="O152" s="136" t="n">
        <v>0.98</v>
      </c>
      <c r="P152" s="136" t="n">
        <v>1</v>
      </c>
      <c r="Q152" s="136" t="n">
        <v>1</v>
      </c>
      <c r="R152" s="136" t="n">
        <v>0</v>
      </c>
      <c r="S152" s="136" t="n">
        <v>245808</v>
      </c>
      <c r="T152" s="8" t="n">
        <f aca="false">IF(I152="regional",IF(R152&gt;0,R152*0.2975,S152*0.3484),S152*0.1939)</f>
        <v>47662.1712</v>
      </c>
      <c r="U152" s="136" t="n">
        <v>208925</v>
      </c>
      <c r="V152" s="136" t="n">
        <v>36883</v>
      </c>
      <c r="W152" s="136" t="n">
        <v>1600</v>
      </c>
      <c r="X152" s="136" t="n">
        <v>0</v>
      </c>
      <c r="Y152" s="136" t="n">
        <v>0</v>
      </c>
      <c r="Z152" s="136" t="n">
        <v>0</v>
      </c>
      <c r="AA152" s="136" t="n">
        <v>293470.1712</v>
      </c>
      <c r="AB152" s="136" t="n">
        <v>47662.1712</v>
      </c>
      <c r="AC152" s="136" t="n">
        <v>245808</v>
      </c>
      <c r="AD152" s="136" t="n">
        <v>0</v>
      </c>
      <c r="AE152" s="136" t="n">
        <v>0</v>
      </c>
      <c r="AF152" s="136" t="n">
        <v>0</v>
      </c>
      <c r="AG152" s="136" t="n">
        <v>245808</v>
      </c>
      <c r="AH152" s="136" t="n">
        <v>0</v>
      </c>
      <c r="AI152" s="136" t="n">
        <v>0</v>
      </c>
      <c r="AJ152" s="132" t="n">
        <v>4</v>
      </c>
      <c r="AK152" s="132" t="s">
        <v>706</v>
      </c>
      <c r="AL152" s="133" t="s">
        <v>62</v>
      </c>
      <c r="AM152" s="132"/>
      <c r="AN152" s="133" t="s">
        <v>415</v>
      </c>
      <c r="AO152" s="133" t="n">
        <v>47662.1712</v>
      </c>
      <c r="AP152" s="137" t="n">
        <f aca="false">AR152+AT152+AU152+AV152+AX152+AY152+AZ152+BD152+BF152+BG152+BH152+BJ152+BK152+(BL152+BM152+BN152)/1000+(0.1*BO152)</f>
        <v>-11</v>
      </c>
      <c r="AQ152" s="137" t="n">
        <f aca="false">AR152+AT152+AU152+AV152+AX152+AY152+AZ152+BB152+BC152+BD152+BF152+BG152+BH152+BJ152+BK152+(BL152+BM152+BN152)/1000+(0.1*BO152)</f>
        <v>-10</v>
      </c>
      <c r="AR152" s="131" t="n">
        <v>0</v>
      </c>
      <c r="AS152" s="131" t="n">
        <v>0</v>
      </c>
      <c r="AT152" s="131" t="n">
        <v>1</v>
      </c>
      <c r="AU152" s="131" t="n">
        <v>-12</v>
      </c>
      <c r="AV152" s="131" t="n">
        <v>0</v>
      </c>
      <c r="AW152" s="131" t="n">
        <v>0</v>
      </c>
      <c r="AX152" s="131" t="n">
        <v>0</v>
      </c>
      <c r="AY152" s="131" t="n">
        <v>0</v>
      </c>
      <c r="AZ152" s="131" t="n">
        <v>0</v>
      </c>
      <c r="BA152" s="131" t="n">
        <v>0</v>
      </c>
      <c r="BB152" s="131" t="n">
        <v>0</v>
      </c>
      <c r="BC152" s="131" t="n">
        <v>1</v>
      </c>
      <c r="BD152" s="131" t="n">
        <v>0</v>
      </c>
      <c r="BE152" s="131" t="n">
        <v>0</v>
      </c>
      <c r="BF152" s="131" t="n">
        <v>0</v>
      </c>
      <c r="BG152" s="131" t="n">
        <v>0</v>
      </c>
      <c r="BH152" s="131" t="n">
        <v>0</v>
      </c>
      <c r="BI152" s="131" t="n">
        <v>0</v>
      </c>
      <c r="BJ152" s="131" t="n">
        <v>0</v>
      </c>
      <c r="BK152" s="131" t="n">
        <v>0</v>
      </c>
      <c r="BL152" s="131" t="n">
        <v>0</v>
      </c>
      <c r="BM152" s="131" t="n">
        <v>0</v>
      </c>
      <c r="BN152" s="131" t="n">
        <v>0</v>
      </c>
      <c r="BO152" s="131" t="n">
        <v>0</v>
      </c>
    </row>
    <row r="153" customFormat="false" ht="15" hidden="false" customHeight="true" outlineLevel="0" collapsed="false">
      <c r="A153" s="131" t="n">
        <v>3527</v>
      </c>
      <c r="B153" s="131"/>
      <c r="C153" s="132" t="s">
        <v>417</v>
      </c>
      <c r="D153" s="133" t="s">
        <v>417</v>
      </c>
      <c r="E153" s="134" t="n">
        <f aca="false">IF(I153="regional",IF(R153*0.2975,S153*0.3484),S153*0.1939)</f>
        <v>22114.4889</v>
      </c>
      <c r="F153" s="134" t="n">
        <v>0</v>
      </c>
      <c r="G153" s="135" t="n">
        <f aca="false">E153+F153</f>
        <v>22114.4889</v>
      </c>
      <c r="H153" s="132"/>
      <c r="I153" s="133" t="s">
        <v>62</v>
      </c>
      <c r="J153" s="133" t="s">
        <v>49</v>
      </c>
      <c r="K153" s="133" t="s">
        <v>98</v>
      </c>
      <c r="L153" s="133"/>
      <c r="M153" s="136" t="n">
        <v>20</v>
      </c>
      <c r="N153" s="136" t="n">
        <v>0.955</v>
      </c>
      <c r="O153" s="136" t="n">
        <v>0.955</v>
      </c>
      <c r="P153" s="136" t="n">
        <v>0.91</v>
      </c>
      <c r="Q153" s="136" t="n">
        <v>0.955</v>
      </c>
      <c r="R153" s="136" t="n">
        <v>0</v>
      </c>
      <c r="S153" s="136" t="n">
        <v>114051</v>
      </c>
      <c r="T153" s="8" t="n">
        <f aca="false">IF(I153="regional",IF(R153&gt;0,R153*0.2975,S153*0.3484),S153*0.1939)</f>
        <v>22114.4889</v>
      </c>
      <c r="U153" s="136" t="n">
        <v>78587</v>
      </c>
      <c r="V153" s="136" t="n">
        <v>35464</v>
      </c>
      <c r="W153" s="136" t="n">
        <v>548</v>
      </c>
      <c r="X153" s="136" t="n">
        <v>0</v>
      </c>
      <c r="Y153" s="136" t="n">
        <v>0</v>
      </c>
      <c r="Z153" s="136" t="n">
        <v>0</v>
      </c>
      <c r="AA153" s="136" t="n">
        <v>136165.4889</v>
      </c>
      <c r="AB153" s="136" t="n">
        <v>22114.4889</v>
      </c>
      <c r="AC153" s="136" t="n">
        <v>114051</v>
      </c>
      <c r="AD153" s="136" t="n">
        <v>0</v>
      </c>
      <c r="AE153" s="136" t="n">
        <v>0</v>
      </c>
      <c r="AF153" s="136" t="n">
        <v>0</v>
      </c>
      <c r="AG153" s="136" t="n">
        <v>114051</v>
      </c>
      <c r="AH153" s="136" t="n">
        <v>0</v>
      </c>
      <c r="AI153" s="136" t="n">
        <v>0</v>
      </c>
      <c r="AJ153" s="132" t="n">
        <v>4</v>
      </c>
      <c r="AK153" s="132" t="s">
        <v>706</v>
      </c>
      <c r="AL153" s="133" t="s">
        <v>62</v>
      </c>
      <c r="AM153" s="132"/>
      <c r="AN153" s="133" t="s">
        <v>417</v>
      </c>
      <c r="AO153" s="133" t="n">
        <v>22114.4889</v>
      </c>
      <c r="AP153" s="137" t="n">
        <f aca="false">AR153+AT153+AU153+AV153+AX153+AY153+AZ153+BD153+BF153+BG153+BH153+BJ153+BK153+(BL153+BM153+BN153)/1000+(0.1*BO153)</f>
        <v>27</v>
      </c>
      <c r="AQ153" s="137" t="n">
        <f aca="false">AR153+AT153+AU153+AV153+AX153+AY153+AZ153+BB153+BC153+BD153+BF153+BG153+BH153+BJ153+BK153+(BL153+BM153+BN153)/1000+(0.1*BO153)</f>
        <v>27</v>
      </c>
      <c r="AR153" s="131" t="n">
        <v>0</v>
      </c>
      <c r="AS153" s="131" t="n">
        <v>0</v>
      </c>
      <c r="AT153" s="131" t="n">
        <v>7</v>
      </c>
      <c r="AU153" s="131" t="n">
        <v>19</v>
      </c>
      <c r="AV153" s="131" t="n">
        <v>0</v>
      </c>
      <c r="AW153" s="131" t="n">
        <v>0</v>
      </c>
      <c r="AX153" s="131" t="n">
        <v>0</v>
      </c>
      <c r="AY153" s="131" t="n">
        <v>1</v>
      </c>
      <c r="AZ153" s="131" t="n">
        <v>0</v>
      </c>
      <c r="BA153" s="131" t="n">
        <v>0</v>
      </c>
      <c r="BB153" s="131" t="n">
        <v>0</v>
      </c>
      <c r="BC153" s="131" t="n">
        <v>0</v>
      </c>
      <c r="BD153" s="131" t="n">
        <v>0</v>
      </c>
      <c r="BE153" s="131" t="n">
        <v>0</v>
      </c>
      <c r="BF153" s="131" t="n">
        <v>0</v>
      </c>
      <c r="BG153" s="131" t="n">
        <v>0</v>
      </c>
      <c r="BH153" s="131" t="n">
        <v>0</v>
      </c>
      <c r="BI153" s="131" t="n">
        <v>0</v>
      </c>
      <c r="BJ153" s="131" t="n">
        <v>0</v>
      </c>
      <c r="BK153" s="131" t="n">
        <v>0</v>
      </c>
      <c r="BL153" s="131" t="n">
        <v>0</v>
      </c>
      <c r="BM153" s="131" t="n">
        <v>0</v>
      </c>
      <c r="BN153" s="131" t="n">
        <v>0</v>
      </c>
      <c r="BO153" s="131" t="n">
        <v>0</v>
      </c>
    </row>
    <row r="154" customFormat="false" ht="15" hidden="false" customHeight="true" outlineLevel="0" collapsed="false">
      <c r="A154" s="131" t="n">
        <v>2717</v>
      </c>
      <c r="B154" s="131" t="s">
        <v>44</v>
      </c>
      <c r="C154" s="132" t="s">
        <v>419</v>
      </c>
      <c r="D154" s="133" t="s">
        <v>419</v>
      </c>
      <c r="E154" s="134" t="n">
        <f aca="false">IF(I154="regional",IF(R154*0.2975,S154*0.3484),S154*0.1939)</f>
        <v>264148.5184</v>
      </c>
      <c r="F154" s="134" t="n">
        <v>0</v>
      </c>
      <c r="G154" s="135" t="n">
        <f aca="false">E154+F154</f>
        <v>264148.5184</v>
      </c>
      <c r="H154" s="132"/>
      <c r="I154" s="133" t="s">
        <v>48</v>
      </c>
      <c r="J154" s="133" t="s">
        <v>44</v>
      </c>
      <c r="K154" s="133" t="s">
        <v>421</v>
      </c>
      <c r="L154" s="133"/>
      <c r="M154" s="136" t="n">
        <v>101</v>
      </c>
      <c r="N154" s="136" t="n">
        <v>0.685</v>
      </c>
      <c r="O154" s="136" t="n">
        <v>0.706</v>
      </c>
      <c r="P154" s="136" t="n">
        <v>0.728</v>
      </c>
      <c r="Q154" s="136" t="n">
        <v>0.786</v>
      </c>
      <c r="R154" s="136" t="n">
        <v>861645</v>
      </c>
      <c r="S154" s="136" t="n">
        <v>758176</v>
      </c>
      <c r="T154" s="8" t="n">
        <f aca="false">IF(I154="regional",IF(R154&gt;0,R154*0.2975,S154*0.3484),S154*0.1939)</f>
        <v>256339.3875</v>
      </c>
      <c r="U154" s="136" t="n">
        <v>480230</v>
      </c>
      <c r="V154" s="136" t="n">
        <v>277946</v>
      </c>
      <c r="W154" s="136" t="n">
        <v>4200</v>
      </c>
      <c r="X154" s="136" t="n">
        <v>0</v>
      </c>
      <c r="Y154" s="136" t="n">
        <v>0</v>
      </c>
      <c r="Z154" s="136" t="n">
        <v>0</v>
      </c>
      <c r="AA154" s="136" t="n">
        <v>1014515.388</v>
      </c>
      <c r="AB154" s="136" t="n">
        <v>256339.3875</v>
      </c>
      <c r="AC154" s="136" t="n">
        <v>758176</v>
      </c>
      <c r="AD154" s="136" t="n">
        <v>0</v>
      </c>
      <c r="AE154" s="136" t="n">
        <v>0</v>
      </c>
      <c r="AF154" s="136" t="n">
        <v>758176</v>
      </c>
      <c r="AG154" s="136" t="n">
        <v>0</v>
      </c>
      <c r="AH154" s="136" t="n">
        <v>593000</v>
      </c>
      <c r="AI154" s="136" t="n">
        <v>683000</v>
      </c>
      <c r="AJ154" s="132" t="n">
        <v>4</v>
      </c>
      <c r="AK154" s="132" t="s">
        <v>720</v>
      </c>
      <c r="AL154" s="133" t="s">
        <v>48</v>
      </c>
      <c r="AM154" s="132"/>
      <c r="AN154" s="133" t="s">
        <v>419</v>
      </c>
      <c r="AO154" s="133" t="n">
        <v>256339.3875</v>
      </c>
      <c r="AP154" s="137" t="n">
        <f aca="false">AR154+AT154+AU154+AV154+AX154+AY154+AZ154+BD154+BF154+BG154+BH154+BJ154+BK154+(BL154+BM154+BN154)/1000+(0.1*BO154)</f>
        <v>241.7383</v>
      </c>
      <c r="AQ154" s="137" t="n">
        <f aca="false">AR154+AT154+AU154+AV154+AX154+AY154+AZ154+BB154+BC154+BD154+BF154+BG154+BH154+BJ154+BK154+(BL154+BM154+BN154)/1000+(0.1*BO154)</f>
        <v>274.7383</v>
      </c>
      <c r="AR154" s="131" t="n">
        <v>54</v>
      </c>
      <c r="AS154" s="131" t="n">
        <v>683</v>
      </c>
      <c r="AT154" s="131" t="n">
        <v>114</v>
      </c>
      <c r="AU154" s="131" t="n">
        <v>0</v>
      </c>
      <c r="AV154" s="131" t="n">
        <v>0</v>
      </c>
      <c r="AW154" s="131" t="n">
        <v>0</v>
      </c>
      <c r="AX154" s="131" t="n">
        <v>0</v>
      </c>
      <c r="AY154" s="131" t="n">
        <v>0</v>
      </c>
      <c r="AZ154" s="131" t="n">
        <v>0</v>
      </c>
      <c r="BA154" s="131" t="n">
        <v>13</v>
      </c>
      <c r="BB154" s="131" t="n">
        <v>33</v>
      </c>
      <c r="BC154" s="131" t="n">
        <v>0</v>
      </c>
      <c r="BD154" s="131" t="n">
        <v>0</v>
      </c>
      <c r="BE154" s="131" t="n">
        <v>0</v>
      </c>
      <c r="BF154" s="131" t="n">
        <v>0</v>
      </c>
      <c r="BG154" s="131" t="n">
        <v>0</v>
      </c>
      <c r="BH154" s="131" t="n">
        <v>0</v>
      </c>
      <c r="BI154" s="131" t="n">
        <v>0</v>
      </c>
      <c r="BJ154" s="131" t="n">
        <v>0</v>
      </c>
      <c r="BK154" s="131" t="n">
        <v>0</v>
      </c>
      <c r="BL154" s="131" t="n">
        <v>0</v>
      </c>
      <c r="BM154" s="131" t="n">
        <v>0</v>
      </c>
      <c r="BN154" s="131" t="n">
        <v>18095</v>
      </c>
      <c r="BO154" s="131" t="n">
        <v>556.433</v>
      </c>
    </row>
    <row r="155" customFormat="false" ht="15" hidden="false" customHeight="true" outlineLevel="0" collapsed="false">
      <c r="A155" s="131" t="n">
        <v>9245</v>
      </c>
      <c r="B155" s="131"/>
      <c r="C155" s="132" t="s">
        <v>422</v>
      </c>
      <c r="D155" s="133" t="s">
        <v>422</v>
      </c>
      <c r="E155" s="134" t="n">
        <f aca="false">IF(I155="regional",IF(R155*0.2975,S155*0.3484),S155*0.1939)</f>
        <v>194821.0992</v>
      </c>
      <c r="F155" s="134" t="n">
        <v>0</v>
      </c>
      <c r="G155" s="135" t="n">
        <f aca="false">E155+F155</f>
        <v>194821.0992</v>
      </c>
      <c r="H155" s="132" t="s">
        <v>49</v>
      </c>
      <c r="I155" s="133" t="s">
        <v>48</v>
      </c>
      <c r="J155" s="133" t="s">
        <v>49</v>
      </c>
      <c r="K155" s="133" t="s">
        <v>98</v>
      </c>
      <c r="L155" s="133"/>
      <c r="M155" s="136" t="n">
        <v>112</v>
      </c>
      <c r="N155" s="136" t="n">
        <v>0.786</v>
      </c>
      <c r="O155" s="136" t="n">
        <v>0.786</v>
      </c>
      <c r="P155" s="136" t="n">
        <v>0.755</v>
      </c>
      <c r="Q155" s="136" t="n">
        <v>0.706</v>
      </c>
      <c r="R155" s="136" t="n">
        <v>695498</v>
      </c>
      <c r="S155" s="136" t="n">
        <v>559188</v>
      </c>
      <c r="T155" s="8" t="n">
        <f aca="false">IF(I155="regional",IF(R155&gt;0,R155*0.2975,S155*0.3484),S155*0.1939)</f>
        <v>206910.655</v>
      </c>
      <c r="U155" s="136" t="n">
        <v>310994</v>
      </c>
      <c r="V155" s="136" t="n">
        <v>248194</v>
      </c>
      <c r="W155" s="136" t="n">
        <v>3155</v>
      </c>
      <c r="X155" s="136" t="n">
        <v>0</v>
      </c>
      <c r="Y155" s="136" t="n">
        <v>0</v>
      </c>
      <c r="Z155" s="136" t="n">
        <v>0</v>
      </c>
      <c r="AA155" s="136" t="n">
        <v>766098.655</v>
      </c>
      <c r="AB155" s="136" t="n">
        <v>206910.655</v>
      </c>
      <c r="AC155" s="136" t="n">
        <v>559188</v>
      </c>
      <c r="AD155" s="136" t="n">
        <v>0</v>
      </c>
      <c r="AE155" s="136" t="n">
        <v>0</v>
      </c>
      <c r="AF155" s="136" t="n">
        <v>0</v>
      </c>
      <c r="AG155" s="136" t="n">
        <v>559188</v>
      </c>
      <c r="AH155" s="136" t="n">
        <v>0</v>
      </c>
      <c r="AI155" s="136" t="n">
        <v>0</v>
      </c>
      <c r="AJ155" s="132" t="n">
        <v>4</v>
      </c>
      <c r="AK155" s="132" t="s">
        <v>706</v>
      </c>
      <c r="AL155" s="133" t="s">
        <v>48</v>
      </c>
      <c r="AM155" s="132" t="s">
        <v>49</v>
      </c>
      <c r="AN155" s="133" t="s">
        <v>422</v>
      </c>
      <c r="AO155" s="133" t="n">
        <v>206910.655</v>
      </c>
      <c r="AP155" s="137" t="n">
        <f aca="false">AR155+AT155+AU155+AV155+AX155+AY155+AZ155+BD155+BF155+BG155+BH155+BJ155+BK155+(BL155+BM155+BN155)/1000+(0.1*BO155)</f>
        <v>161</v>
      </c>
      <c r="AQ155" s="137" t="n">
        <f aca="false">AR155+AT155+AU155+AV155+AX155+AY155+AZ155+BB155+BC155+BD155+BF155+BG155+BH155+BJ155+BK155+(BL155+BM155+BN155)/1000+(0.1*BO155)</f>
        <v>170</v>
      </c>
      <c r="AR155" s="131" t="n">
        <v>0</v>
      </c>
      <c r="AS155" s="131" t="n">
        <v>0</v>
      </c>
      <c r="AT155" s="131" t="n">
        <v>145</v>
      </c>
      <c r="AU155" s="131" t="n">
        <v>2</v>
      </c>
      <c r="AV155" s="131" t="n">
        <v>0</v>
      </c>
      <c r="AW155" s="131" t="n">
        <v>0</v>
      </c>
      <c r="AX155" s="131" t="n">
        <v>14</v>
      </c>
      <c r="AY155" s="131" t="n">
        <v>0</v>
      </c>
      <c r="AZ155" s="131" t="n">
        <v>0</v>
      </c>
      <c r="BA155" s="131" t="n">
        <v>0</v>
      </c>
      <c r="BB155" s="131" t="n">
        <v>9</v>
      </c>
      <c r="BC155" s="131" t="n">
        <v>0</v>
      </c>
      <c r="BD155" s="131" t="n">
        <v>0</v>
      </c>
      <c r="BE155" s="131" t="n">
        <v>0</v>
      </c>
      <c r="BF155" s="131" t="n">
        <v>0</v>
      </c>
      <c r="BG155" s="131" t="n">
        <v>0</v>
      </c>
      <c r="BH155" s="131" t="n">
        <v>0</v>
      </c>
      <c r="BI155" s="131" t="n">
        <v>0</v>
      </c>
      <c r="BJ155" s="131" t="n">
        <v>0</v>
      </c>
      <c r="BK155" s="131" t="n">
        <v>0</v>
      </c>
      <c r="BL155" s="131" t="n">
        <v>0</v>
      </c>
      <c r="BM155" s="131" t="n">
        <v>0</v>
      </c>
      <c r="BN155" s="131" t="n">
        <v>0</v>
      </c>
      <c r="BO155" s="131" t="n">
        <v>0</v>
      </c>
    </row>
    <row r="156" customFormat="false" ht="15" hidden="false" customHeight="true" outlineLevel="0" collapsed="false">
      <c r="A156" s="131" t="n">
        <v>9250</v>
      </c>
      <c r="B156" s="131"/>
      <c r="C156" s="132" t="s">
        <v>424</v>
      </c>
      <c r="D156" s="133" t="s">
        <v>424</v>
      </c>
      <c r="E156" s="134" t="n">
        <f aca="false">IF(I156="regional",IF(R156*0.2975,S156*0.3484),S156*0.1939)</f>
        <v>385258.978</v>
      </c>
      <c r="F156" s="134" t="n">
        <v>0</v>
      </c>
      <c r="G156" s="135" t="n">
        <f aca="false">E156+F156</f>
        <v>385258.978</v>
      </c>
      <c r="H156" s="132"/>
      <c r="I156" s="133" t="s">
        <v>48</v>
      </c>
      <c r="J156" s="133" t="s">
        <v>49</v>
      </c>
      <c r="K156" s="133" t="s">
        <v>426</v>
      </c>
      <c r="L156" s="133"/>
      <c r="M156" s="136" t="n">
        <v>112</v>
      </c>
      <c r="N156" s="136" t="n">
        <v>0.903</v>
      </c>
      <c r="O156" s="136" t="n">
        <v>0.931</v>
      </c>
      <c r="P156" s="136" t="n">
        <v>0.865</v>
      </c>
      <c r="Q156" s="136" t="n">
        <v>0.919</v>
      </c>
      <c r="R156" s="136" t="n">
        <v>1197680</v>
      </c>
      <c r="S156" s="136" t="n">
        <v>1105795</v>
      </c>
      <c r="T156" s="8" t="n">
        <f aca="false">IF(I156="regional",IF(R156&gt;0,R156*0.2975,S156*0.3484),S156*0.1939)</f>
        <v>356309.8</v>
      </c>
      <c r="U156" s="136" t="n">
        <v>680555</v>
      </c>
      <c r="V156" s="136" t="n">
        <v>425240</v>
      </c>
      <c r="W156" s="136" t="n">
        <v>7000</v>
      </c>
      <c r="X156" s="136" t="n">
        <v>0</v>
      </c>
      <c r="Y156" s="136" t="n">
        <v>0</v>
      </c>
      <c r="Z156" s="136" t="n">
        <v>0</v>
      </c>
      <c r="AA156" s="136" t="n">
        <v>1462104.8</v>
      </c>
      <c r="AB156" s="136" t="n">
        <v>356309.8</v>
      </c>
      <c r="AC156" s="136" t="n">
        <v>1105795</v>
      </c>
      <c r="AD156" s="136" t="n">
        <v>0</v>
      </c>
      <c r="AE156" s="136" t="n">
        <v>0</v>
      </c>
      <c r="AF156" s="136" t="n">
        <v>0</v>
      </c>
      <c r="AG156" s="136" t="n">
        <v>1105795</v>
      </c>
      <c r="AH156" s="136" t="n">
        <v>0</v>
      </c>
      <c r="AI156" s="136" t="n">
        <v>0</v>
      </c>
      <c r="AJ156" s="132" t="n">
        <v>4</v>
      </c>
      <c r="AK156" s="132" t="s">
        <v>711</v>
      </c>
      <c r="AL156" s="133" t="s">
        <v>48</v>
      </c>
      <c r="AM156" s="132"/>
      <c r="AN156" s="133" t="s">
        <v>424</v>
      </c>
      <c r="AO156" s="133" t="n">
        <v>356309.8</v>
      </c>
      <c r="AP156" s="137" t="n">
        <f aca="false">AR156+AT156+AU156+AV156+AX156+AY156+AZ156+BD156+BF156+BG156+BH156+BJ156+BK156+(BL156+BM156+BN156)/1000+(0.1*BO156)</f>
        <v>458.1693</v>
      </c>
      <c r="AQ156" s="137" t="n">
        <f aca="false">AR156+AT156+AU156+AV156+AX156+AY156+AZ156+BB156+BC156+BD156+BF156+BG156+BH156+BJ156+BK156+(BL156+BM156+BN156)/1000+(0.1*BO156)</f>
        <v>741.1693</v>
      </c>
      <c r="AR156" s="131" t="n">
        <v>0</v>
      </c>
      <c r="AS156" s="131" t="n">
        <v>0</v>
      </c>
      <c r="AT156" s="131" t="n">
        <v>111</v>
      </c>
      <c r="AU156" s="131" t="n">
        <v>2</v>
      </c>
      <c r="AV156" s="131" t="n">
        <v>0</v>
      </c>
      <c r="AW156" s="131" t="n">
        <v>0</v>
      </c>
      <c r="AX156" s="131" t="n">
        <v>67</v>
      </c>
      <c r="AY156" s="131" t="n">
        <v>1</v>
      </c>
      <c r="AZ156" s="131" t="n">
        <v>0</v>
      </c>
      <c r="BA156" s="131" t="n">
        <v>0</v>
      </c>
      <c r="BB156" s="131" t="n">
        <v>107</v>
      </c>
      <c r="BC156" s="131" t="n">
        <v>176</v>
      </c>
      <c r="BD156" s="131" t="n">
        <v>0</v>
      </c>
      <c r="BE156" s="131" t="n">
        <v>0</v>
      </c>
      <c r="BF156" s="131" t="n">
        <v>0</v>
      </c>
      <c r="BG156" s="131" t="n">
        <v>0</v>
      </c>
      <c r="BH156" s="131" t="n">
        <v>67</v>
      </c>
      <c r="BI156" s="131" t="n">
        <v>0</v>
      </c>
      <c r="BJ156" s="131" t="n">
        <v>0</v>
      </c>
      <c r="BK156" s="131" t="n">
        <v>0</v>
      </c>
      <c r="BL156" s="131" t="n">
        <v>82314</v>
      </c>
      <c r="BM156" s="131" t="n">
        <v>0</v>
      </c>
      <c r="BN156" s="131" t="n">
        <v>45586</v>
      </c>
      <c r="BO156" s="131" t="n">
        <v>822.693</v>
      </c>
    </row>
    <row r="157" customFormat="false" ht="15" hidden="false" customHeight="true" outlineLevel="0" collapsed="false">
      <c r="A157" s="131" t="n">
        <v>4831</v>
      </c>
      <c r="B157" s="131"/>
      <c r="C157" s="132" t="s">
        <v>752</v>
      </c>
      <c r="D157" s="133" t="s">
        <v>427</v>
      </c>
      <c r="E157" s="134" t="n">
        <f aca="false">IF(I157="regional",IF(R157*0.2975,S157*0.3484),S157*0.1939)</f>
        <v>330980</v>
      </c>
      <c r="F157" s="134" t="n">
        <v>356000</v>
      </c>
      <c r="G157" s="135" t="n">
        <f aca="false">E157+F157</f>
        <v>686980</v>
      </c>
      <c r="H157" s="132"/>
      <c r="I157" s="133" t="s">
        <v>48</v>
      </c>
      <c r="J157" s="133" t="s">
        <v>49</v>
      </c>
      <c r="K157" s="133" t="s">
        <v>277</v>
      </c>
      <c r="L157" s="133" t="s">
        <v>44</v>
      </c>
      <c r="M157" s="136" t="n">
        <v>126</v>
      </c>
      <c r="N157" s="136" t="n">
        <v>0.927</v>
      </c>
      <c r="O157" s="136" t="n">
        <v>0.938</v>
      </c>
      <c r="P157" s="136" t="n">
        <v>0.925</v>
      </c>
      <c r="Q157" s="136" t="n">
        <v>0.952</v>
      </c>
      <c r="R157" s="136" t="n">
        <v>1151275</v>
      </c>
      <c r="S157" s="136" t="n">
        <v>950000</v>
      </c>
      <c r="T157" s="8" t="n">
        <f aca="false">IF(I157="regional",IF(R157&gt;0,R157*0.2975,S157*0.3484),S157*0.1939)</f>
        <v>342504.3125</v>
      </c>
      <c r="U157" s="136" t="n">
        <v>665100</v>
      </c>
      <c r="V157" s="136" t="n">
        <v>284900</v>
      </c>
      <c r="W157" s="136" t="n">
        <v>5000</v>
      </c>
      <c r="X157" s="136" t="n">
        <v>698504.3125</v>
      </c>
      <c r="Y157" s="136" t="n">
        <v>342504.3125</v>
      </c>
      <c r="Z157" s="136" t="n">
        <v>356000</v>
      </c>
      <c r="AA157" s="136" t="n">
        <v>594000</v>
      </c>
      <c r="AB157" s="136" t="n">
        <v>0</v>
      </c>
      <c r="AC157" s="136" t="n">
        <v>594000</v>
      </c>
      <c r="AD157" s="136" t="n">
        <v>0</v>
      </c>
      <c r="AE157" s="136" t="n">
        <v>356000</v>
      </c>
      <c r="AF157" s="136" t="n">
        <v>0</v>
      </c>
      <c r="AG157" s="136" t="n">
        <v>594000</v>
      </c>
      <c r="AH157" s="136" t="n">
        <v>0</v>
      </c>
      <c r="AI157" s="136" t="n">
        <v>0</v>
      </c>
      <c r="AJ157" s="132" t="s">
        <v>707</v>
      </c>
      <c r="AK157" s="132" t="s">
        <v>712</v>
      </c>
      <c r="AL157" s="133" t="s">
        <v>48</v>
      </c>
      <c r="AM157" s="132"/>
      <c r="AN157" s="133" t="s">
        <v>427</v>
      </c>
      <c r="AO157" s="133" t="n">
        <v>698504.3125</v>
      </c>
      <c r="AP157" s="137" t="n">
        <f aca="false">AR157+AT157+AU157+AV157+AX157+AY157+AZ157+BD157+BF157+BG157+BH157+BJ157+BK157+(BL157+BM157+BN157)/1000+(0.1*BO157)</f>
        <v>491.805</v>
      </c>
      <c r="AQ157" s="137" t="n">
        <f aca="false">AR157+AT157+AU157+AV157+AX157+AY157+AZ157+BB157+BC157+BD157+BF157+BG157+BH157+BJ157+BK157+(BL157+BM157+BN157)/1000+(0.1*BO157)</f>
        <v>496.805</v>
      </c>
      <c r="AR157" s="131" t="n">
        <v>259</v>
      </c>
      <c r="AS157" s="131" t="n">
        <v>0</v>
      </c>
      <c r="AT157" s="131" t="n">
        <v>204</v>
      </c>
      <c r="AU157" s="131" t="n">
        <v>8</v>
      </c>
      <c r="AV157" s="131" t="n">
        <v>0</v>
      </c>
      <c r="AW157" s="131" t="n">
        <v>0</v>
      </c>
      <c r="AX157" s="131" t="n">
        <v>0</v>
      </c>
      <c r="AY157" s="131" t="n">
        <v>0</v>
      </c>
      <c r="AZ157" s="131" t="n">
        <v>2</v>
      </c>
      <c r="BA157" s="131" t="n">
        <v>26</v>
      </c>
      <c r="BB157" s="131" t="n">
        <v>5</v>
      </c>
      <c r="BC157" s="131" t="n">
        <v>0</v>
      </c>
      <c r="BD157" s="131" t="n">
        <v>6</v>
      </c>
      <c r="BE157" s="131" t="n">
        <v>0</v>
      </c>
      <c r="BF157" s="131" t="n">
        <v>0</v>
      </c>
      <c r="BG157" s="131" t="n">
        <v>0</v>
      </c>
      <c r="BH157" s="131" t="n">
        <v>10</v>
      </c>
      <c r="BI157" s="131" t="n">
        <v>0</v>
      </c>
      <c r="BJ157" s="131" t="n">
        <v>0</v>
      </c>
      <c r="BK157" s="131" t="n">
        <v>0</v>
      </c>
      <c r="BL157" s="131" t="n">
        <v>0</v>
      </c>
      <c r="BM157" s="131" t="n">
        <v>0</v>
      </c>
      <c r="BN157" s="131" t="n">
        <v>0</v>
      </c>
      <c r="BO157" s="131" t="n">
        <v>28.05</v>
      </c>
    </row>
    <row r="158" customFormat="false" ht="15" hidden="false" customHeight="true" outlineLevel="0" collapsed="false">
      <c r="A158" s="131" t="n">
        <v>544</v>
      </c>
      <c r="B158" s="131"/>
      <c r="C158" s="132" t="s">
        <v>428</v>
      </c>
      <c r="D158" s="133" t="s">
        <v>428</v>
      </c>
      <c r="E158" s="134" t="n">
        <f aca="false">IF(I158="regional",IF(R158*0.2975,S158*0.3484),S158*0.1939)</f>
        <v>38417.9887</v>
      </c>
      <c r="F158" s="134" t="n">
        <v>0</v>
      </c>
      <c r="G158" s="135" t="n">
        <f aca="false">E158+F158</f>
        <v>38417.9887</v>
      </c>
      <c r="H158" s="132"/>
      <c r="I158" s="133" t="s">
        <v>62</v>
      </c>
      <c r="J158" s="133"/>
      <c r="K158" s="133" t="s">
        <v>334</v>
      </c>
      <c r="L158" s="133"/>
      <c r="M158" s="136" t="n">
        <v>22</v>
      </c>
      <c r="N158" s="136" t="n">
        <v>0.915</v>
      </c>
      <c r="O158" s="136" t="n">
        <v>0.915</v>
      </c>
      <c r="P158" s="136" t="n">
        <v>0.979</v>
      </c>
      <c r="Q158" s="136" t="n">
        <v>0.921</v>
      </c>
      <c r="R158" s="136" t="n">
        <v>0</v>
      </c>
      <c r="S158" s="136" t="n">
        <v>198133</v>
      </c>
      <c r="T158" s="8" t="n">
        <f aca="false">IF(I158="regional",IF(R158&gt;0,R158*0.2975,S158*0.3484),S158*0.1939)</f>
        <v>38417.9887</v>
      </c>
      <c r="U158" s="136" t="n">
        <v>118304</v>
      </c>
      <c r="V158" s="136" t="n">
        <v>79829</v>
      </c>
      <c r="W158" s="136" t="n">
        <v>991</v>
      </c>
      <c r="X158" s="136" t="n">
        <v>0</v>
      </c>
      <c r="Y158" s="136" t="n">
        <v>0</v>
      </c>
      <c r="Z158" s="136" t="n">
        <v>0</v>
      </c>
      <c r="AA158" s="136" t="n">
        <v>236550.9887</v>
      </c>
      <c r="AB158" s="136" t="n">
        <v>38417.9887</v>
      </c>
      <c r="AC158" s="136" t="n">
        <v>198133</v>
      </c>
      <c r="AD158" s="136" t="n">
        <v>0</v>
      </c>
      <c r="AE158" s="136" t="n">
        <v>0</v>
      </c>
      <c r="AF158" s="136" t="n">
        <v>0</v>
      </c>
      <c r="AG158" s="136" t="n">
        <v>198133</v>
      </c>
      <c r="AH158" s="136" t="n">
        <v>0</v>
      </c>
      <c r="AI158" s="136" t="n">
        <v>0</v>
      </c>
      <c r="AJ158" s="132" t="n">
        <v>4</v>
      </c>
      <c r="AK158" s="132" t="s">
        <v>720</v>
      </c>
      <c r="AL158" s="133" t="s">
        <v>62</v>
      </c>
      <c r="AM158" s="132"/>
      <c r="AN158" s="133" t="s">
        <v>428</v>
      </c>
      <c r="AO158" s="133" t="n">
        <v>38417.9887</v>
      </c>
      <c r="AP158" s="137" t="n">
        <f aca="false">AR158+AT158+AU158+AV158+AX158+AY158+AZ158+BD158+BF158+BG158+BH158+BJ158+BK158+(BL158+BM158+BN158)/1000+(0.1*BO158)</f>
        <v>36</v>
      </c>
      <c r="AQ158" s="137" t="n">
        <f aca="false">AR158+AT158+AU158+AV158+AX158+AY158+AZ158+BB158+BC158+BD158+BF158+BG158+BH158+BJ158+BK158+(BL158+BM158+BN158)/1000+(0.1*BO158)</f>
        <v>50</v>
      </c>
      <c r="AR158" s="131" t="n">
        <v>0</v>
      </c>
      <c r="AS158" s="131" t="n">
        <v>0</v>
      </c>
      <c r="AT158" s="131" t="n">
        <v>30</v>
      </c>
      <c r="AU158" s="131" t="n">
        <v>6</v>
      </c>
      <c r="AV158" s="131" t="n">
        <v>0</v>
      </c>
      <c r="AW158" s="131" t="n">
        <v>0</v>
      </c>
      <c r="AX158" s="131" t="n">
        <v>0</v>
      </c>
      <c r="AY158" s="131" t="n">
        <v>0</v>
      </c>
      <c r="AZ158" s="131" t="n">
        <v>0</v>
      </c>
      <c r="BA158" s="131" t="n">
        <v>8</v>
      </c>
      <c r="BB158" s="131" t="n">
        <v>14</v>
      </c>
      <c r="BC158" s="131" t="n">
        <v>0</v>
      </c>
      <c r="BD158" s="131" t="n">
        <v>0</v>
      </c>
      <c r="BE158" s="131" t="n">
        <v>0</v>
      </c>
      <c r="BF158" s="131" t="n">
        <v>0</v>
      </c>
      <c r="BG158" s="131" t="n">
        <v>0</v>
      </c>
      <c r="BH158" s="131" t="n">
        <v>0</v>
      </c>
      <c r="BI158" s="131" t="n">
        <v>0</v>
      </c>
      <c r="BJ158" s="131" t="n">
        <v>0</v>
      </c>
      <c r="BK158" s="131" t="n">
        <v>0</v>
      </c>
      <c r="BL158" s="131" t="n">
        <v>0</v>
      </c>
      <c r="BM158" s="131" t="n">
        <v>0</v>
      </c>
      <c r="BN158" s="131" t="n">
        <v>0</v>
      </c>
      <c r="BO158" s="131" t="n">
        <v>0</v>
      </c>
    </row>
    <row r="159" customFormat="false" ht="15" hidden="false" customHeight="true" outlineLevel="0" collapsed="false">
      <c r="A159" s="131" t="n">
        <v>2525</v>
      </c>
      <c r="B159" s="131"/>
      <c r="C159" s="132" t="s">
        <v>430</v>
      </c>
      <c r="D159" s="133" t="s">
        <v>430</v>
      </c>
      <c r="E159" s="134" t="n">
        <f aca="false">IF(I159="regional",IF(R159*0.2975,S159*0.3484),S159*0.1939)</f>
        <v>35418.9374</v>
      </c>
      <c r="F159" s="134" t="n">
        <v>0</v>
      </c>
      <c r="G159" s="135" t="n">
        <f aca="false">E159+F159</f>
        <v>35418.9374</v>
      </c>
      <c r="H159" s="132"/>
      <c r="I159" s="133" t="s">
        <v>62</v>
      </c>
      <c r="J159" s="133" t="s">
        <v>49</v>
      </c>
      <c r="K159" s="133" t="s">
        <v>334</v>
      </c>
      <c r="L159" s="133"/>
      <c r="M159" s="136" t="n">
        <v>18</v>
      </c>
      <c r="N159" s="136" t="n">
        <v>0.797</v>
      </c>
      <c r="O159" s="136" t="n">
        <v>0.955</v>
      </c>
      <c r="P159" s="136" t="n">
        <v>0.899</v>
      </c>
      <c r="Q159" s="136" t="n">
        <v>1</v>
      </c>
      <c r="R159" s="136" t="n">
        <v>0</v>
      </c>
      <c r="S159" s="136" t="n">
        <v>182666</v>
      </c>
      <c r="T159" s="8" t="n">
        <f aca="false">IF(I159="regional",IF(R159&gt;0,R159*0.2975,S159*0.3484),S159*0.1939)</f>
        <v>35418.9374</v>
      </c>
      <c r="U159" s="136" t="n">
        <v>124028</v>
      </c>
      <c r="V159" s="136" t="n">
        <v>58638</v>
      </c>
      <c r="W159" s="136" t="n">
        <v>1077</v>
      </c>
      <c r="X159" s="136" t="n">
        <v>0</v>
      </c>
      <c r="Y159" s="136" t="n">
        <v>0</v>
      </c>
      <c r="Z159" s="136" t="n">
        <v>0</v>
      </c>
      <c r="AA159" s="136" t="n">
        <v>218084.9374</v>
      </c>
      <c r="AB159" s="136" t="n">
        <v>35418.9374</v>
      </c>
      <c r="AC159" s="136" t="n">
        <v>182666</v>
      </c>
      <c r="AD159" s="136" t="n">
        <v>0</v>
      </c>
      <c r="AE159" s="136" t="n">
        <v>0</v>
      </c>
      <c r="AF159" s="136" t="n">
        <v>0</v>
      </c>
      <c r="AG159" s="136" t="n">
        <v>182666</v>
      </c>
      <c r="AH159" s="136" t="n">
        <v>0</v>
      </c>
      <c r="AI159" s="136" t="n">
        <v>0</v>
      </c>
      <c r="AJ159" s="132" t="n">
        <v>4</v>
      </c>
      <c r="AK159" s="132" t="s">
        <v>720</v>
      </c>
      <c r="AL159" s="133" t="s">
        <v>62</v>
      </c>
      <c r="AM159" s="132"/>
      <c r="AN159" s="133" t="s">
        <v>430</v>
      </c>
      <c r="AO159" s="133" t="n">
        <v>35418.9374</v>
      </c>
      <c r="AP159" s="137" t="n">
        <f aca="false">AR159+AT159+AU159+AV159+AX159+AY159+AZ159+BD159+BF159+BG159+BH159+BJ159+BK159+(BL159+BM159+BN159)/1000+(0.1*BO159)</f>
        <v>24</v>
      </c>
      <c r="AQ159" s="137" t="n">
        <f aca="false">AR159+AT159+AU159+AV159+AX159+AY159+AZ159+BB159+BC159+BD159+BF159+BG159+BH159+BJ159+BK159+(BL159+BM159+BN159)/1000+(0.1*BO159)</f>
        <v>24</v>
      </c>
      <c r="AR159" s="131" t="n">
        <v>0</v>
      </c>
      <c r="AS159" s="131" t="n">
        <v>0</v>
      </c>
      <c r="AT159" s="131" t="n">
        <v>18</v>
      </c>
      <c r="AU159" s="131" t="n">
        <v>6</v>
      </c>
      <c r="AV159" s="131" t="n">
        <v>0</v>
      </c>
      <c r="AW159" s="131" t="n">
        <v>0</v>
      </c>
      <c r="AX159" s="131" t="n">
        <v>0</v>
      </c>
      <c r="AY159" s="131" t="n">
        <v>0</v>
      </c>
      <c r="AZ159" s="131" t="n">
        <v>0</v>
      </c>
      <c r="BA159" s="131" t="n">
        <v>1</v>
      </c>
      <c r="BB159" s="131" t="n">
        <v>0</v>
      </c>
      <c r="BC159" s="131" t="n">
        <v>0</v>
      </c>
      <c r="BD159" s="131" t="n">
        <v>0</v>
      </c>
      <c r="BE159" s="131" t="n">
        <v>0</v>
      </c>
      <c r="BF159" s="131" t="n">
        <v>0</v>
      </c>
      <c r="BG159" s="131" t="n">
        <v>0</v>
      </c>
      <c r="BH159" s="131" t="n">
        <v>0</v>
      </c>
      <c r="BI159" s="131" t="n">
        <v>0</v>
      </c>
      <c r="BJ159" s="131" t="n">
        <v>0</v>
      </c>
      <c r="BK159" s="131" t="n">
        <v>0</v>
      </c>
      <c r="BL159" s="131" t="n">
        <v>0</v>
      </c>
      <c r="BM159" s="131" t="n">
        <v>0</v>
      </c>
      <c r="BN159" s="131" t="n">
        <v>0</v>
      </c>
      <c r="BO159" s="131" t="n">
        <v>0</v>
      </c>
    </row>
    <row r="160" customFormat="false" ht="15" hidden="false" customHeight="true" outlineLevel="0" collapsed="false">
      <c r="A160" s="131" t="n">
        <v>2743</v>
      </c>
      <c r="B160" s="131" t="s">
        <v>44</v>
      </c>
      <c r="C160" s="132" t="s">
        <v>432</v>
      </c>
      <c r="D160" s="133" t="s">
        <v>432</v>
      </c>
      <c r="E160" s="134" t="n">
        <f aca="false">IF(I160="regional",IF(R160*0.2975,S160*0.3484),S160*0.1939)</f>
        <v>231369.6528</v>
      </c>
      <c r="F160" s="134" t="n">
        <v>455134</v>
      </c>
      <c r="G160" s="135" t="n">
        <f aca="false">E160+F160</f>
        <v>686503.6528</v>
      </c>
      <c r="H160" s="132"/>
      <c r="I160" s="133" t="s">
        <v>48</v>
      </c>
      <c r="J160" s="133" t="s">
        <v>44</v>
      </c>
      <c r="K160" s="133" t="s">
        <v>434</v>
      </c>
      <c r="L160" s="133" t="s">
        <v>44</v>
      </c>
      <c r="M160" s="136" t="n">
        <v>106</v>
      </c>
      <c r="N160" s="136" t="n">
        <v>0.909</v>
      </c>
      <c r="O160" s="136" t="n">
        <v>0.912</v>
      </c>
      <c r="P160" s="136" t="n">
        <v>0.949</v>
      </c>
      <c r="Q160" s="136" t="n">
        <v>0.928</v>
      </c>
      <c r="R160" s="136" t="n">
        <v>748702</v>
      </c>
      <c r="S160" s="136" t="n">
        <v>664092</v>
      </c>
      <c r="T160" s="8" t="n">
        <f aca="false">IF(I160="regional",IF(R160&gt;0,R160*0.2975,S160*0.3484),S160*0.1939)</f>
        <v>222738.845</v>
      </c>
      <c r="U160" s="136" t="n">
        <v>445389</v>
      </c>
      <c r="V160" s="136" t="n">
        <v>218703</v>
      </c>
      <c r="W160" s="136" t="n">
        <v>3270</v>
      </c>
      <c r="X160" s="136" t="n">
        <v>677872.845</v>
      </c>
      <c r="Y160" s="136" t="n">
        <v>222738.845</v>
      </c>
      <c r="Z160" s="136" t="n">
        <v>455134</v>
      </c>
      <c r="AA160" s="136" t="n">
        <v>208958</v>
      </c>
      <c r="AB160" s="136" t="n">
        <v>0</v>
      </c>
      <c r="AC160" s="136" t="n">
        <v>208958</v>
      </c>
      <c r="AD160" s="136" t="n">
        <v>455134</v>
      </c>
      <c r="AE160" s="136" t="n">
        <v>0</v>
      </c>
      <c r="AF160" s="136" t="n">
        <v>208958</v>
      </c>
      <c r="AG160" s="136" t="n">
        <v>0</v>
      </c>
      <c r="AH160" s="136" t="n">
        <v>326000</v>
      </c>
      <c r="AI160" s="136" t="n">
        <v>281000</v>
      </c>
      <c r="AJ160" s="132" t="n">
        <v>4</v>
      </c>
      <c r="AK160" s="132" t="s">
        <v>706</v>
      </c>
      <c r="AL160" s="133" t="s">
        <v>48</v>
      </c>
      <c r="AM160" s="132"/>
      <c r="AN160" s="133" t="s">
        <v>432</v>
      </c>
      <c r="AO160" s="133" t="n">
        <v>677872.845</v>
      </c>
      <c r="AP160" s="137" t="n">
        <f aca="false">AR160+AT160+AU160+AV160+AX160+AY160+AZ160+BD160+BF160+BG160+BH160+BJ160+BK160+(BL160+BM160+BN160)/1000+(0.1*BO160)</f>
        <v>800.8458</v>
      </c>
      <c r="AQ160" s="137" t="n">
        <f aca="false">AR160+AT160+AU160+AV160+AX160+AY160+AZ160+BB160+BC160+BD160+BF160+BG160+BH160+BJ160+BK160+(BL160+BM160+BN160)/1000+(0.1*BO160)</f>
        <v>819.8458</v>
      </c>
      <c r="AR160" s="158" t="n">
        <v>189</v>
      </c>
      <c r="AS160" s="158" t="n">
        <v>281</v>
      </c>
      <c r="AT160" s="158" t="n">
        <v>27</v>
      </c>
      <c r="AU160" s="158" t="n">
        <v>0</v>
      </c>
      <c r="AV160" s="158" t="n">
        <v>34</v>
      </c>
      <c r="AW160" s="158" t="n">
        <v>0</v>
      </c>
      <c r="AX160" s="158" t="n">
        <v>1</v>
      </c>
      <c r="AY160" s="158" t="n">
        <v>0</v>
      </c>
      <c r="AZ160" s="158" t="n">
        <v>16</v>
      </c>
      <c r="BA160" s="158" t="n">
        <v>17</v>
      </c>
      <c r="BB160" s="158" t="n">
        <v>19</v>
      </c>
      <c r="BC160" s="158" t="n">
        <v>0</v>
      </c>
      <c r="BD160" s="131" t="n">
        <v>28</v>
      </c>
      <c r="BE160" s="131" t="n">
        <v>0</v>
      </c>
      <c r="BF160" s="131" t="n">
        <v>0</v>
      </c>
      <c r="BG160" s="131" t="n">
        <v>0</v>
      </c>
      <c r="BH160" s="131" t="n">
        <v>95</v>
      </c>
      <c r="BI160" s="131" t="n">
        <v>0</v>
      </c>
      <c r="BJ160" s="131" t="n">
        <v>0</v>
      </c>
      <c r="BK160" s="131" t="n">
        <v>0</v>
      </c>
      <c r="BL160" s="158" t="n">
        <v>0</v>
      </c>
      <c r="BM160" s="158" t="n">
        <v>0</v>
      </c>
      <c r="BN160" s="158" t="n">
        <v>324699</v>
      </c>
      <c r="BO160" s="158" t="n">
        <v>861.468</v>
      </c>
      <c r="BP160" s="159"/>
      <c r="BQ160" s="159"/>
      <c r="BR160" s="159"/>
      <c r="BS160" s="159"/>
      <c r="BT160" s="159"/>
      <c r="BU160" s="159"/>
      <c r="BV160" s="159"/>
      <c r="BW160" s="159"/>
      <c r="BX160" s="159"/>
      <c r="BY160" s="159"/>
      <c r="BZ160" s="159"/>
      <c r="CA160" s="159"/>
      <c r="CB160" s="159"/>
      <c r="CC160" s="159"/>
      <c r="CD160" s="159"/>
      <c r="CE160" s="159"/>
      <c r="CF160" s="159"/>
      <c r="CG160" s="159"/>
      <c r="CH160" s="159"/>
      <c r="CI160" s="159"/>
      <c r="CJ160" s="159"/>
      <c r="CK160" s="159"/>
      <c r="CL160" s="159"/>
      <c r="CM160" s="159"/>
      <c r="CN160" s="159"/>
      <c r="CO160" s="159"/>
      <c r="CP160" s="159"/>
      <c r="CQ160" s="159"/>
      <c r="CR160" s="159"/>
      <c r="CS160" s="159"/>
      <c r="CT160" s="159"/>
      <c r="CU160" s="159"/>
      <c r="CV160" s="159"/>
      <c r="CW160" s="159"/>
      <c r="CX160" s="159"/>
      <c r="CY160" s="159"/>
      <c r="CZ160" s="159"/>
      <c r="DA160" s="159"/>
      <c r="DB160" s="159"/>
      <c r="DC160" s="159"/>
      <c r="DD160" s="159"/>
      <c r="DE160" s="159"/>
      <c r="DF160" s="159"/>
      <c r="DG160" s="159"/>
      <c r="DH160" s="159"/>
    </row>
    <row r="161" customFormat="false" ht="15" hidden="false" customHeight="true" outlineLevel="0" collapsed="false">
      <c r="A161" s="131" t="n">
        <v>4668</v>
      </c>
      <c r="B161" s="131"/>
      <c r="C161" s="132" t="s">
        <v>435</v>
      </c>
      <c r="D161" s="133" t="s">
        <v>435</v>
      </c>
      <c r="E161" s="134" t="n">
        <f aca="false">IF(I161="regional",IF(R161*0.2975,S161*0.3484),S161*0.1939)</f>
        <v>251445.506</v>
      </c>
      <c r="F161" s="134" t="n">
        <v>0</v>
      </c>
      <c r="G161" s="135" t="n">
        <f aca="false">E161+F161</f>
        <v>251445.506</v>
      </c>
      <c r="H161" s="132"/>
      <c r="I161" s="133" t="s">
        <v>48</v>
      </c>
      <c r="J161" s="133" t="s">
        <v>49</v>
      </c>
      <c r="K161" s="133" t="s">
        <v>437</v>
      </c>
      <c r="L161" s="133"/>
      <c r="M161" s="136" t="n">
        <v>76</v>
      </c>
      <c r="N161" s="136" t="n">
        <v>0.821</v>
      </c>
      <c r="O161" s="136" t="n">
        <v>0.847</v>
      </c>
      <c r="P161" s="136" t="n">
        <v>0.9</v>
      </c>
      <c r="Q161" s="136" t="n">
        <v>0.952</v>
      </c>
      <c r="R161" s="136" t="n">
        <v>877189</v>
      </c>
      <c r="S161" s="136" t="n">
        <v>721715</v>
      </c>
      <c r="T161" s="8" t="n">
        <f aca="false">IF(I161="regional",IF(R161&gt;0,R161*0.2975,S161*0.3484),S161*0.1939)</f>
        <v>260963.7275</v>
      </c>
      <c r="U161" s="136" t="n">
        <v>535500</v>
      </c>
      <c r="V161" s="136" t="n">
        <v>186215</v>
      </c>
      <c r="W161" s="136" t="n">
        <v>2000</v>
      </c>
      <c r="X161" s="136" t="n">
        <v>0</v>
      </c>
      <c r="Y161" s="136" t="n">
        <v>0</v>
      </c>
      <c r="Z161" s="136" t="n">
        <v>0</v>
      </c>
      <c r="AA161" s="136" t="n">
        <v>982678.7275</v>
      </c>
      <c r="AB161" s="136" t="n">
        <v>260963.7275</v>
      </c>
      <c r="AC161" s="136" t="n">
        <v>721715</v>
      </c>
      <c r="AD161" s="136" t="n">
        <v>0</v>
      </c>
      <c r="AE161" s="136" t="n">
        <v>0</v>
      </c>
      <c r="AF161" s="136" t="n">
        <v>0</v>
      </c>
      <c r="AG161" s="136" t="n">
        <v>721715</v>
      </c>
      <c r="AH161" s="136" t="n">
        <v>0</v>
      </c>
      <c r="AI161" s="136" t="n">
        <v>0</v>
      </c>
      <c r="AJ161" s="132" t="s">
        <v>707</v>
      </c>
      <c r="AK161" s="132" t="s">
        <v>712</v>
      </c>
      <c r="AL161" s="133" t="s">
        <v>48</v>
      </c>
      <c r="AM161" s="132"/>
      <c r="AN161" s="133" t="s">
        <v>435</v>
      </c>
      <c r="AO161" s="133" t="n">
        <v>260963.7275</v>
      </c>
      <c r="AP161" s="137" t="n">
        <f aca="false">AR161+AT161+AU161+AV161+AX161+AY161+AZ161+BD161+BF161+BG161+BH161+BJ161+BK161+(BL161+BM161+BN161)/1000+(0.1*BO161)</f>
        <v>289.4983</v>
      </c>
      <c r="AQ161" s="137" t="n">
        <f aca="false">AR161+AT161+AU161+AV161+AX161+AY161+AZ161+BB161+BC161+BD161+BF161+BG161+BH161+BJ161+BK161+(BL161+BM161+BN161)/1000+(0.1*BO161)</f>
        <v>324.4983</v>
      </c>
      <c r="AR161" s="158" t="n">
        <v>0</v>
      </c>
      <c r="AS161" s="158" t="n">
        <v>0</v>
      </c>
      <c r="AT161" s="158" t="n">
        <v>189</v>
      </c>
      <c r="AU161" s="158" t="n">
        <v>1</v>
      </c>
      <c r="AV161" s="158" t="n">
        <v>0</v>
      </c>
      <c r="AW161" s="158" t="n">
        <v>0</v>
      </c>
      <c r="AX161" s="158" t="n">
        <v>15</v>
      </c>
      <c r="AY161" s="158" t="n">
        <v>0</v>
      </c>
      <c r="AZ161" s="158" t="n">
        <v>0</v>
      </c>
      <c r="BA161" s="158" t="n">
        <v>0</v>
      </c>
      <c r="BB161" s="158" t="n">
        <v>35</v>
      </c>
      <c r="BC161" s="158" t="n">
        <v>0</v>
      </c>
      <c r="BD161" s="131" t="n">
        <v>0</v>
      </c>
      <c r="BE161" s="131" t="n">
        <v>0</v>
      </c>
      <c r="BF161" s="131" t="n">
        <v>0</v>
      </c>
      <c r="BG161" s="131" t="n">
        <v>0</v>
      </c>
      <c r="BH161" s="158" t="n">
        <v>0</v>
      </c>
      <c r="BI161" s="158" t="n">
        <v>0</v>
      </c>
      <c r="BJ161" s="158" t="n">
        <v>0</v>
      </c>
      <c r="BK161" s="158" t="n">
        <v>0</v>
      </c>
      <c r="BL161" s="131" t="n">
        <v>0</v>
      </c>
      <c r="BM161" s="131" t="n">
        <v>0</v>
      </c>
      <c r="BN161" s="131" t="n">
        <v>9761</v>
      </c>
      <c r="BO161" s="131" t="n">
        <v>747.373</v>
      </c>
      <c r="BP161" s="159"/>
      <c r="BQ161" s="159"/>
      <c r="BR161" s="159"/>
      <c r="BS161" s="159"/>
      <c r="BT161" s="159"/>
      <c r="BU161" s="159"/>
      <c r="BV161" s="159"/>
      <c r="BW161" s="159"/>
      <c r="BX161" s="159"/>
      <c r="BY161" s="159"/>
      <c r="BZ161" s="159"/>
      <c r="CA161" s="159"/>
      <c r="CB161" s="159"/>
      <c r="CC161" s="159"/>
      <c r="CD161" s="159"/>
      <c r="CE161" s="159"/>
      <c r="CF161" s="159"/>
      <c r="CG161" s="159"/>
      <c r="CH161" s="159"/>
      <c r="CI161" s="159"/>
      <c r="CJ161" s="159"/>
      <c r="CK161" s="159"/>
      <c r="CL161" s="159"/>
      <c r="CM161" s="159"/>
      <c r="CN161" s="159"/>
      <c r="CO161" s="159"/>
      <c r="CP161" s="159"/>
      <c r="CQ161" s="159"/>
      <c r="CR161" s="159"/>
      <c r="CS161" s="159"/>
      <c r="CT161" s="159"/>
      <c r="CU161" s="159"/>
      <c r="CV161" s="159"/>
      <c r="CW161" s="159"/>
      <c r="CX161" s="159"/>
      <c r="CY161" s="159"/>
      <c r="CZ161" s="159"/>
      <c r="DA161" s="159"/>
      <c r="DB161" s="159"/>
      <c r="DC161" s="159"/>
      <c r="DD161" s="159"/>
      <c r="DE161" s="159"/>
      <c r="DF161" s="159"/>
      <c r="DG161" s="159"/>
      <c r="DH161" s="159"/>
    </row>
    <row r="162" customFormat="false" ht="15" hidden="false" customHeight="true" outlineLevel="0" collapsed="false">
      <c r="A162" s="151" t="n">
        <v>4669</v>
      </c>
      <c r="B162" s="151"/>
      <c r="C162" s="152" t="s">
        <v>753</v>
      </c>
      <c r="D162" s="140" t="s">
        <v>753</v>
      </c>
      <c r="E162" s="134" t="n">
        <f aca="false">IF(I162="regional",IF(R162*0.2975,S162*0.3484),S162*0.1939)</f>
        <v>0</v>
      </c>
      <c r="F162" s="141"/>
      <c r="G162" s="135" t="n">
        <f aca="false">E162+F162</f>
        <v>0</v>
      </c>
      <c r="H162" s="152"/>
      <c r="I162" s="140" t="s">
        <v>718</v>
      </c>
      <c r="J162" s="140"/>
      <c r="K162" s="140"/>
      <c r="L162" s="140"/>
      <c r="M162" s="142"/>
      <c r="N162" s="142"/>
      <c r="O162" s="142"/>
      <c r="P162" s="142"/>
      <c r="Q162" s="142"/>
      <c r="R162" s="142"/>
      <c r="S162" s="187"/>
      <c r="T162" s="8" t="n">
        <f aca="false">IF(I162="regional",IF(R162&gt;0,R162*0.2975,S162*0.3484),S162*0.1939)</f>
        <v>0</v>
      </c>
      <c r="U162" s="142"/>
      <c r="V162" s="142"/>
      <c r="W162" s="142"/>
      <c r="X162" s="142"/>
      <c r="Y162" s="142"/>
      <c r="Z162" s="142"/>
      <c r="AA162" s="142"/>
      <c r="AB162" s="142"/>
      <c r="AC162" s="142"/>
      <c r="AD162" s="142"/>
      <c r="AE162" s="142"/>
      <c r="AF162" s="142"/>
      <c r="AG162" s="142"/>
      <c r="AH162" s="142"/>
      <c r="AI162" s="142"/>
      <c r="AJ162" s="152" t="s">
        <v>707</v>
      </c>
      <c r="AK162" s="152" t="s">
        <v>712</v>
      </c>
      <c r="AL162" s="154" t="s">
        <v>718</v>
      </c>
      <c r="AM162" s="152"/>
      <c r="AN162" s="154" t="s">
        <v>753</v>
      </c>
      <c r="AO162" s="154" t="n">
        <v>0</v>
      </c>
      <c r="AP162" s="155" t="n">
        <v>0</v>
      </c>
      <c r="AQ162" s="137" t="n">
        <f aca="false">AR162+AT162+AU162+AV162+AX162+AY162+AZ162+BB162+BC162+BD162+BF162+BG162+BH162+BJ162+BK162+(BL162+BM162+BN162)/1000+(0.1*BO162)</f>
        <v>225</v>
      </c>
      <c r="AR162" s="156" t="n">
        <v>0</v>
      </c>
      <c r="AS162" s="156" t="n">
        <v>0</v>
      </c>
      <c r="AT162" s="156" t="n">
        <v>210</v>
      </c>
      <c r="AU162" s="156" t="n">
        <v>0</v>
      </c>
      <c r="AV162" s="156" t="n">
        <v>0</v>
      </c>
      <c r="AW162" s="156" t="n">
        <v>0</v>
      </c>
      <c r="AX162" s="156" t="n">
        <v>10</v>
      </c>
      <c r="AY162" s="156" t="n">
        <v>0</v>
      </c>
      <c r="AZ162" s="156" t="n">
        <v>0</v>
      </c>
      <c r="BA162" s="156" t="n">
        <v>0</v>
      </c>
      <c r="BB162" s="156" t="n">
        <v>5</v>
      </c>
      <c r="BC162" s="156" t="n">
        <v>0</v>
      </c>
      <c r="BD162" s="138" t="n">
        <v>0</v>
      </c>
      <c r="BE162" s="138" t="n">
        <v>0</v>
      </c>
      <c r="BF162" s="138" t="n">
        <v>0</v>
      </c>
      <c r="BG162" s="138" t="n">
        <v>0</v>
      </c>
      <c r="BH162" s="138" t="n">
        <v>0</v>
      </c>
      <c r="BI162" s="138" t="n">
        <v>0</v>
      </c>
      <c r="BJ162" s="138" t="n">
        <v>0</v>
      </c>
      <c r="BK162" s="138" t="n">
        <v>0</v>
      </c>
      <c r="BL162" s="185" t="n">
        <v>0</v>
      </c>
      <c r="BM162" s="185" t="n">
        <v>0</v>
      </c>
      <c r="BN162" s="185" t="n">
        <v>0</v>
      </c>
      <c r="BO162" s="165"/>
    </row>
    <row r="163" customFormat="false" ht="15" hidden="false" customHeight="true" outlineLevel="0" collapsed="false">
      <c r="A163" s="151" t="n">
        <v>2905</v>
      </c>
      <c r="B163" s="151" t="s">
        <v>44</v>
      </c>
      <c r="C163" s="152" t="s">
        <v>438</v>
      </c>
      <c r="D163" s="133" t="s">
        <v>438</v>
      </c>
      <c r="E163" s="134" t="n">
        <f aca="false">IF(I163="regional",IF(R163*0.2975,S163*0.3484),S163*0.1939)</f>
        <v>0</v>
      </c>
      <c r="F163" s="134" t="n">
        <v>0</v>
      </c>
      <c r="G163" s="135" t="n">
        <f aca="false">E163+F163</f>
        <v>0</v>
      </c>
      <c r="H163" s="152" t="s">
        <v>49</v>
      </c>
      <c r="I163" s="133" t="s">
        <v>48</v>
      </c>
      <c r="J163" s="133"/>
      <c r="K163" s="133"/>
      <c r="L163" s="133" t="s">
        <v>44</v>
      </c>
      <c r="M163" s="136" t="n">
        <v>0</v>
      </c>
      <c r="N163" s="136" t="n">
        <v>0</v>
      </c>
      <c r="O163" s="136" t="n">
        <v>0</v>
      </c>
      <c r="P163" s="136" t="n">
        <v>0</v>
      </c>
      <c r="Q163" s="136" t="n">
        <v>0</v>
      </c>
      <c r="R163" s="136" t="n">
        <v>699931</v>
      </c>
      <c r="S163" s="136" t="n">
        <v>0</v>
      </c>
      <c r="T163" s="8" t="n">
        <f aca="false">IF(I163="regional",IF(R163&gt;0,R163*0.2975,S163*0.3484),S163*0.1939)</f>
        <v>208229.4725</v>
      </c>
      <c r="U163" s="136" t="n">
        <v>0</v>
      </c>
      <c r="V163" s="136" t="n">
        <v>0</v>
      </c>
      <c r="W163" s="136" t="n">
        <v>0</v>
      </c>
      <c r="X163" s="136" t="n">
        <v>0</v>
      </c>
      <c r="Y163" s="136" t="n">
        <v>0</v>
      </c>
      <c r="Z163" s="136" t="n">
        <v>0</v>
      </c>
      <c r="AA163" s="136" t="n">
        <v>0</v>
      </c>
      <c r="AB163" s="136" t="n">
        <v>0</v>
      </c>
      <c r="AC163" s="136" t="n">
        <v>0</v>
      </c>
      <c r="AD163" s="136" t="n">
        <v>0</v>
      </c>
      <c r="AE163" s="136" t="n">
        <v>0</v>
      </c>
      <c r="AF163" s="136" t="n">
        <v>0</v>
      </c>
      <c r="AG163" s="136" t="n">
        <v>0</v>
      </c>
      <c r="AH163" s="136" t="n">
        <v>308000</v>
      </c>
      <c r="AI163" s="136" t="n">
        <v>314000</v>
      </c>
      <c r="AJ163" s="139" t="s">
        <v>707</v>
      </c>
      <c r="AK163" s="139" t="s">
        <v>729</v>
      </c>
      <c r="AL163" s="154" t="s">
        <v>48</v>
      </c>
      <c r="AM163" s="152" t="s">
        <v>49</v>
      </c>
      <c r="AN163" s="154" t="s">
        <v>438</v>
      </c>
      <c r="AO163" s="154" t="n">
        <v>0</v>
      </c>
      <c r="AP163" s="155" t="n">
        <v>0</v>
      </c>
      <c r="AQ163" s="137" t="n">
        <f aca="false">AR163+AT163+AU163+AV163+AX163+AY163+AZ163+BB163+BC163+BD163+BF163+BG163+BH163+BJ163+BK163+(BL163+BM163+BN163)/1000+(0.1*BO163)</f>
        <v>130.4386</v>
      </c>
      <c r="AR163" s="162" t="n">
        <v>33</v>
      </c>
      <c r="AS163" s="162" t="n">
        <v>314</v>
      </c>
      <c r="AT163" s="162" t="n">
        <v>45</v>
      </c>
      <c r="AU163" s="162" t="n">
        <v>10</v>
      </c>
      <c r="AV163" s="162" t="n">
        <v>0</v>
      </c>
      <c r="AW163" s="162" t="n">
        <v>0</v>
      </c>
      <c r="AX163" s="162" t="n">
        <v>0</v>
      </c>
      <c r="AY163" s="162" t="n">
        <v>1</v>
      </c>
      <c r="AZ163" s="162" t="n">
        <v>0</v>
      </c>
      <c r="BA163" s="162" t="n">
        <v>29</v>
      </c>
      <c r="BB163" s="162" t="n">
        <v>12</v>
      </c>
      <c r="BC163" s="188" t="n">
        <v>1</v>
      </c>
      <c r="BD163" s="184" t="n">
        <v>0</v>
      </c>
      <c r="BE163" s="184" t="n">
        <v>0</v>
      </c>
      <c r="BF163" s="184" t="n">
        <v>0</v>
      </c>
      <c r="BG163" s="184" t="n">
        <v>0</v>
      </c>
      <c r="BH163" s="162" t="n">
        <v>0</v>
      </c>
      <c r="BI163" s="162" t="n">
        <v>3</v>
      </c>
      <c r="BJ163" s="162" t="n">
        <v>0</v>
      </c>
      <c r="BK163" s="162" t="n">
        <v>0</v>
      </c>
      <c r="BL163" s="138" t="n">
        <f aca="false">-BM1665</f>
        <v>-0</v>
      </c>
      <c r="BM163" s="138" t="n">
        <v>9000</v>
      </c>
      <c r="BN163" s="138" t="n">
        <v>5000</v>
      </c>
      <c r="BO163" s="138" t="n">
        <v>144.386</v>
      </c>
    </row>
    <row r="164" customFormat="false" ht="15" hidden="false" customHeight="true" outlineLevel="0" collapsed="false">
      <c r="A164" s="151" t="n">
        <v>4832</v>
      </c>
      <c r="B164" s="151"/>
      <c r="C164" s="152" t="s">
        <v>439</v>
      </c>
      <c r="D164" s="133" t="s">
        <v>439</v>
      </c>
      <c r="E164" s="134" t="n">
        <f aca="false">IF(I164="regional",IF(R164*0.2975,S164*0.3484),S164*0.1939)</f>
        <v>303108</v>
      </c>
      <c r="F164" s="134" t="n">
        <v>0</v>
      </c>
      <c r="G164" s="135" t="n">
        <f aca="false">E164+F164</f>
        <v>303108</v>
      </c>
      <c r="H164" s="152"/>
      <c r="I164" s="133" t="s">
        <v>48</v>
      </c>
      <c r="J164" s="133" t="s">
        <v>49</v>
      </c>
      <c r="K164" s="133" t="s">
        <v>345</v>
      </c>
      <c r="L164" s="133"/>
      <c r="M164" s="136" t="n">
        <v>113</v>
      </c>
      <c r="N164" s="136" t="n">
        <v>0.971</v>
      </c>
      <c r="O164" s="136" t="n">
        <v>0.96</v>
      </c>
      <c r="P164" s="136" t="n">
        <v>0.925</v>
      </c>
      <c r="Q164" s="136" t="n">
        <v>0.952</v>
      </c>
      <c r="R164" s="136" t="n">
        <v>999838</v>
      </c>
      <c r="S164" s="136" t="n">
        <v>870000</v>
      </c>
      <c r="T164" s="8" t="n">
        <f aca="false">IF(I164="regional",IF(R164&gt;0,R164*0.2975,S164*0.3484),S164*0.1939)</f>
        <v>297451.805</v>
      </c>
      <c r="U164" s="136" t="n">
        <v>596500</v>
      </c>
      <c r="V164" s="136" t="n">
        <v>273500</v>
      </c>
      <c r="W164" s="136" t="n">
        <v>4700</v>
      </c>
      <c r="X164" s="136" t="n">
        <v>0</v>
      </c>
      <c r="Y164" s="136" t="n">
        <v>0</v>
      </c>
      <c r="Z164" s="136" t="n">
        <v>0</v>
      </c>
      <c r="AA164" s="136" t="n">
        <v>1167451.805</v>
      </c>
      <c r="AB164" s="136" t="n">
        <v>297451.805</v>
      </c>
      <c r="AC164" s="136" t="n">
        <v>870000</v>
      </c>
      <c r="AD164" s="136" t="n">
        <v>0</v>
      </c>
      <c r="AE164" s="136" t="n">
        <v>0</v>
      </c>
      <c r="AF164" s="136" t="n">
        <v>0</v>
      </c>
      <c r="AG164" s="136" t="n">
        <v>870000</v>
      </c>
      <c r="AH164" s="136" t="n">
        <v>0</v>
      </c>
      <c r="AI164" s="136" t="n">
        <v>0</v>
      </c>
      <c r="AJ164" s="152" t="s">
        <v>715</v>
      </c>
      <c r="AK164" s="152" t="s">
        <v>716</v>
      </c>
      <c r="AL164" s="154" t="s">
        <v>48</v>
      </c>
      <c r="AM164" s="152"/>
      <c r="AN164" s="154" t="s">
        <v>439</v>
      </c>
      <c r="AO164" s="154" t="n">
        <v>297451.805</v>
      </c>
      <c r="AP164" s="144" t="n">
        <f aca="false">AR164+AT164+AU164+AV164+AX164+AY164+AZ164+BD164+BF164+BG164+BH164+BJ164+BK164+(BL164+BM164+BN164)/1000+(0.1*BO164)</f>
        <v>253.6383</v>
      </c>
      <c r="AQ164" s="137" t="n">
        <f aca="false">AR164+AT164+AU164+AV164+AX164+AY164+AZ164+BB164+BC164+BD164+BF164+BG164+BH164+BJ164+BK164+(BL164+BM164+BN164)/1000+(0.1*BO164)</f>
        <v>294.6383</v>
      </c>
      <c r="AR164" s="138" t="n">
        <v>0</v>
      </c>
      <c r="AS164" s="138" t="n">
        <v>0</v>
      </c>
      <c r="AT164" s="138" t="n">
        <v>242</v>
      </c>
      <c r="AU164" s="138" t="n">
        <v>5</v>
      </c>
      <c r="AV164" s="138" t="n">
        <v>0</v>
      </c>
      <c r="AW164" s="138" t="n">
        <v>0</v>
      </c>
      <c r="AX164" s="138" t="n">
        <v>0</v>
      </c>
      <c r="AY164" s="138" t="n">
        <v>0</v>
      </c>
      <c r="AZ164" s="138" t="n">
        <v>0</v>
      </c>
      <c r="BA164" s="138" t="n">
        <v>0</v>
      </c>
      <c r="BB164" s="138" t="n">
        <v>40</v>
      </c>
      <c r="BC164" s="138" t="n">
        <v>1</v>
      </c>
      <c r="BD164" s="138" t="n">
        <v>0</v>
      </c>
      <c r="BE164" s="138" t="n">
        <v>1</v>
      </c>
      <c r="BF164" s="138" t="n">
        <v>0</v>
      </c>
      <c r="BG164" s="138" t="n">
        <v>0</v>
      </c>
      <c r="BH164" s="138" t="n">
        <v>4</v>
      </c>
      <c r="BI164" s="138" t="n">
        <v>0</v>
      </c>
      <c r="BJ164" s="138" t="n">
        <v>0</v>
      </c>
      <c r="BK164" s="138" t="n">
        <v>0</v>
      </c>
      <c r="BL164" s="138" t="n">
        <v>0</v>
      </c>
      <c r="BM164" s="138" t="n">
        <v>0</v>
      </c>
      <c r="BN164" s="138" t="n">
        <v>0</v>
      </c>
      <c r="BO164" s="138" t="n">
        <v>26.383</v>
      </c>
    </row>
    <row r="165" customFormat="false" ht="15" hidden="false" customHeight="true" outlineLevel="0" collapsed="false">
      <c r="A165" s="151" t="n">
        <v>1625</v>
      </c>
      <c r="B165" s="151"/>
      <c r="C165" s="152" t="s">
        <v>441</v>
      </c>
      <c r="D165" s="140" t="s">
        <v>441</v>
      </c>
      <c r="E165" s="134" t="n">
        <f aca="false">IF(I165="regional",IF(R165*0.2975,S165*0.3484),S165*0.1939)</f>
        <v>48636.7126</v>
      </c>
      <c r="F165" s="141"/>
      <c r="G165" s="135" t="n">
        <f aca="false">E165+F165</f>
        <v>48636.7126</v>
      </c>
      <c r="H165" s="139"/>
      <c r="I165" s="140" t="s">
        <v>718</v>
      </c>
      <c r="J165" s="140"/>
      <c r="K165" s="140"/>
      <c r="L165" s="140"/>
      <c r="M165" s="142"/>
      <c r="N165" s="142"/>
      <c r="O165" s="142"/>
      <c r="P165" s="142"/>
      <c r="Q165" s="142"/>
      <c r="R165" s="142"/>
      <c r="S165" s="187" t="n">
        <v>250834</v>
      </c>
      <c r="T165" s="8" t="n">
        <f aca="false">IF(I165="regional",IF(R165&gt;0,R165*0.2975,S165*0.3484),S165*0.1939)</f>
        <v>48636.7126</v>
      </c>
      <c r="U165" s="142"/>
      <c r="V165" s="142"/>
      <c r="W165" s="142"/>
      <c r="X165" s="142"/>
      <c r="Y165" s="142"/>
      <c r="Z165" s="142"/>
      <c r="AA165" s="142"/>
      <c r="AB165" s="142"/>
      <c r="AC165" s="142"/>
      <c r="AD165" s="142"/>
      <c r="AE165" s="142"/>
      <c r="AF165" s="142"/>
      <c r="AG165" s="142"/>
      <c r="AH165" s="142"/>
      <c r="AI165" s="142"/>
      <c r="AJ165" s="139" t="n">
        <v>4</v>
      </c>
      <c r="AK165" s="139" t="s">
        <v>706</v>
      </c>
      <c r="AL165" s="154" t="s">
        <v>718</v>
      </c>
      <c r="AM165" s="139"/>
      <c r="AN165" s="143" t="s">
        <v>754</v>
      </c>
      <c r="AO165" s="154" t="n">
        <v>0</v>
      </c>
      <c r="AP165" s="144" t="n">
        <f aca="false">AR165+AT165+AU165+AV165+AX165+AY165+AZ165+BD165+BF165+BG165+BH165+BJ165+BK165+(BL165+BM165+BN165)/1000+(0.1*BO165)</f>
        <v>267.5</v>
      </c>
      <c r="AQ165" s="137" t="n">
        <f aca="false">AR165+AT165+AU165+AV165+AX165+AY165+AZ165+BB165+BC165+BD165+BF165+BG165+BH165+BJ165+BK165+(BL165+BM165+BN165)/1000+(0.1*BO165)</f>
        <v>289.5</v>
      </c>
      <c r="AR165" s="138" t="n">
        <v>0</v>
      </c>
      <c r="AS165" s="138" t="n">
        <v>0</v>
      </c>
      <c r="AT165" s="138" t="n">
        <v>232</v>
      </c>
      <c r="AU165" s="138" t="n">
        <v>-25</v>
      </c>
      <c r="AV165" s="138" t="n">
        <v>0</v>
      </c>
      <c r="AW165" s="138" t="n">
        <v>0</v>
      </c>
      <c r="AX165" s="138" t="n">
        <v>1</v>
      </c>
      <c r="AY165" s="138" t="n">
        <v>0</v>
      </c>
      <c r="AZ165" s="138" t="n">
        <v>0</v>
      </c>
      <c r="BA165" s="138" t="n">
        <v>0</v>
      </c>
      <c r="BB165" s="138" t="n">
        <v>2</v>
      </c>
      <c r="BC165" s="138" t="n">
        <v>20</v>
      </c>
      <c r="BD165" s="138" t="n">
        <v>0</v>
      </c>
      <c r="BE165" s="138" t="n">
        <v>0</v>
      </c>
      <c r="BF165" s="138" t="n">
        <v>0</v>
      </c>
      <c r="BG165" s="138" t="n">
        <v>0</v>
      </c>
      <c r="BH165" s="138" t="n">
        <v>35</v>
      </c>
      <c r="BI165" s="138" t="n">
        <v>0</v>
      </c>
      <c r="BJ165" s="138" t="n">
        <v>0</v>
      </c>
      <c r="BK165" s="138" t="n">
        <v>0</v>
      </c>
      <c r="BL165" s="138" t="n">
        <v>24500</v>
      </c>
      <c r="BM165" s="138" t="n">
        <v>0</v>
      </c>
      <c r="BN165" s="138" t="n">
        <v>0</v>
      </c>
      <c r="BO165" s="138" t="n">
        <v>0</v>
      </c>
    </row>
    <row r="166" customFormat="false" ht="15" hidden="false" customHeight="true" outlineLevel="0" collapsed="false">
      <c r="A166" s="138" t="n">
        <v>1626</v>
      </c>
      <c r="B166" s="138"/>
      <c r="C166" s="139" t="s">
        <v>441</v>
      </c>
      <c r="D166" s="133" t="s">
        <v>441</v>
      </c>
      <c r="E166" s="134" t="n">
        <f aca="false">IF(I166="regional",IF(R166*0.2975,S166*0.3484),S166*0.1939)</f>
        <v>96185.6462</v>
      </c>
      <c r="F166" s="134" t="n">
        <v>0</v>
      </c>
      <c r="G166" s="135" t="n">
        <f aca="false">E166+F166</f>
        <v>96185.6462</v>
      </c>
      <c r="H166" s="139"/>
      <c r="I166" s="140" t="s">
        <v>718</v>
      </c>
      <c r="J166" s="133"/>
      <c r="K166" s="133"/>
      <c r="L166" s="133"/>
      <c r="M166" s="136" t="n">
        <v>0</v>
      </c>
      <c r="N166" s="136" t="n">
        <v>0</v>
      </c>
      <c r="O166" s="136" t="n">
        <v>0</v>
      </c>
      <c r="P166" s="136" t="n">
        <v>0</v>
      </c>
      <c r="Q166" s="136" t="n">
        <v>0</v>
      </c>
      <c r="R166" s="136" t="n">
        <v>0</v>
      </c>
      <c r="S166" s="136" t="n">
        <v>496058</v>
      </c>
      <c r="T166" s="8" t="n">
        <f aca="false">IF(I166="regional",IF(R166&gt;0,R166*0.2975,S166*0.3484),S166*0.1939)</f>
        <v>96185.6462</v>
      </c>
      <c r="U166" s="136" t="n">
        <v>0</v>
      </c>
      <c r="V166" s="136" t="n">
        <v>496058</v>
      </c>
      <c r="W166" s="136" t="n">
        <v>0</v>
      </c>
      <c r="X166" s="136" t="n">
        <v>0</v>
      </c>
      <c r="Y166" s="136" t="n">
        <v>0</v>
      </c>
      <c r="Z166" s="136" t="n">
        <v>0</v>
      </c>
      <c r="AA166" s="136" t="n">
        <v>592243.6462</v>
      </c>
      <c r="AB166" s="136" t="n">
        <v>96185.6462</v>
      </c>
      <c r="AC166" s="136" t="n">
        <v>496058</v>
      </c>
      <c r="AD166" s="136" t="n">
        <v>0</v>
      </c>
      <c r="AE166" s="136" t="n">
        <v>0</v>
      </c>
      <c r="AF166" s="136" t="n">
        <v>0</v>
      </c>
      <c r="AG166" s="136" t="n">
        <v>496058</v>
      </c>
      <c r="AH166" s="136" t="n">
        <v>0</v>
      </c>
      <c r="AI166" s="136" t="n">
        <v>0</v>
      </c>
      <c r="AJ166" s="139" t="n">
        <v>4</v>
      </c>
      <c r="AK166" s="139" t="s">
        <v>706</v>
      </c>
      <c r="AL166" s="143" t="s">
        <v>405</v>
      </c>
      <c r="AM166" s="139"/>
      <c r="AN166" s="143" t="s">
        <v>441</v>
      </c>
      <c r="AO166" s="143" t="n">
        <v>96185.6462</v>
      </c>
      <c r="AP166" s="144" t="n">
        <v>0</v>
      </c>
      <c r="AQ166" s="137" t="n">
        <f aca="false">AR166+AT166+AU166+AV166+AX166+AY166+AZ166+BB166+BC166+BD166+BF166+BG166+BH166+BJ166+BK166+(BL166+BM166+BN166)/1000+(0.1*BO166)</f>
        <v>350</v>
      </c>
      <c r="AR166" s="156" t="n">
        <v>0</v>
      </c>
      <c r="AS166" s="156" t="n">
        <v>0</v>
      </c>
      <c r="AT166" s="156" t="n">
        <v>289</v>
      </c>
      <c r="AU166" s="189" t="n">
        <v>12</v>
      </c>
      <c r="AV166" s="156" t="n">
        <v>0</v>
      </c>
      <c r="AW166" s="156" t="n">
        <v>0</v>
      </c>
      <c r="AX166" s="156" t="n">
        <v>1</v>
      </c>
      <c r="AY166" s="156" t="n">
        <v>0</v>
      </c>
      <c r="AZ166" s="156" t="n">
        <v>0</v>
      </c>
      <c r="BA166" s="156" t="n">
        <v>0</v>
      </c>
      <c r="BB166" s="156" t="n">
        <v>2</v>
      </c>
      <c r="BC166" s="156" t="n">
        <v>12</v>
      </c>
      <c r="BD166" s="156" t="n">
        <v>0</v>
      </c>
      <c r="BE166" s="156" t="n">
        <v>0</v>
      </c>
      <c r="BF166" s="156" t="n">
        <v>0</v>
      </c>
      <c r="BG166" s="156" t="n">
        <v>0</v>
      </c>
      <c r="BH166" s="156" t="n">
        <v>34</v>
      </c>
      <c r="BI166" s="156" t="n">
        <v>0</v>
      </c>
      <c r="BJ166" s="156" t="n">
        <v>0</v>
      </c>
      <c r="BK166" s="156" t="n">
        <v>0</v>
      </c>
      <c r="BL166" s="156" t="n">
        <v>0</v>
      </c>
      <c r="BM166" s="156" t="n">
        <v>0</v>
      </c>
      <c r="BN166" s="156" t="n">
        <v>0</v>
      </c>
      <c r="BO166" s="156" t="n">
        <v>0</v>
      </c>
    </row>
    <row r="167" customFormat="false" ht="15" hidden="false" customHeight="true" outlineLevel="0" collapsed="false">
      <c r="A167" s="138" t="n">
        <v>2924</v>
      </c>
      <c r="B167" s="138"/>
      <c r="C167" s="139" t="s">
        <v>443</v>
      </c>
      <c r="D167" s="133" t="s">
        <v>443</v>
      </c>
      <c r="E167" s="134" t="n">
        <f aca="false">IF(I167="regional",IF(R167*0.2975,S167*0.3484),S167*0.1939)</f>
        <v>319077.2624</v>
      </c>
      <c r="F167" s="134" t="n">
        <v>0</v>
      </c>
      <c r="G167" s="135" t="n">
        <f aca="false">E167+F167</f>
        <v>319077.2624</v>
      </c>
      <c r="H167" s="139"/>
      <c r="I167" s="133" t="s">
        <v>48</v>
      </c>
      <c r="J167" s="133" t="s">
        <v>49</v>
      </c>
      <c r="K167" s="133" t="s">
        <v>444</v>
      </c>
      <c r="L167" s="133"/>
      <c r="M167" s="136" t="n">
        <v>100</v>
      </c>
      <c r="N167" s="136" t="n">
        <v>0.936</v>
      </c>
      <c r="O167" s="136" t="n">
        <v>0.946</v>
      </c>
      <c r="P167" s="136" t="n">
        <v>0.909</v>
      </c>
      <c r="Q167" s="136" t="n">
        <v>0.902</v>
      </c>
      <c r="R167" s="136" t="n">
        <v>1132074</v>
      </c>
      <c r="S167" s="136" t="n">
        <v>915836</v>
      </c>
      <c r="T167" s="8" t="n">
        <f aca="false">IF(I167="regional",IF(R167&gt;0,R167*0.2975,S167*0.3484),S167*0.1939)</f>
        <v>336792.015</v>
      </c>
      <c r="U167" s="136" t="n">
        <v>534180</v>
      </c>
      <c r="V167" s="136" t="n">
        <v>381656</v>
      </c>
      <c r="W167" s="136" t="n">
        <v>4280</v>
      </c>
      <c r="X167" s="136" t="n">
        <v>0</v>
      </c>
      <c r="Y167" s="136" t="n">
        <v>0</v>
      </c>
      <c r="Z167" s="136" t="n">
        <v>0</v>
      </c>
      <c r="AA167" s="136" t="n">
        <v>1252628.015</v>
      </c>
      <c r="AB167" s="136" t="n">
        <v>336792.015</v>
      </c>
      <c r="AC167" s="136" t="n">
        <v>915836</v>
      </c>
      <c r="AD167" s="136" t="n">
        <v>0</v>
      </c>
      <c r="AE167" s="136" t="n">
        <v>0</v>
      </c>
      <c r="AF167" s="136" t="n">
        <v>0</v>
      </c>
      <c r="AG167" s="136" t="n">
        <v>915836</v>
      </c>
      <c r="AH167" s="136" t="n">
        <v>0</v>
      </c>
      <c r="AI167" s="136" t="n">
        <v>0</v>
      </c>
      <c r="AJ167" s="139" t="s">
        <v>707</v>
      </c>
      <c r="AK167" s="139" t="s">
        <v>714</v>
      </c>
      <c r="AL167" s="143" t="s">
        <v>48</v>
      </c>
      <c r="AM167" s="139"/>
      <c r="AN167" s="143" t="s">
        <v>443</v>
      </c>
      <c r="AO167" s="143" t="n">
        <v>336792.015</v>
      </c>
      <c r="AP167" s="144" t="n">
        <f aca="false">AR167+AT167+AU167+AV167+AX167+AY167+AZ167+BD167+BF167+BG167+BH167+BJ167+BK167+(BL167+BM167+BN167)/1000+(0.1*BO167)</f>
        <v>358.645</v>
      </c>
      <c r="AQ167" s="137" t="n">
        <f aca="false">AR167+AT167+AU167+AV167+AX167+AY167+AZ167+BB167+BC167+BD167+BF167+BG167+BH167+BJ167+BK167+(BL167+BM167+BN167)/1000+(0.1*BO167)</f>
        <v>390.645</v>
      </c>
      <c r="AR167" s="138" t="n">
        <v>0</v>
      </c>
      <c r="AS167" s="138" t="n">
        <v>0</v>
      </c>
      <c r="AT167" s="138" t="n">
        <v>173</v>
      </c>
      <c r="AU167" s="138" t="n">
        <v>17</v>
      </c>
      <c r="AV167" s="138" t="n">
        <v>0</v>
      </c>
      <c r="AW167" s="138" t="n">
        <v>0</v>
      </c>
      <c r="AX167" s="138" t="n">
        <v>0</v>
      </c>
      <c r="AY167" s="138" t="n">
        <v>0</v>
      </c>
      <c r="AZ167" s="138" t="n">
        <v>0</v>
      </c>
      <c r="BA167" s="138" t="n">
        <v>37</v>
      </c>
      <c r="BB167" s="138" t="n">
        <v>32</v>
      </c>
      <c r="BC167" s="138" t="n">
        <v>0</v>
      </c>
      <c r="BD167" s="138" t="n">
        <v>0</v>
      </c>
      <c r="BE167" s="138" t="n">
        <v>0</v>
      </c>
      <c r="BF167" s="138" t="n">
        <v>0</v>
      </c>
      <c r="BG167" s="138" t="n">
        <v>0</v>
      </c>
      <c r="BH167" s="138" t="n">
        <v>0</v>
      </c>
      <c r="BI167" s="138" t="n">
        <v>0</v>
      </c>
      <c r="BJ167" s="138" t="n">
        <v>0</v>
      </c>
      <c r="BK167" s="138" t="n">
        <v>0</v>
      </c>
      <c r="BL167" s="138" t="n">
        <v>99165</v>
      </c>
      <c r="BM167" s="138" t="n">
        <v>0</v>
      </c>
      <c r="BN167" s="138" t="n">
        <v>0</v>
      </c>
      <c r="BO167" s="138" t="n">
        <v>694.8</v>
      </c>
    </row>
    <row r="168" customFormat="false" ht="15" hidden="false" customHeight="true" outlineLevel="0" collapsed="false">
      <c r="A168" s="138" t="n">
        <v>4670</v>
      </c>
      <c r="B168" s="138"/>
      <c r="C168" s="139" t="s">
        <v>445</v>
      </c>
      <c r="D168" s="133" t="s">
        <v>445</v>
      </c>
      <c r="E168" s="134" t="n">
        <f aca="false">IF(I168="regional",IF(R168*0.2975,S168*0.3484),S168*0.1939)</f>
        <v>418590.0576</v>
      </c>
      <c r="F168" s="134" t="n">
        <v>562000</v>
      </c>
      <c r="G168" s="135" t="n">
        <f aca="false">E168+F168</f>
        <v>980590.0576</v>
      </c>
      <c r="H168" s="139"/>
      <c r="I168" s="133" t="s">
        <v>48</v>
      </c>
      <c r="J168" s="133" t="s">
        <v>49</v>
      </c>
      <c r="K168" s="133" t="s">
        <v>98</v>
      </c>
      <c r="L168" s="133" t="s">
        <v>44</v>
      </c>
      <c r="M168" s="136" t="n">
        <v>155</v>
      </c>
      <c r="N168" s="136" t="n">
        <v>0.911</v>
      </c>
      <c r="O168" s="136" t="n">
        <v>0.917</v>
      </c>
      <c r="P168" s="136" t="n">
        <v>0.963</v>
      </c>
      <c r="Q168" s="136" t="n">
        <v>0.952</v>
      </c>
      <c r="R168" s="136" t="n">
        <v>1456971</v>
      </c>
      <c r="S168" s="136" t="n">
        <v>1201464</v>
      </c>
      <c r="T168" s="8" t="n">
        <f aca="false">IF(I168="regional",IF(R168&gt;0,R168*0.2975,S168*0.3484),S168*0.1939)</f>
        <v>433448.8725</v>
      </c>
      <c r="U168" s="136" t="n">
        <v>735737</v>
      </c>
      <c r="V168" s="136" t="n">
        <v>465727</v>
      </c>
      <c r="W168" s="136" t="n">
        <v>6800</v>
      </c>
      <c r="X168" s="136" t="n">
        <v>995448.8725</v>
      </c>
      <c r="Y168" s="136" t="n">
        <v>433448.8725</v>
      </c>
      <c r="Z168" s="136" t="n">
        <v>562000</v>
      </c>
      <c r="AA168" s="136" t="n">
        <v>639464</v>
      </c>
      <c r="AB168" s="136" t="n">
        <v>0</v>
      </c>
      <c r="AC168" s="136" t="n">
        <v>639464</v>
      </c>
      <c r="AD168" s="136" t="n">
        <v>0</v>
      </c>
      <c r="AE168" s="136" t="n">
        <v>562000</v>
      </c>
      <c r="AF168" s="136" t="n">
        <v>0</v>
      </c>
      <c r="AG168" s="136" t="n">
        <v>639464</v>
      </c>
      <c r="AH168" s="136" t="n">
        <v>0</v>
      </c>
      <c r="AI168" s="136" t="n">
        <v>0</v>
      </c>
      <c r="AJ168" s="139" t="n">
        <v>4</v>
      </c>
      <c r="AK168" s="139" t="s">
        <v>706</v>
      </c>
      <c r="AL168" s="143" t="s">
        <v>48</v>
      </c>
      <c r="AM168" s="139"/>
      <c r="AN168" s="143" t="s">
        <v>445</v>
      </c>
      <c r="AO168" s="143" t="n">
        <v>995448.8725</v>
      </c>
      <c r="AP168" s="144" t="n">
        <f aca="false">AR168+AT168+AU168+AV168+AX168+AY168+AZ168+BD168+BF168+BG168+BH168+BJ168+BK168+(BL168+BM168+BN168)/1000+(0.1*BO168)</f>
        <v>1982</v>
      </c>
      <c r="AQ168" s="137" t="n">
        <f aca="false">AR168+AT168+AU168+AV168+AX168+AY168+AZ168+BB168+BC168+BD168+BF168+BG168+BH168+BJ168+BK168+(BL168+BM168+BN168)/1000+(0.1*BO168)</f>
        <v>1983</v>
      </c>
      <c r="AR168" s="184" t="n">
        <v>1520</v>
      </c>
      <c r="AS168" s="184" t="n">
        <v>0</v>
      </c>
      <c r="AT168" s="184" t="n">
        <v>64</v>
      </c>
      <c r="AU168" s="184" t="n">
        <v>-46</v>
      </c>
      <c r="AV168" s="184" t="n">
        <v>0</v>
      </c>
      <c r="AW168" s="184" t="n">
        <v>0</v>
      </c>
      <c r="AX168" s="184" t="n">
        <v>0</v>
      </c>
      <c r="AY168" s="184" t="n">
        <v>0</v>
      </c>
      <c r="AZ168" s="184" t="n">
        <v>29</v>
      </c>
      <c r="BA168" s="184" t="n">
        <v>0</v>
      </c>
      <c r="BB168" s="184" t="n">
        <v>1</v>
      </c>
      <c r="BC168" s="184" t="n">
        <v>0</v>
      </c>
      <c r="BD168" s="138" t="n">
        <v>0</v>
      </c>
      <c r="BE168" s="138" t="n">
        <v>0</v>
      </c>
      <c r="BF168" s="138" t="n">
        <v>0</v>
      </c>
      <c r="BG168" s="138" t="n">
        <v>0</v>
      </c>
      <c r="BH168" s="138" t="n">
        <v>415</v>
      </c>
      <c r="BI168" s="138" t="n">
        <v>0</v>
      </c>
      <c r="BJ168" s="138" t="n">
        <v>0</v>
      </c>
      <c r="BK168" s="138" t="n">
        <v>0</v>
      </c>
      <c r="BL168" s="138" t="n">
        <v>0</v>
      </c>
      <c r="BM168" s="138" t="n">
        <v>0</v>
      </c>
      <c r="BN168" s="138" t="n">
        <v>0</v>
      </c>
      <c r="BO168" s="138" t="n">
        <v>0</v>
      </c>
      <c r="BP168" s="159"/>
      <c r="BQ168" s="159"/>
      <c r="BR168" s="159"/>
      <c r="BS168" s="159"/>
      <c r="BT168" s="159"/>
      <c r="BU168" s="159"/>
      <c r="BV168" s="159"/>
      <c r="BW168" s="159"/>
      <c r="BX168" s="159"/>
      <c r="BY168" s="159"/>
      <c r="BZ168" s="159"/>
      <c r="CA168" s="159"/>
      <c r="CB168" s="159"/>
      <c r="CC168" s="159"/>
      <c r="CD168" s="159"/>
      <c r="CE168" s="159"/>
      <c r="CF168" s="159"/>
      <c r="CG168" s="159"/>
      <c r="CH168" s="159"/>
      <c r="CI168" s="159"/>
      <c r="CJ168" s="159"/>
      <c r="CK168" s="159"/>
      <c r="CL168" s="159"/>
      <c r="CM168" s="159"/>
      <c r="CN168" s="159"/>
      <c r="CO168" s="159"/>
      <c r="CP168" s="159"/>
      <c r="CQ168" s="159"/>
      <c r="CR168" s="159"/>
      <c r="CS168" s="159"/>
      <c r="CT168" s="159"/>
      <c r="CU168" s="159"/>
      <c r="CV168" s="159"/>
      <c r="CW168" s="159"/>
      <c r="CX168" s="159"/>
      <c r="CY168" s="159"/>
      <c r="CZ168" s="159"/>
      <c r="DA168" s="159"/>
    </row>
    <row r="169" customFormat="false" ht="15" hidden="false" customHeight="true" outlineLevel="0" collapsed="false">
      <c r="A169" s="138" t="n">
        <v>9353</v>
      </c>
      <c r="B169" s="138"/>
      <c r="C169" s="139" t="s">
        <v>446</v>
      </c>
      <c r="D169" s="133" t="s">
        <v>446</v>
      </c>
      <c r="E169" s="134" t="n">
        <f aca="false">IF(I169="regional",IF(R169*0.2975,S169*0.3484),S169*0.1939)</f>
        <v>230444.3024</v>
      </c>
      <c r="F169" s="134" t="n">
        <v>0</v>
      </c>
      <c r="G169" s="135" t="n">
        <f aca="false">E169+F169</f>
        <v>230444.3024</v>
      </c>
      <c r="H169" s="139"/>
      <c r="I169" s="133" t="s">
        <v>48</v>
      </c>
      <c r="J169" s="133"/>
      <c r="K169" s="133" t="s">
        <v>250</v>
      </c>
      <c r="L169" s="133"/>
      <c r="M169" s="136" t="n">
        <v>91</v>
      </c>
      <c r="N169" s="136" t="n">
        <v>0.979</v>
      </c>
      <c r="O169" s="136" t="n">
        <v>0.988</v>
      </c>
      <c r="P169" s="136" t="n">
        <v>1</v>
      </c>
      <c r="Q169" s="136" t="n">
        <v>0.964</v>
      </c>
      <c r="R169" s="136" t="n">
        <v>661436</v>
      </c>
      <c r="S169" s="142" t="n">
        <v>661436</v>
      </c>
      <c r="T169" s="8" t="n">
        <f aca="false">IF(I169="regional",IF(R169&gt;0,R169*0.2975,S169*0.3484),S169*0.1939)</f>
        <v>196777.21</v>
      </c>
      <c r="U169" s="136" t="n">
        <v>387378</v>
      </c>
      <c r="V169" s="136" t="n">
        <v>172654</v>
      </c>
      <c r="W169" s="136" t="n">
        <v>3045</v>
      </c>
      <c r="X169" s="136" t="n">
        <v>0</v>
      </c>
      <c r="Y169" s="136" t="n">
        <v>0</v>
      </c>
      <c r="Z169" s="136" t="n">
        <v>0</v>
      </c>
      <c r="AA169" s="136" t="n">
        <v>756809.21</v>
      </c>
      <c r="AB169" s="136" t="n">
        <v>196777.21</v>
      </c>
      <c r="AC169" s="136" t="n">
        <v>560032</v>
      </c>
      <c r="AD169" s="136" t="n">
        <v>0</v>
      </c>
      <c r="AE169" s="136" t="n">
        <v>0</v>
      </c>
      <c r="AF169" s="136" t="n">
        <v>0</v>
      </c>
      <c r="AG169" s="136" t="n">
        <v>560032</v>
      </c>
      <c r="AH169" s="136" t="n">
        <v>0</v>
      </c>
      <c r="AI169" s="136" t="n">
        <v>0</v>
      </c>
      <c r="AJ169" s="139" t="s">
        <v>707</v>
      </c>
      <c r="AK169" s="139" t="s">
        <v>714</v>
      </c>
      <c r="AL169" s="143" t="s">
        <v>48</v>
      </c>
      <c r="AM169" s="139"/>
      <c r="AN169" s="143" t="s">
        <v>446</v>
      </c>
      <c r="AO169" s="143" t="n">
        <v>196777.21</v>
      </c>
      <c r="AP169" s="144" t="n">
        <f aca="false">AR169+AT169+AU169+AV169+AX169+AY169+AZ169+BD169+BF169+BG169+BH169+BJ169+BK169+(BL169+BM169+BN169)/1000+(0.1*BO169)</f>
        <v>184.498</v>
      </c>
      <c r="AQ169" s="137" t="n">
        <f aca="false">AR169+AT169+AU169+AV169+AX169+AY169+AZ169+BB169+BC169+BD169+BF169+BG169+BH169+BJ169+BK169+(BL169+BM169+BN169)/1000+(0.1*BO169)</f>
        <v>244.498</v>
      </c>
      <c r="AR169" s="138" t="n">
        <v>0</v>
      </c>
      <c r="AS169" s="138" t="n">
        <v>0</v>
      </c>
      <c r="AT169" s="138" t="n">
        <v>163</v>
      </c>
      <c r="AU169" s="138" t="n">
        <v>0</v>
      </c>
      <c r="AV169" s="138" t="n">
        <v>0</v>
      </c>
      <c r="AW169" s="138" t="n">
        <v>0</v>
      </c>
      <c r="AX169" s="138" t="n">
        <v>0</v>
      </c>
      <c r="AY169" s="138" t="n">
        <v>0</v>
      </c>
      <c r="AZ169" s="138" t="n">
        <v>0</v>
      </c>
      <c r="BA169" s="138" t="n">
        <v>0</v>
      </c>
      <c r="BB169" s="138" t="n">
        <v>60</v>
      </c>
      <c r="BC169" s="138" t="n">
        <v>0</v>
      </c>
      <c r="BD169" s="138" t="n">
        <v>0</v>
      </c>
      <c r="BE169" s="138" t="n">
        <v>0</v>
      </c>
      <c r="BF169" s="138" t="n">
        <v>0</v>
      </c>
      <c r="BG169" s="138" t="n">
        <v>0</v>
      </c>
      <c r="BH169" s="138" t="n">
        <v>0</v>
      </c>
      <c r="BI169" s="138" t="n">
        <v>0</v>
      </c>
      <c r="BJ169" s="138" t="n">
        <v>0</v>
      </c>
      <c r="BK169" s="138" t="n">
        <v>0</v>
      </c>
      <c r="BL169" s="138" t="n">
        <v>14498</v>
      </c>
      <c r="BM169" s="138" t="n">
        <v>0</v>
      </c>
      <c r="BN169" s="138" t="n">
        <v>7000</v>
      </c>
      <c r="BO169" s="138" t="n">
        <v>0</v>
      </c>
    </row>
    <row r="170" customFormat="false" ht="15" hidden="false" customHeight="true" outlineLevel="0" collapsed="false">
      <c r="A170" s="151" t="n">
        <v>9363</v>
      </c>
      <c r="B170" s="151"/>
      <c r="C170" s="152" t="s">
        <v>447</v>
      </c>
      <c r="D170" s="133" t="s">
        <v>447</v>
      </c>
      <c r="E170" s="134" t="n">
        <f aca="false">IF(I170="regional",IF(R170*0.2975,S170*0.3484),S170*0.1939)</f>
        <v>440103.0608</v>
      </c>
      <c r="F170" s="134" t="n">
        <v>0</v>
      </c>
      <c r="G170" s="135" t="n">
        <f aca="false">E170+F170</f>
        <v>440103.0608</v>
      </c>
      <c r="H170" s="139"/>
      <c r="I170" s="133" t="s">
        <v>48</v>
      </c>
      <c r="J170" s="133" t="s">
        <v>49</v>
      </c>
      <c r="K170" s="133" t="s">
        <v>449</v>
      </c>
      <c r="L170" s="133"/>
      <c r="M170" s="136" t="n">
        <v>135</v>
      </c>
      <c r="N170" s="136" t="n">
        <v>0.938</v>
      </c>
      <c r="O170" s="136" t="n">
        <v>0.938</v>
      </c>
      <c r="P170" s="136" t="n">
        <v>0.907</v>
      </c>
      <c r="Q170" s="136" t="n">
        <v>0.915</v>
      </c>
      <c r="R170" s="136" t="n">
        <v>1280382</v>
      </c>
      <c r="S170" s="136" t="n">
        <v>1263212</v>
      </c>
      <c r="T170" s="8" t="n">
        <f aca="false">IF(I170="regional",IF(R170&gt;0,R170*0.2975,S170*0.3484),S170*0.1939)</f>
        <v>380913.645</v>
      </c>
      <c r="U170" s="136" t="n">
        <v>904288</v>
      </c>
      <c r="V170" s="136" t="n">
        <v>358924</v>
      </c>
      <c r="W170" s="136" t="n">
        <v>3168</v>
      </c>
      <c r="X170" s="136" t="n">
        <v>0</v>
      </c>
      <c r="Y170" s="136" t="n">
        <v>0</v>
      </c>
      <c r="Z170" s="136" t="n">
        <v>0</v>
      </c>
      <c r="AA170" s="136" t="n">
        <v>1644125.645</v>
      </c>
      <c r="AB170" s="136" t="n">
        <v>380913.645</v>
      </c>
      <c r="AC170" s="136" t="n">
        <v>1263212</v>
      </c>
      <c r="AD170" s="136" t="n">
        <v>0</v>
      </c>
      <c r="AE170" s="136" t="n">
        <v>0</v>
      </c>
      <c r="AF170" s="136" t="n">
        <v>0</v>
      </c>
      <c r="AG170" s="136" t="n">
        <v>1263212</v>
      </c>
      <c r="AH170" s="136" t="n">
        <v>0</v>
      </c>
      <c r="AI170" s="136" t="n">
        <v>0</v>
      </c>
      <c r="AJ170" s="139" t="s">
        <v>707</v>
      </c>
      <c r="AK170" s="139" t="s">
        <v>714</v>
      </c>
      <c r="AL170" s="143" t="s">
        <v>128</v>
      </c>
      <c r="AM170" s="139"/>
      <c r="AN170" s="143" t="s">
        <v>755</v>
      </c>
      <c r="AO170" s="154" t="n">
        <v>0</v>
      </c>
      <c r="AP170" s="155" t="n">
        <v>0</v>
      </c>
      <c r="AQ170" s="137" t="n">
        <f aca="false">AR170+AT170+AU170+AV170+AX170+AY170+AZ170+BB170+BC170+BD170+BF170+BG170+BH170+BJ170+BK170+(BL170+BM170+BN170)/1000+(0.1*BO170)</f>
        <v>634.5991</v>
      </c>
      <c r="AR170" s="156" t="n">
        <v>0</v>
      </c>
      <c r="AS170" s="156" t="n">
        <v>0</v>
      </c>
      <c r="AT170" s="156" t="n">
        <v>259</v>
      </c>
      <c r="AU170" s="156" t="n">
        <v>13</v>
      </c>
      <c r="AV170" s="156" t="n">
        <v>0</v>
      </c>
      <c r="AW170" s="156" t="n">
        <v>0</v>
      </c>
      <c r="AX170" s="156" t="n">
        <v>1</v>
      </c>
      <c r="AY170" s="156" t="n">
        <v>0</v>
      </c>
      <c r="AZ170" s="156" t="n">
        <v>0</v>
      </c>
      <c r="BA170" s="156" t="n">
        <v>0</v>
      </c>
      <c r="BB170" s="156" t="n">
        <v>259</v>
      </c>
      <c r="BC170" s="156" t="n">
        <v>0</v>
      </c>
      <c r="BD170" s="138" t="n">
        <v>0</v>
      </c>
      <c r="BE170" s="138" t="n">
        <v>0</v>
      </c>
      <c r="BF170" s="138" t="n">
        <v>0</v>
      </c>
      <c r="BG170" s="138" t="n">
        <v>0</v>
      </c>
      <c r="BH170" s="138" t="n">
        <v>0</v>
      </c>
      <c r="BI170" s="138" t="n">
        <v>0</v>
      </c>
      <c r="BJ170" s="138" t="n">
        <v>0</v>
      </c>
      <c r="BK170" s="138" t="n">
        <v>0</v>
      </c>
      <c r="BL170" s="138" t="n">
        <v>0</v>
      </c>
      <c r="BM170" s="138" t="n">
        <v>0</v>
      </c>
      <c r="BN170" s="190" t="n">
        <v>195</v>
      </c>
      <c r="BO170" s="138" t="n">
        <v>1024.041</v>
      </c>
    </row>
    <row r="171" customFormat="false" ht="15" hidden="false" customHeight="true" outlineLevel="0" collapsed="false">
      <c r="A171" s="131" t="n">
        <v>1536</v>
      </c>
      <c r="B171" s="131"/>
      <c r="C171" s="132" t="s">
        <v>450</v>
      </c>
      <c r="D171" s="133" t="s">
        <v>450</v>
      </c>
      <c r="E171" s="134" t="n">
        <f aca="false">IF(I171="regional",IF(R171*0.2975,S171*0.3484),S171*0.1939)</f>
        <v>21542.4839</v>
      </c>
      <c r="F171" s="134" t="n">
        <v>0</v>
      </c>
      <c r="G171" s="135" t="n">
        <f aca="false">E171+F171</f>
        <v>21542.4839</v>
      </c>
      <c r="H171" s="132"/>
      <c r="I171" s="133" t="s">
        <v>62</v>
      </c>
      <c r="J171" s="133"/>
      <c r="K171" s="133" t="s">
        <v>453</v>
      </c>
      <c r="L171" s="133"/>
      <c r="M171" s="136" t="n">
        <v>4</v>
      </c>
      <c r="N171" s="136" t="n">
        <v>1</v>
      </c>
      <c r="O171" s="136" t="n">
        <v>1</v>
      </c>
      <c r="P171" s="136" t="n">
        <v>1</v>
      </c>
      <c r="Q171" s="136" t="n">
        <v>1</v>
      </c>
      <c r="R171" s="136" t="n">
        <v>0</v>
      </c>
      <c r="S171" s="136" t="n">
        <v>111101</v>
      </c>
      <c r="T171" s="8" t="n">
        <f aca="false">IF(I171="regional",IF(R171&gt;0,R171*0.2975,S171*0.3484),S171*0.1939)</f>
        <v>21542.4839</v>
      </c>
      <c r="U171" s="136" t="n">
        <v>82398</v>
      </c>
      <c r="V171" s="136" t="n">
        <v>28703</v>
      </c>
      <c r="W171" s="136" t="n">
        <v>752</v>
      </c>
      <c r="X171" s="136" t="n">
        <v>0</v>
      </c>
      <c r="Y171" s="136" t="n">
        <v>0</v>
      </c>
      <c r="Z171" s="136" t="n">
        <v>0</v>
      </c>
      <c r="AA171" s="136" t="n">
        <v>132643.4839</v>
      </c>
      <c r="AB171" s="136" t="n">
        <v>21542.4839</v>
      </c>
      <c r="AC171" s="136" t="n">
        <v>111101</v>
      </c>
      <c r="AD171" s="136" t="n">
        <v>0</v>
      </c>
      <c r="AE171" s="136" t="n">
        <v>0</v>
      </c>
      <c r="AF171" s="136" t="n">
        <v>0</v>
      </c>
      <c r="AG171" s="136" t="n">
        <v>111101</v>
      </c>
      <c r="AH171" s="136" t="n">
        <v>0</v>
      </c>
      <c r="AI171" s="136" t="n">
        <v>0</v>
      </c>
      <c r="AJ171" s="132" t="n">
        <v>4</v>
      </c>
      <c r="AK171" s="132" t="s">
        <v>720</v>
      </c>
      <c r="AL171" s="133" t="s">
        <v>62</v>
      </c>
      <c r="AM171" s="132"/>
      <c r="AN171" s="133" t="s">
        <v>450</v>
      </c>
      <c r="AO171" s="133" t="n">
        <v>21542.4839</v>
      </c>
      <c r="AP171" s="137" t="n">
        <f aca="false">AR171+AT171+AU171+AV171+AX171+AY171+AZ171+BD171+BF171+BG171+BH171+BJ171+BK171+(BL171+BM171+BN171)/1000+(0.1*BO171)</f>
        <v>5</v>
      </c>
      <c r="AQ171" s="137" t="n">
        <f aca="false">AR171+AT171+AU171+AV171+AX171+AY171+AZ171+BB171+BC171+BD171+BF171+BG171+BH171+BJ171+BK171+(BL171+BM171+BN171)/1000+(0.1*BO171)</f>
        <v>5</v>
      </c>
      <c r="AR171" s="131" t="n">
        <v>0</v>
      </c>
      <c r="AS171" s="131" t="n">
        <v>0</v>
      </c>
      <c r="AT171" s="131" t="n">
        <v>5</v>
      </c>
      <c r="AU171" s="131" t="n">
        <v>0</v>
      </c>
      <c r="AV171" s="131" t="n">
        <v>0</v>
      </c>
      <c r="AW171" s="131" t="n">
        <v>0</v>
      </c>
      <c r="AX171" s="131" t="n">
        <v>0</v>
      </c>
      <c r="AY171" s="131" t="n">
        <v>0</v>
      </c>
      <c r="AZ171" s="131" t="n">
        <v>0</v>
      </c>
      <c r="BA171" s="131" t="n">
        <v>0</v>
      </c>
      <c r="BB171" s="131" t="n">
        <v>0</v>
      </c>
      <c r="BC171" s="131" t="n">
        <v>0</v>
      </c>
      <c r="BD171" s="131" t="n">
        <v>0</v>
      </c>
      <c r="BE171" s="131" t="n">
        <v>0</v>
      </c>
      <c r="BF171" s="131" t="n">
        <v>0</v>
      </c>
      <c r="BG171" s="131" t="n">
        <v>0</v>
      </c>
      <c r="BH171" s="131" t="n">
        <v>0</v>
      </c>
      <c r="BI171" s="131" t="n">
        <v>0</v>
      </c>
      <c r="BJ171" s="131" t="n">
        <v>0</v>
      </c>
      <c r="BK171" s="131" t="n">
        <v>0</v>
      </c>
      <c r="BL171" s="131" t="n">
        <v>0</v>
      </c>
      <c r="BM171" s="131" t="n">
        <v>0</v>
      </c>
      <c r="BN171" s="131" t="n">
        <v>0</v>
      </c>
      <c r="BO171" s="131" t="n">
        <v>0</v>
      </c>
    </row>
    <row r="172" customFormat="false" ht="15" hidden="false" customHeight="true" outlineLevel="0" collapsed="false">
      <c r="A172" s="131" t="n">
        <v>4834</v>
      </c>
      <c r="B172" s="131" t="s">
        <v>44</v>
      </c>
      <c r="C172" s="132" t="s">
        <v>756</v>
      </c>
      <c r="D172" s="133" t="s">
        <v>669</v>
      </c>
      <c r="E172" s="134" t="n">
        <f aca="false">IF(I172="regional",IF(R172*0.2975,S172*0.3484),S172*0.1939)</f>
        <v>285688</v>
      </c>
      <c r="F172" s="134" t="n">
        <v>491000</v>
      </c>
      <c r="G172" s="135" t="n">
        <f aca="false">E172+F172</f>
        <v>776688</v>
      </c>
      <c r="H172" s="132"/>
      <c r="I172" s="133" t="s">
        <v>48</v>
      </c>
      <c r="J172" s="133" t="s">
        <v>44</v>
      </c>
      <c r="K172" s="133" t="s">
        <v>277</v>
      </c>
      <c r="L172" s="133" t="s">
        <v>44</v>
      </c>
      <c r="M172" s="136" t="n">
        <v>110</v>
      </c>
      <c r="N172" s="136" t="n">
        <v>0.864</v>
      </c>
      <c r="O172" s="136" t="n">
        <v>0.867</v>
      </c>
      <c r="P172" s="136" t="n">
        <v>0.925</v>
      </c>
      <c r="Q172" s="136" t="n">
        <v>0.952</v>
      </c>
      <c r="R172" s="136" t="n">
        <v>1008030</v>
      </c>
      <c r="S172" s="136" t="n">
        <v>820000</v>
      </c>
      <c r="T172" s="8" t="n">
        <f aca="false">IF(I172="regional",IF(R172&gt;0,R172*0.2975,S172*0.3484),S172*0.1939)</f>
        <v>299888.925</v>
      </c>
      <c r="U172" s="136" t="n">
        <v>427000</v>
      </c>
      <c r="V172" s="136" t="n">
        <v>393000</v>
      </c>
      <c r="W172" s="136" t="n">
        <v>4100</v>
      </c>
      <c r="X172" s="136" t="n">
        <v>790888.925</v>
      </c>
      <c r="Y172" s="136" t="n">
        <v>299888.925</v>
      </c>
      <c r="Z172" s="136" t="n">
        <v>491000</v>
      </c>
      <c r="AA172" s="136" t="n">
        <v>329000</v>
      </c>
      <c r="AB172" s="136" t="n">
        <v>0</v>
      </c>
      <c r="AC172" s="136" t="n">
        <v>329000</v>
      </c>
      <c r="AD172" s="136" t="n">
        <v>491000</v>
      </c>
      <c r="AE172" s="136" t="n">
        <v>0</v>
      </c>
      <c r="AF172" s="136" t="n">
        <v>329000</v>
      </c>
      <c r="AG172" s="136" t="n">
        <v>0</v>
      </c>
      <c r="AH172" s="136" t="n">
        <v>566000</v>
      </c>
      <c r="AI172" s="136" t="n">
        <v>540000</v>
      </c>
      <c r="AJ172" s="132" t="s">
        <v>707</v>
      </c>
      <c r="AK172" s="132" t="s">
        <v>712</v>
      </c>
      <c r="AL172" s="133" t="s">
        <v>48</v>
      </c>
      <c r="AM172" s="132"/>
      <c r="AN172" s="133" t="s">
        <v>669</v>
      </c>
      <c r="AO172" s="133" t="n">
        <v>790888.925</v>
      </c>
      <c r="AP172" s="137" t="n">
        <f aca="false">AR172+AT172+AU172+AV172+AX172+AY172+AZ172+BD172+BF172+BG172+BH172+BJ172+BK172+(BL172+BM172+BN172)/1000+(0.1*BO172)</f>
        <v>643.1512</v>
      </c>
      <c r="AQ172" s="137" t="n">
        <f aca="false">AR172+AT172+AU172+AV172+AX172+AY172+AZ172+BB172+BC172+BD172+BF172+BG172+BH172+BJ172+BK172+(BL172+BM172+BN172)/1000+(0.1*BO172)</f>
        <v>735.1512</v>
      </c>
      <c r="AR172" s="131" t="n">
        <v>327</v>
      </c>
      <c r="AS172" s="131" t="n">
        <v>540</v>
      </c>
      <c r="AT172" s="131" t="n">
        <v>215</v>
      </c>
      <c r="AU172" s="131" t="n">
        <v>0</v>
      </c>
      <c r="AV172" s="131" t="n">
        <v>0</v>
      </c>
      <c r="AW172" s="131" t="n">
        <v>0</v>
      </c>
      <c r="AX172" s="131" t="n">
        <v>0</v>
      </c>
      <c r="AY172" s="131" t="n">
        <v>0</v>
      </c>
      <c r="AZ172" s="131" t="n">
        <v>32</v>
      </c>
      <c r="BA172" s="131" t="n">
        <v>85</v>
      </c>
      <c r="BB172" s="131" t="n">
        <v>92</v>
      </c>
      <c r="BC172" s="131" t="n">
        <v>0</v>
      </c>
      <c r="BD172" s="131" t="n">
        <v>9</v>
      </c>
      <c r="BE172" s="131" t="n">
        <v>1</v>
      </c>
      <c r="BF172" s="131" t="n">
        <v>0</v>
      </c>
      <c r="BG172" s="131" t="n">
        <v>0</v>
      </c>
      <c r="BH172" s="131" t="n">
        <v>60</v>
      </c>
      <c r="BI172" s="131" t="n">
        <v>0</v>
      </c>
      <c r="BJ172" s="131" t="n">
        <v>0</v>
      </c>
      <c r="BK172" s="131" t="n">
        <v>0</v>
      </c>
      <c r="BL172" s="131" t="n">
        <v>0</v>
      </c>
      <c r="BM172" s="131" t="n">
        <v>0</v>
      </c>
      <c r="BN172" s="131" t="n">
        <v>0</v>
      </c>
      <c r="BO172" s="131" t="n">
        <v>1.512</v>
      </c>
    </row>
    <row r="173" customFormat="false" ht="15" hidden="false" customHeight="true" outlineLevel="0" collapsed="false">
      <c r="A173" s="131" t="n">
        <v>728</v>
      </c>
      <c r="B173" s="131"/>
      <c r="C173" s="132" t="s">
        <v>455</v>
      </c>
      <c r="D173" s="133" t="s">
        <v>455</v>
      </c>
      <c r="E173" s="134" t="n">
        <f aca="false">IF(I173="regional",IF(R173*0.2975,S173*0.3484),S173*0.1939)</f>
        <v>59805.3526</v>
      </c>
      <c r="F173" s="134" t="n">
        <v>0</v>
      </c>
      <c r="G173" s="135" t="n">
        <f aca="false">E173+F173</f>
        <v>59805.3526</v>
      </c>
      <c r="H173" s="132" t="s">
        <v>49</v>
      </c>
      <c r="I173" s="133" t="s">
        <v>62</v>
      </c>
      <c r="J173" s="133"/>
      <c r="K173" s="133" t="s">
        <v>458</v>
      </c>
      <c r="L173" s="133"/>
      <c r="M173" s="136" t="n">
        <v>25</v>
      </c>
      <c r="N173" s="136" t="n">
        <v>0.933</v>
      </c>
      <c r="O173" s="136" t="n">
        <v>0.941</v>
      </c>
      <c r="P173" s="136" t="n">
        <v>0.656</v>
      </c>
      <c r="Q173" s="136" t="n">
        <v>0.944</v>
      </c>
      <c r="R173" s="136" t="n">
        <v>0</v>
      </c>
      <c r="S173" s="136" t="n">
        <v>308434</v>
      </c>
      <c r="T173" s="8" t="n">
        <f aca="false">IF(I173="regional",IF(R173&gt;0,R173*0.2975,S173*0.3484),S173*0.1939)</f>
        <v>59805.3526</v>
      </c>
      <c r="U173" s="136" t="n">
        <v>250749</v>
      </c>
      <c r="V173" s="136" t="n">
        <v>57685</v>
      </c>
      <c r="W173" s="136" t="n">
        <v>2854</v>
      </c>
      <c r="X173" s="136" t="n">
        <v>0</v>
      </c>
      <c r="Y173" s="136" t="n">
        <v>0</v>
      </c>
      <c r="Z173" s="136" t="n">
        <v>0</v>
      </c>
      <c r="AA173" s="136" t="n">
        <v>368239.3526</v>
      </c>
      <c r="AB173" s="136" t="n">
        <v>59805.3526</v>
      </c>
      <c r="AC173" s="136" t="n">
        <v>308434</v>
      </c>
      <c r="AD173" s="136" t="n">
        <v>0</v>
      </c>
      <c r="AE173" s="136" t="n">
        <v>0</v>
      </c>
      <c r="AF173" s="136" t="n">
        <v>0</v>
      </c>
      <c r="AG173" s="136" t="n">
        <v>308434</v>
      </c>
      <c r="AH173" s="136" t="n">
        <v>0</v>
      </c>
      <c r="AI173" s="136" t="n">
        <v>0</v>
      </c>
      <c r="AJ173" s="132" t="n">
        <v>4</v>
      </c>
      <c r="AK173" s="132" t="s">
        <v>722</v>
      </c>
      <c r="AL173" s="133" t="s">
        <v>62</v>
      </c>
      <c r="AM173" s="132" t="s">
        <v>49</v>
      </c>
      <c r="AN173" s="133" t="s">
        <v>455</v>
      </c>
      <c r="AO173" s="133" t="n">
        <v>59805.3526</v>
      </c>
      <c r="AP173" s="137" t="n">
        <f aca="false">AR173+AT173+AU173+AV173+AX173+AY173+AZ173+BD173+BF173+BG173+BH173+BJ173+BK173+(BL173+BM173+BN173)/1000+(0.1*BO173)</f>
        <v>56</v>
      </c>
      <c r="AQ173" s="137" t="n">
        <f aca="false">AR173+AT173+AU173+AV173+AX173+AY173+AZ173+BB173+BC173+BD173+BF173+BG173+BH173+BJ173+BK173+(BL173+BM173+BN173)/1000+(0.1*BO173)</f>
        <v>57</v>
      </c>
      <c r="AR173" s="131" t="n">
        <v>0</v>
      </c>
      <c r="AS173" s="131" t="n">
        <v>0</v>
      </c>
      <c r="AT173" s="131" t="n">
        <v>30</v>
      </c>
      <c r="AU173" s="131" t="n">
        <v>21</v>
      </c>
      <c r="AV173" s="131" t="n">
        <v>0</v>
      </c>
      <c r="AW173" s="131" t="n">
        <v>0</v>
      </c>
      <c r="AX173" s="131" t="n">
        <v>0</v>
      </c>
      <c r="AY173" s="131" t="n">
        <v>5</v>
      </c>
      <c r="AZ173" s="131" t="n">
        <v>0</v>
      </c>
      <c r="BA173" s="131" t="n">
        <v>11</v>
      </c>
      <c r="BB173" s="131" t="n">
        <v>0</v>
      </c>
      <c r="BC173" s="131" t="n">
        <v>1</v>
      </c>
      <c r="BD173" s="131" t="n">
        <v>0</v>
      </c>
      <c r="BE173" s="131" t="n">
        <v>0</v>
      </c>
      <c r="BF173" s="131" t="n">
        <v>0</v>
      </c>
      <c r="BG173" s="131" t="n">
        <v>0</v>
      </c>
      <c r="BH173" s="131" t="n">
        <v>0</v>
      </c>
      <c r="BI173" s="131" t="n">
        <v>0</v>
      </c>
      <c r="BJ173" s="131" t="n">
        <v>0</v>
      </c>
      <c r="BK173" s="131" t="n">
        <v>0</v>
      </c>
      <c r="BL173" s="131" t="n">
        <v>0</v>
      </c>
      <c r="BM173" s="131" t="n">
        <v>0</v>
      </c>
      <c r="BN173" s="131" t="n">
        <v>0</v>
      </c>
      <c r="BO173" s="131" t="n">
        <v>0</v>
      </c>
    </row>
    <row r="174" customFormat="false" ht="15" hidden="false" customHeight="true" outlineLevel="0" collapsed="false">
      <c r="A174" s="131" t="n">
        <v>9903</v>
      </c>
      <c r="B174" s="131"/>
      <c r="C174" s="132" t="s">
        <v>459</v>
      </c>
      <c r="D174" s="133" t="s">
        <v>459</v>
      </c>
      <c r="E174" s="134" t="n">
        <f aca="false">IF(I174="regional",IF(R174*0.2975,S174*0.3484),S174*0.1939)</f>
        <v>272582.2372</v>
      </c>
      <c r="F174" s="134" t="n">
        <v>0</v>
      </c>
      <c r="G174" s="135" t="n">
        <f aca="false">E174+F174</f>
        <v>272582.2372</v>
      </c>
      <c r="H174" s="132" t="s">
        <v>49</v>
      </c>
      <c r="I174" s="133" t="s">
        <v>48</v>
      </c>
      <c r="J174" s="133" t="s">
        <v>49</v>
      </c>
      <c r="K174" s="133" t="s">
        <v>449</v>
      </c>
      <c r="L174" s="133"/>
      <c r="M174" s="136" t="n">
        <v>132</v>
      </c>
      <c r="N174" s="136" t="n">
        <v>0.705</v>
      </c>
      <c r="O174" s="136" t="n">
        <v>0.717</v>
      </c>
      <c r="P174" s="136" t="n">
        <v>0.746</v>
      </c>
      <c r="Q174" s="136" t="n">
        <v>0.736</v>
      </c>
      <c r="R174" s="136" t="n">
        <v>944410</v>
      </c>
      <c r="S174" s="136" t="n">
        <v>782383</v>
      </c>
      <c r="T174" s="8" t="n">
        <f aca="false">IF(I174="regional",IF(R174&gt;0,R174*0.2975,S174*0.3484),S174*0.1939)</f>
        <v>280961.975</v>
      </c>
      <c r="U174" s="136" t="n">
        <v>458554</v>
      </c>
      <c r="V174" s="136" t="n">
        <v>323829</v>
      </c>
      <c r="W174" s="136" t="n">
        <v>3671</v>
      </c>
      <c r="X174" s="136" t="n">
        <v>0</v>
      </c>
      <c r="Y174" s="136" t="n">
        <v>0</v>
      </c>
      <c r="Z174" s="136" t="n">
        <v>0</v>
      </c>
      <c r="AA174" s="136" t="n">
        <v>1063344.975</v>
      </c>
      <c r="AB174" s="136" t="n">
        <v>280961.975</v>
      </c>
      <c r="AC174" s="136" t="n">
        <v>782383</v>
      </c>
      <c r="AD174" s="136" t="n">
        <v>0</v>
      </c>
      <c r="AE174" s="136" t="n">
        <v>0</v>
      </c>
      <c r="AF174" s="136" t="n">
        <v>0</v>
      </c>
      <c r="AG174" s="136" t="n">
        <v>782383</v>
      </c>
      <c r="AH174" s="136" t="n">
        <v>0</v>
      </c>
      <c r="AI174" s="136" t="n">
        <v>0</v>
      </c>
      <c r="AJ174" s="132" t="s">
        <v>707</v>
      </c>
      <c r="AK174" s="132" t="s">
        <v>714</v>
      </c>
      <c r="AL174" s="133" t="s">
        <v>48</v>
      </c>
      <c r="AM174" s="132" t="s">
        <v>49</v>
      </c>
      <c r="AN174" s="133" t="s">
        <v>459</v>
      </c>
      <c r="AO174" s="133" t="n">
        <v>280961.975</v>
      </c>
      <c r="AP174" s="137" t="n">
        <f aca="false">AR174+AT174+AU174+AV174+AX174+AY174+AZ174+BD174+BF174+BG174+BH174+BJ174+BK174+(BL174+BM174+BN174)/1000+(0.1*BO174)</f>
        <v>331.4256</v>
      </c>
      <c r="AQ174" s="137" t="n">
        <f aca="false">AR174+AT174+AU174+AV174+AX174+AY174+AZ174+BB174+BC174+BD174+BF174+BG174+BH174+BJ174+BK174+(BL174+BM174+BN174)/1000+(0.1*BO174)</f>
        <v>392.4256</v>
      </c>
      <c r="AR174" s="131" t="n">
        <v>0</v>
      </c>
      <c r="AS174" s="131" t="n">
        <v>0</v>
      </c>
      <c r="AT174" s="131" t="n">
        <v>223</v>
      </c>
      <c r="AU174" s="131" t="n">
        <v>2</v>
      </c>
      <c r="AV174" s="131" t="n">
        <v>0</v>
      </c>
      <c r="AW174" s="131" t="n">
        <v>0</v>
      </c>
      <c r="AX174" s="131" t="n">
        <v>4</v>
      </c>
      <c r="AY174" s="131" t="n">
        <v>0</v>
      </c>
      <c r="AZ174" s="131" t="n">
        <v>0</v>
      </c>
      <c r="BA174" s="131" t="n">
        <v>0</v>
      </c>
      <c r="BB174" s="131" t="n">
        <v>52</v>
      </c>
      <c r="BC174" s="131" t="n">
        <v>9</v>
      </c>
      <c r="BD174" s="131" t="n">
        <v>0</v>
      </c>
      <c r="BE174" s="131" t="n">
        <v>0</v>
      </c>
      <c r="BF174" s="131" t="n">
        <v>0</v>
      </c>
      <c r="BG174" s="131" t="n">
        <v>0</v>
      </c>
      <c r="BH174" s="131" t="n">
        <v>1</v>
      </c>
      <c r="BI174" s="131" t="n">
        <v>0</v>
      </c>
      <c r="BJ174" s="131" t="n">
        <v>0</v>
      </c>
      <c r="BK174" s="131" t="n">
        <v>0</v>
      </c>
      <c r="BL174" s="131" t="n">
        <v>0</v>
      </c>
      <c r="BM174" s="131" t="n">
        <v>0</v>
      </c>
      <c r="BN174" s="131" t="n">
        <v>39651</v>
      </c>
      <c r="BO174" s="131" t="n">
        <v>617.746</v>
      </c>
    </row>
    <row r="175" customFormat="false" ht="15" hidden="false" customHeight="true" outlineLevel="0" collapsed="false">
      <c r="A175" s="131" t="n">
        <v>2318</v>
      </c>
      <c r="B175" s="131" t="s">
        <v>44</v>
      </c>
      <c r="C175" s="132" t="s">
        <v>461</v>
      </c>
      <c r="D175" s="133" t="s">
        <v>461</v>
      </c>
      <c r="E175" s="134" t="n">
        <f aca="false">IF(I175="regional",IF(R175*0.2975,S175*0.3484),S175*0.1939)</f>
        <v>272448.8</v>
      </c>
      <c r="F175" s="134" t="n">
        <v>0</v>
      </c>
      <c r="G175" s="135" t="n">
        <f aca="false">E175+F175</f>
        <v>272448.8</v>
      </c>
      <c r="H175" s="132"/>
      <c r="I175" s="133" t="s">
        <v>48</v>
      </c>
      <c r="J175" s="133" t="s">
        <v>44</v>
      </c>
      <c r="K175" s="133" t="s">
        <v>406</v>
      </c>
      <c r="L175" s="133"/>
      <c r="M175" s="136" t="n">
        <v>53</v>
      </c>
      <c r="N175" s="136" t="n">
        <v>0.93</v>
      </c>
      <c r="O175" s="136" t="n">
        <v>0.923</v>
      </c>
      <c r="P175" s="136" t="n">
        <v>0.919</v>
      </c>
      <c r="Q175" s="136" t="n">
        <v>0.944</v>
      </c>
      <c r="R175" s="136" t="n">
        <v>804218</v>
      </c>
      <c r="S175" s="136" t="n">
        <v>782000</v>
      </c>
      <c r="T175" s="8" t="n">
        <f aca="false">IF(I175="regional",IF(R175&gt;0,R175*0.2975,S175*0.3484),S175*0.1939)</f>
        <v>239254.855</v>
      </c>
      <c r="U175" s="136" t="n">
        <v>600982</v>
      </c>
      <c r="V175" s="136" t="n">
        <v>181018</v>
      </c>
      <c r="W175" s="136" t="n">
        <v>2352</v>
      </c>
      <c r="X175" s="136" t="n">
        <v>0</v>
      </c>
      <c r="Y175" s="136" t="n">
        <v>0</v>
      </c>
      <c r="Z175" s="136" t="n">
        <v>0</v>
      </c>
      <c r="AA175" s="136" t="n">
        <v>1021254.855</v>
      </c>
      <c r="AB175" s="136" t="n">
        <v>239254.855</v>
      </c>
      <c r="AC175" s="136" t="n">
        <v>782000</v>
      </c>
      <c r="AD175" s="136" t="n">
        <v>0</v>
      </c>
      <c r="AE175" s="136" t="n">
        <v>0</v>
      </c>
      <c r="AF175" s="136" t="n">
        <v>782000</v>
      </c>
      <c r="AG175" s="136" t="n">
        <v>0</v>
      </c>
      <c r="AH175" s="136" t="n">
        <v>60000</v>
      </c>
      <c r="AI175" s="136" t="n">
        <v>61000</v>
      </c>
      <c r="AJ175" s="132" t="s">
        <v>707</v>
      </c>
      <c r="AK175" s="132" t="s">
        <v>729</v>
      </c>
      <c r="AL175" s="133" t="s">
        <v>48</v>
      </c>
      <c r="AM175" s="132"/>
      <c r="AN175" s="133" t="s">
        <v>461</v>
      </c>
      <c r="AO175" s="133" t="n">
        <v>239254.855</v>
      </c>
      <c r="AP175" s="137" t="n">
        <f aca="false">AR175+AT175+AU175+AV175+AX175+AY175+AZ175+BD175+BF175+BG175+BH175+BJ175+BK175+(BL175+BM175+BN175)/1000+(0.1*BO175)</f>
        <v>137.5335</v>
      </c>
      <c r="AQ175" s="137" t="n">
        <f aca="false">AR175+AT175+AU175+AV175+AX175+AY175+AZ175+BB175+BC175+BD175+BF175+BG175+BH175+BJ175+BK175+(BL175+BM175+BN175)/1000+(0.1*BO175)</f>
        <v>141.5335</v>
      </c>
      <c r="AR175" s="131" t="n">
        <v>51</v>
      </c>
      <c r="AS175" s="131" t="n">
        <v>61</v>
      </c>
      <c r="AT175" s="131" t="n">
        <v>24</v>
      </c>
      <c r="AU175" s="131" t="n">
        <v>1</v>
      </c>
      <c r="AV175" s="131" t="n">
        <v>0</v>
      </c>
      <c r="AW175" s="131" t="n">
        <v>0</v>
      </c>
      <c r="AX175" s="131" t="n">
        <v>2</v>
      </c>
      <c r="AY175" s="131" t="n">
        <v>0</v>
      </c>
      <c r="AZ175" s="131" t="n">
        <v>0</v>
      </c>
      <c r="BA175" s="131" t="n">
        <v>1</v>
      </c>
      <c r="BB175" s="131" t="n">
        <v>4</v>
      </c>
      <c r="BC175" s="131" t="n">
        <v>0</v>
      </c>
      <c r="BD175" s="131" t="n">
        <v>0</v>
      </c>
      <c r="BE175" s="131" t="n">
        <v>0</v>
      </c>
      <c r="BF175" s="131" t="n">
        <v>0</v>
      </c>
      <c r="BG175" s="131" t="n">
        <v>0</v>
      </c>
      <c r="BH175" s="131" t="n">
        <v>0</v>
      </c>
      <c r="BI175" s="131" t="n">
        <v>0</v>
      </c>
      <c r="BJ175" s="131" t="n">
        <v>0</v>
      </c>
      <c r="BK175" s="131" t="n">
        <v>0</v>
      </c>
      <c r="BL175" s="131" t="n">
        <v>9776</v>
      </c>
      <c r="BM175" s="131" t="n">
        <v>0</v>
      </c>
      <c r="BN175" s="131" t="n">
        <v>14515</v>
      </c>
      <c r="BO175" s="131" t="n">
        <v>352.425</v>
      </c>
    </row>
    <row r="176" customFormat="false" ht="15" hidden="false" customHeight="true" outlineLevel="0" collapsed="false">
      <c r="A176" s="131" t="n">
        <v>9419</v>
      </c>
      <c r="B176" s="131"/>
      <c r="C176" s="132" t="s">
        <v>463</v>
      </c>
      <c r="D176" s="133" t="s">
        <v>463</v>
      </c>
      <c r="E176" s="134" t="n">
        <f aca="false">IF(I176="regional",IF(R176*0.2975,S176*0.3484),S176*0.1939)</f>
        <v>315224.3068</v>
      </c>
      <c r="F176" s="134" t="n">
        <v>0</v>
      </c>
      <c r="G176" s="135" t="n">
        <f aca="false">E176+F176</f>
        <v>315224.3068</v>
      </c>
      <c r="H176" s="132"/>
      <c r="I176" s="133" t="s">
        <v>48</v>
      </c>
      <c r="J176" s="133" t="s">
        <v>49</v>
      </c>
      <c r="K176" s="133" t="s">
        <v>464</v>
      </c>
      <c r="L176" s="133"/>
      <c r="M176" s="136" t="n">
        <v>73</v>
      </c>
      <c r="N176" s="136" t="n">
        <v>0.657</v>
      </c>
      <c r="O176" s="136" t="n">
        <v>0.698</v>
      </c>
      <c r="P176" s="136" t="n">
        <v>0.692</v>
      </c>
      <c r="Q176" s="136" t="n">
        <v>0.68</v>
      </c>
      <c r="R176" s="136" t="n">
        <v>974410</v>
      </c>
      <c r="S176" s="136" t="n">
        <v>904777</v>
      </c>
      <c r="T176" s="8" t="n">
        <f aca="false">IF(I176="regional",IF(R176&gt;0,R176*0.2975,S176*0.3484),S176*0.1939)</f>
        <v>289886.975</v>
      </c>
      <c r="U176" s="136" t="n">
        <v>691230</v>
      </c>
      <c r="V176" s="136" t="n">
        <v>213547</v>
      </c>
      <c r="W176" s="136" t="n">
        <v>4584</v>
      </c>
      <c r="X176" s="136" t="n">
        <v>0</v>
      </c>
      <c r="Y176" s="136" t="n">
        <v>0</v>
      </c>
      <c r="Z176" s="136" t="n">
        <v>0</v>
      </c>
      <c r="AA176" s="136" t="n">
        <v>1194663.975</v>
      </c>
      <c r="AB176" s="136" t="n">
        <v>289886.975</v>
      </c>
      <c r="AC176" s="136" t="n">
        <v>904777</v>
      </c>
      <c r="AD176" s="136" t="n">
        <v>0</v>
      </c>
      <c r="AE176" s="136" t="n">
        <v>0</v>
      </c>
      <c r="AF176" s="136" t="n">
        <v>0</v>
      </c>
      <c r="AG176" s="136" t="n">
        <v>904777</v>
      </c>
      <c r="AH176" s="136" t="n">
        <v>0</v>
      </c>
      <c r="AI176" s="136" t="n">
        <v>0</v>
      </c>
      <c r="AJ176" s="132" t="s">
        <v>707</v>
      </c>
      <c r="AK176" s="132" t="s">
        <v>712</v>
      </c>
      <c r="AL176" s="133" t="s">
        <v>48</v>
      </c>
      <c r="AM176" s="132"/>
      <c r="AN176" s="133" t="s">
        <v>463</v>
      </c>
      <c r="AO176" s="133" t="n">
        <v>289886.975</v>
      </c>
      <c r="AP176" s="137" t="n">
        <f aca="false">AR176+AT176+AU176+AV176+AX176+AY176+AZ176+BD176+BF176+BG176+BH176+BJ176+BK176+(BL176+BM176+BN176)/1000+(0.1*BO176)</f>
        <v>227.6824</v>
      </c>
      <c r="AQ176" s="137" t="n">
        <f aca="false">AR176+AT176+AU176+AV176+AX176+AY176+AZ176+BB176+BC176+BD176+BF176+BG176+BH176+BJ176+BK176+(BL176+BM176+BN176)/1000+(0.1*BO176)</f>
        <v>237.6824</v>
      </c>
      <c r="AR176" s="131" t="n">
        <v>0</v>
      </c>
      <c r="AS176" s="131" t="n">
        <v>0</v>
      </c>
      <c r="AT176" s="131" t="n">
        <v>62</v>
      </c>
      <c r="AU176" s="131" t="n">
        <v>26</v>
      </c>
      <c r="AV176" s="131" t="n">
        <v>0</v>
      </c>
      <c r="AW176" s="131" t="n">
        <v>0</v>
      </c>
      <c r="AX176" s="131" t="n">
        <v>6</v>
      </c>
      <c r="AY176" s="131" t="n">
        <v>2</v>
      </c>
      <c r="AZ176" s="131" t="n">
        <v>0</v>
      </c>
      <c r="BA176" s="131" t="n">
        <v>0</v>
      </c>
      <c r="BB176" s="131" t="n">
        <v>7</v>
      </c>
      <c r="BC176" s="131" t="n">
        <v>3</v>
      </c>
      <c r="BD176" s="131" t="n">
        <v>0</v>
      </c>
      <c r="BE176" s="131" t="n">
        <v>0</v>
      </c>
      <c r="BF176" s="131" t="n">
        <v>0</v>
      </c>
      <c r="BG176" s="131" t="n">
        <v>0</v>
      </c>
      <c r="BH176" s="131" t="n">
        <v>0</v>
      </c>
      <c r="BI176" s="131" t="n">
        <v>0</v>
      </c>
      <c r="BJ176" s="131" t="n">
        <v>0</v>
      </c>
      <c r="BK176" s="131" t="n">
        <v>0</v>
      </c>
      <c r="BL176" s="131" t="n">
        <v>88626</v>
      </c>
      <c r="BM176" s="131" t="n">
        <v>0</v>
      </c>
      <c r="BN176" s="131" t="n">
        <v>0</v>
      </c>
      <c r="BO176" s="131" t="n">
        <v>430.564</v>
      </c>
    </row>
    <row r="177" customFormat="false" ht="15" hidden="false" customHeight="true" outlineLevel="0" collapsed="false">
      <c r="A177" s="131" t="n">
        <v>9421</v>
      </c>
      <c r="B177" s="131"/>
      <c r="C177" s="132" t="s">
        <v>465</v>
      </c>
      <c r="D177" s="133" t="s">
        <v>465</v>
      </c>
      <c r="E177" s="134" t="n">
        <f aca="false">IF(I177="regional",IF(R177*0.2975,S177*0.3484),S177*0.1939)</f>
        <v>551665.9668</v>
      </c>
      <c r="F177" s="134" t="n">
        <v>0</v>
      </c>
      <c r="G177" s="135" t="n">
        <f aca="false">E177+F177</f>
        <v>551665.9668</v>
      </c>
      <c r="H177" s="132"/>
      <c r="I177" s="133" t="s">
        <v>48</v>
      </c>
      <c r="J177" s="133"/>
      <c r="K177" s="133" t="s">
        <v>260</v>
      </c>
      <c r="L177" s="133"/>
      <c r="M177" s="136" t="n">
        <v>174</v>
      </c>
      <c r="N177" s="136" t="n">
        <v>0.662</v>
      </c>
      <c r="O177" s="136" t="n">
        <v>0.651</v>
      </c>
      <c r="P177" s="136" t="n">
        <v>0.648</v>
      </c>
      <c r="Q177" s="136" t="n">
        <v>0.649</v>
      </c>
      <c r="R177" s="136" t="n">
        <v>205220</v>
      </c>
      <c r="S177" s="136" t="n">
        <v>1583427</v>
      </c>
      <c r="T177" s="8" t="n">
        <f aca="false">IF(I177="regional",IF(R177&gt;0,R177*0.2975,S177*0.3484),S177*0.1939)</f>
        <v>61052.95</v>
      </c>
      <c r="U177" s="136" t="n">
        <v>1126240</v>
      </c>
      <c r="V177" s="136" t="n">
        <v>457187</v>
      </c>
      <c r="W177" s="136" t="n">
        <v>8016</v>
      </c>
      <c r="X177" s="136" t="n">
        <v>0</v>
      </c>
      <c r="Y177" s="136" t="n">
        <v>0</v>
      </c>
      <c r="Z177" s="136" t="n">
        <v>0</v>
      </c>
      <c r="AA177" s="136" t="n">
        <v>1644479.95</v>
      </c>
      <c r="AB177" s="136" t="n">
        <v>61052.95</v>
      </c>
      <c r="AC177" s="136" t="n">
        <v>1583427</v>
      </c>
      <c r="AD177" s="136" t="n">
        <v>0</v>
      </c>
      <c r="AE177" s="136" t="n">
        <v>0</v>
      </c>
      <c r="AF177" s="136" t="n">
        <v>0</v>
      </c>
      <c r="AG177" s="136" t="n">
        <v>1583427</v>
      </c>
      <c r="AH177" s="136" t="n">
        <v>0</v>
      </c>
      <c r="AI177" s="136" t="n">
        <v>0</v>
      </c>
      <c r="AJ177" s="132" t="n">
        <v>4</v>
      </c>
      <c r="AK177" s="132" t="s">
        <v>720</v>
      </c>
      <c r="AL177" s="133" t="s">
        <v>48</v>
      </c>
      <c r="AM177" s="132"/>
      <c r="AN177" s="133" t="s">
        <v>465</v>
      </c>
      <c r="AO177" s="133" t="n">
        <v>61052.95</v>
      </c>
      <c r="AP177" s="137" t="n">
        <f aca="false">AR177+AT177+AU177+AV177+AX177+AY177+AZ177+BD177+BF177+BG177+BH177+BJ177+BK177+(BL177+BM177+BN177)/1000+(0.1*BO177)</f>
        <v>519.2717</v>
      </c>
      <c r="AQ177" s="137" t="n">
        <f aca="false">AR177+AT177+AU177+AV177+AX177+AY177+AZ177+BB177+BC177+BD177+BF177+BG177+BH177+BJ177+BK177+(BL177+BM177+BN177)/1000+(0.1*BO177)</f>
        <v>635.2717</v>
      </c>
      <c r="AR177" s="131" t="n">
        <v>0</v>
      </c>
      <c r="AS177" s="131" t="n">
        <v>0</v>
      </c>
      <c r="AT177" s="131" t="n">
        <v>382</v>
      </c>
      <c r="AU177" s="131" t="n">
        <v>10</v>
      </c>
      <c r="AV177" s="131" t="n">
        <v>0</v>
      </c>
      <c r="AW177" s="131" t="n">
        <v>0</v>
      </c>
      <c r="AX177" s="131" t="n">
        <v>16</v>
      </c>
      <c r="AY177" s="131" t="n">
        <v>14</v>
      </c>
      <c r="AZ177" s="131" t="n">
        <v>0</v>
      </c>
      <c r="BA177" s="131" t="n">
        <v>0</v>
      </c>
      <c r="BB177" s="131" t="n">
        <v>116</v>
      </c>
      <c r="BC177" s="131" t="n">
        <v>0</v>
      </c>
      <c r="BD177" s="131" t="n">
        <v>0</v>
      </c>
      <c r="BE177" s="131" t="n">
        <v>0</v>
      </c>
      <c r="BF177" s="131" t="n">
        <v>0</v>
      </c>
      <c r="BG177" s="131" t="n">
        <v>0</v>
      </c>
      <c r="BH177" s="131" t="n">
        <v>0</v>
      </c>
      <c r="BI177" s="131" t="n">
        <v>0</v>
      </c>
      <c r="BJ177" s="131" t="n">
        <v>0</v>
      </c>
      <c r="BK177" s="131" t="n">
        <v>0</v>
      </c>
      <c r="BL177" s="131" t="n">
        <v>0</v>
      </c>
      <c r="BM177" s="131" t="n">
        <v>0</v>
      </c>
      <c r="BN177" s="131" t="n">
        <v>0</v>
      </c>
      <c r="BO177" s="131" t="n">
        <v>972.717</v>
      </c>
    </row>
    <row r="178" customFormat="false" ht="15" hidden="false" customHeight="true" outlineLevel="0" collapsed="false">
      <c r="A178" s="131" t="n">
        <v>3518</v>
      </c>
      <c r="B178" s="131"/>
      <c r="C178" s="132" t="s">
        <v>467</v>
      </c>
      <c r="D178" s="133" t="s">
        <v>467</v>
      </c>
      <c r="E178" s="134" t="n">
        <f aca="false">IF(I178="regional",IF(R178*0.2975,S178*0.3484),S178*0.1939)</f>
        <v>53746.5593</v>
      </c>
      <c r="F178" s="134" t="n">
        <v>0</v>
      </c>
      <c r="G178" s="135" t="n">
        <f aca="false">E178+F178</f>
        <v>53746.5593</v>
      </c>
      <c r="H178" s="132"/>
      <c r="I178" s="133" t="s">
        <v>62</v>
      </c>
      <c r="J178" s="133"/>
      <c r="K178" s="133" t="s">
        <v>50</v>
      </c>
      <c r="L178" s="133"/>
      <c r="M178" s="136" t="n">
        <v>10</v>
      </c>
      <c r="N178" s="136" t="n">
        <v>1</v>
      </c>
      <c r="O178" s="136" t="n">
        <v>1</v>
      </c>
      <c r="P178" s="136" t="n">
        <v>1</v>
      </c>
      <c r="Q178" s="136" t="n">
        <v>1</v>
      </c>
      <c r="R178" s="136" t="n">
        <v>0</v>
      </c>
      <c r="S178" s="136" t="n">
        <v>277187</v>
      </c>
      <c r="T178" s="8" t="n">
        <f aca="false">IF(I178="regional",IF(R178&gt;0,R178*0.2975,S178*0.3484),S178*0.1939)</f>
        <v>53746.5593</v>
      </c>
      <c r="U178" s="136" t="n">
        <v>210627</v>
      </c>
      <c r="V178" s="136" t="n">
        <v>66560</v>
      </c>
      <c r="W178" s="136" t="n">
        <v>1262</v>
      </c>
      <c r="X178" s="136" t="n">
        <v>0</v>
      </c>
      <c r="Y178" s="136" t="n">
        <v>0</v>
      </c>
      <c r="Z178" s="136" t="n">
        <v>0</v>
      </c>
      <c r="AA178" s="136" t="n">
        <v>330933.5593</v>
      </c>
      <c r="AB178" s="136" t="n">
        <v>53746.5593</v>
      </c>
      <c r="AC178" s="136" t="n">
        <v>277187</v>
      </c>
      <c r="AD178" s="136" t="n">
        <v>0</v>
      </c>
      <c r="AE178" s="136" t="n">
        <v>0</v>
      </c>
      <c r="AF178" s="136" t="n">
        <v>0</v>
      </c>
      <c r="AG178" s="136" t="n">
        <v>277187</v>
      </c>
      <c r="AH178" s="136" t="n">
        <v>0</v>
      </c>
      <c r="AI178" s="136" t="n">
        <v>0</v>
      </c>
      <c r="AJ178" s="132" t="n">
        <v>4</v>
      </c>
      <c r="AK178" s="132" t="s">
        <v>706</v>
      </c>
      <c r="AL178" s="133" t="s">
        <v>62</v>
      </c>
      <c r="AM178" s="132"/>
      <c r="AN178" s="133" t="s">
        <v>467</v>
      </c>
      <c r="AO178" s="133" t="n">
        <v>53746.5593</v>
      </c>
      <c r="AP178" s="137" t="n">
        <f aca="false">AR178+AT178+AU178+AV178+AX178+AY178+AZ178+BD178+BF178+BG178+BH178+BJ178+BK178+(BL178+BM178+BN178)/1000+(0.1*BO178)</f>
        <v>17.5404</v>
      </c>
      <c r="AQ178" s="137" t="n">
        <f aca="false">AR178+AT178+AU178+AV178+AX178+AY178+AZ178+BB178+BC178+BD178+BF178+BG178+BH178+BJ178+BK178+(BL178+BM178+BN178)/1000+(0.1*BO178)</f>
        <v>17.5404</v>
      </c>
      <c r="AR178" s="131" t="n">
        <v>0</v>
      </c>
      <c r="AS178" s="131" t="n">
        <v>0</v>
      </c>
      <c r="AT178" s="131" t="n">
        <v>10</v>
      </c>
      <c r="AU178" s="131" t="n">
        <v>0</v>
      </c>
      <c r="AV178" s="131" t="n">
        <v>0</v>
      </c>
      <c r="AW178" s="131" t="n">
        <v>0</v>
      </c>
      <c r="AX178" s="131" t="n">
        <v>0</v>
      </c>
      <c r="AY178" s="131" t="n">
        <v>0</v>
      </c>
      <c r="AZ178" s="131" t="n">
        <v>0</v>
      </c>
      <c r="BA178" s="131" t="n">
        <v>0</v>
      </c>
      <c r="BB178" s="131" t="n">
        <v>0</v>
      </c>
      <c r="BC178" s="131" t="n">
        <v>0</v>
      </c>
      <c r="BD178" s="131" t="n">
        <v>0</v>
      </c>
      <c r="BE178" s="131" t="n">
        <v>0</v>
      </c>
      <c r="BF178" s="131" t="n">
        <v>0</v>
      </c>
      <c r="BG178" s="131" t="n">
        <v>0</v>
      </c>
      <c r="BH178" s="131" t="n">
        <v>0</v>
      </c>
      <c r="BI178" s="131" t="n">
        <v>0</v>
      </c>
      <c r="BJ178" s="131" t="n">
        <v>0</v>
      </c>
      <c r="BK178" s="131" t="n">
        <v>0</v>
      </c>
      <c r="BL178" s="131" t="n">
        <v>0</v>
      </c>
      <c r="BM178" s="131" t="n">
        <v>0</v>
      </c>
      <c r="BN178" s="131" t="n">
        <v>0</v>
      </c>
      <c r="BO178" s="131" t="n">
        <v>75.404</v>
      </c>
    </row>
    <row r="179" customFormat="false" ht="15" hidden="false" customHeight="true" outlineLevel="0" collapsed="false">
      <c r="A179" s="131" t="n">
        <v>9555</v>
      </c>
      <c r="B179" s="131"/>
      <c r="C179" s="132" t="s">
        <v>469</v>
      </c>
      <c r="D179" s="133" t="s">
        <v>469</v>
      </c>
      <c r="E179" s="134" t="n">
        <f aca="false">IF(I179="regional",IF(R179*0.2975,S179*0.3484),S179*0.1939)</f>
        <v>299748.7272</v>
      </c>
      <c r="F179" s="134" t="n">
        <v>0</v>
      </c>
      <c r="G179" s="135" t="n">
        <f aca="false">E179+F179</f>
        <v>299748.7272</v>
      </c>
      <c r="H179" s="132"/>
      <c r="I179" s="133" t="s">
        <v>48</v>
      </c>
      <c r="J179" s="133"/>
      <c r="K179" s="133" t="s">
        <v>118</v>
      </c>
      <c r="L179" s="133"/>
      <c r="M179" s="136" t="n">
        <v>106</v>
      </c>
      <c r="N179" s="136" t="n">
        <v>0.774</v>
      </c>
      <c r="O179" s="136" t="n">
        <v>0.785</v>
      </c>
      <c r="P179" s="136" t="n">
        <v>0.612</v>
      </c>
      <c r="Q179" s="136" t="n">
        <v>0.515</v>
      </c>
      <c r="R179" s="136" t="n">
        <v>890408</v>
      </c>
      <c r="S179" s="136" t="n">
        <v>860358</v>
      </c>
      <c r="T179" s="8" t="n">
        <f aca="false">IF(I179="regional",IF(R179&gt;0,R179*0.2975,S179*0.3484),S179*0.1939)</f>
        <v>264896.38</v>
      </c>
      <c r="U179" s="136" t="n">
        <v>598255</v>
      </c>
      <c r="V179" s="136" t="n">
        <v>262103</v>
      </c>
      <c r="W179" s="136" t="n">
        <v>4721</v>
      </c>
      <c r="X179" s="136" t="n">
        <v>0</v>
      </c>
      <c r="Y179" s="136" t="n">
        <v>0</v>
      </c>
      <c r="Z179" s="136" t="n">
        <v>0</v>
      </c>
      <c r="AA179" s="136" t="n">
        <v>1125254.38</v>
      </c>
      <c r="AB179" s="136" t="n">
        <v>264896.38</v>
      </c>
      <c r="AC179" s="136" t="n">
        <v>860358</v>
      </c>
      <c r="AD179" s="136" t="n">
        <v>0</v>
      </c>
      <c r="AE179" s="136" t="n">
        <v>0</v>
      </c>
      <c r="AF179" s="136" t="n">
        <v>0</v>
      </c>
      <c r="AG179" s="136" t="n">
        <v>860358</v>
      </c>
      <c r="AH179" s="136" t="n">
        <v>0</v>
      </c>
      <c r="AI179" s="136" t="n">
        <v>0</v>
      </c>
      <c r="AJ179" s="132" t="s">
        <v>707</v>
      </c>
      <c r="AK179" s="132" t="s">
        <v>708</v>
      </c>
      <c r="AL179" s="133" t="s">
        <v>48</v>
      </c>
      <c r="AM179" s="132"/>
      <c r="AN179" s="133" t="s">
        <v>469</v>
      </c>
      <c r="AO179" s="133" t="n">
        <v>264896.38</v>
      </c>
      <c r="AP179" s="137" t="n">
        <f aca="false">AR179+AT179+AU179+AV179+AX179+AY179+AZ179+BD179+BF179+BG179+BH179+BJ179+BK179+(BL179+BM179+BN179)/1000+(0.1*BO179)</f>
        <v>243.4312</v>
      </c>
      <c r="AQ179" s="137" t="n">
        <f aca="false">AR179+AT179+AU179+AV179+AX179+AY179+AZ179+BB179+BC179+BD179+BF179+BG179+BH179+BJ179+BK179+(BL179+BM179+BN179)/1000+(0.1*BO179)</f>
        <v>263.4312</v>
      </c>
      <c r="AR179" s="131" t="n">
        <v>0</v>
      </c>
      <c r="AS179" s="131" t="n">
        <v>0</v>
      </c>
      <c r="AT179" s="131" t="n">
        <v>168</v>
      </c>
      <c r="AU179" s="131" t="n">
        <v>10</v>
      </c>
      <c r="AV179" s="131" t="n">
        <v>0</v>
      </c>
      <c r="AW179" s="131" t="n">
        <v>0</v>
      </c>
      <c r="AX179" s="131" t="n">
        <v>6</v>
      </c>
      <c r="AY179" s="131" t="n">
        <v>0</v>
      </c>
      <c r="AZ179" s="131" t="n">
        <v>0</v>
      </c>
      <c r="BA179" s="131" t="n">
        <v>0</v>
      </c>
      <c r="BB179" s="131" t="n">
        <v>20</v>
      </c>
      <c r="BC179" s="131" t="n">
        <v>0</v>
      </c>
      <c r="BD179" s="131" t="n">
        <v>0</v>
      </c>
      <c r="BE179" s="131" t="n">
        <v>0</v>
      </c>
      <c r="BF179" s="131" t="n">
        <v>0</v>
      </c>
      <c r="BG179" s="131" t="n">
        <v>0</v>
      </c>
      <c r="BH179" s="131" t="n">
        <v>0</v>
      </c>
      <c r="BI179" s="131" t="n">
        <v>0</v>
      </c>
      <c r="BJ179" s="131" t="n">
        <v>0</v>
      </c>
      <c r="BK179" s="131" t="n">
        <v>0</v>
      </c>
      <c r="BL179" s="131" t="n">
        <v>13500</v>
      </c>
      <c r="BM179" s="131" t="n">
        <v>0</v>
      </c>
      <c r="BN179" s="131" t="n">
        <v>0</v>
      </c>
      <c r="BO179" s="131" t="n">
        <v>459.312</v>
      </c>
    </row>
    <row r="180" customFormat="false" ht="15" hidden="false" customHeight="true" outlineLevel="0" collapsed="false">
      <c r="A180" s="131" t="n">
        <v>9448</v>
      </c>
      <c r="B180" s="131"/>
      <c r="C180" s="132" t="s">
        <v>471</v>
      </c>
      <c r="D180" s="133" t="s">
        <v>471</v>
      </c>
      <c r="E180" s="134" t="n">
        <f aca="false">IF(I180="regional",IF(R180*0.2975,S180*0.3484),S180*0.1939)</f>
        <v>136710.418</v>
      </c>
      <c r="F180" s="134" t="n">
        <v>0</v>
      </c>
      <c r="G180" s="135" t="n">
        <f aca="false">E180+F180</f>
        <v>136710.418</v>
      </c>
      <c r="H180" s="132"/>
      <c r="I180" s="133" t="s">
        <v>48</v>
      </c>
      <c r="J180" s="133" t="s">
        <v>49</v>
      </c>
      <c r="K180" s="133" t="s">
        <v>473</v>
      </c>
      <c r="L180" s="133"/>
      <c r="M180" s="136" t="n">
        <v>45</v>
      </c>
      <c r="N180" s="136" t="n">
        <v>0.899</v>
      </c>
      <c r="O180" s="136" t="n">
        <v>0.868</v>
      </c>
      <c r="P180" s="136" t="n">
        <v>0.806</v>
      </c>
      <c r="Q180" s="136" t="n">
        <v>0.776</v>
      </c>
      <c r="R180" s="136" t="n">
        <v>457256</v>
      </c>
      <c r="S180" s="136" t="n">
        <v>392395</v>
      </c>
      <c r="T180" s="8" t="n">
        <f aca="false">IF(I180="regional",IF(R180&gt;0,R180*0.2975,S180*0.3484),S180*0.1939)</f>
        <v>136033.66</v>
      </c>
      <c r="U180" s="136" t="n">
        <v>283103</v>
      </c>
      <c r="V180" s="136" t="n">
        <v>109292</v>
      </c>
      <c r="W180" s="136" t="n">
        <v>2000</v>
      </c>
      <c r="X180" s="136" t="n">
        <v>0</v>
      </c>
      <c r="Y180" s="136" t="n">
        <v>0</v>
      </c>
      <c r="Z180" s="136" t="n">
        <v>0</v>
      </c>
      <c r="AA180" s="136" t="n">
        <v>528428.66</v>
      </c>
      <c r="AB180" s="136" t="n">
        <v>136033.66</v>
      </c>
      <c r="AC180" s="136" t="n">
        <v>392395</v>
      </c>
      <c r="AD180" s="136" t="n">
        <v>0</v>
      </c>
      <c r="AE180" s="136" t="n">
        <v>0</v>
      </c>
      <c r="AF180" s="136" t="n">
        <v>0</v>
      </c>
      <c r="AG180" s="136" t="n">
        <v>392395</v>
      </c>
      <c r="AH180" s="136" t="n">
        <v>0</v>
      </c>
      <c r="AI180" s="136" t="n">
        <v>0</v>
      </c>
      <c r="AJ180" s="132" t="n">
        <v>4</v>
      </c>
      <c r="AK180" s="132" t="s">
        <v>720</v>
      </c>
      <c r="AL180" s="133" t="s">
        <v>48</v>
      </c>
      <c r="AM180" s="132"/>
      <c r="AN180" s="133" t="s">
        <v>471</v>
      </c>
      <c r="AO180" s="133" t="n">
        <v>136033.66</v>
      </c>
      <c r="AP180" s="137" t="n">
        <f aca="false">AR180+AT180+AU180+AV180+AX180+AY180+AZ180+BD180+BF180+BG180+BH180+BJ180+BK180+(BL180+BM180+BN180)/1000+(0.1*BO180)</f>
        <v>90.6858</v>
      </c>
      <c r="AQ180" s="137" t="n">
        <f aca="false">AR180+AT180+AU180+AV180+AX180+AY180+AZ180+BB180+BC180+BD180+BF180+BG180+BH180+BJ180+BK180+(BL180+BM180+BN180)/1000+(0.1*BO180)</f>
        <v>96.6858</v>
      </c>
      <c r="AR180" s="131" t="n">
        <v>0</v>
      </c>
      <c r="AS180" s="131" t="n">
        <v>0</v>
      </c>
      <c r="AT180" s="131" t="n">
        <v>28</v>
      </c>
      <c r="AU180" s="131" t="n">
        <v>9</v>
      </c>
      <c r="AV180" s="131" t="n">
        <v>0</v>
      </c>
      <c r="AW180" s="131" t="n">
        <v>0</v>
      </c>
      <c r="AX180" s="131" t="n">
        <v>2</v>
      </c>
      <c r="AY180" s="131" t="n">
        <v>2</v>
      </c>
      <c r="AZ180" s="131" t="n">
        <v>0</v>
      </c>
      <c r="BA180" s="131" t="n">
        <v>0</v>
      </c>
      <c r="BB180" s="131" t="n">
        <v>5</v>
      </c>
      <c r="BC180" s="131" t="n">
        <v>1</v>
      </c>
      <c r="BD180" s="131" t="n">
        <v>0</v>
      </c>
      <c r="BE180" s="131" t="n">
        <v>0</v>
      </c>
      <c r="BF180" s="131" t="n">
        <v>0</v>
      </c>
      <c r="BG180" s="131" t="n">
        <v>0</v>
      </c>
      <c r="BH180" s="131" t="n">
        <v>0</v>
      </c>
      <c r="BI180" s="131" t="n">
        <v>0</v>
      </c>
      <c r="BJ180" s="131" t="n">
        <v>0</v>
      </c>
      <c r="BK180" s="131" t="n">
        <v>0</v>
      </c>
      <c r="BL180" s="131" t="n">
        <v>0</v>
      </c>
      <c r="BM180" s="131" t="n">
        <v>0</v>
      </c>
      <c r="BN180" s="131" t="n">
        <v>25926</v>
      </c>
      <c r="BO180" s="131" t="n">
        <v>237.598</v>
      </c>
    </row>
    <row r="181" customFormat="false" ht="15" hidden="false" customHeight="true" outlineLevel="0" collapsed="false">
      <c r="A181" s="131" t="n">
        <v>9445</v>
      </c>
      <c r="B181" s="131"/>
      <c r="C181" s="132" t="s">
        <v>474</v>
      </c>
      <c r="D181" s="133" t="s">
        <v>474</v>
      </c>
      <c r="E181" s="134" t="n">
        <f aca="false">IF(I181="regional",IF(R181*0.2975,S181*0.3484),S181*0.1939)</f>
        <v>304202.6728</v>
      </c>
      <c r="F181" s="134" t="n">
        <v>0</v>
      </c>
      <c r="G181" s="135" t="n">
        <f aca="false">E181+F181</f>
        <v>304202.6728</v>
      </c>
      <c r="H181" s="132"/>
      <c r="I181" s="133" t="s">
        <v>48</v>
      </c>
      <c r="J181" s="133" t="s">
        <v>49</v>
      </c>
      <c r="K181" s="133" t="s">
        <v>260</v>
      </c>
      <c r="L181" s="133"/>
      <c r="M181" s="136" t="n">
        <v>94</v>
      </c>
      <c r="N181" s="136" t="n">
        <v>0.383</v>
      </c>
      <c r="O181" s="136" t="n">
        <v>0.431</v>
      </c>
      <c r="P181" s="136" t="n">
        <v>0.648</v>
      </c>
      <c r="Q181" s="136" t="n">
        <v>0.649</v>
      </c>
      <c r="R181" s="136" t="n">
        <v>898374</v>
      </c>
      <c r="S181" s="136" t="n">
        <v>873142</v>
      </c>
      <c r="T181" s="8" t="n">
        <f aca="false">IF(I181="regional",IF(R181&gt;0,R181*0.2975,S181*0.3484),S181*0.1939)</f>
        <v>267266.265</v>
      </c>
      <c r="U181" s="136" t="n">
        <v>587036</v>
      </c>
      <c r="V181" s="136" t="n">
        <v>286106</v>
      </c>
      <c r="W181" s="136" t="n">
        <v>4865</v>
      </c>
      <c r="X181" s="136" t="n">
        <v>0</v>
      </c>
      <c r="Y181" s="136" t="n">
        <v>0</v>
      </c>
      <c r="Z181" s="136" t="n">
        <v>0</v>
      </c>
      <c r="AA181" s="136" t="n">
        <v>1140408.265</v>
      </c>
      <c r="AB181" s="136" t="n">
        <v>267266.265</v>
      </c>
      <c r="AC181" s="136" t="n">
        <v>873142</v>
      </c>
      <c r="AD181" s="136" t="n">
        <v>0</v>
      </c>
      <c r="AE181" s="136" t="n">
        <v>0</v>
      </c>
      <c r="AF181" s="136" t="n">
        <v>0</v>
      </c>
      <c r="AG181" s="136" t="n">
        <v>873142</v>
      </c>
      <c r="AH181" s="136" t="n">
        <v>0</v>
      </c>
      <c r="AI181" s="136" t="n">
        <v>0</v>
      </c>
      <c r="AJ181" s="132" t="n">
        <v>4</v>
      </c>
      <c r="AK181" s="132" t="s">
        <v>720</v>
      </c>
      <c r="AL181" s="133" t="s">
        <v>48</v>
      </c>
      <c r="AM181" s="132"/>
      <c r="AN181" s="133" t="s">
        <v>474</v>
      </c>
      <c r="AO181" s="133" t="n">
        <v>267266.265</v>
      </c>
      <c r="AP181" s="137" t="n">
        <f aca="false">AR181+AT181+AU181+AV181+AX181+AY181+AZ181+BD181+BF181+BG181+BH181+BJ181+BK181+(BL181+BM181+BN181)/1000+(0.1*BO181)</f>
        <v>185.322</v>
      </c>
      <c r="AQ181" s="137" t="n">
        <f aca="false">AR181+AT181+AU181+AV181+AX181+AY181+AZ181+BB181+BC181+BD181+BF181+BG181+BH181+BJ181+BK181+(BL181+BM181+BN181)/1000+(0.1*BO181)</f>
        <v>287.322</v>
      </c>
      <c r="AR181" s="131" t="n">
        <v>0</v>
      </c>
      <c r="AS181" s="131" t="n">
        <v>1</v>
      </c>
      <c r="AT181" s="131" t="n">
        <v>92</v>
      </c>
      <c r="AU181" s="131" t="n">
        <v>37</v>
      </c>
      <c r="AV181" s="131" t="n">
        <v>0</v>
      </c>
      <c r="AW181" s="131" t="n">
        <v>0</v>
      </c>
      <c r="AX181" s="131" t="n">
        <v>14</v>
      </c>
      <c r="AY181" s="131" t="n">
        <v>12</v>
      </c>
      <c r="AZ181" s="131" t="n">
        <v>0</v>
      </c>
      <c r="BA181" s="131" t="n">
        <v>0</v>
      </c>
      <c r="BB181" s="131" t="n">
        <v>102</v>
      </c>
      <c r="BC181" s="131" t="n">
        <v>0</v>
      </c>
      <c r="BD181" s="131" t="n">
        <v>0</v>
      </c>
      <c r="BE181" s="131" t="n">
        <v>0</v>
      </c>
      <c r="BF181" s="131" t="n">
        <v>0</v>
      </c>
      <c r="BG181" s="131" t="n">
        <v>0</v>
      </c>
      <c r="BH181" s="131" t="n">
        <v>0</v>
      </c>
      <c r="BI181" s="131" t="n">
        <v>0</v>
      </c>
      <c r="BJ181" s="131" t="n">
        <v>0</v>
      </c>
      <c r="BK181" s="131" t="n">
        <v>0</v>
      </c>
      <c r="BL181" s="131" t="n">
        <v>0</v>
      </c>
      <c r="BM181" s="131" t="n">
        <v>0</v>
      </c>
      <c r="BN181" s="131" t="n">
        <v>0</v>
      </c>
      <c r="BO181" s="131" t="n">
        <v>303.22</v>
      </c>
    </row>
    <row r="182" customFormat="false" ht="15" hidden="false" customHeight="true" outlineLevel="0" collapsed="false">
      <c r="A182" s="131" t="n">
        <v>7314</v>
      </c>
      <c r="B182" s="131"/>
      <c r="C182" s="132" t="s">
        <v>475</v>
      </c>
      <c r="D182" s="133" t="s">
        <v>475</v>
      </c>
      <c r="E182" s="134" t="n">
        <f aca="false">IF(I182="regional",IF(R182*0.2975,S182*0.3484),S182*0.1939)</f>
        <v>34267.5592</v>
      </c>
      <c r="F182" s="134" t="n">
        <v>0</v>
      </c>
      <c r="G182" s="135" t="n">
        <f aca="false">E182+F182</f>
        <v>34267.5592</v>
      </c>
      <c r="H182" s="132" t="s">
        <v>49</v>
      </c>
      <c r="I182" s="133" t="s">
        <v>62</v>
      </c>
      <c r="J182" s="133"/>
      <c r="K182" s="133" t="s">
        <v>98</v>
      </c>
      <c r="L182" s="133"/>
      <c r="M182" s="136" t="n">
        <v>28</v>
      </c>
      <c r="N182" s="136" t="n">
        <v>0.797</v>
      </c>
      <c r="O182" s="136" t="n">
        <v>0.802</v>
      </c>
      <c r="P182" s="136" t="n">
        <v>0.812</v>
      </c>
      <c r="Q182" s="136" t="n">
        <v>0.855</v>
      </c>
      <c r="R182" s="136" t="n">
        <v>0</v>
      </c>
      <c r="S182" s="136" t="n">
        <v>176728</v>
      </c>
      <c r="T182" s="8" t="n">
        <f aca="false">IF(I182="regional",IF(R182&gt;0,R182*0.2975,S182*0.3484),S182*0.1939)</f>
        <v>34267.5592</v>
      </c>
      <c r="U182" s="136" t="n">
        <v>93667</v>
      </c>
      <c r="V182" s="136" t="n">
        <v>83061</v>
      </c>
      <c r="W182" s="136" t="n">
        <v>1100</v>
      </c>
      <c r="X182" s="136" t="n">
        <v>0</v>
      </c>
      <c r="Y182" s="136" t="n">
        <v>0</v>
      </c>
      <c r="Z182" s="136" t="n">
        <v>0</v>
      </c>
      <c r="AA182" s="136" t="n">
        <v>210995.5592</v>
      </c>
      <c r="AB182" s="136" t="n">
        <v>34267.5592</v>
      </c>
      <c r="AC182" s="136" t="n">
        <v>176728</v>
      </c>
      <c r="AD182" s="136" t="n">
        <v>0</v>
      </c>
      <c r="AE182" s="136" t="n">
        <v>0</v>
      </c>
      <c r="AF182" s="136" t="n">
        <v>0</v>
      </c>
      <c r="AG182" s="136" t="n">
        <v>176728</v>
      </c>
      <c r="AH182" s="136" t="n">
        <v>0</v>
      </c>
      <c r="AI182" s="136" t="n">
        <v>0</v>
      </c>
      <c r="AJ182" s="132" t="s">
        <v>707</v>
      </c>
      <c r="AK182" s="132" t="s">
        <v>708</v>
      </c>
      <c r="AL182" s="133" t="s">
        <v>62</v>
      </c>
      <c r="AM182" s="132" t="s">
        <v>49</v>
      </c>
      <c r="AN182" s="133" t="s">
        <v>475</v>
      </c>
      <c r="AO182" s="133" t="n">
        <v>34267.5592</v>
      </c>
      <c r="AP182" s="137" t="n">
        <f aca="false">AR182+AT182+AU182+AV182+AX182+AY182+AZ182+BD182+BF182+BG182+BH182+BJ182+BK182+(BL182+BM182+BN182)/1000+(0.1*BO182)</f>
        <v>26</v>
      </c>
      <c r="AQ182" s="137" t="n">
        <f aca="false">AR182+AT182+AU182+AV182+AX182+AY182+AZ182+BB182+BC182+BD182+BF182+BG182+BH182+BJ182+BK182+(BL182+BM182+BN182)/1000+(0.1*BO182)</f>
        <v>29</v>
      </c>
      <c r="AR182" s="131" t="n">
        <v>0</v>
      </c>
      <c r="AS182" s="131" t="n">
        <v>0</v>
      </c>
      <c r="AT182" s="131" t="n">
        <v>22</v>
      </c>
      <c r="AU182" s="131" t="n">
        <v>4</v>
      </c>
      <c r="AV182" s="131" t="n">
        <v>0</v>
      </c>
      <c r="AW182" s="131" t="n">
        <v>0</v>
      </c>
      <c r="AX182" s="131" t="n">
        <v>0</v>
      </c>
      <c r="AY182" s="131" t="n">
        <v>0</v>
      </c>
      <c r="AZ182" s="131" t="n">
        <v>0</v>
      </c>
      <c r="BA182" s="131" t="n">
        <v>16</v>
      </c>
      <c r="BB182" s="131" t="n">
        <v>3</v>
      </c>
      <c r="BC182" s="131" t="n">
        <v>0</v>
      </c>
      <c r="BD182" s="131" t="n">
        <v>0</v>
      </c>
      <c r="BE182" s="131" t="n">
        <v>0</v>
      </c>
      <c r="BF182" s="131" t="n">
        <v>0</v>
      </c>
      <c r="BG182" s="131" t="n">
        <v>0</v>
      </c>
      <c r="BH182" s="131" t="n">
        <v>0</v>
      </c>
      <c r="BI182" s="131" t="n">
        <v>0</v>
      </c>
      <c r="BJ182" s="131" t="n">
        <v>0</v>
      </c>
      <c r="BK182" s="131" t="n">
        <v>0</v>
      </c>
      <c r="BL182" s="131" t="n">
        <v>0</v>
      </c>
      <c r="BM182" s="131" t="n">
        <v>0</v>
      </c>
      <c r="BN182" s="131" t="n">
        <v>0</v>
      </c>
      <c r="BO182" s="131" t="n">
        <v>0</v>
      </c>
    </row>
    <row r="183" customFormat="false" ht="15" hidden="false" customHeight="true" outlineLevel="0" collapsed="false">
      <c r="A183" s="131" t="n">
        <v>1904</v>
      </c>
      <c r="B183" s="131"/>
      <c r="C183" s="132" t="s">
        <v>477</v>
      </c>
      <c r="D183" s="133" t="s">
        <v>477</v>
      </c>
      <c r="E183" s="134" t="n">
        <f aca="false">IF(I183="regional",IF(R183*0.2975,S183*0.3484),S183*0.1939)</f>
        <v>46699.4577</v>
      </c>
      <c r="F183" s="134" t="n">
        <v>0</v>
      </c>
      <c r="G183" s="135" t="n">
        <f aca="false">E183+F183</f>
        <v>46699.4577</v>
      </c>
      <c r="H183" s="132" t="s">
        <v>49</v>
      </c>
      <c r="I183" s="133" t="s">
        <v>62</v>
      </c>
      <c r="J183" s="133"/>
      <c r="K183" s="133" t="s">
        <v>406</v>
      </c>
      <c r="L183" s="133"/>
      <c r="M183" s="136" t="n">
        <v>20</v>
      </c>
      <c r="N183" s="136" t="n">
        <v>0.861</v>
      </c>
      <c r="O183" s="136" t="n">
        <v>0.861</v>
      </c>
      <c r="P183" s="136" t="n">
        <v>0.869</v>
      </c>
      <c r="Q183" s="136" t="n">
        <v>1</v>
      </c>
      <c r="R183" s="136" t="n">
        <v>0</v>
      </c>
      <c r="S183" s="136" t="n">
        <v>240843</v>
      </c>
      <c r="T183" s="8" t="n">
        <f aca="false">IF(I183="regional",IF(R183&gt;0,R183*0.2975,S183*0.3484),S183*0.1939)</f>
        <v>46699.4577</v>
      </c>
      <c r="U183" s="136" t="n">
        <v>186175</v>
      </c>
      <c r="V183" s="136" t="n">
        <v>54668</v>
      </c>
      <c r="W183" s="136" t="n">
        <v>1666</v>
      </c>
      <c r="X183" s="136" t="n">
        <v>0</v>
      </c>
      <c r="Y183" s="136" t="n">
        <v>0</v>
      </c>
      <c r="Z183" s="136" t="n">
        <v>0</v>
      </c>
      <c r="AA183" s="136" t="n">
        <v>287542.4577</v>
      </c>
      <c r="AB183" s="136" t="n">
        <v>46699.4577</v>
      </c>
      <c r="AC183" s="136" t="n">
        <v>240843</v>
      </c>
      <c r="AD183" s="136" t="n">
        <v>0</v>
      </c>
      <c r="AE183" s="136" t="n">
        <v>0</v>
      </c>
      <c r="AF183" s="136" t="n">
        <v>0</v>
      </c>
      <c r="AG183" s="136" t="n">
        <v>240843</v>
      </c>
      <c r="AH183" s="136" t="n">
        <v>0</v>
      </c>
      <c r="AI183" s="136" t="n">
        <v>0</v>
      </c>
      <c r="AJ183" s="132" t="s">
        <v>707</v>
      </c>
      <c r="AK183" s="132" t="s">
        <v>712</v>
      </c>
      <c r="AL183" s="133" t="s">
        <v>62</v>
      </c>
      <c r="AM183" s="132" t="s">
        <v>49</v>
      </c>
      <c r="AN183" s="133" t="s">
        <v>477</v>
      </c>
      <c r="AO183" s="133" t="n">
        <v>46699.4577</v>
      </c>
      <c r="AP183" s="137" t="n">
        <f aca="false">AR183+AT183+AU183+AV183+AX183+AY183+AZ183+BD183+BF183+BG183+BH183+BJ183+BK183+(BL183+BM183+BN183)/1000+(0.1*BO183)</f>
        <v>17</v>
      </c>
      <c r="AQ183" s="137" t="n">
        <f aca="false">AR183+AT183+AU183+AV183+AX183+AY183+AZ183+BB183+BC183+BD183+BF183+BG183+BH183+BJ183+BK183+(BL183+BM183+BN183)/1000+(0.1*BO183)</f>
        <v>20</v>
      </c>
      <c r="AR183" s="158" t="n">
        <v>0</v>
      </c>
      <c r="AS183" s="158" t="n">
        <v>0</v>
      </c>
      <c r="AT183" s="158" t="n">
        <v>14</v>
      </c>
      <c r="AU183" s="158" t="n">
        <v>3</v>
      </c>
      <c r="AV183" s="158" t="n">
        <v>0</v>
      </c>
      <c r="AW183" s="158" t="n">
        <v>0</v>
      </c>
      <c r="AX183" s="158" t="n">
        <v>0</v>
      </c>
      <c r="AY183" s="158" t="n">
        <v>0</v>
      </c>
      <c r="AZ183" s="158" t="n">
        <v>0</v>
      </c>
      <c r="BA183" s="158" t="n">
        <v>3</v>
      </c>
      <c r="BB183" s="158" t="n">
        <v>4</v>
      </c>
      <c r="BC183" s="158" t="n">
        <v>-1</v>
      </c>
      <c r="BD183" s="131" t="n">
        <v>0</v>
      </c>
      <c r="BE183" s="131" t="n">
        <v>0</v>
      </c>
      <c r="BF183" s="131" t="n">
        <v>0</v>
      </c>
      <c r="BG183" s="131" t="n">
        <v>0</v>
      </c>
      <c r="BH183" s="131" t="n">
        <v>0</v>
      </c>
      <c r="BI183" s="131" t="n">
        <v>0</v>
      </c>
      <c r="BJ183" s="131" t="n">
        <v>0</v>
      </c>
      <c r="BK183" s="131" t="n">
        <v>0</v>
      </c>
      <c r="BL183" s="131" t="n">
        <v>0</v>
      </c>
      <c r="BM183" s="131" t="n">
        <v>0</v>
      </c>
      <c r="BN183" s="131" t="n">
        <v>0</v>
      </c>
      <c r="BO183" s="131" t="n">
        <v>0</v>
      </c>
      <c r="BP183" s="159"/>
      <c r="BQ183" s="159"/>
      <c r="BR183" s="159"/>
      <c r="BS183" s="159"/>
      <c r="BT183" s="159"/>
      <c r="BU183" s="159"/>
      <c r="BV183" s="159"/>
      <c r="BW183" s="159"/>
      <c r="BX183" s="159"/>
      <c r="BY183" s="159"/>
      <c r="BZ183" s="159"/>
      <c r="CA183" s="159"/>
      <c r="CB183" s="159"/>
      <c r="CC183" s="159"/>
      <c r="CD183" s="159"/>
      <c r="CE183" s="159"/>
      <c r="CF183" s="159"/>
      <c r="CG183" s="159"/>
      <c r="CH183" s="159"/>
      <c r="CI183" s="159"/>
      <c r="CJ183" s="159"/>
      <c r="CK183" s="159"/>
      <c r="CL183" s="159"/>
      <c r="CM183" s="159"/>
      <c r="CN183" s="159"/>
      <c r="CO183" s="159"/>
      <c r="CP183" s="159"/>
      <c r="CQ183" s="159"/>
      <c r="CR183" s="159"/>
      <c r="CS183" s="159"/>
      <c r="CT183" s="159"/>
      <c r="CU183" s="159"/>
      <c r="CV183" s="159"/>
      <c r="CW183" s="159"/>
      <c r="CX183" s="159"/>
      <c r="CY183" s="159"/>
      <c r="CZ183" s="159"/>
      <c r="DA183" s="159"/>
      <c r="DB183" s="159"/>
      <c r="DC183" s="159"/>
      <c r="DD183" s="159"/>
      <c r="DE183" s="159"/>
    </row>
    <row r="184" customFormat="false" ht="15" hidden="false" customHeight="true" outlineLevel="0" collapsed="false">
      <c r="A184" s="131" t="n">
        <v>4671</v>
      </c>
      <c r="B184" s="131"/>
      <c r="C184" s="132" t="s">
        <v>480</v>
      </c>
      <c r="D184" s="133" t="s">
        <v>480</v>
      </c>
      <c r="E184" s="134" t="n">
        <f aca="false">IF(I184="regional",IF(R184*0.2975,S184*0.3484),S184*0.1939)</f>
        <v>432888.0452</v>
      </c>
      <c r="F184" s="134" t="n">
        <v>427000</v>
      </c>
      <c r="G184" s="135" t="n">
        <f aca="false">E184+F184</f>
        <v>859888.0452</v>
      </c>
      <c r="H184" s="132"/>
      <c r="I184" s="133" t="s">
        <v>48</v>
      </c>
      <c r="J184" s="133" t="s">
        <v>49</v>
      </c>
      <c r="K184" s="133"/>
      <c r="L184" s="133" t="s">
        <v>44</v>
      </c>
      <c r="M184" s="136" t="n">
        <v>100</v>
      </c>
      <c r="N184" s="136" t="n">
        <v>0.947</v>
      </c>
      <c r="O184" s="136" t="n">
        <v>0.949</v>
      </c>
      <c r="P184" s="136" t="n">
        <v>0.917</v>
      </c>
      <c r="Q184" s="136" t="n">
        <v>0.952</v>
      </c>
      <c r="R184" s="136" t="n">
        <v>1443739</v>
      </c>
      <c r="S184" s="136" t="n">
        <v>1242503</v>
      </c>
      <c r="T184" s="8" t="n">
        <f aca="false">IF(I184="regional",IF(R184&gt;0,R184*0.2975,S184*0.3484),S184*0.1939)</f>
        <v>429512.3525</v>
      </c>
      <c r="U184" s="136" t="n">
        <v>825706</v>
      </c>
      <c r="V184" s="136" t="n">
        <v>416797</v>
      </c>
      <c r="W184" s="136" t="n">
        <v>6605</v>
      </c>
      <c r="X184" s="136" t="n">
        <v>856512.3525</v>
      </c>
      <c r="Y184" s="136" t="n">
        <v>429512.3525</v>
      </c>
      <c r="Z184" s="136" t="n">
        <v>427000</v>
      </c>
      <c r="AA184" s="136" t="n">
        <v>815503</v>
      </c>
      <c r="AB184" s="136" t="n">
        <v>0</v>
      </c>
      <c r="AC184" s="136" t="n">
        <v>815503</v>
      </c>
      <c r="AD184" s="136" t="n">
        <v>0</v>
      </c>
      <c r="AE184" s="136" t="n">
        <v>427000</v>
      </c>
      <c r="AF184" s="136" t="n">
        <v>0</v>
      </c>
      <c r="AG184" s="136" t="n">
        <v>815503</v>
      </c>
      <c r="AH184" s="136" t="n">
        <v>0</v>
      </c>
      <c r="AI184" s="136" t="n">
        <v>0</v>
      </c>
      <c r="AJ184" s="132" t="n">
        <v>4</v>
      </c>
      <c r="AK184" s="132" t="s">
        <v>706</v>
      </c>
      <c r="AL184" s="133" t="s">
        <v>48</v>
      </c>
      <c r="AM184" s="132"/>
      <c r="AN184" s="133" t="s">
        <v>480</v>
      </c>
      <c r="AO184" s="133" t="n">
        <v>856512.3525</v>
      </c>
      <c r="AP184" s="137" t="n">
        <f aca="false">AR184+AT184+AU184+AV184+AX184+AY184+AZ184+BD184+BF184+BG184+BH184+BJ184+BK184+(BL184+BM184+BN184)/1000+(0.1*BO184)</f>
        <v>1080</v>
      </c>
      <c r="AQ184" s="137" t="n">
        <f aca="false">AR184+AT184+AU184+AV184+AX184+AY184+AZ184+BB184+BC184+BD184+BF184+BG184+BH184+BJ184+BK184+(BL184+BM184+BN184)/1000+(0.1*BO184)</f>
        <v>1086</v>
      </c>
      <c r="AR184" s="131" t="n">
        <v>277</v>
      </c>
      <c r="AS184" s="131" t="n">
        <v>0</v>
      </c>
      <c r="AT184" s="131" t="n">
        <v>296</v>
      </c>
      <c r="AU184" s="131" t="n">
        <v>4</v>
      </c>
      <c r="AV184" s="131" t="n">
        <v>127</v>
      </c>
      <c r="AW184" s="131" t="n">
        <v>0</v>
      </c>
      <c r="AX184" s="131" t="n">
        <v>5</v>
      </c>
      <c r="AY184" s="131" t="n">
        <v>0</v>
      </c>
      <c r="AZ184" s="131" t="n">
        <v>18</v>
      </c>
      <c r="BA184" s="131" t="n">
        <v>0</v>
      </c>
      <c r="BB184" s="131" t="n">
        <v>7</v>
      </c>
      <c r="BC184" s="131" t="n">
        <v>-1</v>
      </c>
      <c r="BD184" s="131" t="n">
        <v>105</v>
      </c>
      <c r="BE184" s="131" t="n">
        <v>0</v>
      </c>
      <c r="BF184" s="131" t="n">
        <v>0</v>
      </c>
      <c r="BG184" s="131" t="n">
        <v>0</v>
      </c>
      <c r="BH184" s="131" t="n">
        <v>248</v>
      </c>
      <c r="BI184" s="131" t="n">
        <v>0</v>
      </c>
      <c r="BJ184" s="131" t="n">
        <v>0</v>
      </c>
      <c r="BK184" s="131" t="n">
        <v>0</v>
      </c>
      <c r="BL184" s="131" t="n">
        <v>0</v>
      </c>
      <c r="BM184" s="131" t="n">
        <v>0</v>
      </c>
      <c r="BN184" s="131" t="n">
        <v>0</v>
      </c>
      <c r="BO184" s="131" t="n">
        <v>0</v>
      </c>
    </row>
    <row r="185" customFormat="false" ht="15" hidden="false" customHeight="true" outlineLevel="0" collapsed="false">
      <c r="A185" s="151" t="n">
        <v>4672</v>
      </c>
      <c r="B185" s="151"/>
      <c r="C185" s="152" t="s">
        <v>757</v>
      </c>
      <c r="D185" s="140" t="s">
        <v>757</v>
      </c>
      <c r="E185" s="134" t="n">
        <f aca="false">IF(I185="regional",IF(R185*0.2975,S185*0.3484),S185*0.1939)</f>
        <v>0</v>
      </c>
      <c r="F185" s="141"/>
      <c r="G185" s="135" t="n">
        <f aca="false">E185+F185</f>
        <v>0</v>
      </c>
      <c r="H185" s="152"/>
      <c r="I185" s="140" t="s">
        <v>718</v>
      </c>
      <c r="J185" s="140"/>
      <c r="K185" s="140"/>
      <c r="L185" s="140"/>
      <c r="M185" s="142"/>
      <c r="N185" s="142"/>
      <c r="O185" s="142"/>
      <c r="P185" s="142"/>
      <c r="Q185" s="142"/>
      <c r="R185" s="142"/>
      <c r="S185" s="142"/>
      <c r="T185" s="8" t="n">
        <f aca="false">IF(I185="regional",IF(R185&gt;0,R185*0.2975,S185*0.3484),S185*0.1939)</f>
        <v>0</v>
      </c>
      <c r="U185" s="142"/>
      <c r="V185" s="142"/>
      <c r="W185" s="142"/>
      <c r="X185" s="142"/>
      <c r="Y185" s="142"/>
      <c r="Z185" s="142"/>
      <c r="AA185" s="142"/>
      <c r="AB185" s="142"/>
      <c r="AC185" s="142"/>
      <c r="AD185" s="142"/>
      <c r="AE185" s="142"/>
      <c r="AF185" s="142"/>
      <c r="AG185" s="142"/>
      <c r="AH185" s="142"/>
      <c r="AI185" s="142"/>
      <c r="AJ185" s="152" t="n">
        <v>4</v>
      </c>
      <c r="AK185" s="152" t="s">
        <v>706</v>
      </c>
      <c r="AL185" s="154" t="s">
        <v>718</v>
      </c>
      <c r="AM185" s="152"/>
      <c r="AN185" s="154" t="s">
        <v>757</v>
      </c>
      <c r="AO185" s="191" t="n">
        <v>0</v>
      </c>
      <c r="AP185" s="192" t="n">
        <v>0</v>
      </c>
      <c r="AQ185" s="137" t="n">
        <f aca="false">AR185+AT185+AU185+AV185+AX185+AY185+AZ185+BB185+BC185+BD185+BF185+BG185+BH185+BJ185+BK185+(BL185+BM185+BN185)/1000+(0.1*BO185)</f>
        <v>129</v>
      </c>
      <c r="AR185" s="162" t="n">
        <v>114</v>
      </c>
      <c r="AS185" s="162" t="n">
        <v>0</v>
      </c>
      <c r="AT185" s="162" t="n">
        <v>7</v>
      </c>
      <c r="AU185" s="162" t="n">
        <v>0</v>
      </c>
      <c r="AV185" s="156" t="n">
        <v>2</v>
      </c>
      <c r="AW185" s="156" t="n">
        <v>0</v>
      </c>
      <c r="AX185" s="156" t="n">
        <v>1</v>
      </c>
      <c r="AY185" s="156" t="n">
        <v>0</v>
      </c>
      <c r="AZ185" s="162" t="n">
        <v>0</v>
      </c>
      <c r="BA185" s="162" t="n">
        <v>0</v>
      </c>
      <c r="BB185" s="162" t="n">
        <v>5</v>
      </c>
      <c r="BC185" s="162" t="n">
        <v>0</v>
      </c>
      <c r="BD185" s="162" t="n">
        <v>0</v>
      </c>
      <c r="BE185" s="162" t="n">
        <v>0</v>
      </c>
      <c r="BF185" s="162" t="n">
        <v>0</v>
      </c>
      <c r="BG185" s="162" t="n">
        <v>0</v>
      </c>
      <c r="BH185" s="162" t="n">
        <v>0</v>
      </c>
      <c r="BI185" s="162" t="n">
        <v>0</v>
      </c>
      <c r="BJ185" s="162" t="n">
        <v>0</v>
      </c>
      <c r="BK185" s="162" t="n">
        <v>0</v>
      </c>
      <c r="BL185" s="162" t="n">
        <v>0</v>
      </c>
      <c r="BM185" s="162" t="n">
        <v>0</v>
      </c>
      <c r="BN185" s="162" t="n">
        <v>0</v>
      </c>
      <c r="BO185" s="162" t="n">
        <v>0</v>
      </c>
      <c r="BP185" s="159"/>
      <c r="BQ185" s="159"/>
      <c r="BR185" s="159"/>
      <c r="BS185" s="159"/>
      <c r="BT185" s="159"/>
      <c r="BU185" s="159"/>
      <c r="BV185" s="159"/>
      <c r="BW185" s="159"/>
      <c r="BX185" s="159"/>
      <c r="BY185" s="159"/>
      <c r="BZ185" s="159"/>
      <c r="CA185" s="159"/>
      <c r="CB185" s="159"/>
      <c r="CC185" s="159"/>
      <c r="CD185" s="159"/>
      <c r="CE185" s="159"/>
      <c r="CF185" s="159"/>
      <c r="CG185" s="159"/>
      <c r="CH185" s="159"/>
      <c r="CI185" s="159"/>
      <c r="CJ185" s="159"/>
      <c r="CK185" s="159"/>
      <c r="CL185" s="159"/>
      <c r="CM185" s="159"/>
      <c r="CN185" s="159"/>
      <c r="CO185" s="159"/>
      <c r="CP185" s="159"/>
      <c r="CQ185" s="159"/>
      <c r="CR185" s="159"/>
      <c r="CS185" s="159"/>
      <c r="CT185" s="159"/>
      <c r="CU185" s="159"/>
    </row>
    <row r="186" customFormat="false" ht="15" hidden="false" customHeight="true" outlineLevel="0" collapsed="false">
      <c r="A186" s="138" t="n">
        <v>3824</v>
      </c>
      <c r="B186" s="138"/>
      <c r="C186" s="139" t="s">
        <v>758</v>
      </c>
      <c r="D186" s="133" t="s">
        <v>482</v>
      </c>
      <c r="E186" s="134" t="n">
        <f aca="false">IF(I186="regional",IF(R186*0.2975,S186*0.3484),S186*0.1939)</f>
        <v>158664.1042</v>
      </c>
      <c r="F186" s="134" t="n">
        <v>0</v>
      </c>
      <c r="G186" s="135" t="n">
        <f aca="false">E186+F186</f>
        <v>158664.1042</v>
      </c>
      <c r="H186" s="139"/>
      <c r="I186" s="133" t="s">
        <v>405</v>
      </c>
      <c r="J186" s="133"/>
      <c r="K186" s="133" t="s">
        <v>98</v>
      </c>
      <c r="L186" s="133"/>
      <c r="M186" s="136" t="n">
        <v>0</v>
      </c>
      <c r="N186" s="136" t="n">
        <v>0</v>
      </c>
      <c r="O186" s="136" t="n">
        <v>0</v>
      </c>
      <c r="P186" s="136" t="n">
        <v>0</v>
      </c>
      <c r="Q186" s="136" t="n">
        <v>0</v>
      </c>
      <c r="R186" s="136" t="n">
        <v>0</v>
      </c>
      <c r="S186" s="136" t="n">
        <v>818278</v>
      </c>
      <c r="T186" s="8" t="n">
        <f aca="false">IF(I186="regional",IF(R186&gt;0,R186*0.2975,S186*0.3484),S186*0.1939)</f>
        <v>158664.1042</v>
      </c>
      <c r="U186" s="136" t="n">
        <v>780000</v>
      </c>
      <c r="V186" s="136" t="n">
        <v>38278</v>
      </c>
      <c r="W186" s="136" t="n">
        <v>0</v>
      </c>
      <c r="X186" s="136" t="n">
        <v>0</v>
      </c>
      <c r="Y186" s="136" t="n">
        <v>0</v>
      </c>
      <c r="Z186" s="136" t="n">
        <v>0</v>
      </c>
      <c r="AA186" s="136" t="n">
        <v>976942.1042</v>
      </c>
      <c r="AB186" s="136" t="n">
        <v>158664.1042</v>
      </c>
      <c r="AC186" s="136" t="n">
        <v>818278</v>
      </c>
      <c r="AD186" s="136" t="n">
        <v>0</v>
      </c>
      <c r="AE186" s="136" t="n">
        <v>0</v>
      </c>
      <c r="AF186" s="136" t="n">
        <v>0</v>
      </c>
      <c r="AG186" s="136" t="n">
        <v>818278</v>
      </c>
      <c r="AH186" s="136" t="n">
        <v>0</v>
      </c>
      <c r="AI186" s="136" t="n">
        <v>0</v>
      </c>
      <c r="AJ186" s="139" t="n">
        <v>4</v>
      </c>
      <c r="AK186" s="139" t="s">
        <v>706</v>
      </c>
      <c r="AL186" s="143" t="s">
        <v>405</v>
      </c>
      <c r="AM186" s="139"/>
      <c r="AN186" s="143" t="s">
        <v>482</v>
      </c>
      <c r="AO186" s="143" t="n">
        <v>158664.1042</v>
      </c>
      <c r="AP186" s="144" t="n">
        <f aca="false">AR186+AT186+AU186+AV186+AX186+AY186+AZ186+BD186+BF186+BG186+BH186+BJ186+BK186+(BL186+BM186+BN186)/1000+(0.1*BO186)</f>
        <v>0</v>
      </c>
      <c r="AQ186" s="137" t="n">
        <f aca="false">AR186+AT186+AU186+AV186+AX186+AY186+AZ186+BB186+BC186+BD186+BF186+BG186+BH186+BJ186+BK186+(BL186+BM186+BN186)/1000+(0.1*BO186)</f>
        <v>0</v>
      </c>
      <c r="AR186" s="184" t="n">
        <v>0</v>
      </c>
      <c r="AS186" s="184" t="n">
        <v>0</v>
      </c>
      <c r="AT186" s="184" t="n">
        <v>0</v>
      </c>
      <c r="AU186" s="184" t="n">
        <v>0</v>
      </c>
      <c r="AV186" s="138" t="n">
        <v>0</v>
      </c>
      <c r="AW186" s="138" t="n">
        <v>0</v>
      </c>
      <c r="AX186" s="138" t="n">
        <v>0</v>
      </c>
      <c r="AY186" s="138" t="n">
        <v>0</v>
      </c>
      <c r="AZ186" s="138" t="n">
        <v>0</v>
      </c>
      <c r="BA186" s="138" t="n">
        <v>0</v>
      </c>
      <c r="BB186" s="138" t="n">
        <v>0</v>
      </c>
      <c r="BC186" s="138" t="n">
        <v>0</v>
      </c>
      <c r="BD186" s="138" t="n">
        <v>0</v>
      </c>
      <c r="BE186" s="138" t="n">
        <v>0</v>
      </c>
      <c r="BF186" s="138" t="n">
        <v>0</v>
      </c>
      <c r="BG186" s="138" t="n">
        <v>0</v>
      </c>
      <c r="BH186" s="138" t="n">
        <v>0</v>
      </c>
      <c r="BI186" s="138" t="n">
        <v>0</v>
      </c>
      <c r="BJ186" s="138" t="n">
        <v>0</v>
      </c>
      <c r="BK186" s="138" t="n">
        <v>0</v>
      </c>
      <c r="BL186" s="138" t="n">
        <v>0</v>
      </c>
      <c r="BM186" s="138" t="n">
        <v>0</v>
      </c>
      <c r="BN186" s="138" t="n">
        <v>0</v>
      </c>
      <c r="BO186" s="138" t="n">
        <v>0</v>
      </c>
      <c r="BP186" s="159"/>
      <c r="BQ186" s="159"/>
      <c r="BR186" s="159"/>
      <c r="BS186" s="159"/>
      <c r="BT186" s="159"/>
      <c r="BU186" s="159"/>
      <c r="BV186" s="159"/>
      <c r="BW186" s="159"/>
      <c r="BX186" s="159"/>
      <c r="BY186" s="159"/>
      <c r="BZ186" s="159"/>
      <c r="CA186" s="159"/>
      <c r="CB186" s="159"/>
      <c r="CC186" s="159"/>
      <c r="CD186" s="159"/>
      <c r="CE186" s="159"/>
      <c r="CF186" s="159"/>
      <c r="CG186" s="159"/>
      <c r="CH186" s="159"/>
      <c r="CI186" s="159"/>
      <c r="CJ186" s="159"/>
      <c r="CK186" s="159"/>
      <c r="CL186" s="159"/>
      <c r="CM186" s="159"/>
      <c r="CN186" s="159"/>
      <c r="CO186" s="159"/>
      <c r="CP186" s="159"/>
      <c r="CQ186" s="159"/>
      <c r="CR186" s="159"/>
      <c r="CS186" s="159"/>
      <c r="CT186" s="159"/>
      <c r="CU186" s="159"/>
    </row>
    <row r="187" customFormat="false" ht="15" hidden="false" customHeight="true" outlineLevel="0" collapsed="false">
      <c r="A187" s="138" t="n">
        <v>3894</v>
      </c>
      <c r="B187" s="138"/>
      <c r="C187" s="139" t="s">
        <v>759</v>
      </c>
      <c r="D187" s="133"/>
      <c r="E187" s="134" t="n">
        <f aca="false">IF(I187="regional",IF(R187*0.2975,S187*0.3484),S187*0.1939)</f>
        <v>0</v>
      </c>
      <c r="F187" s="134"/>
      <c r="G187" s="135"/>
      <c r="H187" s="139"/>
      <c r="I187" s="133" t="s">
        <v>48</v>
      </c>
      <c r="J187" s="133"/>
      <c r="K187" s="133"/>
      <c r="L187" s="133"/>
      <c r="M187" s="136"/>
      <c r="N187" s="136"/>
      <c r="O187" s="136"/>
      <c r="P187" s="136"/>
      <c r="Q187" s="136"/>
      <c r="R187" s="136"/>
      <c r="S187" s="136"/>
      <c r="T187" s="8" t="n">
        <f aca="false">IF(I187="regional",IF(R187&gt;0,R187*0.2975,S187*0.3484),S187*0.1939)</f>
        <v>0</v>
      </c>
      <c r="U187" s="136"/>
      <c r="V187" s="136"/>
      <c r="W187" s="136"/>
      <c r="X187" s="136"/>
      <c r="Y187" s="136"/>
      <c r="Z187" s="136"/>
      <c r="AA187" s="136"/>
      <c r="AB187" s="136"/>
      <c r="AC187" s="136"/>
      <c r="AD187" s="136"/>
      <c r="AE187" s="136"/>
      <c r="AF187" s="136"/>
      <c r="AG187" s="136"/>
      <c r="AH187" s="136"/>
      <c r="AI187" s="136"/>
      <c r="AJ187" s="139"/>
      <c r="AK187" s="139"/>
      <c r="AL187" s="143" t="s">
        <v>48</v>
      </c>
      <c r="AM187" s="139"/>
      <c r="AN187" s="143"/>
      <c r="AO187" s="143"/>
      <c r="AP187" s="144"/>
      <c r="AQ187" s="137" t="n">
        <f aca="false">AR187+AT187+AU187+AV187+AX187+AY187+AZ187+BB187+BC187+BD187+BF187+BG187+BH187+BJ187+BK187+(BL187+BM187+BN187)/1000+(0.1*BO187)</f>
        <v>375</v>
      </c>
      <c r="AR187" s="162" t="n">
        <v>0</v>
      </c>
      <c r="AS187" s="162" t="n">
        <v>0</v>
      </c>
      <c r="AT187" s="162" t="n">
        <v>0</v>
      </c>
      <c r="AU187" s="162" t="n">
        <v>356</v>
      </c>
      <c r="AV187" s="162" t="n">
        <v>0</v>
      </c>
      <c r="AW187" s="162" t="n">
        <v>0</v>
      </c>
      <c r="AX187" s="162" t="n">
        <v>0</v>
      </c>
      <c r="AY187" s="162" t="n">
        <v>1</v>
      </c>
      <c r="AZ187" s="162" t="n">
        <v>0</v>
      </c>
      <c r="BA187" s="162" t="n">
        <v>0</v>
      </c>
      <c r="BB187" s="162" t="n">
        <v>0</v>
      </c>
      <c r="BC187" s="162" t="n">
        <v>18</v>
      </c>
      <c r="BD187" s="151"/>
      <c r="BE187" s="151"/>
      <c r="BF187" s="151"/>
      <c r="BG187" s="151"/>
      <c r="BH187" s="188" t="n">
        <v>0</v>
      </c>
      <c r="BI187" s="188" t="n">
        <v>0</v>
      </c>
      <c r="BJ187" s="188" t="n">
        <v>0</v>
      </c>
      <c r="BK187" s="188" t="n">
        <v>0</v>
      </c>
      <c r="BL187" s="151"/>
      <c r="BM187" s="151"/>
      <c r="BN187" s="151"/>
      <c r="BO187" s="151"/>
      <c r="BP187" s="159"/>
      <c r="BQ187" s="159"/>
      <c r="BR187" s="159"/>
      <c r="BS187" s="159"/>
      <c r="BT187" s="159"/>
      <c r="BU187" s="159"/>
      <c r="BV187" s="159"/>
      <c r="BW187" s="159"/>
      <c r="BX187" s="159"/>
      <c r="BY187" s="159"/>
      <c r="BZ187" s="159"/>
      <c r="CA187" s="159"/>
      <c r="CB187" s="159"/>
      <c r="CC187" s="159"/>
      <c r="CD187" s="159"/>
      <c r="CE187" s="159"/>
      <c r="CF187" s="159"/>
      <c r="CG187" s="159"/>
      <c r="CH187" s="159"/>
      <c r="CI187" s="159"/>
      <c r="CJ187" s="159"/>
      <c r="CK187" s="159"/>
      <c r="CL187" s="159"/>
      <c r="CM187" s="159"/>
      <c r="CN187" s="159"/>
      <c r="CO187" s="159"/>
      <c r="CP187" s="159"/>
      <c r="CQ187" s="159"/>
      <c r="CR187" s="159"/>
      <c r="CS187" s="159"/>
      <c r="CT187" s="159"/>
      <c r="CU187" s="159"/>
    </row>
    <row r="188" customFormat="false" ht="15" hidden="false" customHeight="true" outlineLevel="0" collapsed="false">
      <c r="A188" s="151" t="n">
        <v>4843</v>
      </c>
      <c r="B188" s="151" t="s">
        <v>44</v>
      </c>
      <c r="C188" s="152" t="s">
        <v>760</v>
      </c>
      <c r="D188" s="140" t="s">
        <v>760</v>
      </c>
      <c r="E188" s="134" t="n">
        <f aca="false">IF(I188="regional",IF(R188*0.2975,S188*0.3484),S188*0.1939)</f>
        <v>25013.1</v>
      </c>
      <c r="F188" s="141"/>
      <c r="G188" s="135" t="n">
        <f aca="false">E188+F188</f>
        <v>25013.1</v>
      </c>
      <c r="H188" s="152"/>
      <c r="I188" s="140" t="s">
        <v>718</v>
      </c>
      <c r="J188" s="140"/>
      <c r="K188" s="140"/>
      <c r="L188" s="140"/>
      <c r="M188" s="142"/>
      <c r="N188" s="142"/>
      <c r="O188" s="142"/>
      <c r="P188" s="142"/>
      <c r="Q188" s="142"/>
      <c r="R188" s="142" t="n">
        <v>0</v>
      </c>
      <c r="S188" s="187" t="n">
        <v>129000</v>
      </c>
      <c r="T188" s="8" t="n">
        <f aca="false">IF(I188="regional",IF(R188&gt;0,R188*0.2975,S188*0.3484),S188*0.1939)</f>
        <v>25013.1</v>
      </c>
      <c r="U188" s="142"/>
      <c r="V188" s="142"/>
      <c r="W188" s="142"/>
      <c r="X188" s="142"/>
      <c r="Y188" s="142"/>
      <c r="Z188" s="142"/>
      <c r="AA188" s="142"/>
      <c r="AB188" s="142"/>
      <c r="AC188" s="142"/>
      <c r="AD188" s="142"/>
      <c r="AE188" s="142"/>
      <c r="AF188" s="142"/>
      <c r="AG188" s="142"/>
      <c r="AH188" s="142"/>
      <c r="AI188" s="142"/>
      <c r="AJ188" s="152" t="s">
        <v>715</v>
      </c>
      <c r="AK188" s="152" t="s">
        <v>716</v>
      </c>
      <c r="AL188" s="154" t="s">
        <v>62</v>
      </c>
      <c r="AM188" s="152"/>
      <c r="AN188" s="153" t="s">
        <v>760</v>
      </c>
      <c r="AO188" s="156" t="n">
        <v>26</v>
      </c>
      <c r="AP188" s="193" t="n">
        <v>311</v>
      </c>
      <c r="AQ188" s="137" t="n">
        <f aca="false">AR188+AT188+AU188+AV188+AX188+AY188+AZ188+BB188+BC188+BD188+BF188+BG188+BH188+BJ188+BK188+(BL188+BM188+BN188)/1000+(0.1*BO188)</f>
        <v>91</v>
      </c>
      <c r="AR188" s="156" t="n">
        <v>26</v>
      </c>
      <c r="AS188" s="156" t="n">
        <v>311</v>
      </c>
      <c r="AT188" s="156" t="n">
        <v>65</v>
      </c>
      <c r="AU188" s="156" t="n">
        <v>0</v>
      </c>
      <c r="AV188" s="138" t="n">
        <v>0</v>
      </c>
      <c r="AW188" s="138" t="n">
        <v>0</v>
      </c>
      <c r="AX188" s="138" t="n">
        <v>0</v>
      </c>
      <c r="AY188" s="138" t="n">
        <v>0</v>
      </c>
      <c r="AZ188" s="194" t="n">
        <v>0</v>
      </c>
      <c r="BA188" s="156" t="n">
        <v>35</v>
      </c>
      <c r="BB188" s="194" t="n">
        <v>0</v>
      </c>
      <c r="BC188" s="194" t="n">
        <v>0</v>
      </c>
      <c r="BD188" s="185" t="n">
        <v>0</v>
      </c>
      <c r="BE188" s="185" t="n">
        <v>0</v>
      </c>
      <c r="BF188" s="185" t="n">
        <v>0</v>
      </c>
      <c r="BG188" s="185" t="n">
        <v>0</v>
      </c>
      <c r="BH188" s="185" t="n">
        <v>0</v>
      </c>
      <c r="BI188" s="185" t="n">
        <v>0</v>
      </c>
      <c r="BJ188" s="185" t="n">
        <v>0</v>
      </c>
      <c r="BK188" s="185" t="n">
        <v>0</v>
      </c>
      <c r="BL188" s="185" t="n">
        <v>0</v>
      </c>
      <c r="BM188" s="185" t="n">
        <v>0</v>
      </c>
      <c r="BN188" s="185" t="n">
        <v>0</v>
      </c>
      <c r="BO188" s="185" t="n">
        <v>0</v>
      </c>
      <c r="BP188" s="159"/>
      <c r="BQ188" s="159"/>
      <c r="BR188" s="159"/>
      <c r="BS188" s="159"/>
      <c r="BT188" s="159"/>
      <c r="BU188" s="159"/>
      <c r="BV188" s="159"/>
      <c r="BW188" s="159"/>
      <c r="BX188" s="159"/>
      <c r="BY188" s="159"/>
      <c r="BZ188" s="159"/>
      <c r="CA188" s="159"/>
      <c r="CB188" s="159"/>
      <c r="CC188" s="159"/>
      <c r="CD188" s="159"/>
      <c r="CE188" s="159"/>
      <c r="CF188" s="159"/>
      <c r="CG188" s="159"/>
      <c r="CH188" s="159"/>
      <c r="CI188" s="159"/>
      <c r="CJ188" s="159"/>
      <c r="CK188" s="159"/>
      <c r="CL188" s="159"/>
      <c r="CM188" s="159"/>
      <c r="CN188" s="159"/>
      <c r="CO188" s="159"/>
      <c r="CP188" s="159"/>
      <c r="CQ188" s="159"/>
      <c r="CR188" s="159"/>
      <c r="CS188" s="159"/>
      <c r="CT188" s="159"/>
      <c r="CU188" s="159"/>
    </row>
    <row r="189" customFormat="false" ht="15" hidden="false" customHeight="true" outlineLevel="0" collapsed="false">
      <c r="A189" s="151" t="n">
        <v>4849</v>
      </c>
      <c r="B189" s="151"/>
      <c r="C189" s="152" t="s">
        <v>761</v>
      </c>
      <c r="D189" s="140" t="s">
        <v>761</v>
      </c>
      <c r="E189" s="134" t="n">
        <f aca="false">IF(I189="regional",IF(R189*0.2975,S189*0.3484),S189*0.1939)</f>
        <v>0</v>
      </c>
      <c r="F189" s="141"/>
      <c r="G189" s="135" t="n">
        <f aca="false">E189+F189</f>
        <v>0</v>
      </c>
      <c r="H189" s="152"/>
      <c r="I189" s="140" t="s">
        <v>718</v>
      </c>
      <c r="J189" s="140"/>
      <c r="K189" s="140"/>
      <c r="L189" s="140"/>
      <c r="M189" s="142"/>
      <c r="N189" s="142"/>
      <c r="O189" s="142"/>
      <c r="P189" s="142"/>
      <c r="Q189" s="142"/>
      <c r="R189" s="187" t="n">
        <v>90000</v>
      </c>
      <c r="S189" s="195" t="n">
        <v>0</v>
      </c>
      <c r="T189" s="8" t="n">
        <f aca="false">IF(I189="regional",IF(R189&gt;0,R189*0.2975,S189*0.3484),S189*0.1939)</f>
        <v>0</v>
      </c>
      <c r="U189" s="142"/>
      <c r="V189" s="142"/>
      <c r="W189" s="142"/>
      <c r="X189" s="142"/>
      <c r="Y189" s="142"/>
      <c r="Z189" s="142"/>
      <c r="AA189" s="142"/>
      <c r="AB189" s="142"/>
      <c r="AC189" s="142"/>
      <c r="AD189" s="142"/>
      <c r="AE189" s="142"/>
      <c r="AF189" s="142"/>
      <c r="AG189" s="142"/>
      <c r="AH189" s="142"/>
      <c r="AI189" s="142"/>
      <c r="AJ189" s="152" t="s">
        <v>715</v>
      </c>
      <c r="AK189" s="152" t="s">
        <v>716</v>
      </c>
      <c r="AL189" s="154" t="s">
        <v>718</v>
      </c>
      <c r="AM189" s="152"/>
      <c r="AN189" s="153" t="s">
        <v>761</v>
      </c>
      <c r="AO189" s="154" t="n">
        <v>0</v>
      </c>
      <c r="AP189" s="155" t="n">
        <v>0</v>
      </c>
      <c r="AQ189" s="137" t="n">
        <f aca="false">AR189+AT189+AU189+AV189+AX189+AY189+AZ189+BB189+BC189+BD189+BF189+BG189+BH189+BJ189+BK189+(BL189+BM189+BN189)/1000+(0.1*BO189)</f>
        <v>74</v>
      </c>
      <c r="AR189" s="156" t="n">
        <v>0</v>
      </c>
      <c r="AS189" s="156" t="n">
        <v>0</v>
      </c>
      <c r="AT189" s="156" t="n">
        <v>74</v>
      </c>
      <c r="AU189" s="156" t="n">
        <v>0</v>
      </c>
      <c r="AV189" s="138" t="n">
        <v>0</v>
      </c>
      <c r="AW189" s="138" t="n">
        <v>0</v>
      </c>
      <c r="AX189" s="138" t="n">
        <v>0</v>
      </c>
      <c r="AY189" s="138" t="n">
        <v>0</v>
      </c>
      <c r="AZ189" s="138" t="n">
        <v>0</v>
      </c>
      <c r="BA189" s="138" t="n">
        <v>0</v>
      </c>
      <c r="BB189" s="138" t="n">
        <v>0</v>
      </c>
      <c r="BC189" s="138" t="n">
        <v>0</v>
      </c>
      <c r="BD189" s="138" t="n">
        <v>0</v>
      </c>
      <c r="BE189" s="138" t="n">
        <v>0</v>
      </c>
      <c r="BF189" s="138" t="n">
        <v>0</v>
      </c>
      <c r="BG189" s="138" t="n">
        <v>0</v>
      </c>
      <c r="BH189" s="138" t="n">
        <v>0</v>
      </c>
      <c r="BI189" s="138" t="n">
        <v>0</v>
      </c>
      <c r="BJ189" s="138" t="n">
        <v>0</v>
      </c>
      <c r="BK189" s="138" t="n">
        <v>0</v>
      </c>
      <c r="BL189" s="138" t="n">
        <v>0</v>
      </c>
      <c r="BM189" s="138" t="n">
        <v>0</v>
      </c>
      <c r="BN189" s="138" t="n">
        <v>0</v>
      </c>
      <c r="BO189" s="138" t="n">
        <v>0</v>
      </c>
      <c r="BP189" s="159"/>
      <c r="BQ189" s="159"/>
      <c r="BR189" s="159"/>
      <c r="BS189" s="159"/>
      <c r="BT189" s="159"/>
      <c r="BU189" s="159"/>
      <c r="BV189" s="159"/>
      <c r="BW189" s="159"/>
      <c r="BX189" s="159"/>
      <c r="BY189" s="159"/>
      <c r="BZ189" s="159"/>
      <c r="CA189" s="159"/>
      <c r="CB189" s="159"/>
      <c r="CC189" s="159"/>
      <c r="CD189" s="159"/>
      <c r="CE189" s="159"/>
      <c r="CF189" s="159"/>
      <c r="CG189" s="159"/>
      <c r="CH189" s="159"/>
      <c r="CI189" s="159"/>
      <c r="CJ189" s="159"/>
      <c r="CK189" s="159"/>
      <c r="CL189" s="159"/>
      <c r="CM189" s="159"/>
      <c r="CN189" s="159"/>
      <c r="CO189" s="159"/>
      <c r="CP189" s="159"/>
      <c r="CQ189" s="159"/>
      <c r="CR189" s="159"/>
      <c r="CS189" s="159"/>
      <c r="CT189" s="159"/>
      <c r="CU189" s="159"/>
    </row>
    <row r="190" customFormat="false" ht="15" hidden="false" customHeight="true" outlineLevel="0" collapsed="false">
      <c r="A190" s="138" t="n">
        <v>4835</v>
      </c>
      <c r="B190" s="138" t="s">
        <v>44</v>
      </c>
      <c r="C190" s="139" t="s">
        <v>762</v>
      </c>
      <c r="D190" s="133" t="s">
        <v>670</v>
      </c>
      <c r="E190" s="134" t="n">
        <f aca="false">IF(I190="regional",IF(R190*0.2975,S190*0.3484),S190*0.1939)</f>
        <v>421564</v>
      </c>
      <c r="F190" s="134" t="n">
        <v>558000</v>
      </c>
      <c r="G190" s="135" t="n">
        <f aca="false">E190+F190</f>
        <v>979564</v>
      </c>
      <c r="H190" s="139"/>
      <c r="I190" s="133" t="s">
        <v>48</v>
      </c>
      <c r="J190" s="133" t="s">
        <v>44</v>
      </c>
      <c r="K190" s="133" t="s">
        <v>345</v>
      </c>
      <c r="L190" s="133" t="s">
        <v>44</v>
      </c>
      <c r="M190" s="136" t="n">
        <v>205</v>
      </c>
      <c r="N190" s="136" t="n">
        <v>0.921</v>
      </c>
      <c r="O190" s="136" t="n">
        <v>0.946</v>
      </c>
      <c r="P190" s="136" t="n">
        <v>0.925</v>
      </c>
      <c r="Q190" s="136" t="n">
        <v>0.952</v>
      </c>
      <c r="R190" s="136" t="n">
        <v>127293</v>
      </c>
      <c r="S190" s="136" t="n">
        <v>1210000</v>
      </c>
      <c r="T190" s="8" t="n">
        <f aca="false">IF(I190="regional",IF(R190&gt;0,R190*0.2975,S190*0.3484),S190*0.1939)</f>
        <v>37869.6675</v>
      </c>
      <c r="U190" s="136" t="n">
        <v>763000</v>
      </c>
      <c r="V190" s="136" t="n">
        <v>447000</v>
      </c>
      <c r="W190" s="136" t="n">
        <v>7200</v>
      </c>
      <c r="X190" s="136" t="n">
        <v>595869.6675</v>
      </c>
      <c r="Y190" s="136" t="n">
        <v>37869.6675</v>
      </c>
      <c r="Z190" s="136" t="n">
        <v>558000</v>
      </c>
      <c r="AA190" s="136" t="n">
        <v>652000</v>
      </c>
      <c r="AB190" s="136" t="n">
        <v>0</v>
      </c>
      <c r="AC190" s="136" t="n">
        <v>652000</v>
      </c>
      <c r="AD190" s="136" t="n">
        <v>558000</v>
      </c>
      <c r="AE190" s="136" t="n">
        <v>0</v>
      </c>
      <c r="AF190" s="136" t="n">
        <v>652000</v>
      </c>
      <c r="AG190" s="136" t="n">
        <v>0</v>
      </c>
      <c r="AH190" s="136" t="n">
        <v>1840000</v>
      </c>
      <c r="AI190" s="136" t="n">
        <v>1072000</v>
      </c>
      <c r="AJ190" s="139" t="s">
        <v>715</v>
      </c>
      <c r="AK190" s="139" t="s">
        <v>716</v>
      </c>
      <c r="AL190" s="143" t="s">
        <v>48</v>
      </c>
      <c r="AM190" s="139"/>
      <c r="AN190" s="143" t="s">
        <v>670</v>
      </c>
      <c r="AO190" s="143" t="n">
        <v>595869.6675</v>
      </c>
      <c r="AP190" s="144" t="n">
        <f aca="false">AR190+AT190+AU190+AV190+AX190+AY190+AZ190+BD190+BF190+BG190+BH190+BJ190+BK190+(BL190+BM190+BN190)/1000+(0.1*BO190)</f>
        <v>1447.3493</v>
      </c>
      <c r="AQ190" s="137" t="n">
        <f aca="false">AR190+AT190+AU190+AV190+AX190+AY190+AZ190+BB190+BC190+BD190+BF190+BG190+BH190+BJ190+BK190+(BL190+BM190+BN190)/1000+(0.1*BO190)</f>
        <v>1447.3493</v>
      </c>
      <c r="AR190" s="138" t="n">
        <v>657</v>
      </c>
      <c r="AS190" s="138" t="n">
        <v>1072</v>
      </c>
      <c r="AT190" s="138" t="n">
        <v>576</v>
      </c>
      <c r="AU190" s="138" t="n">
        <v>0</v>
      </c>
      <c r="AV190" s="138" t="n">
        <v>0</v>
      </c>
      <c r="AW190" s="138" t="n">
        <v>0</v>
      </c>
      <c r="AX190" s="138" t="n">
        <v>0</v>
      </c>
      <c r="AY190" s="138" t="n">
        <v>0</v>
      </c>
      <c r="AZ190" s="138" t="n">
        <v>20</v>
      </c>
      <c r="BA190" s="138" t="n">
        <v>119</v>
      </c>
      <c r="BB190" s="138" t="n">
        <v>0</v>
      </c>
      <c r="BC190" s="138" t="n">
        <v>0</v>
      </c>
      <c r="BD190" s="138" t="n">
        <v>72</v>
      </c>
      <c r="BE190" s="138" t="n">
        <v>4</v>
      </c>
      <c r="BF190" s="138" t="n">
        <v>0</v>
      </c>
      <c r="BG190" s="138" t="n">
        <v>0</v>
      </c>
      <c r="BH190" s="138" t="n">
        <v>108</v>
      </c>
      <c r="BI190" s="138" t="n">
        <v>0</v>
      </c>
      <c r="BJ190" s="138" t="n">
        <v>0</v>
      </c>
      <c r="BK190" s="138" t="n">
        <v>0</v>
      </c>
      <c r="BL190" s="138" t="n">
        <v>0</v>
      </c>
      <c r="BM190" s="138" t="n">
        <v>0</v>
      </c>
      <c r="BN190" s="138" t="n">
        <v>0</v>
      </c>
      <c r="BO190" s="138" t="n">
        <v>143.493</v>
      </c>
      <c r="BP190" s="159"/>
      <c r="BQ190" s="159"/>
      <c r="BR190" s="159"/>
      <c r="BS190" s="159"/>
      <c r="BT190" s="159"/>
      <c r="BU190" s="159"/>
      <c r="BV190" s="159"/>
      <c r="BW190" s="159"/>
      <c r="BX190" s="159"/>
      <c r="BY190" s="159"/>
      <c r="BZ190" s="159"/>
      <c r="CA190" s="159"/>
      <c r="CB190" s="159"/>
      <c r="CC190" s="159"/>
      <c r="CD190" s="159"/>
      <c r="CE190" s="159"/>
      <c r="CF190" s="159"/>
      <c r="CG190" s="159"/>
      <c r="CH190" s="159"/>
      <c r="CI190" s="159"/>
      <c r="CJ190" s="159"/>
      <c r="CK190" s="159"/>
      <c r="CL190" s="159"/>
      <c r="CM190" s="159"/>
      <c r="CN190" s="159"/>
      <c r="CO190" s="159"/>
      <c r="CP190" s="159"/>
      <c r="CQ190" s="159"/>
      <c r="CR190" s="159"/>
      <c r="CS190" s="159"/>
      <c r="CT190" s="159"/>
      <c r="CU190" s="159"/>
    </row>
    <row r="191" customFormat="false" ht="15" hidden="false" customHeight="true" outlineLevel="0" collapsed="false">
      <c r="A191" s="138" t="n">
        <v>3805</v>
      </c>
      <c r="B191" s="138" t="s">
        <v>44</v>
      </c>
      <c r="C191" s="139" t="s">
        <v>485</v>
      </c>
      <c r="D191" s="133" t="s">
        <v>485</v>
      </c>
      <c r="E191" s="134" t="n">
        <f aca="false">IF(I191="regional",IF(R191*0.2975,S191*0.3484),S191*0.1939)</f>
        <v>263682.3592</v>
      </c>
      <c r="F191" s="134" t="n">
        <v>407721</v>
      </c>
      <c r="G191" s="135" t="n">
        <f aca="false">E191+F191</f>
        <v>671403.3592</v>
      </c>
      <c r="H191" s="139" t="s">
        <v>44</v>
      </c>
      <c r="I191" s="133" t="s">
        <v>48</v>
      </c>
      <c r="J191" s="133" t="s">
        <v>44</v>
      </c>
      <c r="K191" s="133" t="s">
        <v>487</v>
      </c>
      <c r="L191" s="133" t="s">
        <v>44</v>
      </c>
      <c r="M191" s="136" t="n">
        <v>132</v>
      </c>
      <c r="N191" s="136" t="n">
        <v>0.597</v>
      </c>
      <c r="O191" s="136" t="n">
        <v>0.644</v>
      </c>
      <c r="P191" s="136" t="n">
        <v>0.662</v>
      </c>
      <c r="Q191" s="136" t="n">
        <v>0.685</v>
      </c>
      <c r="R191" s="134" t="n">
        <v>970198</v>
      </c>
      <c r="S191" s="136" t="n">
        <v>756838</v>
      </c>
      <c r="T191" s="8" t="n">
        <f aca="false">IF(I191="regional",IF(R191&gt;0,R191*0.2975,S191*0.3484),S191*0.1939)</f>
        <v>288633.905</v>
      </c>
      <c r="U191" s="136" t="n">
        <v>460857</v>
      </c>
      <c r="V191" s="136" t="n">
        <v>295981</v>
      </c>
      <c r="W191" s="136" t="n">
        <v>6518</v>
      </c>
      <c r="X191" s="136" t="n">
        <v>696354.905</v>
      </c>
      <c r="Y191" s="136" t="n">
        <v>288633.905</v>
      </c>
      <c r="Z191" s="136" t="n">
        <v>407721</v>
      </c>
      <c r="AA191" s="136" t="n">
        <v>349117</v>
      </c>
      <c r="AB191" s="136" t="n">
        <v>0</v>
      </c>
      <c r="AC191" s="136" t="n">
        <v>349117</v>
      </c>
      <c r="AD191" s="136" t="n">
        <v>407721</v>
      </c>
      <c r="AE191" s="136" t="n">
        <v>0</v>
      </c>
      <c r="AF191" s="136" t="n">
        <v>349117</v>
      </c>
      <c r="AG191" s="136" t="n">
        <v>0</v>
      </c>
      <c r="AH191" s="136" t="n">
        <v>339000</v>
      </c>
      <c r="AI191" s="136" t="n">
        <v>261000</v>
      </c>
      <c r="AJ191" s="139" t="s">
        <v>707</v>
      </c>
      <c r="AK191" s="139" t="s">
        <v>708</v>
      </c>
      <c r="AL191" s="143" t="s">
        <v>48</v>
      </c>
      <c r="AM191" s="139"/>
      <c r="AN191" s="143" t="s">
        <v>485</v>
      </c>
      <c r="AO191" s="143" t="n">
        <v>696354.905</v>
      </c>
      <c r="AP191" s="144" t="n">
        <f aca="false">AR191+AT191+AU191+AV191+AX191+AY191+AZ191+BD191+BF191+BG191+BH191+BJ191+BK191+(BL191+BM191+BN191)/1000+(0.1*BO191)</f>
        <v>540.451</v>
      </c>
      <c r="AQ191" s="137" t="n">
        <f aca="false">AR191+AT191+AU191+AV191+AX191+AY191+AZ191+BB191+BC191+BD191+BF191+BG191+BH191+BJ191+BK191+(BL191+BM191+BN191)/1000+(0.1*BO191)</f>
        <v>567.451</v>
      </c>
      <c r="AR191" s="184" t="n">
        <v>262</v>
      </c>
      <c r="AS191" s="184" t="n">
        <v>261</v>
      </c>
      <c r="AT191" s="184" t="n">
        <v>85</v>
      </c>
      <c r="AU191" s="184" t="n">
        <v>0</v>
      </c>
      <c r="AV191" s="138" t="n">
        <v>0</v>
      </c>
      <c r="AW191" s="138" t="n">
        <v>0</v>
      </c>
      <c r="AX191" s="138" t="n">
        <v>0</v>
      </c>
      <c r="AY191" s="138" t="n">
        <v>0</v>
      </c>
      <c r="AZ191" s="138" t="n">
        <v>13</v>
      </c>
      <c r="BA191" s="138" t="n">
        <v>9</v>
      </c>
      <c r="BB191" s="138" t="n">
        <v>27</v>
      </c>
      <c r="BC191" s="138" t="n">
        <v>0</v>
      </c>
      <c r="BD191" s="138" t="n">
        <v>33</v>
      </c>
      <c r="BE191" s="138" t="n">
        <v>0</v>
      </c>
      <c r="BF191" s="138" t="n">
        <v>0</v>
      </c>
      <c r="BG191" s="138" t="n">
        <v>0</v>
      </c>
      <c r="BH191" s="138" t="n">
        <v>66</v>
      </c>
      <c r="BI191" s="138" t="n">
        <v>2</v>
      </c>
      <c r="BJ191" s="138" t="n">
        <v>0</v>
      </c>
      <c r="BK191" s="138" t="n">
        <v>0</v>
      </c>
      <c r="BL191" s="138" t="n">
        <v>0</v>
      </c>
      <c r="BM191" s="138" t="n">
        <v>0</v>
      </c>
      <c r="BN191" s="138" t="n">
        <v>0</v>
      </c>
      <c r="BO191" s="138" t="n">
        <v>814.51</v>
      </c>
      <c r="BP191" s="159"/>
      <c r="BQ191" s="159"/>
      <c r="BR191" s="159"/>
      <c r="BS191" s="159"/>
      <c r="BT191" s="159"/>
      <c r="BU191" s="159"/>
      <c r="BV191" s="159"/>
      <c r="BW191" s="159"/>
      <c r="BX191" s="159"/>
      <c r="BY191" s="159"/>
      <c r="BZ191" s="159"/>
      <c r="CA191" s="159"/>
      <c r="CB191" s="159"/>
      <c r="CC191" s="159"/>
      <c r="CD191" s="159"/>
      <c r="CE191" s="159"/>
      <c r="CF191" s="159"/>
      <c r="CG191" s="159"/>
      <c r="CH191" s="159"/>
      <c r="CI191" s="159"/>
      <c r="CJ191" s="159"/>
      <c r="CK191" s="159"/>
      <c r="CL191" s="159"/>
      <c r="CM191" s="159"/>
      <c r="CN191" s="159"/>
      <c r="CO191" s="159"/>
      <c r="CP191" s="159"/>
      <c r="CQ191" s="159"/>
      <c r="CR191" s="159"/>
      <c r="CS191" s="159"/>
      <c r="CT191" s="159"/>
      <c r="CU191" s="159"/>
    </row>
    <row r="192" customFormat="false" ht="15" hidden="false" customHeight="true" outlineLevel="0" collapsed="false">
      <c r="A192" s="138" t="n">
        <v>4836</v>
      </c>
      <c r="B192" s="138"/>
      <c r="C192" s="139" t="s">
        <v>671</v>
      </c>
      <c r="D192" s="133" t="s">
        <v>671</v>
      </c>
      <c r="E192" s="134" t="n">
        <f aca="false">IF(I192="regional",IF(R192*0.2975,S192*0.3484),S192*0.1939)</f>
        <v>787384</v>
      </c>
      <c r="F192" s="134" t="n">
        <v>0</v>
      </c>
      <c r="G192" s="135" t="n">
        <f aca="false">E192+F192</f>
        <v>787384</v>
      </c>
      <c r="H192" s="139"/>
      <c r="I192" s="133" t="s">
        <v>48</v>
      </c>
      <c r="J192" s="133"/>
      <c r="K192" s="133" t="s">
        <v>490</v>
      </c>
      <c r="L192" s="133"/>
      <c r="M192" s="136" t="n">
        <v>205</v>
      </c>
      <c r="N192" s="136" t="n">
        <v>0.932</v>
      </c>
      <c r="O192" s="136" t="n">
        <v>0.969</v>
      </c>
      <c r="P192" s="136" t="n">
        <v>0.925</v>
      </c>
      <c r="Q192" s="136" t="n">
        <v>0.952</v>
      </c>
      <c r="R192" s="134" t="n">
        <v>2881095</v>
      </c>
      <c r="S192" s="136" t="n">
        <v>2260000</v>
      </c>
      <c r="T192" s="8" t="n">
        <f aca="false">IF(I192="regional",IF(R192&gt;0,R192*0.2975,S192*0.3484),S192*0.1939)</f>
        <v>857125.7625</v>
      </c>
      <c r="U192" s="136" t="n">
        <v>1440000</v>
      </c>
      <c r="V192" s="136" t="n">
        <v>820000</v>
      </c>
      <c r="W192" s="136" t="n">
        <v>9143</v>
      </c>
      <c r="X192" s="136" t="n">
        <v>0</v>
      </c>
      <c r="Y192" s="136" t="n">
        <v>0</v>
      </c>
      <c r="Z192" s="136" t="n">
        <v>0</v>
      </c>
      <c r="AA192" s="136" t="n">
        <v>3117125.763</v>
      </c>
      <c r="AB192" s="136" t="n">
        <v>857125.7625</v>
      </c>
      <c r="AC192" s="136" t="n">
        <v>2260000</v>
      </c>
      <c r="AD192" s="136" t="n">
        <v>0</v>
      </c>
      <c r="AE192" s="136" t="n">
        <v>0</v>
      </c>
      <c r="AF192" s="136" t="n">
        <v>0</v>
      </c>
      <c r="AG192" s="136" t="n">
        <v>2260000</v>
      </c>
      <c r="AH192" s="136" t="n">
        <v>0</v>
      </c>
      <c r="AI192" s="136" t="n">
        <v>0</v>
      </c>
      <c r="AJ192" s="139" t="n">
        <v>4</v>
      </c>
      <c r="AK192" s="139" t="s">
        <v>724</v>
      </c>
      <c r="AL192" s="143" t="s">
        <v>48</v>
      </c>
      <c r="AM192" s="139"/>
      <c r="AN192" s="143" t="s">
        <v>671</v>
      </c>
      <c r="AO192" s="143" t="n">
        <v>857125.7625</v>
      </c>
      <c r="AP192" s="144" t="n">
        <f aca="false">AR192+AT192+AU192+AV192+AX192+AY192+AZ192+BD192+BF192+BG192+BH192+BJ192+BK192+(BL192+BM192+BN192)/1000+(0.1*BO192)</f>
        <v>1516</v>
      </c>
      <c r="AQ192" s="137" t="n">
        <f aca="false">AR192+AT192+AU192+AV192+AX192+AY192+AZ192+BB192+BC192+BD192+BF192+BG192+BH192+BJ192+BK192+(BL192+BM192+BN192)/1000+(0.1*BO192)</f>
        <v>1555</v>
      </c>
      <c r="AR192" s="138" t="n">
        <v>120</v>
      </c>
      <c r="AS192" s="138" t="n">
        <v>0</v>
      </c>
      <c r="AT192" s="138" t="n">
        <v>1379</v>
      </c>
      <c r="AU192" s="138" t="n">
        <v>19</v>
      </c>
      <c r="AV192" s="138" t="n">
        <v>0</v>
      </c>
      <c r="AW192" s="138" t="n">
        <v>0</v>
      </c>
      <c r="AX192" s="138" t="n">
        <v>-2</v>
      </c>
      <c r="AY192" s="138" t="n">
        <v>0</v>
      </c>
      <c r="AZ192" s="138" t="n">
        <v>0</v>
      </c>
      <c r="BA192" s="138" t="n">
        <v>0</v>
      </c>
      <c r="BB192" s="138" t="n">
        <v>35</v>
      </c>
      <c r="BC192" s="138" t="n">
        <v>4</v>
      </c>
      <c r="BD192" s="138" t="n">
        <v>0</v>
      </c>
      <c r="BE192" s="138" t="n">
        <v>0</v>
      </c>
      <c r="BF192" s="138" t="n">
        <v>0</v>
      </c>
      <c r="BG192" s="138" t="n">
        <v>0</v>
      </c>
      <c r="BH192" s="138" t="n">
        <v>0</v>
      </c>
      <c r="BI192" s="138" t="n">
        <v>0</v>
      </c>
      <c r="BJ192" s="138" t="n">
        <v>0</v>
      </c>
      <c r="BK192" s="138" t="n">
        <v>0</v>
      </c>
      <c r="BL192" s="138" t="n">
        <v>0</v>
      </c>
      <c r="BM192" s="138" t="n">
        <v>0</v>
      </c>
      <c r="BN192" s="138" t="n">
        <v>0</v>
      </c>
      <c r="BO192" s="138" t="n">
        <v>0</v>
      </c>
    </row>
    <row r="193" customFormat="false" ht="15" hidden="false" customHeight="true" outlineLevel="0" collapsed="false">
      <c r="A193" s="151" t="n">
        <v>4851</v>
      </c>
      <c r="B193" s="151"/>
      <c r="C193" s="152" t="s">
        <v>763</v>
      </c>
      <c r="D193" s="140" t="s">
        <v>671</v>
      </c>
      <c r="E193" s="134" t="n">
        <f aca="false">IF(I193="regional",IF(R193*0.2975,S193*0.3484),S193*0.1939)</f>
        <v>0</v>
      </c>
      <c r="F193" s="141"/>
      <c r="G193" s="135" t="n">
        <f aca="false">E193+F193</f>
        <v>0</v>
      </c>
      <c r="H193" s="139"/>
      <c r="I193" s="140" t="s">
        <v>48</v>
      </c>
      <c r="J193" s="140"/>
      <c r="K193" s="140"/>
      <c r="L193" s="140"/>
      <c r="M193" s="142"/>
      <c r="N193" s="142"/>
      <c r="O193" s="142"/>
      <c r="P193" s="142"/>
      <c r="Q193" s="142"/>
      <c r="R193" s="141" t="n">
        <v>1500000</v>
      </c>
      <c r="S193" s="142" t="n">
        <v>0</v>
      </c>
      <c r="T193" s="8" t="n">
        <f aca="false">IF(I193="regional",IF(R193&gt;0,R193*0.2975,S193*0.3484),S193*0.1939)</f>
        <v>446250</v>
      </c>
      <c r="U193" s="142"/>
      <c r="V193" s="142"/>
      <c r="W193" s="142"/>
      <c r="X193" s="142"/>
      <c r="Y193" s="142"/>
      <c r="Z193" s="142"/>
      <c r="AA193" s="142"/>
      <c r="AB193" s="142"/>
      <c r="AC193" s="142"/>
      <c r="AD193" s="142"/>
      <c r="AE193" s="142"/>
      <c r="AF193" s="142"/>
      <c r="AG193" s="142"/>
      <c r="AH193" s="142"/>
      <c r="AI193" s="142"/>
      <c r="AJ193" s="139" t="n">
        <v>4</v>
      </c>
      <c r="AK193" s="139" t="s">
        <v>724</v>
      </c>
      <c r="AL193" s="143" t="s">
        <v>718</v>
      </c>
      <c r="AM193" s="139"/>
      <c r="AN193" s="154" t="s">
        <v>764</v>
      </c>
      <c r="AO193" s="154" t="n">
        <v>0</v>
      </c>
      <c r="AP193" s="155" t="n">
        <v>0</v>
      </c>
      <c r="AQ193" s="137" t="n">
        <f aca="false">AR193+AT193+AU193+AV193+AX193+AY193+AZ193+BB193+BC193+BD193+BF193+BG193+BH193+BJ193+BK193+(BL193+BM193+BN193)/1000+(0.1*BO193)</f>
        <v>7</v>
      </c>
      <c r="AR193" s="156" t="n">
        <v>0</v>
      </c>
      <c r="AS193" s="156" t="n">
        <v>0</v>
      </c>
      <c r="AT193" s="156" t="n">
        <v>0</v>
      </c>
      <c r="AU193" s="156" t="n">
        <v>7</v>
      </c>
      <c r="AV193" s="138" t="n">
        <v>0</v>
      </c>
      <c r="AW193" s="138" t="n">
        <v>0</v>
      </c>
      <c r="AX193" s="138" t="n">
        <v>0</v>
      </c>
      <c r="AY193" s="138" t="n">
        <v>0</v>
      </c>
      <c r="AZ193" s="138" t="n">
        <v>0</v>
      </c>
      <c r="BA193" s="138" t="n">
        <v>0</v>
      </c>
      <c r="BB193" s="138" t="n">
        <v>0</v>
      </c>
      <c r="BC193" s="138" t="n">
        <v>0</v>
      </c>
      <c r="BD193" s="138" t="n">
        <v>0</v>
      </c>
      <c r="BE193" s="138" t="n">
        <v>0</v>
      </c>
      <c r="BF193" s="138" t="n">
        <v>0</v>
      </c>
      <c r="BG193" s="138" t="n">
        <v>0</v>
      </c>
      <c r="BH193" s="138" t="n">
        <v>0</v>
      </c>
      <c r="BI193" s="138" t="n">
        <v>0</v>
      </c>
      <c r="BJ193" s="138" t="n">
        <v>0</v>
      </c>
      <c r="BK193" s="138" t="n">
        <v>0</v>
      </c>
      <c r="BL193" s="138" t="n">
        <v>0</v>
      </c>
      <c r="BM193" s="138" t="n">
        <v>0</v>
      </c>
      <c r="BN193" s="138" t="n">
        <v>0</v>
      </c>
      <c r="BO193" s="151" t="n">
        <v>0</v>
      </c>
    </row>
    <row r="194" customFormat="false" ht="15" hidden="false" customHeight="true" outlineLevel="0" collapsed="false">
      <c r="A194" s="131" t="n">
        <v>3107</v>
      </c>
      <c r="B194" s="131" t="s">
        <v>44</v>
      </c>
      <c r="C194" s="132" t="s">
        <v>491</v>
      </c>
      <c r="D194" s="133" t="s">
        <v>491</v>
      </c>
      <c r="E194" s="134" t="n">
        <f aca="false">IF(I194="regional",IF(R194*0.2975,S194*0.3484),S194*0.1939)</f>
        <v>418793.8716</v>
      </c>
      <c r="F194" s="134" t="n">
        <v>659993</v>
      </c>
      <c r="G194" s="135" t="n">
        <f aca="false">E194+F194</f>
        <v>1078786.8716</v>
      </c>
      <c r="H194" s="132"/>
      <c r="I194" s="133" t="s">
        <v>48</v>
      </c>
      <c r="J194" s="133" t="s">
        <v>44</v>
      </c>
      <c r="K194" s="133" t="s">
        <v>492</v>
      </c>
      <c r="L194" s="133" t="s">
        <v>44</v>
      </c>
      <c r="M194" s="136" t="n">
        <v>191</v>
      </c>
      <c r="N194" s="136" t="n">
        <v>0.905</v>
      </c>
      <c r="O194" s="136" t="n">
        <v>0.919</v>
      </c>
      <c r="P194" s="136" t="n">
        <v>0.942</v>
      </c>
      <c r="Q194" s="136" t="n">
        <v>0.924</v>
      </c>
      <c r="R194" s="136" t="n">
        <v>1480272</v>
      </c>
      <c r="S194" s="136" t="n">
        <v>1202049</v>
      </c>
      <c r="T194" s="8" t="n">
        <f aca="false">IF(I194="regional",IF(R194&gt;0,R194*0.2975,S194*0.3484),S194*0.1939)</f>
        <v>440380.92</v>
      </c>
      <c r="U194" s="136" t="n">
        <v>823347</v>
      </c>
      <c r="V194" s="136" t="n">
        <v>378702</v>
      </c>
      <c r="W194" s="136" t="n">
        <v>5616</v>
      </c>
      <c r="X194" s="136" t="n">
        <v>1100373.92</v>
      </c>
      <c r="Y194" s="136" t="n">
        <v>440380.92</v>
      </c>
      <c r="Z194" s="136" t="n">
        <v>659993</v>
      </c>
      <c r="AA194" s="136" t="n">
        <v>542056</v>
      </c>
      <c r="AB194" s="136" t="n">
        <v>0</v>
      </c>
      <c r="AC194" s="136" t="n">
        <v>542056</v>
      </c>
      <c r="AD194" s="136" t="n">
        <v>659993</v>
      </c>
      <c r="AE194" s="136" t="n">
        <v>0</v>
      </c>
      <c r="AF194" s="136" t="n">
        <v>542056</v>
      </c>
      <c r="AG194" s="136" t="n">
        <v>0</v>
      </c>
      <c r="AH194" s="136" t="n">
        <v>778000</v>
      </c>
      <c r="AI194" s="136" t="n">
        <v>632000</v>
      </c>
      <c r="AJ194" s="132" t="s">
        <v>715</v>
      </c>
      <c r="AK194" s="132" t="s">
        <v>716</v>
      </c>
      <c r="AL194" s="133" t="s">
        <v>48</v>
      </c>
      <c r="AM194" s="132"/>
      <c r="AN194" s="133" t="s">
        <v>491</v>
      </c>
      <c r="AO194" s="133" t="n">
        <v>1100373.92</v>
      </c>
      <c r="AP194" s="137" t="n">
        <f aca="false">AR194+AT194+AU194+AV194+AX194+AY194+AZ194+BD194+BF194+BG194+BH194+BJ194+BK194+(BL194+BM194+BN194)/1000+(0.1*BO194)</f>
        <v>1174.7111</v>
      </c>
      <c r="AQ194" s="137" t="n">
        <f aca="false">AR194+AT194+AU194+AV194+AX194+AY194+AZ194+BB194+BC194+BD194+BF194+BG194+BH194+BJ194+BK194+(BL194+BM194+BN194)/1000+(0.1*BO194)</f>
        <v>1221.7111</v>
      </c>
      <c r="AR194" s="131" t="n">
        <v>493</v>
      </c>
      <c r="AS194" s="131" t="n">
        <v>632</v>
      </c>
      <c r="AT194" s="131" t="n">
        <v>193</v>
      </c>
      <c r="AU194" s="131" t="n">
        <v>1</v>
      </c>
      <c r="AV194" s="131" t="n">
        <v>0</v>
      </c>
      <c r="AW194" s="131" t="n">
        <v>29</v>
      </c>
      <c r="AX194" s="131" t="n">
        <v>0</v>
      </c>
      <c r="AY194" s="131" t="n">
        <v>0</v>
      </c>
      <c r="AZ194" s="131" t="n">
        <v>15</v>
      </c>
      <c r="BA194" s="131" t="n">
        <v>31</v>
      </c>
      <c r="BB194" s="131" t="n">
        <v>47</v>
      </c>
      <c r="BC194" s="131" t="n">
        <v>0</v>
      </c>
      <c r="BD194" s="131" t="n">
        <v>57</v>
      </c>
      <c r="BE194" s="131" t="n">
        <v>0</v>
      </c>
      <c r="BF194" s="131" t="n">
        <v>0</v>
      </c>
      <c r="BG194" s="131" t="n">
        <v>0</v>
      </c>
      <c r="BH194" s="131" t="n">
        <v>90</v>
      </c>
      <c r="BI194" s="131" t="n">
        <v>0</v>
      </c>
      <c r="BJ194" s="131" t="n">
        <v>0</v>
      </c>
      <c r="BK194" s="131" t="n">
        <v>0</v>
      </c>
      <c r="BL194" s="131" t="n">
        <v>182949</v>
      </c>
      <c r="BM194" s="131" t="n">
        <v>0</v>
      </c>
      <c r="BN194" s="131" t="n">
        <v>0</v>
      </c>
      <c r="BO194" s="131" t="n">
        <v>1427.621</v>
      </c>
    </row>
    <row r="195" customFormat="false" ht="15" hidden="false" customHeight="true" outlineLevel="0" collapsed="false">
      <c r="A195" s="131" t="n">
        <v>546</v>
      </c>
      <c r="B195" s="131"/>
      <c r="C195" s="132" t="s">
        <v>493</v>
      </c>
      <c r="D195" s="133" t="s">
        <v>493</v>
      </c>
      <c r="E195" s="134" t="n">
        <f aca="false">IF(I195="regional",IF(R195*0.2975,S195*0.3484),S195*0.1939)</f>
        <v>37244.5059</v>
      </c>
      <c r="F195" s="134" t="n">
        <v>0</v>
      </c>
      <c r="G195" s="135" t="n">
        <f aca="false">E195+F195</f>
        <v>37244.5059</v>
      </c>
      <c r="H195" s="132" t="s">
        <v>49</v>
      </c>
      <c r="I195" s="133" t="s">
        <v>62</v>
      </c>
      <c r="J195" s="133"/>
      <c r="K195" s="133" t="s">
        <v>449</v>
      </c>
      <c r="L195" s="133"/>
      <c r="M195" s="136" t="n">
        <v>24</v>
      </c>
      <c r="N195" s="136" t="n">
        <v>0.964</v>
      </c>
      <c r="O195" s="136" t="n">
        <v>0.964</v>
      </c>
      <c r="P195" s="136" t="n">
        <v>0.959</v>
      </c>
      <c r="Q195" s="136" t="n">
        <v>0.979</v>
      </c>
      <c r="R195" s="136" t="n">
        <v>0</v>
      </c>
      <c r="S195" s="136" t="n">
        <v>192081</v>
      </c>
      <c r="T195" s="8" t="n">
        <f aca="false">IF(I195="regional",IF(R195&gt;0,R195*0.2975,S195*0.3484),S195*0.1939)</f>
        <v>37244.5059</v>
      </c>
      <c r="U195" s="136" t="n">
        <v>124479</v>
      </c>
      <c r="V195" s="136" t="n">
        <v>67602</v>
      </c>
      <c r="W195" s="136" t="n">
        <v>960</v>
      </c>
      <c r="X195" s="136" t="n">
        <v>0</v>
      </c>
      <c r="Y195" s="136" t="n">
        <v>0</v>
      </c>
      <c r="Z195" s="136" t="n">
        <v>0</v>
      </c>
      <c r="AA195" s="136" t="n">
        <v>229325.5059</v>
      </c>
      <c r="AB195" s="136" t="n">
        <v>37244.5059</v>
      </c>
      <c r="AC195" s="136" t="n">
        <v>192081</v>
      </c>
      <c r="AD195" s="136" t="n">
        <v>0</v>
      </c>
      <c r="AE195" s="136" t="n">
        <v>0</v>
      </c>
      <c r="AF195" s="136" t="n">
        <v>0</v>
      </c>
      <c r="AG195" s="136" t="n">
        <v>192081</v>
      </c>
      <c r="AH195" s="136" t="n">
        <v>0</v>
      </c>
      <c r="AI195" s="136" t="n">
        <v>0</v>
      </c>
      <c r="AJ195" s="132" t="s">
        <v>707</v>
      </c>
      <c r="AK195" s="132" t="s">
        <v>714</v>
      </c>
      <c r="AL195" s="133" t="s">
        <v>62</v>
      </c>
      <c r="AM195" s="132" t="s">
        <v>49</v>
      </c>
      <c r="AN195" s="133" t="s">
        <v>493</v>
      </c>
      <c r="AO195" s="133" t="n">
        <v>37244.5059</v>
      </c>
      <c r="AP195" s="137" t="n">
        <f aca="false">AR195+AT195+AU195+AV195+AX195+AY195+AZ195+BD195+BF195+BG195+BH195+BJ195+BK195+(BL195+BM195+BN195)/1000+(0.1*BO195)</f>
        <v>12</v>
      </c>
      <c r="AQ195" s="137" t="n">
        <f aca="false">AR195+AT195+AU195+AV195+AX195+AY195+AZ195+BB195+BC195+BD195+BF195+BG195+BH195+BJ195+BK195+(BL195+BM195+BN195)/1000+(0.1*BO195)</f>
        <v>18</v>
      </c>
      <c r="AR195" s="131" t="n">
        <v>0</v>
      </c>
      <c r="AS195" s="131" t="n">
        <v>0</v>
      </c>
      <c r="AT195" s="131" t="n">
        <v>12</v>
      </c>
      <c r="AU195" s="131" t="n">
        <v>0</v>
      </c>
      <c r="AV195" s="131" t="n">
        <v>0</v>
      </c>
      <c r="AW195" s="131" t="n">
        <v>0</v>
      </c>
      <c r="AX195" s="131" t="n">
        <v>0</v>
      </c>
      <c r="AY195" s="131" t="n">
        <v>0</v>
      </c>
      <c r="AZ195" s="131" t="n">
        <v>0</v>
      </c>
      <c r="BA195" s="131" t="n">
        <v>0</v>
      </c>
      <c r="BB195" s="131" t="n">
        <v>0</v>
      </c>
      <c r="BC195" s="131" t="n">
        <v>6</v>
      </c>
      <c r="BD195" s="131" t="n">
        <v>0</v>
      </c>
      <c r="BE195" s="131" t="n">
        <v>0</v>
      </c>
      <c r="BF195" s="131" t="n">
        <v>0</v>
      </c>
      <c r="BG195" s="131" t="n">
        <v>0</v>
      </c>
      <c r="BH195" s="131" t="n">
        <v>0</v>
      </c>
      <c r="BI195" s="131" t="n">
        <v>0</v>
      </c>
      <c r="BJ195" s="131" t="n">
        <v>0</v>
      </c>
      <c r="BK195" s="131" t="n">
        <v>0</v>
      </c>
      <c r="BL195" s="131" t="n">
        <v>0</v>
      </c>
      <c r="BM195" s="131" t="n">
        <v>0</v>
      </c>
      <c r="BN195" s="131" t="n">
        <v>0</v>
      </c>
      <c r="BO195" s="131" t="n">
        <v>0</v>
      </c>
    </row>
    <row r="196" customFormat="false" ht="15" hidden="false" customHeight="true" outlineLevel="0" collapsed="false">
      <c r="A196" s="131" t="n">
        <v>4837</v>
      </c>
      <c r="B196" s="131"/>
      <c r="C196" s="132" t="s">
        <v>495</v>
      </c>
      <c r="D196" s="133" t="s">
        <v>495</v>
      </c>
      <c r="E196" s="134" t="n">
        <f aca="false">IF(I196="regional",IF(R196*0.2975,S196*0.3484),S196*0.1939)</f>
        <v>242138</v>
      </c>
      <c r="F196" s="134" t="n">
        <v>0</v>
      </c>
      <c r="G196" s="135" t="n">
        <f aca="false">E196+F196</f>
        <v>242138</v>
      </c>
      <c r="H196" s="132"/>
      <c r="I196" s="133" t="s">
        <v>48</v>
      </c>
      <c r="J196" s="133" t="s">
        <v>49</v>
      </c>
      <c r="K196" s="133" t="s">
        <v>497</v>
      </c>
      <c r="L196" s="133"/>
      <c r="M196" s="136" t="n">
        <v>126</v>
      </c>
      <c r="N196" s="136" t="n">
        <v>0.816</v>
      </c>
      <c r="O196" s="136" t="n">
        <v>0.845</v>
      </c>
      <c r="P196" s="136" t="n">
        <v>0.925</v>
      </c>
      <c r="Q196" s="136" t="n">
        <v>0.952</v>
      </c>
      <c r="R196" s="136" t="n">
        <v>809359</v>
      </c>
      <c r="S196" s="136" t="n">
        <v>695000</v>
      </c>
      <c r="T196" s="8" t="n">
        <f aca="false">IF(I196="regional",IF(R196&gt;0,R196*0.2975,S196*0.3484),S196*0.1939)</f>
        <v>240784.3025</v>
      </c>
      <c r="U196" s="136" t="n">
        <v>426400</v>
      </c>
      <c r="V196" s="136" t="n">
        <v>268600</v>
      </c>
      <c r="W196" s="136" t="n">
        <v>3150</v>
      </c>
      <c r="X196" s="136" t="n">
        <v>0</v>
      </c>
      <c r="Y196" s="136" t="n">
        <v>0</v>
      </c>
      <c r="Z196" s="136" t="n">
        <v>0</v>
      </c>
      <c r="AA196" s="136" t="n">
        <v>935784.3025</v>
      </c>
      <c r="AB196" s="136" t="n">
        <v>240784.3025</v>
      </c>
      <c r="AC196" s="136" t="n">
        <v>695000</v>
      </c>
      <c r="AD196" s="136" t="n">
        <v>0</v>
      </c>
      <c r="AE196" s="136" t="n">
        <v>0</v>
      </c>
      <c r="AF196" s="136" t="n">
        <v>0</v>
      </c>
      <c r="AG196" s="136" t="n">
        <v>695000</v>
      </c>
      <c r="AH196" s="136" t="n">
        <v>0</v>
      </c>
      <c r="AI196" s="136" t="n">
        <v>0</v>
      </c>
      <c r="AJ196" s="132" t="s">
        <v>721</v>
      </c>
      <c r="AK196" s="132" t="s">
        <v>108</v>
      </c>
      <c r="AL196" s="133" t="s">
        <v>48</v>
      </c>
      <c r="AM196" s="132"/>
      <c r="AN196" s="133" t="s">
        <v>495</v>
      </c>
      <c r="AO196" s="133" t="n">
        <v>240784.3025</v>
      </c>
      <c r="AP196" s="137" t="n">
        <f aca="false">AR196+AT196+AU196+AV196+AX196+AY196+AZ196+BD196+BF196+BG196+BH196+BJ196+BK196+(BL196+BM196+BN196)/1000+(0.1*BO196)</f>
        <v>498</v>
      </c>
      <c r="AQ196" s="137" t="n">
        <f aca="false">AR196+AT196+AU196+AV196+AX196+AY196+AZ196+BB196+BC196+BD196+BF196+BG196+BH196+BJ196+BK196+(BL196+BM196+BN196)/1000+(0.1*BO196)</f>
        <v>592</v>
      </c>
      <c r="AR196" s="131" t="n">
        <v>243</v>
      </c>
      <c r="AS196" s="131" t="n">
        <v>0</v>
      </c>
      <c r="AT196" s="131" t="n">
        <v>261</v>
      </c>
      <c r="AU196" s="131" t="n">
        <v>9</v>
      </c>
      <c r="AV196" s="131" t="n">
        <v>0</v>
      </c>
      <c r="AW196" s="131" t="n">
        <v>0</v>
      </c>
      <c r="AX196" s="131" t="n">
        <v>-29</v>
      </c>
      <c r="AY196" s="131" t="n">
        <v>0</v>
      </c>
      <c r="AZ196" s="131" t="n">
        <v>0</v>
      </c>
      <c r="BA196" s="131" t="n">
        <v>0</v>
      </c>
      <c r="BB196" s="131" t="n">
        <v>94</v>
      </c>
      <c r="BC196" s="131" t="n">
        <v>0</v>
      </c>
      <c r="BD196" s="131" t="n">
        <v>1</v>
      </c>
      <c r="BE196" s="131" t="n">
        <v>2</v>
      </c>
      <c r="BF196" s="131" t="n">
        <v>0</v>
      </c>
      <c r="BG196" s="131" t="n">
        <v>0</v>
      </c>
      <c r="BH196" s="131" t="n">
        <v>13</v>
      </c>
      <c r="BI196" s="131" t="n">
        <v>0</v>
      </c>
      <c r="BJ196" s="131" t="n">
        <v>0</v>
      </c>
      <c r="BK196" s="131" t="n">
        <v>0</v>
      </c>
      <c r="BL196" s="131" t="n">
        <v>0</v>
      </c>
      <c r="BM196" s="131" t="n">
        <v>0</v>
      </c>
      <c r="BN196" s="131" t="n">
        <v>0</v>
      </c>
      <c r="BO196" s="131" t="n">
        <v>0</v>
      </c>
    </row>
    <row r="197" customFormat="false" ht="15" hidden="false" customHeight="true" outlineLevel="0" collapsed="false">
      <c r="A197" s="131" t="n">
        <v>3625</v>
      </c>
      <c r="B197" s="131" t="s">
        <v>44</v>
      </c>
      <c r="C197" s="132" t="s">
        <v>498</v>
      </c>
      <c r="D197" s="133" t="s">
        <v>498</v>
      </c>
      <c r="E197" s="134" t="n">
        <f aca="false">IF(I197="regional",IF(R197*0.2975,S197*0.3484),S197*0.1939)</f>
        <v>396839.4456</v>
      </c>
      <c r="F197" s="134" t="n">
        <v>0</v>
      </c>
      <c r="G197" s="135" t="n">
        <f aca="false">E197+F197</f>
        <v>396839.4456</v>
      </c>
      <c r="H197" s="132" t="s">
        <v>49</v>
      </c>
      <c r="I197" s="133" t="s">
        <v>48</v>
      </c>
      <c r="J197" s="133" t="s">
        <v>44</v>
      </c>
      <c r="K197" s="133" t="s">
        <v>449</v>
      </c>
      <c r="L197" s="133"/>
      <c r="M197" s="136" t="n">
        <v>139</v>
      </c>
      <c r="N197" s="136" t="n">
        <v>0.838</v>
      </c>
      <c r="O197" s="136" t="n">
        <v>0.837</v>
      </c>
      <c r="P197" s="136" t="n">
        <v>0.822</v>
      </c>
      <c r="Q197" s="136" t="n">
        <v>0.834</v>
      </c>
      <c r="R197" s="136" t="n">
        <v>1384706</v>
      </c>
      <c r="S197" s="136" t="n">
        <v>1139034</v>
      </c>
      <c r="T197" s="8" t="n">
        <f aca="false">IF(I197="regional",IF(R197&gt;0,R197*0.2975,S197*0.3484),S197*0.1939)</f>
        <v>411950.035</v>
      </c>
      <c r="U197" s="136" t="n">
        <v>768798</v>
      </c>
      <c r="V197" s="136" t="n">
        <v>370236</v>
      </c>
      <c r="W197" s="136" t="n">
        <v>5600</v>
      </c>
      <c r="X197" s="136" t="n">
        <v>0</v>
      </c>
      <c r="Y197" s="136" t="n">
        <v>0</v>
      </c>
      <c r="Z197" s="136" t="n">
        <v>0</v>
      </c>
      <c r="AA197" s="136" t="n">
        <v>1550984.035</v>
      </c>
      <c r="AB197" s="136" t="n">
        <v>411950.035</v>
      </c>
      <c r="AC197" s="136" t="n">
        <v>1139034</v>
      </c>
      <c r="AD197" s="136" t="n">
        <v>0</v>
      </c>
      <c r="AE197" s="136" t="n">
        <v>0</v>
      </c>
      <c r="AF197" s="136" t="n">
        <v>1139034</v>
      </c>
      <c r="AG197" s="136" t="n">
        <v>0</v>
      </c>
      <c r="AH197" s="136" t="n">
        <v>792000</v>
      </c>
      <c r="AI197" s="136" t="n">
        <v>646000</v>
      </c>
      <c r="AJ197" s="132" t="s">
        <v>707</v>
      </c>
      <c r="AK197" s="132" t="s">
        <v>714</v>
      </c>
      <c r="AL197" s="133" t="s">
        <v>48</v>
      </c>
      <c r="AM197" s="132" t="s">
        <v>49</v>
      </c>
      <c r="AN197" s="133" t="s">
        <v>498</v>
      </c>
      <c r="AO197" s="133" t="n">
        <v>411950.035</v>
      </c>
      <c r="AP197" s="137" t="n">
        <f aca="false">AR197+AT197+AU197+AV197+AX197+AY197+AZ197+BD197+BF197+BG197+BH197+BJ197+BK197+(BL197+BM197+BN197)/1000+(0.1*BO197)</f>
        <v>866.5815</v>
      </c>
      <c r="AQ197" s="137" t="n">
        <f aca="false">AR197+AT197+AU197+AV197+AX197+AY197+AZ197+BB197+BC197+BD197+BF197+BG197+BH197+BJ197+BK197+(BL197+BM197+BN197)/1000+(0.1*BO197)</f>
        <v>878.5815</v>
      </c>
      <c r="AR197" s="131" t="n">
        <v>502</v>
      </c>
      <c r="AS197" s="131" t="n">
        <v>646</v>
      </c>
      <c r="AT197" s="131" t="n">
        <v>106</v>
      </c>
      <c r="AU197" s="131" t="n">
        <v>0</v>
      </c>
      <c r="AV197" s="131" t="n">
        <v>0</v>
      </c>
      <c r="AW197" s="131" t="n">
        <v>0</v>
      </c>
      <c r="AX197" s="131" t="n">
        <v>0</v>
      </c>
      <c r="AY197" s="131" t="n">
        <v>0</v>
      </c>
      <c r="AZ197" s="131" t="n">
        <v>36</v>
      </c>
      <c r="BA197" s="131" t="n">
        <v>44</v>
      </c>
      <c r="BB197" s="131" t="n">
        <v>12</v>
      </c>
      <c r="BC197" s="131" t="n">
        <v>0</v>
      </c>
      <c r="BD197" s="131" t="n">
        <v>53</v>
      </c>
      <c r="BE197" s="131" t="n">
        <v>0</v>
      </c>
      <c r="BF197" s="131" t="n">
        <v>0</v>
      </c>
      <c r="BG197" s="131" t="n">
        <v>0</v>
      </c>
      <c r="BH197" s="131" t="n">
        <v>89</v>
      </c>
      <c r="BI197" s="131" t="n">
        <v>1</v>
      </c>
      <c r="BJ197" s="131" t="n">
        <v>0</v>
      </c>
      <c r="BK197" s="131" t="n">
        <v>0</v>
      </c>
      <c r="BL197" s="131" t="n">
        <v>0</v>
      </c>
      <c r="BM197" s="131" t="n">
        <v>0</v>
      </c>
      <c r="BN197" s="131" t="n">
        <v>0</v>
      </c>
      <c r="BO197" s="131" t="n">
        <v>805.815</v>
      </c>
    </row>
    <row r="198" customFormat="false" ht="15" hidden="false" customHeight="true" outlineLevel="0" collapsed="false">
      <c r="A198" s="131" t="n">
        <v>303</v>
      </c>
      <c r="B198" s="131"/>
      <c r="C198" s="132" t="s">
        <v>500</v>
      </c>
      <c r="D198" s="133" t="s">
        <v>500</v>
      </c>
      <c r="E198" s="134" t="n">
        <f aca="false">IF(I198="regional",IF(R198*0.2975,S198*0.3484),S198*0.1939)</f>
        <v>98889</v>
      </c>
      <c r="F198" s="134" t="n">
        <v>0</v>
      </c>
      <c r="G198" s="135" t="n">
        <f aca="false">E198+F198</f>
        <v>98889</v>
      </c>
      <c r="H198" s="132" t="s">
        <v>49</v>
      </c>
      <c r="I198" s="133" t="s">
        <v>501</v>
      </c>
      <c r="J198" s="133" t="s">
        <v>44</v>
      </c>
      <c r="K198" s="133" t="s">
        <v>187</v>
      </c>
      <c r="L198" s="133"/>
      <c r="M198" s="136" t="n">
        <v>0</v>
      </c>
      <c r="N198" s="136" t="n">
        <v>0</v>
      </c>
      <c r="O198" s="136" t="n">
        <v>0</v>
      </c>
      <c r="P198" s="136" t="n">
        <v>0</v>
      </c>
      <c r="Q198" s="136" t="n">
        <v>0</v>
      </c>
      <c r="R198" s="136" t="n">
        <v>0</v>
      </c>
      <c r="S198" s="136" t="n">
        <v>510000</v>
      </c>
      <c r="T198" s="8" t="n">
        <f aca="false">IF(I198="regional",IF(R198&gt;0,R198*0.2975,S198*0.3484),S198*0.1939)</f>
        <v>98889</v>
      </c>
      <c r="U198" s="136" t="n">
        <v>280181</v>
      </c>
      <c r="V198" s="136" t="n">
        <v>229819</v>
      </c>
      <c r="W198" s="136" t="n">
        <v>0</v>
      </c>
      <c r="X198" s="136" t="n">
        <v>0</v>
      </c>
      <c r="Y198" s="136" t="n">
        <v>0</v>
      </c>
      <c r="Z198" s="136" t="n">
        <v>0</v>
      </c>
      <c r="AA198" s="136" t="n">
        <v>608889</v>
      </c>
      <c r="AB198" s="136" t="n">
        <v>98889</v>
      </c>
      <c r="AC198" s="136" t="n">
        <v>510000</v>
      </c>
      <c r="AD198" s="136" t="n">
        <v>0</v>
      </c>
      <c r="AE198" s="136" t="n">
        <v>0</v>
      </c>
      <c r="AF198" s="136" t="n">
        <v>510000</v>
      </c>
      <c r="AG198" s="136" t="n">
        <v>0</v>
      </c>
      <c r="AH198" s="136" t="n">
        <v>0</v>
      </c>
      <c r="AI198" s="136" t="n">
        <v>0</v>
      </c>
      <c r="AJ198" s="132" t="s">
        <v>707</v>
      </c>
      <c r="AK198" s="132" t="s">
        <v>714</v>
      </c>
      <c r="AL198" s="133" t="s">
        <v>48</v>
      </c>
      <c r="AM198" s="132" t="s">
        <v>49</v>
      </c>
      <c r="AN198" s="133" t="s">
        <v>500</v>
      </c>
      <c r="AO198" s="133" t="n">
        <v>98889</v>
      </c>
      <c r="AP198" s="137" t="n">
        <f aca="false">AR198+AT198+AU198+AV198+AX198+AY198+AZ198+BD198+BF198+BG198+BH198+BJ198+BK198+(BL198+BM198+BN198)/1000+(0.1*BO198)</f>
        <v>0</v>
      </c>
      <c r="AQ198" s="137" t="n">
        <f aca="false">AR198+AT198+AU198+AV198+AX198+AY198+AZ198+BB198+BC198+BD198+BF198+BG198+BH198+BJ198+BK198+(BL198+BM198+BN198)/1000+(0.1*BO198)</f>
        <v>0</v>
      </c>
      <c r="AR198" s="131" t="n">
        <v>0</v>
      </c>
      <c r="AS198" s="131" t="n">
        <v>0</v>
      </c>
      <c r="AT198" s="131" t="n">
        <v>0</v>
      </c>
      <c r="AU198" s="131" t="n">
        <v>0</v>
      </c>
      <c r="AV198" s="131" t="n">
        <v>0</v>
      </c>
      <c r="AW198" s="131" t="n">
        <v>0</v>
      </c>
      <c r="AX198" s="131" t="n">
        <v>0</v>
      </c>
      <c r="AY198" s="131" t="n">
        <v>0</v>
      </c>
      <c r="AZ198" s="131" t="n">
        <v>0</v>
      </c>
      <c r="BA198" s="131" t="n">
        <v>0</v>
      </c>
      <c r="BB198" s="131" t="n">
        <v>0</v>
      </c>
      <c r="BC198" s="131" t="n">
        <v>0</v>
      </c>
      <c r="BD198" s="131" t="n">
        <v>0</v>
      </c>
      <c r="BE198" s="131" t="n">
        <v>0</v>
      </c>
      <c r="BF198" s="131" t="n">
        <v>0</v>
      </c>
      <c r="BG198" s="131" t="n">
        <v>0</v>
      </c>
      <c r="BH198" s="131" t="n">
        <v>0</v>
      </c>
      <c r="BI198" s="131" t="n">
        <v>0</v>
      </c>
      <c r="BJ198" s="131" t="n">
        <v>0</v>
      </c>
      <c r="BK198" s="131" t="n">
        <v>0</v>
      </c>
      <c r="BL198" s="131" t="n">
        <v>0</v>
      </c>
      <c r="BM198" s="131" t="n">
        <v>0</v>
      </c>
      <c r="BN198" s="131" t="n">
        <v>0</v>
      </c>
      <c r="BO198" s="131" t="n">
        <v>0</v>
      </c>
    </row>
    <row r="199" customFormat="false" ht="15" hidden="false" customHeight="true" outlineLevel="0" collapsed="false">
      <c r="A199" s="131" t="n">
        <v>3632</v>
      </c>
      <c r="B199" s="131"/>
      <c r="C199" s="132" t="s">
        <v>504</v>
      </c>
      <c r="D199" s="133" t="s">
        <v>504</v>
      </c>
      <c r="E199" s="134" t="n">
        <f aca="false">IF(I199="regional",IF(R199*0.2975,S199*0.3484),S199*0.1939)</f>
        <v>479400.142</v>
      </c>
      <c r="F199" s="134" t="n">
        <v>664161</v>
      </c>
      <c r="G199" s="135" t="n">
        <f aca="false">E199+F199</f>
        <v>1143561.142</v>
      </c>
      <c r="H199" s="132" t="s">
        <v>49</v>
      </c>
      <c r="I199" s="133" t="s">
        <v>48</v>
      </c>
      <c r="J199" s="133" t="s">
        <v>49</v>
      </c>
      <c r="K199" s="133" t="s">
        <v>490</v>
      </c>
      <c r="L199" s="133" t="s">
        <v>44</v>
      </c>
      <c r="M199" s="136" t="n">
        <v>158</v>
      </c>
      <c r="N199" s="136" t="n">
        <v>0.922</v>
      </c>
      <c r="O199" s="136" t="n">
        <v>0.922</v>
      </c>
      <c r="P199" s="136" t="n">
        <v>0.869</v>
      </c>
      <c r="Q199" s="136" t="n">
        <v>0.892</v>
      </c>
      <c r="R199" s="136" t="n">
        <v>1604003</v>
      </c>
      <c r="S199" s="136" t="n">
        <v>1376005</v>
      </c>
      <c r="T199" s="8" t="n">
        <f aca="false">IF(I199="regional",IF(R199&gt;0,R199*0.2975,S199*0.3484),S199*0.1939)</f>
        <v>477190.8925</v>
      </c>
      <c r="U199" s="136" t="n">
        <v>865639</v>
      </c>
      <c r="V199" s="136" t="n">
        <v>510366</v>
      </c>
      <c r="W199" s="136" t="n">
        <v>7200</v>
      </c>
      <c r="X199" s="136" t="n">
        <v>1141351.893</v>
      </c>
      <c r="Y199" s="136" t="n">
        <v>477190.8925</v>
      </c>
      <c r="Z199" s="136" t="n">
        <v>664161</v>
      </c>
      <c r="AA199" s="136" t="n">
        <v>711844</v>
      </c>
      <c r="AB199" s="136" t="n">
        <v>0</v>
      </c>
      <c r="AC199" s="136" t="n">
        <v>711844</v>
      </c>
      <c r="AD199" s="136" t="n">
        <v>0</v>
      </c>
      <c r="AE199" s="136" t="n">
        <v>664161</v>
      </c>
      <c r="AF199" s="136" t="n">
        <v>0</v>
      </c>
      <c r="AG199" s="136" t="n">
        <v>711844</v>
      </c>
      <c r="AH199" s="136" t="n">
        <v>0</v>
      </c>
      <c r="AI199" s="136" t="n">
        <v>0</v>
      </c>
      <c r="AJ199" s="132" t="n">
        <v>4</v>
      </c>
      <c r="AK199" s="132" t="s">
        <v>724</v>
      </c>
      <c r="AL199" s="133" t="s">
        <v>48</v>
      </c>
      <c r="AM199" s="132" t="s">
        <v>49</v>
      </c>
      <c r="AN199" s="133" t="s">
        <v>504</v>
      </c>
      <c r="AO199" s="133" t="n">
        <v>1141351.8925</v>
      </c>
      <c r="AP199" s="137" t="n">
        <f aca="false">AR199+AT199+AU199+AV199+AX199+AY199+AZ199+BD199+BF199+BG199+BH199+BJ199+BK199+(BL199+BM199+BN199)/1000+(0.1*BO199)</f>
        <v>1409.7</v>
      </c>
      <c r="AQ199" s="137" t="n">
        <f aca="false">AR199+AT199+AU199+AV199+AX199+AY199+AZ199+BB199+BC199+BD199+BF199+BG199+BH199+BJ199+BK199+(BL199+BM199+BN199)/1000+(0.1*BO199)</f>
        <v>1429.7</v>
      </c>
      <c r="AR199" s="131" t="n">
        <v>381</v>
      </c>
      <c r="AS199" s="131" t="n">
        <v>0</v>
      </c>
      <c r="AT199" s="131" t="n">
        <v>398</v>
      </c>
      <c r="AU199" s="131" t="n">
        <v>19</v>
      </c>
      <c r="AV199" s="131" t="n">
        <v>203</v>
      </c>
      <c r="AW199" s="131" t="n">
        <v>0</v>
      </c>
      <c r="AX199" s="131" t="n">
        <v>9</v>
      </c>
      <c r="AY199" s="131" t="n">
        <v>4</v>
      </c>
      <c r="AZ199" s="131" t="n">
        <v>28</v>
      </c>
      <c r="BA199" s="131" t="n">
        <v>0</v>
      </c>
      <c r="BB199" s="131" t="n">
        <v>20</v>
      </c>
      <c r="BC199" s="131" t="n">
        <v>0</v>
      </c>
      <c r="BD199" s="131" t="n">
        <v>130</v>
      </c>
      <c r="BE199" s="131" t="n">
        <v>0</v>
      </c>
      <c r="BF199" s="131" t="n">
        <v>0</v>
      </c>
      <c r="BG199" s="131" t="n">
        <v>0</v>
      </c>
      <c r="BH199" s="131" t="n">
        <v>183</v>
      </c>
      <c r="BI199" s="131" t="n">
        <v>0</v>
      </c>
      <c r="BJ199" s="131" t="n">
        <v>0</v>
      </c>
      <c r="BK199" s="131" t="n">
        <v>0</v>
      </c>
      <c r="BL199" s="131" t="n">
        <v>0</v>
      </c>
      <c r="BM199" s="131" t="n">
        <v>0</v>
      </c>
      <c r="BN199" s="131" t="n">
        <v>54700</v>
      </c>
      <c r="BO199" s="131" t="n">
        <v>0</v>
      </c>
    </row>
    <row r="200" customFormat="false" ht="15" hidden="false" customHeight="true" outlineLevel="0" collapsed="false">
      <c r="A200" s="131" t="n">
        <v>3635</v>
      </c>
      <c r="B200" s="131" t="s">
        <v>44</v>
      </c>
      <c r="C200" s="132" t="s">
        <v>506</v>
      </c>
      <c r="D200" s="133" t="s">
        <v>506</v>
      </c>
      <c r="E200" s="134" t="n">
        <f aca="false">IF(I200="regional",IF(R200*0.2975,S200*0.3484),S200*0.1939)</f>
        <v>236697.0372</v>
      </c>
      <c r="F200" s="134" t="n">
        <v>0</v>
      </c>
      <c r="G200" s="135" t="n">
        <f aca="false">E200+F200</f>
        <v>236697.0372</v>
      </c>
      <c r="H200" s="132" t="s">
        <v>49</v>
      </c>
      <c r="I200" s="133" t="s">
        <v>48</v>
      </c>
      <c r="J200" s="133" t="s">
        <v>44</v>
      </c>
      <c r="K200" s="133" t="s">
        <v>490</v>
      </c>
      <c r="L200" s="133"/>
      <c r="M200" s="136" t="n">
        <v>0</v>
      </c>
      <c r="N200" s="136" t="n">
        <v>0.971</v>
      </c>
      <c r="O200" s="136" t="n">
        <v>0.976</v>
      </c>
      <c r="P200" s="136" t="n">
        <v>0.895</v>
      </c>
      <c r="Q200" s="136" t="n">
        <v>0.824</v>
      </c>
      <c r="R200" s="136" t="n">
        <v>1032173</v>
      </c>
      <c r="S200" s="136" t="n">
        <v>679383</v>
      </c>
      <c r="T200" s="8" t="n">
        <f aca="false">IF(I200="regional",IF(R200&gt;0,R200*0.2975,S200*0.3484),S200*0.1939)</f>
        <v>307071.4675</v>
      </c>
      <c r="U200" s="136" t="n">
        <v>472747</v>
      </c>
      <c r="V200" s="136" t="n">
        <v>206636</v>
      </c>
      <c r="W200" s="136" t="n">
        <v>3600</v>
      </c>
      <c r="X200" s="136" t="n">
        <v>0</v>
      </c>
      <c r="Y200" s="136" t="n">
        <v>0</v>
      </c>
      <c r="Z200" s="136" t="n">
        <v>0</v>
      </c>
      <c r="AA200" s="136" t="n">
        <v>986454.4675</v>
      </c>
      <c r="AB200" s="136" t="n">
        <v>307071.4675</v>
      </c>
      <c r="AC200" s="136" t="n">
        <v>679383</v>
      </c>
      <c r="AD200" s="136" t="n">
        <v>0</v>
      </c>
      <c r="AE200" s="136" t="n">
        <v>0</v>
      </c>
      <c r="AF200" s="136" t="n">
        <v>679383</v>
      </c>
      <c r="AG200" s="136" t="n">
        <v>0</v>
      </c>
      <c r="AH200" s="136" t="n">
        <v>1936000</v>
      </c>
      <c r="AI200" s="136" t="n">
        <v>1972000</v>
      </c>
      <c r="AJ200" s="132" t="n">
        <v>4</v>
      </c>
      <c r="AK200" s="132" t="s">
        <v>724</v>
      </c>
      <c r="AL200" s="133" t="s">
        <v>48</v>
      </c>
      <c r="AM200" s="132" t="s">
        <v>49</v>
      </c>
      <c r="AN200" s="133" t="s">
        <v>506</v>
      </c>
      <c r="AO200" s="133" t="n">
        <v>307071.4675</v>
      </c>
      <c r="AP200" s="137" t="n">
        <f aca="false">AR200+AT200+AU200+AV200+AX200+AY200+AZ200+BD200+BF200+BG200+BH200+BJ200+BK200+(BL200+BM200+BN200)/1000+(0.1*BO200)</f>
        <v>724.9721</v>
      </c>
      <c r="AQ200" s="137" t="n">
        <f aca="false">AR200+AT200+AU200+AV200+AX200+AY200+AZ200+BB200+BC200+BD200+BF200+BG200+BH200+BJ200+BK200+(BL200+BM200+BN200)/1000+(0.1*BO200)</f>
        <v>744.9721</v>
      </c>
      <c r="AR200" s="131" t="n">
        <v>-29</v>
      </c>
      <c r="AS200" s="131" t="n">
        <v>1972</v>
      </c>
      <c r="AT200" s="131" t="n">
        <v>709</v>
      </c>
      <c r="AU200" s="131" t="n">
        <v>1</v>
      </c>
      <c r="AV200" s="131" t="n">
        <v>0</v>
      </c>
      <c r="AW200" s="131" t="n">
        <v>0</v>
      </c>
      <c r="AX200" s="131" t="n">
        <v>0</v>
      </c>
      <c r="AY200" s="131" t="n">
        <v>1</v>
      </c>
      <c r="AZ200" s="131" t="n">
        <v>0</v>
      </c>
      <c r="BA200" s="131" t="n">
        <v>34</v>
      </c>
      <c r="BB200" s="131" t="n">
        <v>20</v>
      </c>
      <c r="BC200" s="131" t="n">
        <v>0</v>
      </c>
      <c r="BD200" s="131" t="n">
        <v>0</v>
      </c>
      <c r="BE200" s="131" t="n">
        <v>0</v>
      </c>
      <c r="BF200" s="131" t="n">
        <v>0</v>
      </c>
      <c r="BG200" s="131" t="n">
        <v>0</v>
      </c>
      <c r="BH200" s="131" t="n">
        <v>0</v>
      </c>
      <c r="BI200" s="131" t="n">
        <v>0</v>
      </c>
      <c r="BJ200" s="131" t="n">
        <v>0</v>
      </c>
      <c r="BK200" s="131" t="n">
        <v>0</v>
      </c>
      <c r="BL200" s="131" t="n">
        <v>0</v>
      </c>
      <c r="BM200" s="131" t="n">
        <v>0</v>
      </c>
      <c r="BN200" s="131" t="n">
        <v>0</v>
      </c>
      <c r="BO200" s="131" t="n">
        <v>429.721</v>
      </c>
    </row>
    <row r="201" customFormat="false" ht="15" hidden="false" customHeight="true" outlineLevel="0" collapsed="false">
      <c r="A201" s="131" t="n">
        <v>4674</v>
      </c>
      <c r="B201" s="131" t="s">
        <v>44</v>
      </c>
      <c r="C201" s="132" t="s">
        <v>508</v>
      </c>
      <c r="D201" s="133" t="s">
        <v>508</v>
      </c>
      <c r="E201" s="134" t="n">
        <f aca="false">IF(I201="regional",IF(R201*0.2975,S201*0.3484),S201*0.1939)</f>
        <v>364645.892</v>
      </c>
      <c r="F201" s="134" t="n">
        <v>0</v>
      </c>
      <c r="G201" s="135" t="n">
        <f aca="false">E201+F201</f>
        <v>364645.892</v>
      </c>
      <c r="H201" s="132"/>
      <c r="I201" s="133" t="s">
        <v>48</v>
      </c>
      <c r="J201" s="133" t="s">
        <v>44</v>
      </c>
      <c r="K201" s="133" t="s">
        <v>509</v>
      </c>
      <c r="L201" s="133"/>
      <c r="M201" s="136" t="n">
        <v>122</v>
      </c>
      <c r="N201" s="136" t="n">
        <v>0.93</v>
      </c>
      <c r="O201" s="136" t="n">
        <v>0.933</v>
      </c>
      <c r="P201" s="136" t="n">
        <v>0.94</v>
      </c>
      <c r="Q201" s="136" t="n">
        <v>0.952</v>
      </c>
      <c r="R201" s="136" t="n">
        <v>697704</v>
      </c>
      <c r="S201" s="136" t="n">
        <v>1046630</v>
      </c>
      <c r="T201" s="8" t="n">
        <f aca="false">IF(I201="regional",IF(R201&gt;0,R201*0.2975,S201*0.3484),S201*0.1939)</f>
        <v>207566.94</v>
      </c>
      <c r="U201" s="136" t="n">
        <v>655987</v>
      </c>
      <c r="V201" s="136" t="n">
        <v>390643</v>
      </c>
      <c r="W201" s="136" t="n">
        <v>6000</v>
      </c>
      <c r="X201" s="136" t="n">
        <v>0</v>
      </c>
      <c r="Y201" s="136" t="n">
        <v>0</v>
      </c>
      <c r="Z201" s="136" t="n">
        <v>0</v>
      </c>
      <c r="AA201" s="136" t="n">
        <v>1254196.94</v>
      </c>
      <c r="AB201" s="136" t="n">
        <v>207566.94</v>
      </c>
      <c r="AC201" s="136" t="n">
        <v>1046630</v>
      </c>
      <c r="AD201" s="136" t="n">
        <v>0</v>
      </c>
      <c r="AE201" s="136" t="n">
        <v>0</v>
      </c>
      <c r="AF201" s="136" t="n">
        <v>1046630</v>
      </c>
      <c r="AG201" s="136" t="n">
        <v>0</v>
      </c>
      <c r="AH201" s="136" t="n">
        <v>889000</v>
      </c>
      <c r="AI201" s="136" t="n">
        <v>199000</v>
      </c>
      <c r="AJ201" s="132" t="s">
        <v>715</v>
      </c>
      <c r="AK201" s="132" t="s">
        <v>716</v>
      </c>
      <c r="AL201" s="133" t="s">
        <v>48</v>
      </c>
      <c r="AM201" s="132"/>
      <c r="AN201" s="133" t="s">
        <v>508</v>
      </c>
      <c r="AO201" s="133" t="n">
        <v>207566.94</v>
      </c>
      <c r="AP201" s="137" t="n">
        <f aca="false">AR201+AT201+AU201+AV201+AX201+AY201+AZ201+BD201+BF201+BG201+BH201+BJ201+BK201+(BL201+BM201+BN201)/1000+(0.1*BO201)</f>
        <v>1180.8633</v>
      </c>
      <c r="AQ201" s="137" t="n">
        <f aca="false">AR201+AT201+AU201+AV201+AX201+AY201+AZ201+BB201+BC201+BD201+BF201+BG201+BH201+BJ201+BK201+(BL201+BM201+BN201)/1000+(0.1*BO201)</f>
        <v>1211.8633</v>
      </c>
      <c r="AR201" s="131" t="n">
        <v>764</v>
      </c>
      <c r="AS201" s="131" t="n">
        <v>199</v>
      </c>
      <c r="AT201" s="131" t="n">
        <v>147</v>
      </c>
      <c r="AU201" s="131" t="n">
        <v>29</v>
      </c>
      <c r="AV201" s="131" t="n">
        <v>0</v>
      </c>
      <c r="AW201" s="131" t="n">
        <v>0</v>
      </c>
      <c r="AX201" s="131" t="n">
        <v>2</v>
      </c>
      <c r="AY201" s="131" t="n">
        <v>2</v>
      </c>
      <c r="AZ201" s="131" t="n">
        <v>0</v>
      </c>
      <c r="BA201" s="131" t="n">
        <v>60</v>
      </c>
      <c r="BB201" s="131" t="n">
        <v>40</v>
      </c>
      <c r="BC201" s="131" t="n">
        <v>-9</v>
      </c>
      <c r="BD201" s="131" t="n">
        <v>34</v>
      </c>
      <c r="BE201" s="131" t="n">
        <v>0</v>
      </c>
      <c r="BF201" s="131" t="n">
        <v>0</v>
      </c>
      <c r="BG201" s="131" t="n">
        <v>0</v>
      </c>
      <c r="BH201" s="131" t="n">
        <v>88</v>
      </c>
      <c r="BI201" s="131" t="n">
        <v>0</v>
      </c>
      <c r="BJ201" s="131" t="n">
        <v>0</v>
      </c>
      <c r="BK201" s="131" t="n">
        <v>0</v>
      </c>
      <c r="BL201" s="131" t="n">
        <v>0</v>
      </c>
      <c r="BM201" s="131" t="n">
        <v>0</v>
      </c>
      <c r="BN201" s="131" t="n">
        <v>21165</v>
      </c>
      <c r="BO201" s="131" t="n">
        <v>936.983</v>
      </c>
    </row>
    <row r="202" customFormat="false" ht="15" hidden="false" customHeight="true" outlineLevel="0" collapsed="false">
      <c r="A202" s="131" t="n">
        <v>3725</v>
      </c>
      <c r="B202" s="131" t="s">
        <v>44</v>
      </c>
      <c r="C202" s="132" t="s">
        <v>510</v>
      </c>
      <c r="D202" s="133" t="s">
        <v>510</v>
      </c>
      <c r="E202" s="134" t="n">
        <f aca="false">IF(I202="regional",IF(R202*0.2975,S202*0.3484),S202*0.1939)</f>
        <v>323173.0528</v>
      </c>
      <c r="F202" s="134" t="n">
        <v>0</v>
      </c>
      <c r="G202" s="135" t="n">
        <f aca="false">E202+F202</f>
        <v>323173.0528</v>
      </c>
      <c r="H202" s="132"/>
      <c r="I202" s="133" t="s">
        <v>48</v>
      </c>
      <c r="J202" s="133" t="s">
        <v>44</v>
      </c>
      <c r="K202" s="133" t="s">
        <v>514</v>
      </c>
      <c r="L202" s="133"/>
      <c r="M202" s="136" t="n">
        <v>125</v>
      </c>
      <c r="N202" s="136" t="n">
        <v>0.894</v>
      </c>
      <c r="O202" s="136" t="n">
        <v>0.898</v>
      </c>
      <c r="P202" s="136" t="n">
        <v>0.925</v>
      </c>
      <c r="Q202" s="136" t="n">
        <v>0.952</v>
      </c>
      <c r="R202" s="136" t="n">
        <v>954926</v>
      </c>
      <c r="S202" s="136" t="n">
        <v>927592</v>
      </c>
      <c r="T202" s="8" t="n">
        <f aca="false">IF(I202="regional",IF(R202&gt;0,R202*0.2975,S202*0.3484),S202*0.1939)</f>
        <v>284090.485</v>
      </c>
      <c r="U202" s="136" t="n">
        <v>578056</v>
      </c>
      <c r="V202" s="136" t="n">
        <v>349536</v>
      </c>
      <c r="W202" s="136" t="n">
        <v>5268</v>
      </c>
      <c r="X202" s="136" t="n">
        <v>0</v>
      </c>
      <c r="Y202" s="136" t="n">
        <v>0</v>
      </c>
      <c r="Z202" s="136" t="n">
        <v>0</v>
      </c>
      <c r="AA202" s="136" t="n">
        <v>1211682.485</v>
      </c>
      <c r="AB202" s="136" t="n">
        <v>284090.485</v>
      </c>
      <c r="AC202" s="136" t="n">
        <v>927592</v>
      </c>
      <c r="AD202" s="136" t="n">
        <v>0</v>
      </c>
      <c r="AE202" s="136" t="n">
        <v>0</v>
      </c>
      <c r="AF202" s="136" t="n">
        <v>927592</v>
      </c>
      <c r="AG202" s="136" t="n">
        <v>0</v>
      </c>
      <c r="AH202" s="136" t="n">
        <v>674000</v>
      </c>
      <c r="AI202" s="136" t="n">
        <v>458000</v>
      </c>
      <c r="AJ202" s="132" t="s">
        <v>707</v>
      </c>
      <c r="AK202" s="132" t="s">
        <v>729</v>
      </c>
      <c r="AL202" s="133" t="s">
        <v>48</v>
      </c>
      <c r="AM202" s="132"/>
      <c r="AN202" s="133" t="s">
        <v>510</v>
      </c>
      <c r="AO202" s="133" t="n">
        <v>286002.815</v>
      </c>
      <c r="AP202" s="137" t="n">
        <f aca="false">AR202+AT202+AU202+AV202+AX202+AY202+AZ202+BD202+BF202+BG202+BH202+BJ202+BK202+(BL202+BM202+BN202)/1000+(0.1*BO202)</f>
        <v>164.0957</v>
      </c>
      <c r="AQ202" s="137" t="n">
        <f aca="false">AR202+AT202+AU202+AV202+AX202+AY202+AZ202+BB202+BC202+BD202+BF202+BG202+BH202+BJ202+BK202+(BL202+BM202+BN202)/1000+(0.1*BO202)</f>
        <v>172.0957</v>
      </c>
      <c r="AR202" s="131" t="n">
        <v>41</v>
      </c>
      <c r="AS202" s="131" t="n">
        <v>329</v>
      </c>
      <c r="AT202" s="131" t="n">
        <v>69</v>
      </c>
      <c r="AU202" s="131" t="n">
        <v>0</v>
      </c>
      <c r="AV202" s="131" t="n">
        <v>0</v>
      </c>
      <c r="AW202" s="131" t="n">
        <v>0</v>
      </c>
      <c r="AX202" s="131" t="n">
        <v>0</v>
      </c>
      <c r="AY202" s="131" t="n">
        <v>0</v>
      </c>
      <c r="AZ202" s="131" t="n">
        <v>0</v>
      </c>
      <c r="BA202" s="131" t="n">
        <v>10</v>
      </c>
      <c r="BB202" s="131" t="n">
        <v>8</v>
      </c>
      <c r="BC202" s="131" t="n">
        <v>0</v>
      </c>
      <c r="BD202" s="131" t="n">
        <v>0</v>
      </c>
      <c r="BE202" s="131" t="n">
        <v>0</v>
      </c>
      <c r="BF202" s="131" t="n">
        <v>0</v>
      </c>
      <c r="BG202" s="131" t="n">
        <v>0</v>
      </c>
      <c r="BH202" s="131" t="n">
        <v>0</v>
      </c>
      <c r="BI202" s="131" t="n">
        <v>0</v>
      </c>
      <c r="BJ202" s="131" t="n">
        <v>0</v>
      </c>
      <c r="BK202" s="131" t="n">
        <v>0</v>
      </c>
      <c r="BL202" s="131" t="n">
        <v>0</v>
      </c>
      <c r="BM202" s="131" t="n">
        <v>0</v>
      </c>
      <c r="BN202" s="131" t="n">
        <v>10591</v>
      </c>
      <c r="BO202" s="131" t="n">
        <v>435.047</v>
      </c>
    </row>
    <row r="203" customFormat="false" ht="15" hidden="false" customHeight="true" outlineLevel="0" collapsed="false">
      <c r="A203" s="131" t="n">
        <v>4772</v>
      </c>
      <c r="B203" s="131" t="s">
        <v>44</v>
      </c>
      <c r="C203" s="132" t="s">
        <v>510</v>
      </c>
      <c r="D203" s="133" t="s">
        <v>510</v>
      </c>
      <c r="E203" s="134" t="n">
        <f aca="false">IF(I203="regional",IF(R203*0.2975,S203*0.3484),S203*0.1939)</f>
        <v>296362.2792</v>
      </c>
      <c r="F203" s="134" t="n">
        <v>0</v>
      </c>
      <c r="G203" s="135" t="n">
        <f aca="false">E203+F203</f>
        <v>296362.2792</v>
      </c>
      <c r="H203" s="132" t="s">
        <v>49</v>
      </c>
      <c r="I203" s="133" t="s">
        <v>48</v>
      </c>
      <c r="J203" s="133" t="s">
        <v>44</v>
      </c>
      <c r="K203" s="133" t="s">
        <v>512</v>
      </c>
      <c r="L203" s="133"/>
      <c r="M203" s="136" t="n">
        <v>83</v>
      </c>
      <c r="N203" s="136" t="n">
        <v>0.84</v>
      </c>
      <c r="O203" s="136" t="n">
        <v>0.879</v>
      </c>
      <c r="P203" s="136" t="n">
        <v>0.878</v>
      </c>
      <c r="Q203" s="136" t="n">
        <v>0.849</v>
      </c>
      <c r="R203" s="136" t="n">
        <v>961354</v>
      </c>
      <c r="S203" s="136" t="n">
        <v>850638</v>
      </c>
      <c r="T203" s="8" t="n">
        <f aca="false">IF(I203="regional",IF(R203&gt;0,R203*0.2975,S203*0.3484),S203*0.1939)</f>
        <v>286002.815</v>
      </c>
      <c r="U203" s="136" t="n">
        <v>639637</v>
      </c>
      <c r="V203" s="136" t="n">
        <v>211001</v>
      </c>
      <c r="W203" s="136" t="n">
        <v>4680</v>
      </c>
      <c r="X203" s="136" t="n">
        <v>0</v>
      </c>
      <c r="Y203" s="136" t="n">
        <v>0</v>
      </c>
      <c r="Z203" s="136" t="n">
        <v>0</v>
      </c>
      <c r="AA203" s="136" t="n">
        <v>1136640.815</v>
      </c>
      <c r="AB203" s="136" t="n">
        <v>286002.815</v>
      </c>
      <c r="AC203" s="136" t="n">
        <v>850638</v>
      </c>
      <c r="AD203" s="136" t="n">
        <v>0</v>
      </c>
      <c r="AE203" s="136" t="n">
        <v>0</v>
      </c>
      <c r="AF203" s="136" t="n">
        <v>850638</v>
      </c>
      <c r="AG203" s="136" t="n">
        <v>0</v>
      </c>
      <c r="AH203" s="136" t="n">
        <v>401000</v>
      </c>
      <c r="AI203" s="136" t="n">
        <v>329000</v>
      </c>
      <c r="AJ203" s="132" t="n">
        <v>4</v>
      </c>
      <c r="AK203" s="132" t="s">
        <v>706</v>
      </c>
      <c r="AL203" s="133" t="s">
        <v>48</v>
      </c>
      <c r="AM203" s="132" t="s">
        <v>49</v>
      </c>
      <c r="AN203" s="133" t="s">
        <v>510</v>
      </c>
      <c r="AO203" s="133" t="n">
        <v>284090.485</v>
      </c>
      <c r="AP203" s="137" t="n">
        <f aca="false">AR203+AT203+AU203+AV203+AX203+AY203+AZ203+BD203+BF203+BG203+BH203+BJ203+BK203+(BL203+BM203+BN203)/1000+(0.1*BO203)</f>
        <v>336.080695</v>
      </c>
      <c r="AQ203" s="137" t="n">
        <f aca="false">AR203+AT203+AU203+AV203+AX203+AY203+AZ203+BB203+BC203+BD203+BF203+BG203+BH203+BJ203+BK203+(BL203+BM203+BN203)/1000+(0.1*BO203)</f>
        <v>368.080695</v>
      </c>
      <c r="AR203" s="131" t="n">
        <v>0</v>
      </c>
      <c r="AS203" s="131" t="n">
        <v>458</v>
      </c>
      <c r="AT203" s="131" t="n">
        <v>299</v>
      </c>
      <c r="AU203" s="131" t="n">
        <v>1</v>
      </c>
      <c r="AV203" s="131" t="n">
        <v>0</v>
      </c>
      <c r="AW203" s="131" t="n">
        <v>37</v>
      </c>
      <c r="AX203" s="131" t="n">
        <v>7</v>
      </c>
      <c r="AY203" s="131" t="n">
        <v>0</v>
      </c>
      <c r="AZ203" s="131" t="n">
        <v>0</v>
      </c>
      <c r="BA203" s="131" t="n">
        <v>75</v>
      </c>
      <c r="BB203" s="131" t="n">
        <v>32</v>
      </c>
      <c r="BC203" s="131" t="n">
        <v>0</v>
      </c>
      <c r="BD203" s="131" t="n">
        <v>0</v>
      </c>
      <c r="BE203" s="131" t="n">
        <v>0</v>
      </c>
      <c r="BF203" s="131" t="n">
        <v>0</v>
      </c>
      <c r="BG203" s="131" t="n">
        <v>0</v>
      </c>
      <c r="BH203" s="131" t="n">
        <v>0</v>
      </c>
      <c r="BI203" s="131" t="n">
        <v>1</v>
      </c>
      <c r="BJ203" s="131" t="n">
        <v>0</v>
      </c>
      <c r="BK203" s="131" t="n">
        <v>0</v>
      </c>
      <c r="BL203" s="131" t="n">
        <v>0</v>
      </c>
      <c r="BM203" s="131" t="n">
        <v>0</v>
      </c>
      <c r="BN203" s="131" t="n">
        <v>0</v>
      </c>
      <c r="BO203" s="131" t="n">
        <v>290.80695</v>
      </c>
    </row>
    <row r="204" customFormat="false" ht="15" hidden="false" customHeight="true" outlineLevel="0" collapsed="false">
      <c r="A204" s="131" t="n">
        <v>4838</v>
      </c>
      <c r="B204" s="131"/>
      <c r="C204" s="132" t="s">
        <v>515</v>
      </c>
      <c r="D204" s="133" t="s">
        <v>515</v>
      </c>
      <c r="E204" s="134" t="n">
        <f aca="false">IF(I204="regional",IF(R204*0.2975,S204*0.3484),S204*0.1939)</f>
        <v>555698</v>
      </c>
      <c r="F204" s="134" t="n">
        <v>0</v>
      </c>
      <c r="G204" s="135" t="n">
        <f aca="false">E204+F204</f>
        <v>555698</v>
      </c>
      <c r="H204" s="132"/>
      <c r="I204" s="133" t="s">
        <v>48</v>
      </c>
      <c r="J204" s="133" t="s">
        <v>49</v>
      </c>
      <c r="K204" s="133" t="s">
        <v>517</v>
      </c>
      <c r="L204" s="133"/>
      <c r="M204" s="136" t="n">
        <v>184</v>
      </c>
      <c r="N204" s="136" t="n">
        <v>0.937</v>
      </c>
      <c r="O204" s="136" t="n">
        <v>0.933</v>
      </c>
      <c r="P204" s="136" t="n">
        <v>0.925</v>
      </c>
      <c r="Q204" s="136" t="n">
        <v>0.952</v>
      </c>
      <c r="R204" s="136" t="n">
        <v>1645706</v>
      </c>
      <c r="S204" s="136" t="n">
        <v>1595000</v>
      </c>
      <c r="T204" s="8" t="n">
        <f aca="false">IF(I204="regional",IF(R204&gt;0,R204*0.2975,S204*0.3484),S204*0.1939)</f>
        <v>489597.535</v>
      </c>
      <c r="U204" s="136" t="n">
        <v>865500</v>
      </c>
      <c r="V204" s="136" t="n">
        <v>729500</v>
      </c>
      <c r="W204" s="136" t="n">
        <v>8730</v>
      </c>
      <c r="X204" s="136" t="n">
        <v>0</v>
      </c>
      <c r="Y204" s="136" t="n">
        <v>0</v>
      </c>
      <c r="Z204" s="136" t="n">
        <v>0</v>
      </c>
      <c r="AA204" s="136" t="n">
        <v>2084597.535</v>
      </c>
      <c r="AB204" s="136" t="n">
        <v>489597.535</v>
      </c>
      <c r="AC204" s="136" t="n">
        <v>1595000</v>
      </c>
      <c r="AD204" s="136" t="n">
        <v>0</v>
      </c>
      <c r="AE204" s="136" t="n">
        <v>0</v>
      </c>
      <c r="AF204" s="136" t="n">
        <v>0</v>
      </c>
      <c r="AG204" s="136" t="n">
        <v>1595000</v>
      </c>
      <c r="AH204" s="136" t="n">
        <v>0</v>
      </c>
      <c r="AI204" s="136" t="n">
        <v>0</v>
      </c>
      <c r="AJ204" s="132" t="n">
        <v>4</v>
      </c>
      <c r="AK204" s="132" t="s">
        <v>722</v>
      </c>
      <c r="AL204" s="133" t="s">
        <v>48</v>
      </c>
      <c r="AM204" s="132"/>
      <c r="AN204" s="133" t="s">
        <v>515</v>
      </c>
      <c r="AO204" s="133" t="n">
        <v>489597.535</v>
      </c>
      <c r="AP204" s="137" t="n">
        <f aca="false">AR204+AT204+AU204+AV204+AX204+AY204+AZ204+BD204+BF204+BG204+BH204+BJ204+BK204+(BL204+BM204+BN204)/1000+(0.1*BO204)</f>
        <v>1360.7485</v>
      </c>
      <c r="AQ204" s="137" t="n">
        <f aca="false">AR204+AT204+AU204+AV204+AX204+AY204+AZ204+BB204+BC204+BD204+BF204+BG204+BH204+BJ204+BK204+(BL204+BM204+BN204)/1000+(0.1*BO204)</f>
        <v>1395.7485</v>
      </c>
      <c r="AR204" s="131" t="n">
        <v>214</v>
      </c>
      <c r="AS204" s="131" t="n">
        <v>0</v>
      </c>
      <c r="AT204" s="131" t="n">
        <v>783</v>
      </c>
      <c r="AU204" s="131" t="n">
        <v>5</v>
      </c>
      <c r="AV204" s="131" t="n">
        <v>0</v>
      </c>
      <c r="AW204" s="131" t="n">
        <v>0</v>
      </c>
      <c r="AX204" s="131" t="n">
        <v>74</v>
      </c>
      <c r="AY204" s="131" t="n">
        <v>0</v>
      </c>
      <c r="AZ204" s="131" t="n">
        <v>162</v>
      </c>
      <c r="BA204" s="131" t="n">
        <v>0</v>
      </c>
      <c r="BB204" s="131" t="n">
        <v>32</v>
      </c>
      <c r="BC204" s="131" t="n">
        <v>3</v>
      </c>
      <c r="BD204" s="131" t="n">
        <v>35</v>
      </c>
      <c r="BE204" s="131" t="n">
        <v>0</v>
      </c>
      <c r="BF204" s="131" t="n">
        <v>0</v>
      </c>
      <c r="BG204" s="131" t="n">
        <v>0</v>
      </c>
      <c r="BH204" s="131" t="n">
        <v>76</v>
      </c>
      <c r="BI204" s="131" t="n">
        <v>0</v>
      </c>
      <c r="BJ204" s="131" t="n">
        <v>0</v>
      </c>
      <c r="BK204" s="131" t="n">
        <v>0</v>
      </c>
      <c r="BL204" s="131" t="n">
        <v>0</v>
      </c>
      <c r="BM204" s="131" t="n">
        <v>0</v>
      </c>
      <c r="BN204" s="131" t="n">
        <v>0</v>
      </c>
      <c r="BO204" s="131" t="n">
        <v>117.485</v>
      </c>
    </row>
    <row r="205" customFormat="false" ht="15" hidden="false" customHeight="true" outlineLevel="0" collapsed="false">
      <c r="A205" s="131" t="n">
        <v>9550</v>
      </c>
      <c r="B205" s="131"/>
      <c r="C205" s="132" t="s">
        <v>519</v>
      </c>
      <c r="D205" s="133" t="s">
        <v>519</v>
      </c>
      <c r="E205" s="134" t="n">
        <f aca="false">IF(I205="regional",IF(R205*0.2975,S205*0.3484),S205*0.1939)</f>
        <v>406594.2972</v>
      </c>
      <c r="F205" s="134" t="n">
        <v>0</v>
      </c>
      <c r="G205" s="135" t="n">
        <f aca="false">E205+F205</f>
        <v>406594.2972</v>
      </c>
      <c r="H205" s="132"/>
      <c r="I205" s="133" t="s">
        <v>48</v>
      </c>
      <c r="J205" s="133" t="s">
        <v>49</v>
      </c>
      <c r="K205" s="133" t="s">
        <v>102</v>
      </c>
      <c r="L205" s="133"/>
      <c r="M205" s="136" t="n">
        <v>130</v>
      </c>
      <c r="N205" s="136" t="n">
        <v>0.904</v>
      </c>
      <c r="O205" s="136" t="n">
        <v>0.908</v>
      </c>
      <c r="P205" s="136" t="n">
        <v>0.914</v>
      </c>
      <c r="Q205" s="136" t="n">
        <v>0.919</v>
      </c>
      <c r="R205" s="136" t="n">
        <v>1259825</v>
      </c>
      <c r="S205" s="136" t="n">
        <v>1167033</v>
      </c>
      <c r="T205" s="8" t="n">
        <f aca="false">IF(I205="regional",IF(R205&gt;0,R205*0.2975,S205*0.3484),S205*0.1939)</f>
        <v>374797.9375</v>
      </c>
      <c r="U205" s="136" t="n">
        <v>866746</v>
      </c>
      <c r="V205" s="136" t="n">
        <v>300287</v>
      </c>
      <c r="W205" s="136" t="n">
        <v>5683</v>
      </c>
      <c r="X205" s="136" t="n">
        <v>0</v>
      </c>
      <c r="Y205" s="136" t="n">
        <v>0</v>
      </c>
      <c r="Z205" s="136" t="n">
        <v>0</v>
      </c>
      <c r="AA205" s="136" t="n">
        <v>1541830.938</v>
      </c>
      <c r="AB205" s="136" t="n">
        <v>374797.9375</v>
      </c>
      <c r="AC205" s="136" t="n">
        <v>1167033</v>
      </c>
      <c r="AD205" s="136" t="n">
        <v>0</v>
      </c>
      <c r="AE205" s="136" t="n">
        <v>0</v>
      </c>
      <c r="AF205" s="136" t="n">
        <v>0</v>
      </c>
      <c r="AG205" s="136" t="n">
        <v>1167033</v>
      </c>
      <c r="AH205" s="136" t="n">
        <v>0</v>
      </c>
      <c r="AI205" s="136" t="n">
        <v>0</v>
      </c>
      <c r="AJ205" s="132" t="n">
        <v>4</v>
      </c>
      <c r="AK205" s="132" t="s">
        <v>720</v>
      </c>
      <c r="AL205" s="133" t="s">
        <v>48</v>
      </c>
      <c r="AM205" s="132"/>
      <c r="AN205" s="133" t="s">
        <v>519</v>
      </c>
      <c r="AO205" s="133" t="n">
        <v>374797.9375</v>
      </c>
      <c r="AP205" s="137" t="n">
        <f aca="false">AR205+AT205+AU205+AV205+AX205+AY205+AZ205+BD205+BF205+BG205+BH205+BJ205+BK205+(BL205+BM205+BN205)/1000+(0.1*BO205)</f>
        <v>442.3568</v>
      </c>
      <c r="AQ205" s="137" t="n">
        <f aca="false">AR205+AT205+AU205+AV205+AX205+AY205+AZ205+BB205+BC205+BD205+BF205+BG205+BH205+BJ205+BK205+(BL205+BM205+BN205)/1000+(0.1*BO205)</f>
        <v>460.3568</v>
      </c>
      <c r="AR205" s="131" t="n">
        <v>0</v>
      </c>
      <c r="AS205" s="131" t="n">
        <v>0</v>
      </c>
      <c r="AT205" s="131" t="n">
        <v>306</v>
      </c>
      <c r="AU205" s="131" t="n">
        <v>12</v>
      </c>
      <c r="AV205" s="131" t="n">
        <v>0</v>
      </c>
      <c r="AW205" s="131" t="n">
        <v>0</v>
      </c>
      <c r="AX205" s="131" t="n">
        <v>13</v>
      </c>
      <c r="AY205" s="131" t="n">
        <v>4</v>
      </c>
      <c r="AZ205" s="131" t="n">
        <v>0</v>
      </c>
      <c r="BA205" s="131" t="n">
        <v>0</v>
      </c>
      <c r="BB205" s="131" t="n">
        <v>14</v>
      </c>
      <c r="BC205" s="131" t="n">
        <v>4</v>
      </c>
      <c r="BD205" s="131" t="n">
        <v>0</v>
      </c>
      <c r="BE205" s="131" t="n">
        <v>0</v>
      </c>
      <c r="BF205" s="131" t="n">
        <v>0</v>
      </c>
      <c r="BG205" s="131" t="n">
        <v>0</v>
      </c>
      <c r="BH205" s="131" t="n">
        <v>0</v>
      </c>
      <c r="BI205" s="131" t="n">
        <v>0</v>
      </c>
      <c r="BJ205" s="131" t="n">
        <v>0</v>
      </c>
      <c r="BK205" s="131" t="n">
        <v>0</v>
      </c>
      <c r="BL205" s="131" t="n">
        <v>0</v>
      </c>
      <c r="BM205" s="131" t="n">
        <v>0</v>
      </c>
      <c r="BN205" s="131" t="n">
        <v>14200</v>
      </c>
      <c r="BO205" s="131" t="n">
        <v>931.568</v>
      </c>
    </row>
    <row r="206" customFormat="false" ht="15" hidden="false" customHeight="true" outlineLevel="0" collapsed="false">
      <c r="A206" s="131" t="n">
        <v>3892</v>
      </c>
      <c r="B206" s="131"/>
      <c r="C206" s="132" t="s">
        <v>521</v>
      </c>
      <c r="D206" s="133" t="s">
        <v>521</v>
      </c>
      <c r="E206" s="134" t="n">
        <f aca="false">IF(I206="regional",IF(R206*0.2975,S206*0.3484),S206*0.1939)</f>
        <v>103073.4432</v>
      </c>
      <c r="F206" s="134" t="n">
        <v>0</v>
      </c>
      <c r="G206" s="135" t="n">
        <f aca="false">E206+F206</f>
        <v>103073.4432</v>
      </c>
      <c r="H206" s="132"/>
      <c r="I206" s="133" t="s">
        <v>48</v>
      </c>
      <c r="J206" s="133" t="s">
        <v>49</v>
      </c>
      <c r="K206" s="133" t="s">
        <v>524</v>
      </c>
      <c r="L206" s="133"/>
      <c r="M206" s="136" t="n">
        <v>32</v>
      </c>
      <c r="N206" s="136" t="n">
        <v>0.888</v>
      </c>
      <c r="O206" s="136" t="n">
        <v>0.915</v>
      </c>
      <c r="P206" s="136" t="n">
        <v>0.914</v>
      </c>
      <c r="Q206" s="136" t="n">
        <v>0.811</v>
      </c>
      <c r="R206" s="136" t="n">
        <v>368196</v>
      </c>
      <c r="S206" s="136" t="n">
        <v>295848</v>
      </c>
      <c r="T206" s="8" t="n">
        <f aca="false">IF(I206="regional",IF(R206&gt;0,R206*0.2975,S206*0.3484),S206*0.1939)</f>
        <v>109538.31</v>
      </c>
      <c r="U206" s="136" t="n">
        <v>252264</v>
      </c>
      <c r="V206" s="136" t="n">
        <v>43584</v>
      </c>
      <c r="W206" s="136" t="n">
        <v>2000</v>
      </c>
      <c r="X206" s="136" t="n">
        <v>0</v>
      </c>
      <c r="Y206" s="136" t="n">
        <v>0</v>
      </c>
      <c r="Z206" s="136" t="n">
        <v>0</v>
      </c>
      <c r="AA206" s="136" t="n">
        <v>405386.31</v>
      </c>
      <c r="AB206" s="136" t="n">
        <v>109538.31</v>
      </c>
      <c r="AC206" s="136" t="n">
        <v>295848</v>
      </c>
      <c r="AD206" s="136" t="n">
        <v>0</v>
      </c>
      <c r="AE206" s="136" t="n">
        <v>0</v>
      </c>
      <c r="AF206" s="136" t="n">
        <v>0</v>
      </c>
      <c r="AG206" s="136" t="n">
        <v>295848</v>
      </c>
      <c r="AH206" s="136" t="n">
        <v>0</v>
      </c>
      <c r="AI206" s="136" t="n">
        <v>0</v>
      </c>
      <c r="AJ206" s="132" t="s">
        <v>721</v>
      </c>
      <c r="AK206" s="132" t="s">
        <v>727</v>
      </c>
      <c r="AL206" s="133" t="s">
        <v>48</v>
      </c>
      <c r="AM206" s="132"/>
      <c r="AN206" s="133" t="s">
        <v>521</v>
      </c>
      <c r="AO206" s="133" t="n">
        <v>109538.31</v>
      </c>
      <c r="AP206" s="137" t="n">
        <f aca="false">AR206+AT206+AU206+AV206+AX206+AY206+AZ206+BD206+BF206+BG206+BH206+BJ206+BK206+(BL206+BM206+BN206)/1000+(0.1*BO206)</f>
        <v>113.6201</v>
      </c>
      <c r="AQ206" s="137" t="n">
        <f aca="false">AR206+AT206+AU206+AV206+AX206+AY206+AZ206+BB206+BC206+BD206+BF206+BG206+BH206+BJ206+BK206+(BL206+BM206+BN206)/1000+(0.1*BO206)</f>
        <v>120.6201</v>
      </c>
      <c r="AR206" s="131" t="n">
        <v>21</v>
      </c>
      <c r="AS206" s="131" t="n">
        <v>0</v>
      </c>
      <c r="AT206" s="131" t="n">
        <v>28</v>
      </c>
      <c r="AU206" s="131" t="n">
        <v>2</v>
      </c>
      <c r="AV206" s="131" t="n">
        <v>0</v>
      </c>
      <c r="AW206" s="131" t="n">
        <v>0</v>
      </c>
      <c r="AX206" s="131" t="n">
        <v>0</v>
      </c>
      <c r="AY206" s="131" t="n">
        <v>0</v>
      </c>
      <c r="AZ206" s="131" t="n">
        <v>0</v>
      </c>
      <c r="BA206" s="131" t="n">
        <v>0</v>
      </c>
      <c r="BB206" s="131" t="n">
        <v>7</v>
      </c>
      <c r="BC206" s="131" t="n">
        <v>0</v>
      </c>
      <c r="BD206" s="131" t="n">
        <v>0</v>
      </c>
      <c r="BE206" s="131" t="n">
        <v>0</v>
      </c>
      <c r="BF206" s="131" t="n">
        <v>0</v>
      </c>
      <c r="BG206" s="131" t="n">
        <v>0</v>
      </c>
      <c r="BH206" s="131" t="n">
        <v>0</v>
      </c>
      <c r="BI206" s="131" t="n">
        <v>0</v>
      </c>
      <c r="BJ206" s="131" t="n">
        <v>0</v>
      </c>
      <c r="BK206" s="131" t="n">
        <v>0</v>
      </c>
      <c r="BL206" s="131" t="n">
        <v>3746</v>
      </c>
      <c r="BM206" s="131" t="n">
        <v>0</v>
      </c>
      <c r="BN206" s="131" t="n">
        <v>49046</v>
      </c>
      <c r="BO206" s="131" t="n">
        <v>98.281</v>
      </c>
    </row>
    <row r="207" customFormat="false" ht="15" hidden="false" customHeight="true" outlineLevel="0" collapsed="false">
      <c r="A207" s="131" t="n">
        <v>508</v>
      </c>
      <c r="B207" s="131" t="s">
        <v>44</v>
      </c>
      <c r="C207" s="132" t="s">
        <v>526</v>
      </c>
      <c r="D207" s="133" t="s">
        <v>526</v>
      </c>
      <c r="E207" s="134" t="n">
        <f aca="false">IF(I207="regional",IF(R207*0.2975,S207*0.3484),S207*0.1939)</f>
        <v>341425.7288</v>
      </c>
      <c r="F207" s="134" t="n">
        <v>491081</v>
      </c>
      <c r="G207" s="135" t="n">
        <f aca="false">E207+F207</f>
        <v>832506.7288</v>
      </c>
      <c r="H207" s="132"/>
      <c r="I207" s="133" t="s">
        <v>48</v>
      </c>
      <c r="J207" s="133" t="s">
        <v>44</v>
      </c>
      <c r="K207" s="133" t="s">
        <v>528</v>
      </c>
      <c r="L207" s="133" t="s">
        <v>44</v>
      </c>
      <c r="M207" s="136" t="n">
        <v>99</v>
      </c>
      <c r="N207" s="136" t="n">
        <v>0.888</v>
      </c>
      <c r="O207" s="136" t="n">
        <v>0.901</v>
      </c>
      <c r="P207" s="136" t="n">
        <v>0.912</v>
      </c>
      <c r="Q207" s="136" t="n">
        <v>0.864</v>
      </c>
      <c r="R207" s="136" t="n">
        <v>1185727</v>
      </c>
      <c r="S207" s="136" t="n">
        <v>979982</v>
      </c>
      <c r="T207" s="8" t="n">
        <f aca="false">IF(I207="regional",IF(R207&gt;0,R207*0.2975,S207*0.3484),S207*0.1939)</f>
        <v>352753.7825</v>
      </c>
      <c r="U207" s="136" t="n">
        <v>640797</v>
      </c>
      <c r="V207" s="136" t="n">
        <v>339185</v>
      </c>
      <c r="W207" s="136" t="n">
        <v>5527</v>
      </c>
      <c r="X207" s="136" t="n">
        <v>843834.7825</v>
      </c>
      <c r="Y207" s="136" t="n">
        <v>352753.7825</v>
      </c>
      <c r="Z207" s="136" t="n">
        <v>491081</v>
      </c>
      <c r="AA207" s="136" t="n">
        <v>488901</v>
      </c>
      <c r="AB207" s="136" t="n">
        <v>0</v>
      </c>
      <c r="AC207" s="136" t="n">
        <v>488901</v>
      </c>
      <c r="AD207" s="136" t="n">
        <v>491081</v>
      </c>
      <c r="AE207" s="136" t="n">
        <v>0</v>
      </c>
      <c r="AF207" s="136" t="n">
        <v>488901</v>
      </c>
      <c r="AG207" s="136" t="n">
        <v>0</v>
      </c>
      <c r="AH207" s="136" t="n">
        <v>1362000</v>
      </c>
      <c r="AI207" s="136" t="n">
        <v>1303000</v>
      </c>
      <c r="AJ207" s="132" t="s">
        <v>715</v>
      </c>
      <c r="AK207" s="132" t="s">
        <v>716</v>
      </c>
      <c r="AL207" s="133" t="s">
        <v>48</v>
      </c>
      <c r="AM207" s="132"/>
      <c r="AN207" s="133" t="s">
        <v>526</v>
      </c>
      <c r="AO207" s="133" t="n">
        <v>843834.7825</v>
      </c>
      <c r="AP207" s="137" t="n">
        <f aca="false">AR207+AT207+AU207+AV207+AX207+AY207+AZ207+BD207+BF207+BG207+BH207+BJ207+BK207+(BL207+BM207+BN207)/1000+(0.1*BO207)</f>
        <v>743.0915</v>
      </c>
      <c r="AQ207" s="137" t="n">
        <f aca="false">AR207+AT207+AU207+AV207+AX207+AY207+AZ207+BB207+BC207+BD207+BF207+BG207+BH207+BJ207+BK207+(BL207+BM207+BN207)/1000+(0.1*BO207)</f>
        <v>751.0915</v>
      </c>
      <c r="AR207" s="131" t="n">
        <v>328</v>
      </c>
      <c r="AS207" s="131" t="n">
        <v>1303</v>
      </c>
      <c r="AT207" s="131" t="n">
        <v>109</v>
      </c>
      <c r="AU207" s="131" t="n">
        <v>0</v>
      </c>
      <c r="AV207" s="131" t="n">
        <v>1</v>
      </c>
      <c r="AW207" s="131" t="n">
        <v>22</v>
      </c>
      <c r="AX207" s="131" t="n">
        <v>0</v>
      </c>
      <c r="AY207" s="131" t="n">
        <v>0</v>
      </c>
      <c r="AZ207" s="131" t="n">
        <v>18</v>
      </c>
      <c r="BA207" s="131" t="n">
        <v>36</v>
      </c>
      <c r="BB207" s="131" t="n">
        <v>8</v>
      </c>
      <c r="BC207" s="131" t="n">
        <v>0</v>
      </c>
      <c r="BD207" s="131" t="n">
        <v>45</v>
      </c>
      <c r="BE207" s="131" t="n">
        <v>0</v>
      </c>
      <c r="BF207" s="131" t="n">
        <v>0</v>
      </c>
      <c r="BG207" s="131" t="n">
        <v>0</v>
      </c>
      <c r="BH207" s="131" t="n">
        <v>76</v>
      </c>
      <c r="BI207" s="131" t="n">
        <v>0</v>
      </c>
      <c r="BJ207" s="131" t="n">
        <v>0</v>
      </c>
      <c r="BK207" s="131" t="n">
        <v>0</v>
      </c>
      <c r="BL207" s="131" t="n">
        <v>25000</v>
      </c>
      <c r="BM207" s="131" t="n">
        <v>0</v>
      </c>
      <c r="BN207" s="131" t="n">
        <v>25937</v>
      </c>
      <c r="BO207" s="131" t="n">
        <v>1151.545</v>
      </c>
    </row>
    <row r="208" customFormat="false" ht="15" hidden="false" customHeight="true" outlineLevel="0" collapsed="false">
      <c r="A208" s="131" t="n">
        <v>3881</v>
      </c>
      <c r="B208" s="131" t="s">
        <v>44</v>
      </c>
      <c r="C208" s="132" t="s">
        <v>765</v>
      </c>
      <c r="D208" s="133" t="s">
        <v>673</v>
      </c>
      <c r="E208" s="134" t="n">
        <f aca="false">IF(I208="regional",IF(R208*0.2975,S208*0.3484),S208*0.1939)</f>
        <v>337746.9732</v>
      </c>
      <c r="F208" s="134" t="n">
        <v>1130444</v>
      </c>
      <c r="G208" s="135" t="n">
        <f aca="false">E208+F208</f>
        <v>1468190.9732</v>
      </c>
      <c r="H208" s="132" t="s">
        <v>49</v>
      </c>
      <c r="I208" s="133" t="s">
        <v>48</v>
      </c>
      <c r="J208" s="133" t="s">
        <v>44</v>
      </c>
      <c r="K208" s="133" t="s">
        <v>50</v>
      </c>
      <c r="L208" s="133" t="s">
        <v>44</v>
      </c>
      <c r="M208" s="136" t="n">
        <v>155</v>
      </c>
      <c r="N208" s="136" t="n">
        <v>0.34</v>
      </c>
      <c r="O208" s="136" t="n">
        <v>0.503</v>
      </c>
      <c r="P208" s="136" t="n">
        <v>0.466</v>
      </c>
      <c r="Q208" s="136" t="n">
        <v>0.531</v>
      </c>
      <c r="R208" s="136" t="n">
        <v>1198640</v>
      </c>
      <c r="S208" s="136" t="n">
        <v>969423</v>
      </c>
      <c r="T208" s="8" t="n">
        <f aca="false">IF(I208="regional",IF(R208&gt;0,R208*0.2975,S208*0.3484),S208*0.1939)</f>
        <v>356595.4</v>
      </c>
      <c r="U208" s="136" t="n">
        <v>661270</v>
      </c>
      <c r="V208" s="136" t="n">
        <v>308153</v>
      </c>
      <c r="W208" s="136" t="n">
        <v>4808</v>
      </c>
      <c r="X208" s="136" t="n">
        <v>1487039.4</v>
      </c>
      <c r="Y208" s="136" t="n">
        <v>356595.4</v>
      </c>
      <c r="Z208" s="136" t="n">
        <v>1130444</v>
      </c>
      <c r="AA208" s="136" t="n">
        <v>-161021</v>
      </c>
      <c r="AB208" s="136" t="n">
        <v>0</v>
      </c>
      <c r="AC208" s="136" t="n">
        <v>-161021</v>
      </c>
      <c r="AD208" s="136" t="n">
        <v>1130444</v>
      </c>
      <c r="AE208" s="136" t="n">
        <v>0</v>
      </c>
      <c r="AF208" s="136" t="n">
        <v>-161021</v>
      </c>
      <c r="AG208" s="136" t="n">
        <v>0</v>
      </c>
      <c r="AH208" s="136" t="n">
        <v>227000</v>
      </c>
      <c r="AI208" s="136" t="n">
        <v>369000</v>
      </c>
      <c r="AJ208" s="132" t="n">
        <v>4</v>
      </c>
      <c r="AK208" s="132" t="s">
        <v>706</v>
      </c>
      <c r="AL208" s="133" t="s">
        <v>48</v>
      </c>
      <c r="AM208" s="132" t="s">
        <v>49</v>
      </c>
      <c r="AN208" s="133" t="s">
        <v>673</v>
      </c>
      <c r="AO208" s="133" t="n">
        <v>1487039.4</v>
      </c>
      <c r="AP208" s="137" t="n">
        <f aca="false">AR208+AT208+AU208+AV208+AX208+AY208+AZ208+BD208+BF208+BG208+BH208+BJ208+BK208+(BL208+BM208+BN208)/1000+(0.1*BO208)</f>
        <v>759.8498</v>
      </c>
      <c r="AQ208" s="137" t="n">
        <f aca="false">AR208+AT208+AU208+AV208+AX208+AY208+AZ208+BB208+BC208+BD208+BF208+BG208+BH208+BJ208+BK208+(BL208+BM208+BN208)/1000+(0.1*BO208)</f>
        <v>790.8498</v>
      </c>
      <c r="AR208" s="131" t="n">
        <v>366</v>
      </c>
      <c r="AS208" s="131" t="n">
        <v>369</v>
      </c>
      <c r="AT208" s="131" t="n">
        <v>152</v>
      </c>
      <c r="AU208" s="131" t="n">
        <v>4</v>
      </c>
      <c r="AV208" s="131" t="n">
        <v>57</v>
      </c>
      <c r="AW208" s="131" t="n">
        <v>15</v>
      </c>
      <c r="AX208" s="131" t="n">
        <v>1</v>
      </c>
      <c r="AY208" s="131" t="n">
        <v>0</v>
      </c>
      <c r="AZ208" s="131" t="n">
        <v>8</v>
      </c>
      <c r="BA208" s="131" t="n">
        <v>15</v>
      </c>
      <c r="BB208" s="131" t="n">
        <v>31</v>
      </c>
      <c r="BC208" s="131" t="n">
        <v>0</v>
      </c>
      <c r="BD208" s="131" t="n">
        <v>34</v>
      </c>
      <c r="BE208" s="131" t="n">
        <v>0</v>
      </c>
      <c r="BF208" s="131" t="n">
        <v>0</v>
      </c>
      <c r="BG208" s="131" t="n">
        <v>0</v>
      </c>
      <c r="BH208" s="131" t="n">
        <v>61</v>
      </c>
      <c r="BI208" s="131" t="n">
        <v>0</v>
      </c>
      <c r="BJ208" s="131" t="n">
        <v>0</v>
      </c>
      <c r="BK208" s="131" t="n">
        <v>0</v>
      </c>
      <c r="BL208" s="131" t="n">
        <v>0</v>
      </c>
      <c r="BM208" s="131" t="n">
        <v>0</v>
      </c>
      <c r="BN208" s="131" t="n">
        <v>0</v>
      </c>
      <c r="BO208" s="131" t="n">
        <v>768.498</v>
      </c>
    </row>
    <row r="209" customFormat="false" ht="15" hidden="false" customHeight="true" outlineLevel="0" collapsed="false">
      <c r="A209" s="131" t="n">
        <v>3762</v>
      </c>
      <c r="B209" s="131"/>
      <c r="C209" s="132" t="s">
        <v>532</v>
      </c>
      <c r="D209" s="133" t="s">
        <v>532</v>
      </c>
      <c r="E209" s="134" t="n">
        <f aca="false">IF(I209="regional",IF(R209*0.2975,S209*0.3484),S209*0.1939)</f>
        <v>79764.2552</v>
      </c>
      <c r="F209" s="134" t="n">
        <v>0</v>
      </c>
      <c r="G209" s="135" t="n">
        <f aca="false">E209+F209</f>
        <v>79764.2552</v>
      </c>
      <c r="H209" s="132"/>
      <c r="I209" s="133" t="s">
        <v>62</v>
      </c>
      <c r="J209" s="133"/>
      <c r="K209" s="133" t="s">
        <v>533</v>
      </c>
      <c r="L209" s="133"/>
      <c r="M209" s="136" t="n">
        <v>39</v>
      </c>
      <c r="N209" s="136" t="n">
        <v>0.942</v>
      </c>
      <c r="O209" s="136" t="n">
        <v>0.945</v>
      </c>
      <c r="P209" s="136" t="n">
        <v>0.97</v>
      </c>
      <c r="Q209" s="136" t="n">
        <v>0.959</v>
      </c>
      <c r="R209" s="136" t="n">
        <v>0</v>
      </c>
      <c r="S209" s="136" t="n">
        <v>411368</v>
      </c>
      <c r="T209" s="8" t="n">
        <f aca="false">IF(I209="regional",IF(R209&gt;0,R209*0.2975,S209*0.3484),S209*0.1939)</f>
        <v>79764.2552</v>
      </c>
      <c r="U209" s="136" t="n">
        <v>321705</v>
      </c>
      <c r="V209" s="136" t="n">
        <v>89663</v>
      </c>
      <c r="W209" s="136" t="n">
        <v>2065</v>
      </c>
      <c r="X209" s="136" t="n">
        <v>0</v>
      </c>
      <c r="Y209" s="136" t="n">
        <v>0</v>
      </c>
      <c r="Z209" s="136" t="n">
        <v>0</v>
      </c>
      <c r="AA209" s="136" t="n">
        <v>491132.2552</v>
      </c>
      <c r="AB209" s="136" t="n">
        <v>79764.2552</v>
      </c>
      <c r="AC209" s="136" t="n">
        <v>411368</v>
      </c>
      <c r="AD209" s="136" t="n">
        <v>0</v>
      </c>
      <c r="AE209" s="136" t="n">
        <v>0</v>
      </c>
      <c r="AF209" s="136" t="n">
        <v>0</v>
      </c>
      <c r="AG209" s="136" t="n">
        <v>411368</v>
      </c>
      <c r="AH209" s="136" t="n">
        <v>0</v>
      </c>
      <c r="AI209" s="136" t="n">
        <v>0</v>
      </c>
      <c r="AJ209" s="132" t="s">
        <v>715</v>
      </c>
      <c r="AK209" s="132" t="s">
        <v>716</v>
      </c>
      <c r="AL209" s="133" t="s">
        <v>62</v>
      </c>
      <c r="AM209" s="132"/>
      <c r="AN209" s="133" t="s">
        <v>532</v>
      </c>
      <c r="AO209" s="133" t="n">
        <v>79764.2552</v>
      </c>
      <c r="AP209" s="137" t="n">
        <f aca="false">AR209+AT209+AU209+AV209+AX209+AY209+AZ209+BD209+BF209+BG209+BH209+BJ209+BK209+(BL209+BM209+BN209)/1000+(0.1*BO209)</f>
        <v>38.8844</v>
      </c>
      <c r="AQ209" s="137" t="n">
        <f aca="false">AR209+AT209+AU209+AV209+AX209+AY209+AZ209+BB209+BC209+BD209+BF209+BG209+BH209+BJ209+BK209+(BL209+BM209+BN209)/1000+(0.1*BO209)</f>
        <v>38.8844</v>
      </c>
      <c r="AR209" s="131" t="n">
        <v>0</v>
      </c>
      <c r="AS209" s="131" t="n">
        <v>0</v>
      </c>
      <c r="AT209" s="131" t="n">
        <v>23</v>
      </c>
      <c r="AU209" s="131" t="n">
        <v>5</v>
      </c>
      <c r="AV209" s="131" t="n">
        <v>0</v>
      </c>
      <c r="AW209" s="131" t="n">
        <v>0</v>
      </c>
      <c r="AX209" s="131" t="n">
        <v>0</v>
      </c>
      <c r="AY209" s="131" t="n">
        <v>0</v>
      </c>
      <c r="AZ209" s="131" t="n">
        <v>0</v>
      </c>
      <c r="BA209" s="131" t="n">
        <v>14</v>
      </c>
      <c r="BB209" s="131" t="n">
        <v>0</v>
      </c>
      <c r="BC209" s="131" t="n">
        <v>0</v>
      </c>
      <c r="BD209" s="131" t="n">
        <v>0</v>
      </c>
      <c r="BE209" s="131" t="n">
        <v>0</v>
      </c>
      <c r="BF209" s="131" t="n">
        <v>0</v>
      </c>
      <c r="BG209" s="131" t="n">
        <v>0</v>
      </c>
      <c r="BH209" s="131" t="n">
        <v>0</v>
      </c>
      <c r="BI209" s="131" t="n">
        <v>0</v>
      </c>
      <c r="BJ209" s="131" t="n">
        <v>0</v>
      </c>
      <c r="BK209" s="131" t="n">
        <v>0</v>
      </c>
      <c r="BL209" s="131" t="n">
        <v>0</v>
      </c>
      <c r="BM209" s="131" t="n">
        <v>0</v>
      </c>
      <c r="BN209" s="131" t="n">
        <v>0</v>
      </c>
      <c r="BO209" s="131" t="n">
        <v>108.844</v>
      </c>
    </row>
    <row r="210" customFormat="false" ht="15" hidden="false" customHeight="true" outlineLevel="0" collapsed="false">
      <c r="A210" s="131" t="n">
        <v>9570</v>
      </c>
      <c r="B210" s="131"/>
      <c r="C210" s="132" t="s">
        <v>534</v>
      </c>
      <c r="D210" s="133" t="s">
        <v>534</v>
      </c>
      <c r="E210" s="134" t="n">
        <f aca="false">IF(I210="regional",IF(R210*0.2975,S210*0.3484),S210*0.1939)</f>
        <v>316232.228</v>
      </c>
      <c r="F210" s="134" t="n">
        <v>0</v>
      </c>
      <c r="G210" s="135" t="n">
        <f aca="false">E210+F210</f>
        <v>316232.228</v>
      </c>
      <c r="H210" s="132"/>
      <c r="I210" s="133" t="s">
        <v>48</v>
      </c>
      <c r="J210" s="133" t="s">
        <v>49</v>
      </c>
      <c r="K210" s="133" t="s">
        <v>102</v>
      </c>
      <c r="L210" s="133"/>
      <c r="M210" s="136" t="n">
        <v>116</v>
      </c>
      <c r="N210" s="136" t="n">
        <v>0.879</v>
      </c>
      <c r="O210" s="136" t="n">
        <v>0.908</v>
      </c>
      <c r="P210" s="136" t="n">
        <v>0.858</v>
      </c>
      <c r="Q210" s="136" t="n">
        <v>0.828</v>
      </c>
      <c r="R210" s="136" t="n">
        <v>1209833</v>
      </c>
      <c r="S210" s="136" t="n">
        <v>907670</v>
      </c>
      <c r="T210" s="8" t="n">
        <f aca="false">IF(I210="regional",IF(R210&gt;0,R210*0.2975,S210*0.3484),S210*0.1939)</f>
        <v>359925.3175</v>
      </c>
      <c r="U210" s="136" t="n">
        <v>370057</v>
      </c>
      <c r="V210" s="136" t="n">
        <v>537613</v>
      </c>
      <c r="W210" s="136" t="n">
        <v>3957</v>
      </c>
      <c r="X210" s="136" t="n">
        <v>0</v>
      </c>
      <c r="Y210" s="136" t="n">
        <v>0</v>
      </c>
      <c r="Z210" s="136" t="n">
        <v>0</v>
      </c>
      <c r="AA210" s="136" t="n">
        <v>1267595.318</v>
      </c>
      <c r="AB210" s="136" t="n">
        <v>359925.3175</v>
      </c>
      <c r="AC210" s="136" t="n">
        <v>907670</v>
      </c>
      <c r="AD210" s="136" t="n">
        <v>0</v>
      </c>
      <c r="AE210" s="136" t="n">
        <v>0</v>
      </c>
      <c r="AF210" s="136" t="n">
        <v>0</v>
      </c>
      <c r="AG210" s="136" t="n">
        <v>907670</v>
      </c>
      <c r="AH210" s="136" t="n">
        <v>0</v>
      </c>
      <c r="AI210" s="136" t="n">
        <v>0</v>
      </c>
      <c r="AJ210" s="132" t="n">
        <v>4</v>
      </c>
      <c r="AK210" s="132" t="s">
        <v>720</v>
      </c>
      <c r="AL210" s="133" t="s">
        <v>48</v>
      </c>
      <c r="AM210" s="132"/>
      <c r="AN210" s="133" t="s">
        <v>534</v>
      </c>
      <c r="AO210" s="133" t="n">
        <v>359925.3175</v>
      </c>
      <c r="AP210" s="137" t="n">
        <f aca="false">AR210+AT210+AU210+AV210+AX210+AY210+AZ210+BD210+BF210+BG210+BH210+BJ210+BK210+(BL210+BM210+BN210)/1000+(0.1*BO210)</f>
        <v>316.9153</v>
      </c>
      <c r="AQ210" s="137" t="n">
        <f aca="false">AR210+AT210+AU210+AV210+AX210+AY210+AZ210+BB210+BC210+BD210+BF210+BG210+BH210+BJ210+BK210+(BL210+BM210+BN210)/1000+(0.1*BO210)</f>
        <v>323.9153</v>
      </c>
      <c r="AR210" s="131" t="n">
        <v>0</v>
      </c>
      <c r="AS210" s="131" t="n">
        <v>0</v>
      </c>
      <c r="AT210" s="131" t="n">
        <v>181</v>
      </c>
      <c r="AU210" s="131" t="n">
        <v>44</v>
      </c>
      <c r="AV210" s="131" t="n">
        <v>0</v>
      </c>
      <c r="AW210" s="131" t="n">
        <v>0</v>
      </c>
      <c r="AX210" s="131" t="n">
        <v>11</v>
      </c>
      <c r="AY210" s="131" t="n">
        <v>13</v>
      </c>
      <c r="AZ210" s="131" t="n">
        <v>0</v>
      </c>
      <c r="BA210" s="131" t="n">
        <v>0</v>
      </c>
      <c r="BB210" s="131" t="n">
        <v>51</v>
      </c>
      <c r="BC210" s="131" t="n">
        <v>-44</v>
      </c>
      <c r="BD210" s="131" t="n">
        <v>0</v>
      </c>
      <c r="BE210" s="131" t="n">
        <v>0</v>
      </c>
      <c r="BF210" s="131" t="n">
        <v>0</v>
      </c>
      <c r="BG210" s="131" t="n">
        <v>0</v>
      </c>
      <c r="BH210" s="131" t="n">
        <v>0</v>
      </c>
      <c r="BI210" s="131" t="n">
        <v>0</v>
      </c>
      <c r="BJ210" s="131" t="n">
        <v>0</v>
      </c>
      <c r="BK210" s="131" t="n">
        <v>0</v>
      </c>
      <c r="BL210" s="131" t="n">
        <v>0</v>
      </c>
      <c r="BM210" s="131" t="n">
        <v>0</v>
      </c>
      <c r="BN210" s="131" t="n">
        <v>0</v>
      </c>
      <c r="BO210" s="131" t="n">
        <v>679.153</v>
      </c>
    </row>
    <row r="211" customFormat="false" ht="15" hidden="false" customHeight="true" outlineLevel="0" collapsed="false">
      <c r="A211" s="131" t="n">
        <v>2550</v>
      </c>
      <c r="B211" s="131" t="s">
        <v>44</v>
      </c>
      <c r="C211" s="132" t="s">
        <v>536</v>
      </c>
      <c r="D211" s="133" t="s">
        <v>536</v>
      </c>
      <c r="E211" s="134" t="n">
        <f aca="false">IF(I211="regional",IF(R211*0.2975,S211*0.3484),S211*0.1939)</f>
        <v>308545.8272</v>
      </c>
      <c r="F211" s="134" t="n">
        <v>516572</v>
      </c>
      <c r="G211" s="135" t="n">
        <f aca="false">E211+F211</f>
        <v>825117.8272</v>
      </c>
      <c r="H211" s="132"/>
      <c r="I211" s="133" t="s">
        <v>48</v>
      </c>
      <c r="J211" s="133" t="s">
        <v>44</v>
      </c>
      <c r="K211" s="133" t="s">
        <v>160</v>
      </c>
      <c r="L211" s="133" t="s">
        <v>44</v>
      </c>
      <c r="M211" s="136" t="n">
        <v>140</v>
      </c>
      <c r="N211" s="136" t="n">
        <v>0.739</v>
      </c>
      <c r="O211" s="136" t="n">
        <v>0.778</v>
      </c>
      <c r="P211" s="136" t="n">
        <v>0.76</v>
      </c>
      <c r="Q211" s="136" t="n">
        <v>0.757</v>
      </c>
      <c r="R211" s="136" t="n">
        <v>193720</v>
      </c>
      <c r="S211" s="136" t="n">
        <v>885608</v>
      </c>
      <c r="T211" s="8" t="n">
        <f aca="false">IF(I211="regional",IF(R211&gt;0,R211*0.2975,S211*0.3484),S211*0.1939)</f>
        <v>57631.7</v>
      </c>
      <c r="U211" s="136" t="n">
        <v>575730</v>
      </c>
      <c r="V211" s="136" t="n">
        <v>309878</v>
      </c>
      <c r="W211" s="136" t="n">
        <v>4750</v>
      </c>
      <c r="X211" s="136" t="n">
        <v>574203.7</v>
      </c>
      <c r="Y211" s="136" t="n">
        <v>57631.7</v>
      </c>
      <c r="Z211" s="136" t="n">
        <v>516572</v>
      </c>
      <c r="AA211" s="136" t="n">
        <v>369036</v>
      </c>
      <c r="AB211" s="136" t="n">
        <v>0</v>
      </c>
      <c r="AC211" s="136" t="n">
        <v>369036</v>
      </c>
      <c r="AD211" s="136" t="n">
        <v>516572</v>
      </c>
      <c r="AE211" s="136" t="n">
        <v>0</v>
      </c>
      <c r="AF211" s="136" t="n">
        <v>369036</v>
      </c>
      <c r="AG211" s="136" t="n">
        <v>0</v>
      </c>
      <c r="AH211" s="136" t="n">
        <v>677000</v>
      </c>
      <c r="AI211" s="136" t="n">
        <v>587000</v>
      </c>
      <c r="AJ211" s="132" t="s">
        <v>707</v>
      </c>
      <c r="AK211" s="132" t="s">
        <v>708</v>
      </c>
      <c r="AL211" s="133" t="s">
        <v>48</v>
      </c>
      <c r="AM211" s="132"/>
      <c r="AN211" s="133" t="s">
        <v>536</v>
      </c>
      <c r="AO211" s="133" t="n">
        <v>574203.7</v>
      </c>
      <c r="AP211" s="137" t="n">
        <f aca="false">AR211+AT211+AU211+AV211+AX211+AY211+AZ211+BD211+BF211+BG211+BH211+BJ211+BK211+(BL211+BM211+BN211)/1000+(0.1*BO211)</f>
        <v>831.4037</v>
      </c>
      <c r="AQ211" s="137" t="n">
        <f aca="false">AR211+AT211+AU211+AV211+AX211+AY211+AZ211+BB211+BC211+BD211+BF211+BG211+BH211+BJ211+BK211+(BL211+BM211+BN211)/1000+(0.1*BO211)</f>
        <v>873.4037</v>
      </c>
      <c r="AR211" s="131" t="n">
        <v>412</v>
      </c>
      <c r="AS211" s="131" t="n">
        <v>587</v>
      </c>
      <c r="AT211" s="131" t="n">
        <v>224</v>
      </c>
      <c r="AU211" s="131" t="n">
        <v>0</v>
      </c>
      <c r="AV211" s="131" t="n">
        <v>0</v>
      </c>
      <c r="AW211" s="131" t="n">
        <v>0</v>
      </c>
      <c r="AX211" s="131" t="n">
        <v>0</v>
      </c>
      <c r="AY211" s="131" t="n">
        <v>0</v>
      </c>
      <c r="AZ211" s="131" t="n">
        <v>23</v>
      </c>
      <c r="BA211" s="131" t="n">
        <v>12</v>
      </c>
      <c r="BB211" s="131" t="n">
        <v>42</v>
      </c>
      <c r="BC211" s="131" t="n">
        <v>0</v>
      </c>
      <c r="BD211" s="131" t="n">
        <v>42</v>
      </c>
      <c r="BE211" s="131" t="n">
        <v>0</v>
      </c>
      <c r="BF211" s="131" t="n">
        <v>0</v>
      </c>
      <c r="BG211" s="131" t="n">
        <v>0</v>
      </c>
      <c r="BH211" s="131" t="n">
        <v>49</v>
      </c>
      <c r="BI211" s="131" t="n">
        <v>1</v>
      </c>
      <c r="BJ211" s="131" t="n">
        <v>0</v>
      </c>
      <c r="BK211" s="131" t="n">
        <v>0</v>
      </c>
      <c r="BL211" s="131" t="n">
        <v>0</v>
      </c>
      <c r="BM211" s="131" t="n">
        <v>0</v>
      </c>
      <c r="BN211" s="131" t="n">
        <v>0</v>
      </c>
      <c r="BO211" s="131" t="n">
        <v>814.037</v>
      </c>
    </row>
    <row r="212" customFormat="false" ht="15" hidden="false" customHeight="true" outlineLevel="0" collapsed="false">
      <c r="A212" s="131" t="n">
        <v>9600</v>
      </c>
      <c r="B212" s="131"/>
      <c r="C212" s="132" t="s">
        <v>537</v>
      </c>
      <c r="D212" s="133" t="s">
        <v>537</v>
      </c>
      <c r="E212" s="134" t="n">
        <f aca="false">IF(I212="regional",IF(R212*0.2975,S212*0.3484),S212*0.1939)</f>
        <v>436731.9424</v>
      </c>
      <c r="F212" s="134" t="n">
        <v>0</v>
      </c>
      <c r="G212" s="135" t="n">
        <f aca="false">E212+F212</f>
        <v>436731.9424</v>
      </c>
      <c r="H212" s="132"/>
      <c r="I212" s="133" t="s">
        <v>48</v>
      </c>
      <c r="J212" s="133" t="s">
        <v>49</v>
      </c>
      <c r="K212" s="133" t="s">
        <v>539</v>
      </c>
      <c r="L212" s="133"/>
      <c r="M212" s="136" t="n">
        <v>149</v>
      </c>
      <c r="N212" s="136" t="n">
        <v>0.844</v>
      </c>
      <c r="O212" s="136" t="n">
        <v>0.854</v>
      </c>
      <c r="P212" s="136" t="n">
        <v>0.82</v>
      </c>
      <c r="Q212" s="136" t="n">
        <v>0.775</v>
      </c>
      <c r="R212" s="136" t="n">
        <v>1402976</v>
      </c>
      <c r="S212" s="136" t="n">
        <v>1253536</v>
      </c>
      <c r="T212" s="8" t="n">
        <f aca="false">IF(I212="regional",IF(R212&gt;0,R212*0.2975,S212*0.3484),S212*0.1939)</f>
        <v>417385.36</v>
      </c>
      <c r="U212" s="136" t="n">
        <v>924045</v>
      </c>
      <c r="V212" s="136" t="n">
        <v>329491</v>
      </c>
      <c r="W212" s="136" t="n">
        <v>7800</v>
      </c>
      <c r="X212" s="136" t="n">
        <v>0</v>
      </c>
      <c r="Y212" s="136" t="n">
        <v>0</v>
      </c>
      <c r="Z212" s="136" t="n">
        <v>0</v>
      </c>
      <c r="AA212" s="136" t="n">
        <v>1670921.36</v>
      </c>
      <c r="AB212" s="136" t="n">
        <v>417385.36</v>
      </c>
      <c r="AC212" s="136" t="n">
        <v>1253536</v>
      </c>
      <c r="AD212" s="136" t="n">
        <v>0</v>
      </c>
      <c r="AE212" s="136" t="n">
        <v>0</v>
      </c>
      <c r="AF212" s="136" t="n">
        <v>0</v>
      </c>
      <c r="AG212" s="136" t="n">
        <v>1253536</v>
      </c>
      <c r="AH212" s="136" t="n">
        <v>0</v>
      </c>
      <c r="AI212" s="136" t="n">
        <v>0</v>
      </c>
      <c r="AJ212" s="132" t="n">
        <v>4</v>
      </c>
      <c r="AK212" s="132" t="s">
        <v>711</v>
      </c>
      <c r="AL212" s="133" t="s">
        <v>48</v>
      </c>
      <c r="AM212" s="132"/>
      <c r="AN212" s="133" t="s">
        <v>537</v>
      </c>
      <c r="AO212" s="133" t="n">
        <v>417385.36</v>
      </c>
      <c r="AP212" s="137" t="n">
        <f aca="false">AR212+AT212+AU212+AV212+AX212+AY212+AZ212+BD212+BF212+BG212+BH212+BJ212+BK212+(BL212+BM212+BN212)/1000+(0.1*BO212)</f>
        <v>813.4755</v>
      </c>
      <c r="AQ212" s="137" t="n">
        <f aca="false">AR212+AT212+AU212+AV212+AX212+AY212+AZ212+BB212+BC212+BD212+BF212+BG212+BH212+BJ212+BK212+(BL212+BM212+BN212)/1000+(0.1*BO212)</f>
        <v>978.4755</v>
      </c>
      <c r="AR212" s="131" t="n">
        <v>0</v>
      </c>
      <c r="AS212" s="131" t="n">
        <v>0</v>
      </c>
      <c r="AT212" s="131" t="n">
        <v>123</v>
      </c>
      <c r="AU212" s="131" t="n">
        <v>21</v>
      </c>
      <c r="AV212" s="131" t="n">
        <v>0</v>
      </c>
      <c r="AW212" s="131" t="n">
        <v>0</v>
      </c>
      <c r="AX212" s="131" t="n">
        <v>10</v>
      </c>
      <c r="AY212" s="131" t="n">
        <v>18</v>
      </c>
      <c r="AZ212" s="131" t="n">
        <v>0</v>
      </c>
      <c r="BA212" s="131" t="n">
        <v>0</v>
      </c>
      <c r="BB212" s="131" t="n">
        <v>161</v>
      </c>
      <c r="BC212" s="131" t="n">
        <v>4</v>
      </c>
      <c r="BD212" s="131" t="n">
        <v>0</v>
      </c>
      <c r="BE212" s="131" t="n">
        <v>0</v>
      </c>
      <c r="BF212" s="131" t="n">
        <v>0</v>
      </c>
      <c r="BG212" s="131" t="n">
        <v>0</v>
      </c>
      <c r="BH212" s="131" t="n">
        <v>0</v>
      </c>
      <c r="BI212" s="131" t="n">
        <v>0</v>
      </c>
      <c r="BJ212" s="131" t="n">
        <v>0</v>
      </c>
      <c r="BK212" s="131" t="n">
        <v>0</v>
      </c>
      <c r="BL212" s="131" t="n">
        <v>567938</v>
      </c>
      <c r="BM212" s="131" t="n">
        <v>0</v>
      </c>
      <c r="BN212" s="131" t="n">
        <v>0</v>
      </c>
      <c r="BO212" s="131" t="n">
        <v>735.375</v>
      </c>
    </row>
    <row r="213" customFormat="false" ht="15" hidden="false" customHeight="true" outlineLevel="0" collapsed="false">
      <c r="A213" s="131" t="n">
        <v>3911</v>
      </c>
      <c r="B213" s="131"/>
      <c r="C213" s="132" t="s">
        <v>540</v>
      </c>
      <c r="D213" s="133" t="s">
        <v>540</v>
      </c>
      <c r="E213" s="134" t="n">
        <f aca="false">IF(I213="regional",IF(R213*0.2975,S213*0.3484),S213*0.1939)</f>
        <v>20941.3939</v>
      </c>
      <c r="F213" s="134" t="n">
        <v>0</v>
      </c>
      <c r="G213" s="135" t="n">
        <f aca="false">E213+F213</f>
        <v>20941.3939</v>
      </c>
      <c r="H213" s="132"/>
      <c r="I213" s="133" t="s">
        <v>62</v>
      </c>
      <c r="J213" s="133"/>
      <c r="K213" s="133" t="s">
        <v>170</v>
      </c>
      <c r="L213" s="133"/>
      <c r="M213" s="136" t="n">
        <v>0</v>
      </c>
      <c r="N213" s="136" t="n">
        <v>1</v>
      </c>
      <c r="O213" s="136" t="n">
        <v>1</v>
      </c>
      <c r="P213" s="136" t="n">
        <v>0</v>
      </c>
      <c r="Q213" s="136" t="n">
        <v>0</v>
      </c>
      <c r="R213" s="136" t="n">
        <v>0</v>
      </c>
      <c r="S213" s="136" t="n">
        <v>108001</v>
      </c>
      <c r="T213" s="8" t="n">
        <f aca="false">IF(I213="regional",IF(R213&gt;0,R213*0.2975,S213*0.3484),S213*0.1939)</f>
        <v>20941.3939</v>
      </c>
      <c r="U213" s="136" t="n">
        <v>98083</v>
      </c>
      <c r="V213" s="136" t="n">
        <v>9918</v>
      </c>
      <c r="W213" s="136" t="n">
        <v>1600</v>
      </c>
      <c r="X213" s="136" t="n">
        <v>0</v>
      </c>
      <c r="Y213" s="136" t="n">
        <v>0</v>
      </c>
      <c r="Z213" s="136" t="n">
        <v>0</v>
      </c>
      <c r="AA213" s="136" t="n">
        <v>128942.3939</v>
      </c>
      <c r="AB213" s="136" t="n">
        <v>20941.3939</v>
      </c>
      <c r="AC213" s="136" t="n">
        <v>108001</v>
      </c>
      <c r="AD213" s="136" t="n">
        <v>0</v>
      </c>
      <c r="AE213" s="136" t="n">
        <v>0</v>
      </c>
      <c r="AF213" s="136" t="n">
        <v>0</v>
      </c>
      <c r="AG213" s="136" t="n">
        <v>108001</v>
      </c>
      <c r="AH213" s="136" t="n">
        <v>0</v>
      </c>
      <c r="AI213" s="136" t="n">
        <v>0</v>
      </c>
      <c r="AJ213" s="132" t="n">
        <v>4</v>
      </c>
      <c r="AK213" s="132" t="s">
        <v>720</v>
      </c>
      <c r="AL213" s="133" t="s">
        <v>62</v>
      </c>
      <c r="AM213" s="132"/>
      <c r="AN213" s="133" t="s">
        <v>540</v>
      </c>
      <c r="AO213" s="133" t="n">
        <v>20941.3939</v>
      </c>
      <c r="AP213" s="137" t="n">
        <f aca="false">AR213+AT213+AU213+AV213+AX213+AY213+AZ213+BD213+BF213+BG213+BH213+BJ213+BK213+(BL213+BM213+BN213)/1000+(0.1*BO213)</f>
        <v>11.205508</v>
      </c>
      <c r="AQ213" s="137" t="n">
        <f aca="false">AR213+AT213+AU213+AV213+AX213+AY213+AZ213+BB213+BC213+BD213+BF213+BG213+BH213+BJ213+BK213+(BL213+BM213+BN213)/1000+(0.1*BO213)</f>
        <v>11.205508</v>
      </c>
      <c r="AR213" s="131" t="n">
        <v>0</v>
      </c>
      <c r="AS213" s="131" t="n">
        <v>0</v>
      </c>
      <c r="AT213" s="131" t="n">
        <v>8</v>
      </c>
      <c r="AU213" s="131" t="n">
        <v>0</v>
      </c>
      <c r="AV213" s="131" t="n">
        <v>0</v>
      </c>
      <c r="AW213" s="131" t="n">
        <v>0</v>
      </c>
      <c r="AX213" s="131" t="n">
        <v>0</v>
      </c>
      <c r="AY213" s="131" t="n">
        <v>2</v>
      </c>
      <c r="AZ213" s="131" t="n">
        <v>0</v>
      </c>
      <c r="BA213" s="131" t="n">
        <v>0</v>
      </c>
      <c r="BB213" s="131" t="n">
        <v>0</v>
      </c>
      <c r="BC213" s="131" t="n">
        <v>0</v>
      </c>
      <c r="BD213" s="131" t="n">
        <v>0</v>
      </c>
      <c r="BE213" s="131" t="n">
        <v>0</v>
      </c>
      <c r="BF213" s="131" t="n">
        <v>0</v>
      </c>
      <c r="BG213" s="131" t="n">
        <v>0</v>
      </c>
      <c r="BH213" s="131" t="n">
        <v>0</v>
      </c>
      <c r="BI213" s="131" t="n">
        <v>0</v>
      </c>
      <c r="BJ213" s="131" t="n">
        <v>0</v>
      </c>
      <c r="BK213" s="131" t="n">
        <v>0</v>
      </c>
      <c r="BL213" s="131" t="n">
        <v>0</v>
      </c>
      <c r="BM213" s="131" t="n">
        <v>0</v>
      </c>
      <c r="BN213" s="131" t="n">
        <v>0</v>
      </c>
      <c r="BO213" s="131" t="n">
        <v>12.05508</v>
      </c>
    </row>
    <row r="214" customFormat="false" ht="15" hidden="false" customHeight="true" outlineLevel="0" collapsed="false">
      <c r="A214" s="131" t="n">
        <v>9620</v>
      </c>
      <c r="B214" s="131"/>
      <c r="C214" s="132" t="s">
        <v>542</v>
      </c>
      <c r="D214" s="133" t="s">
        <v>542</v>
      </c>
      <c r="E214" s="134" t="n">
        <f aca="false">IF(I214="regional",IF(R214*0.2975,S214*0.3484),S214*0.1939)</f>
        <v>64564.822</v>
      </c>
      <c r="F214" s="134" t="n">
        <v>0</v>
      </c>
      <c r="G214" s="135" t="n">
        <f aca="false">E214+F214</f>
        <v>64564.822</v>
      </c>
      <c r="H214" s="132"/>
      <c r="I214" s="133" t="s">
        <v>62</v>
      </c>
      <c r="J214" s="133"/>
      <c r="K214" s="133" t="s">
        <v>229</v>
      </c>
      <c r="L214" s="133"/>
      <c r="M214" s="136" t="n">
        <v>14</v>
      </c>
      <c r="N214" s="136" t="n">
        <v>0.911</v>
      </c>
      <c r="O214" s="136" t="n">
        <v>0.911</v>
      </c>
      <c r="P214" s="136" t="n">
        <v>0.88</v>
      </c>
      <c r="Q214" s="136" t="n">
        <v>0.957</v>
      </c>
      <c r="R214" s="136" t="n">
        <v>0</v>
      </c>
      <c r="S214" s="136" t="n">
        <v>332980</v>
      </c>
      <c r="T214" s="8" t="n">
        <f aca="false">IF(I214="regional",IF(R214&gt;0,R214*0.2975,S214*0.3484),S214*0.1939)</f>
        <v>64564.822</v>
      </c>
      <c r="U214" s="136" t="n">
        <v>281831</v>
      </c>
      <c r="V214" s="136" t="n">
        <v>51149</v>
      </c>
      <c r="W214" s="136" t="n">
        <v>1700</v>
      </c>
      <c r="X214" s="136" t="n">
        <v>0</v>
      </c>
      <c r="Y214" s="136" t="n">
        <v>0</v>
      </c>
      <c r="Z214" s="136" t="n">
        <v>0</v>
      </c>
      <c r="AA214" s="136" t="n">
        <v>397544.822</v>
      </c>
      <c r="AB214" s="136" t="n">
        <v>64564.822</v>
      </c>
      <c r="AC214" s="136" t="n">
        <v>332980</v>
      </c>
      <c r="AD214" s="136" t="n">
        <v>0</v>
      </c>
      <c r="AE214" s="136" t="n">
        <v>0</v>
      </c>
      <c r="AF214" s="136" t="n">
        <v>0</v>
      </c>
      <c r="AG214" s="136" t="n">
        <v>332980</v>
      </c>
      <c r="AH214" s="136" t="n">
        <v>0</v>
      </c>
      <c r="AI214" s="136" t="n">
        <v>0</v>
      </c>
      <c r="AJ214" s="132" t="s">
        <v>707</v>
      </c>
      <c r="AK214" s="132" t="s">
        <v>714</v>
      </c>
      <c r="AL214" s="133" t="s">
        <v>62</v>
      </c>
      <c r="AM214" s="132"/>
      <c r="AN214" s="133" t="s">
        <v>542</v>
      </c>
      <c r="AO214" s="133" t="n">
        <v>64564.822</v>
      </c>
      <c r="AP214" s="137" t="n">
        <f aca="false">AR214+AT214+AU214+AV214+AX214+AY214+AZ214+BD214+BF214+BG214+BH214+BJ214+BK214+(BL214+BM214+BN214)/1000+(0.1*BO214)</f>
        <v>1.3516</v>
      </c>
      <c r="AQ214" s="137" t="n">
        <f aca="false">AR214+AT214+AU214+AV214+AX214+AY214+AZ214+BB214+BC214+BD214+BF214+BG214+BH214+BJ214+BK214+(BL214+BM214+BN214)/1000+(0.1*BO214)</f>
        <v>10.3516</v>
      </c>
      <c r="AR214" s="131" t="n">
        <v>0</v>
      </c>
      <c r="AS214" s="131" t="n">
        <v>0</v>
      </c>
      <c r="AT214" s="131" t="n">
        <v>1</v>
      </c>
      <c r="AU214" s="131" t="n">
        <v>0</v>
      </c>
      <c r="AV214" s="131" t="n">
        <v>0</v>
      </c>
      <c r="AW214" s="131" t="n">
        <v>0</v>
      </c>
      <c r="AX214" s="131" t="n">
        <v>0</v>
      </c>
      <c r="AY214" s="131" t="n">
        <v>0</v>
      </c>
      <c r="AZ214" s="131" t="n">
        <v>0</v>
      </c>
      <c r="BA214" s="131" t="n">
        <v>0</v>
      </c>
      <c r="BB214" s="131" t="n">
        <v>9</v>
      </c>
      <c r="BC214" s="131" t="n">
        <v>0</v>
      </c>
      <c r="BD214" s="131" t="n">
        <v>0</v>
      </c>
      <c r="BE214" s="131" t="n">
        <v>0</v>
      </c>
      <c r="BF214" s="131" t="n">
        <v>0</v>
      </c>
      <c r="BG214" s="131" t="n">
        <v>0</v>
      </c>
      <c r="BH214" s="131" t="n">
        <v>0</v>
      </c>
      <c r="BI214" s="131" t="n">
        <v>0</v>
      </c>
      <c r="BJ214" s="131" t="n">
        <v>0</v>
      </c>
      <c r="BK214" s="131" t="n">
        <v>0</v>
      </c>
      <c r="BL214" s="131" t="n">
        <v>0</v>
      </c>
      <c r="BM214" s="131" t="n">
        <v>0</v>
      </c>
      <c r="BN214" s="131" t="n">
        <v>0</v>
      </c>
      <c r="BO214" s="131" t="n">
        <v>3.516</v>
      </c>
    </row>
    <row r="215" customFormat="false" ht="15" hidden="false" customHeight="true" outlineLevel="0" collapsed="false">
      <c r="A215" s="151" t="n">
        <v>4602</v>
      </c>
      <c r="B215" s="151"/>
      <c r="C215" s="152" t="s">
        <v>766</v>
      </c>
      <c r="D215" s="140" t="s">
        <v>766</v>
      </c>
      <c r="E215" s="134" t="n">
        <f aca="false">IF(I215="regional",IF(R215*0.2975,S215*0.3484),S215*0.1939)</f>
        <v>0</v>
      </c>
      <c r="F215" s="141"/>
      <c r="G215" s="135" t="n">
        <f aca="false">E215+F215</f>
        <v>0</v>
      </c>
      <c r="H215" s="139" t="s">
        <v>49</v>
      </c>
      <c r="I215" s="140" t="s">
        <v>48</v>
      </c>
      <c r="J215" s="140"/>
      <c r="K215" s="140"/>
      <c r="L215" s="140"/>
      <c r="M215" s="142"/>
      <c r="N215" s="142"/>
      <c r="O215" s="142"/>
      <c r="P215" s="142"/>
      <c r="Q215" s="142"/>
      <c r="R215" s="142"/>
      <c r="S215" s="142"/>
      <c r="T215" s="8" t="n">
        <f aca="false">IF(I215="regional",IF(R215&gt;0,R215*0.2975,S215*0.3484),S215*0.1939)</f>
        <v>0</v>
      </c>
      <c r="U215" s="142"/>
      <c r="V215" s="142"/>
      <c r="W215" s="142"/>
      <c r="X215" s="142"/>
      <c r="Y215" s="142"/>
      <c r="Z215" s="142"/>
      <c r="AA215" s="142"/>
      <c r="AB215" s="142"/>
      <c r="AC215" s="142"/>
      <c r="AD215" s="142"/>
      <c r="AE215" s="142"/>
      <c r="AF215" s="142"/>
      <c r="AG215" s="142"/>
      <c r="AH215" s="142"/>
      <c r="AI215" s="142"/>
      <c r="AJ215" s="139" t="s">
        <v>707</v>
      </c>
      <c r="AK215" s="139" t="s">
        <v>708</v>
      </c>
      <c r="AL215" s="143" t="s">
        <v>62</v>
      </c>
      <c r="AM215" s="139" t="s">
        <v>49</v>
      </c>
      <c r="AN215" s="154" t="s">
        <v>766</v>
      </c>
      <c r="AO215" s="154" t="n">
        <v>98889</v>
      </c>
      <c r="AP215" s="144" t="n">
        <f aca="false">AR215+AT215+AU215+AV215+AX215+AY215+AZ215+BD215+BF215+BG215+BH215+BJ215+BK215+(BL215+BM215+BN215)/1000+(0.1*BO215)</f>
        <v>28</v>
      </c>
      <c r="AQ215" s="137" t="n">
        <f aca="false">AR215+AT215+AU215+AV215+AX215+AY215+AZ215+BB215+BC215+BD215+BF215+BG215+BH215+BJ215+BK215+(BL215+BM215+BN215)/1000+(0.1*BO215)</f>
        <v>51</v>
      </c>
      <c r="AR215" s="138" t="n">
        <v>0</v>
      </c>
      <c r="AS215" s="138" t="n">
        <v>0</v>
      </c>
      <c r="AT215" s="138" t="n">
        <v>28</v>
      </c>
      <c r="AU215" s="138" t="n">
        <v>0</v>
      </c>
      <c r="AV215" s="138" t="n">
        <v>0</v>
      </c>
      <c r="AW215" s="138" t="n">
        <v>0</v>
      </c>
      <c r="AX215" s="138" t="n">
        <v>0</v>
      </c>
      <c r="AY215" s="138" t="n">
        <v>0</v>
      </c>
      <c r="AZ215" s="138" t="n">
        <v>0</v>
      </c>
      <c r="BA215" s="138" t="n">
        <v>23</v>
      </c>
      <c r="BB215" s="138" t="n">
        <v>23</v>
      </c>
      <c r="BC215" s="138" t="n">
        <v>0</v>
      </c>
      <c r="BD215" s="138" t="n">
        <v>0</v>
      </c>
      <c r="BE215" s="138" t="n">
        <v>0</v>
      </c>
      <c r="BF215" s="138" t="n">
        <v>0</v>
      </c>
      <c r="BG215" s="138" t="n">
        <v>0</v>
      </c>
      <c r="BH215" s="138" t="n">
        <v>0</v>
      </c>
      <c r="BI215" s="138" t="n">
        <v>0</v>
      </c>
      <c r="BJ215" s="138" t="n">
        <v>0</v>
      </c>
      <c r="BK215" s="138" t="n">
        <v>0</v>
      </c>
      <c r="BL215" s="138" t="n">
        <v>0</v>
      </c>
      <c r="BM215" s="138" t="n">
        <v>0</v>
      </c>
      <c r="BN215" s="138" t="n">
        <v>0</v>
      </c>
      <c r="BO215" s="138" t="n">
        <v>0</v>
      </c>
    </row>
    <row r="216" customFormat="false" ht="15" hidden="false" customHeight="true" outlineLevel="0" collapsed="false">
      <c r="A216" s="138" t="n">
        <v>2307</v>
      </c>
      <c r="B216" s="138" t="s">
        <v>44</v>
      </c>
      <c r="C216" s="139" t="s">
        <v>543</v>
      </c>
      <c r="D216" s="133" t="s">
        <v>543</v>
      </c>
      <c r="E216" s="134" t="n">
        <f aca="false">IF(I216="regional",IF(R216*0.2975,S216*0.3484),S216*0.1939)</f>
        <v>298114.3828</v>
      </c>
      <c r="F216" s="134" t="n">
        <v>0</v>
      </c>
      <c r="G216" s="135" t="n">
        <f aca="false">E216+F216</f>
        <v>298114.3828</v>
      </c>
      <c r="H216" s="139"/>
      <c r="I216" s="133" t="s">
        <v>48</v>
      </c>
      <c r="J216" s="133" t="s">
        <v>44</v>
      </c>
      <c r="K216" s="133" t="s">
        <v>170</v>
      </c>
      <c r="L216" s="133"/>
      <c r="M216" s="136" t="n">
        <v>75</v>
      </c>
      <c r="N216" s="136" t="n">
        <v>0.879</v>
      </c>
      <c r="O216" s="136" t="n">
        <v>0.939</v>
      </c>
      <c r="P216" s="136" t="n">
        <v>0.845</v>
      </c>
      <c r="Q216" s="136" t="n">
        <v>0.821</v>
      </c>
      <c r="R216" s="136" t="n">
        <v>984155</v>
      </c>
      <c r="S216" s="136" t="n">
        <v>855667</v>
      </c>
      <c r="T216" s="8" t="n">
        <f aca="false">IF(I216="regional",IF(R216&gt;0,R216*0.2975,S216*0.3484),S216*0.1939)</f>
        <v>292786.1125</v>
      </c>
      <c r="U216" s="136" t="n">
        <v>568373</v>
      </c>
      <c r="V216" s="136" t="n">
        <v>287294</v>
      </c>
      <c r="W216" s="136" t="n">
        <v>3000</v>
      </c>
      <c r="X216" s="136" t="n">
        <v>0</v>
      </c>
      <c r="Y216" s="136" t="n">
        <v>0</v>
      </c>
      <c r="Z216" s="136" t="n">
        <v>0</v>
      </c>
      <c r="AA216" s="136" t="n">
        <v>1148453.113</v>
      </c>
      <c r="AB216" s="136" t="n">
        <v>292786.1125</v>
      </c>
      <c r="AC216" s="136" t="n">
        <v>855667</v>
      </c>
      <c r="AD216" s="136" t="n">
        <v>0</v>
      </c>
      <c r="AE216" s="136" t="n">
        <v>0</v>
      </c>
      <c r="AF216" s="136" t="n">
        <v>855667</v>
      </c>
      <c r="AG216" s="136" t="n">
        <v>0</v>
      </c>
      <c r="AH216" s="136" t="n">
        <v>185000</v>
      </c>
      <c r="AI216" s="136" t="n">
        <v>174000</v>
      </c>
      <c r="AJ216" s="139" t="n">
        <v>4</v>
      </c>
      <c r="AK216" s="139" t="s">
        <v>720</v>
      </c>
      <c r="AL216" s="143" t="s">
        <v>128</v>
      </c>
      <c r="AM216" s="139"/>
      <c r="AN216" s="143" t="s">
        <v>767</v>
      </c>
      <c r="AO216" s="143" t="n">
        <v>0</v>
      </c>
      <c r="AP216" s="144" t="n">
        <f aca="false">AR216+AT216+AU216+AV216+AX216+AY216+AZ216+BD216+BF216+BG216+BH216+BJ216+BK216+(BL216+BM216+BN216)/1000+(0.1*BO216)</f>
        <v>135.4122</v>
      </c>
      <c r="AQ216" s="137" t="n">
        <f aca="false">AR216+AT216+AU216+AV216+AX216+AY216+AZ216+BB216+BC216+BD216+BF216+BG216+BH216+BJ216+BK216+(BL216+BM216+BN216)/1000+(0.1*BO216)</f>
        <v>137.4122</v>
      </c>
      <c r="AR216" s="138" t="n">
        <v>38</v>
      </c>
      <c r="AS216" s="138" t="n">
        <v>174</v>
      </c>
      <c r="AT216" s="138" t="n">
        <v>62</v>
      </c>
      <c r="AU216" s="138" t="n">
        <v>15</v>
      </c>
      <c r="AV216" s="138" t="n">
        <v>0</v>
      </c>
      <c r="AW216" s="138" t="n">
        <v>0</v>
      </c>
      <c r="AX216" s="138" t="n">
        <v>0</v>
      </c>
      <c r="AY216" s="138" t="n">
        <v>0</v>
      </c>
      <c r="AZ216" s="138" t="n">
        <v>0</v>
      </c>
      <c r="BA216" s="138" t="n">
        <v>14</v>
      </c>
      <c r="BB216" s="138" t="n">
        <v>2</v>
      </c>
      <c r="BC216" s="138" t="n">
        <v>0</v>
      </c>
      <c r="BD216" s="138" t="n">
        <v>0</v>
      </c>
      <c r="BE216" s="138" t="n">
        <v>0</v>
      </c>
      <c r="BF216" s="138" t="n">
        <v>0</v>
      </c>
      <c r="BG216" s="138" t="n">
        <v>0</v>
      </c>
      <c r="BH216" s="138" t="n">
        <v>0</v>
      </c>
      <c r="BI216" s="138" t="n">
        <v>0</v>
      </c>
      <c r="BJ216" s="138" t="n">
        <v>0</v>
      </c>
      <c r="BK216" s="138" t="n">
        <v>0</v>
      </c>
      <c r="BL216" s="138" t="n">
        <v>0</v>
      </c>
      <c r="BM216" s="138" t="n">
        <v>0</v>
      </c>
      <c r="BN216" s="138" t="n">
        <v>0</v>
      </c>
      <c r="BO216" s="138" t="n">
        <v>204.122</v>
      </c>
    </row>
    <row r="217" customFormat="false" ht="15" hidden="false" customHeight="true" outlineLevel="0" collapsed="false">
      <c r="A217" s="131" t="n">
        <v>2311</v>
      </c>
      <c r="B217" s="131"/>
      <c r="C217" s="132" t="s">
        <v>544</v>
      </c>
      <c r="D217" s="133" t="s">
        <v>544</v>
      </c>
      <c r="E217" s="134" t="n">
        <f aca="false">IF(I217="regional",IF(R217*0.2975,S217*0.3484),S217*0.1939)</f>
        <v>16481.5</v>
      </c>
      <c r="F217" s="134" t="n">
        <v>0</v>
      </c>
      <c r="G217" s="135" t="n">
        <f aca="false">E217+F217</f>
        <v>16481.5</v>
      </c>
      <c r="H217" s="132"/>
      <c r="I217" s="133" t="s">
        <v>62</v>
      </c>
      <c r="J217" s="133" t="s">
        <v>49</v>
      </c>
      <c r="K217" s="133" t="s">
        <v>170</v>
      </c>
      <c r="L217" s="133"/>
      <c r="M217" s="136" t="n">
        <v>0</v>
      </c>
      <c r="N217" s="136" t="n">
        <v>1</v>
      </c>
      <c r="O217" s="136" t="n">
        <v>1</v>
      </c>
      <c r="P217" s="136" t="n">
        <v>1</v>
      </c>
      <c r="Q217" s="136" t="n">
        <v>1</v>
      </c>
      <c r="R217" s="136" t="n">
        <v>0</v>
      </c>
      <c r="S217" s="136" t="n">
        <v>85000</v>
      </c>
      <c r="T217" s="8" t="n">
        <f aca="false">IF(I217="regional",IF(R217&gt;0,R217*0.2975,S217*0.3484),S217*0.1939)</f>
        <v>16481.5</v>
      </c>
      <c r="U217" s="136" t="n">
        <v>86676</v>
      </c>
      <c r="V217" s="136" t="n">
        <v>-1676</v>
      </c>
      <c r="W217" s="136" t="n">
        <v>952</v>
      </c>
      <c r="X217" s="136" t="n">
        <v>0</v>
      </c>
      <c r="Y217" s="136" t="n">
        <v>0</v>
      </c>
      <c r="Z217" s="136" t="n">
        <v>0</v>
      </c>
      <c r="AA217" s="136" t="n">
        <v>101481.5</v>
      </c>
      <c r="AB217" s="136" t="n">
        <v>16481.5</v>
      </c>
      <c r="AC217" s="136" t="n">
        <v>85000</v>
      </c>
      <c r="AD217" s="136" t="n">
        <v>0</v>
      </c>
      <c r="AE217" s="136" t="n">
        <v>0</v>
      </c>
      <c r="AF217" s="136" t="n">
        <v>0</v>
      </c>
      <c r="AG217" s="136" t="n">
        <v>85000</v>
      </c>
      <c r="AH217" s="136" t="n">
        <v>0</v>
      </c>
      <c r="AI217" s="136" t="n">
        <v>0</v>
      </c>
      <c r="AJ217" s="132" t="n">
        <v>4</v>
      </c>
      <c r="AK217" s="132" t="s">
        <v>720</v>
      </c>
      <c r="AL217" s="133" t="s">
        <v>62</v>
      </c>
      <c r="AM217" s="132"/>
      <c r="AN217" s="133" t="s">
        <v>544</v>
      </c>
      <c r="AO217" s="133" t="n">
        <v>16481.5</v>
      </c>
      <c r="AP217" s="137" t="n">
        <f aca="false">AR217+AT217+AU217+AV217+AX217+AY217+AZ217+BD217+BF217+BG217+BH217+BJ217+BK217+(BL217+BM217+BN217)/1000+(0.1*BO217)</f>
        <v>8.266164</v>
      </c>
      <c r="AQ217" s="137" t="n">
        <f aca="false">AR217+AT217+AU217+AV217+AX217+AY217+AZ217+BB217+BC217+BD217+BF217+BG217+BH217+BJ217+BK217+(BL217+BM217+BN217)/1000+(0.1*BO217)</f>
        <v>8.266164</v>
      </c>
      <c r="AR217" s="131" t="n">
        <v>0</v>
      </c>
      <c r="AS217" s="131" t="n">
        <v>0</v>
      </c>
      <c r="AT217" s="131" t="n">
        <v>0</v>
      </c>
      <c r="AU217" s="131" t="n">
        <v>5</v>
      </c>
      <c r="AV217" s="131" t="n">
        <v>0</v>
      </c>
      <c r="AW217" s="131" t="n">
        <v>0</v>
      </c>
      <c r="AX217" s="131" t="n">
        <v>2</v>
      </c>
      <c r="AY217" s="131" t="n">
        <v>0</v>
      </c>
      <c r="AZ217" s="131" t="n">
        <v>0</v>
      </c>
      <c r="BA217" s="131" t="n">
        <v>0</v>
      </c>
      <c r="BB217" s="131" t="n">
        <v>0</v>
      </c>
      <c r="BC217" s="131" t="n">
        <v>0</v>
      </c>
      <c r="BD217" s="131" t="n">
        <v>0</v>
      </c>
      <c r="BE217" s="131" t="n">
        <v>0</v>
      </c>
      <c r="BF217" s="131" t="n">
        <v>0</v>
      </c>
      <c r="BG217" s="131" t="n">
        <v>0</v>
      </c>
      <c r="BH217" s="131" t="n">
        <v>0</v>
      </c>
      <c r="BI217" s="131" t="n">
        <v>0</v>
      </c>
      <c r="BJ217" s="131" t="n">
        <v>0</v>
      </c>
      <c r="BK217" s="131" t="n">
        <v>0</v>
      </c>
      <c r="BL217" s="131" t="n">
        <v>0</v>
      </c>
      <c r="BM217" s="131" t="n">
        <v>0</v>
      </c>
      <c r="BN217" s="131" t="n">
        <v>0</v>
      </c>
      <c r="BO217" s="131" t="n">
        <v>12.66164</v>
      </c>
    </row>
    <row r="218" customFormat="false" ht="15" hidden="false" customHeight="true" outlineLevel="0" collapsed="false">
      <c r="A218" s="131" t="n">
        <v>3633</v>
      </c>
      <c r="B218" s="131" t="s">
        <v>44</v>
      </c>
      <c r="C218" s="132" t="s">
        <v>545</v>
      </c>
      <c r="D218" s="133" t="s">
        <v>545</v>
      </c>
      <c r="E218" s="134" t="n">
        <f aca="false">IF(I218="regional",IF(R218*0.2975,S218*0.3484),S218*0.1939)</f>
        <v>20670.9204</v>
      </c>
      <c r="F218" s="134" t="n">
        <v>0</v>
      </c>
      <c r="G218" s="135" t="n">
        <f aca="false">E218+F218</f>
        <v>20670.9204</v>
      </c>
      <c r="H218" s="132" t="s">
        <v>49</v>
      </c>
      <c r="I218" s="133" t="s">
        <v>48</v>
      </c>
      <c r="J218" s="133" t="s">
        <v>44</v>
      </c>
      <c r="K218" s="133"/>
      <c r="L218" s="133"/>
      <c r="M218" s="136" t="n">
        <v>54</v>
      </c>
      <c r="N218" s="136" t="n">
        <v>0.921</v>
      </c>
      <c r="O218" s="136" t="n">
        <v>0.948</v>
      </c>
      <c r="P218" s="136" t="n">
        <v>0.959</v>
      </c>
      <c r="Q218" s="136" t="n">
        <v>0.824</v>
      </c>
      <c r="R218" s="136" t="n">
        <v>60273</v>
      </c>
      <c r="S218" s="136" t="n">
        <v>59331</v>
      </c>
      <c r="T218" s="8" t="n">
        <f aca="false">IF(I218="regional",IF(R218&gt;0,R218*0.2975,S218*0.3484),S218*0.1939)</f>
        <v>17931.2175</v>
      </c>
      <c r="U218" s="136" t="n">
        <v>0</v>
      </c>
      <c r="V218" s="136" t="n">
        <v>59331</v>
      </c>
      <c r="W218" s="136" t="n">
        <v>0</v>
      </c>
      <c r="X218" s="136" t="n">
        <v>0</v>
      </c>
      <c r="Y218" s="136" t="n">
        <v>0</v>
      </c>
      <c r="Z218" s="136" t="n">
        <v>0</v>
      </c>
      <c r="AA218" s="136" t="n">
        <v>77262.2175</v>
      </c>
      <c r="AB218" s="136" t="n">
        <v>17931.2175</v>
      </c>
      <c r="AC218" s="136" t="n">
        <v>59331</v>
      </c>
      <c r="AD218" s="136" t="n">
        <v>0</v>
      </c>
      <c r="AE218" s="136" t="n">
        <v>0</v>
      </c>
      <c r="AF218" s="136" t="n">
        <v>59331</v>
      </c>
      <c r="AG218" s="136" t="n">
        <v>0</v>
      </c>
      <c r="AH218" s="136" t="n">
        <v>172000</v>
      </c>
      <c r="AI218" s="136" t="n">
        <v>112000</v>
      </c>
      <c r="AJ218" s="132" t="s">
        <v>721</v>
      </c>
      <c r="AK218" s="132" t="s">
        <v>727</v>
      </c>
      <c r="AL218" s="133" t="s">
        <v>48</v>
      </c>
      <c r="AM218" s="132" t="s">
        <v>49</v>
      </c>
      <c r="AN218" s="133" t="s">
        <v>545</v>
      </c>
      <c r="AO218" s="133" t="n">
        <v>17931.2175</v>
      </c>
      <c r="AP218" s="137" t="n">
        <f aca="false">AR218+AT218+AU218+AV218+AX218+AY218+AZ218+BD218+BF218+BG218+BH218+BJ218+BK218+(BL218+BM218+BN218)/1000+(0.1*BO218)</f>
        <v>154</v>
      </c>
      <c r="AQ218" s="137" t="n">
        <f aca="false">AR218+AT218+AU218+AV218+AX218+AY218+AZ218+BB218+BC218+BD218+BF218+BG218+BH218+BJ218+BK218+(BL218+BM218+BN218)/1000+(0.1*BO218)</f>
        <v>154</v>
      </c>
      <c r="AR218" s="131" t="n">
        <v>147</v>
      </c>
      <c r="AS218" s="131" t="n">
        <v>112</v>
      </c>
      <c r="AT218" s="131" t="n">
        <v>6</v>
      </c>
      <c r="AU218" s="131" t="n">
        <v>0</v>
      </c>
      <c r="AV218" s="131" t="n">
        <v>0</v>
      </c>
      <c r="AW218" s="131" t="n">
        <v>0</v>
      </c>
      <c r="AX218" s="131" t="n">
        <v>0</v>
      </c>
      <c r="AY218" s="131" t="n">
        <v>0</v>
      </c>
      <c r="AZ218" s="131" t="n">
        <v>0</v>
      </c>
      <c r="BA218" s="131" t="n">
        <v>23</v>
      </c>
      <c r="BB218" s="131" t="n">
        <v>0</v>
      </c>
      <c r="BC218" s="131" t="n">
        <v>0</v>
      </c>
      <c r="BD218" s="131" t="n">
        <v>1</v>
      </c>
      <c r="BE218" s="131" t="n">
        <v>0</v>
      </c>
      <c r="BF218" s="131" t="n">
        <v>0</v>
      </c>
      <c r="BG218" s="131" t="n">
        <v>0</v>
      </c>
      <c r="BH218" s="131" t="n">
        <v>0</v>
      </c>
      <c r="BI218" s="131" t="n">
        <v>0</v>
      </c>
      <c r="BJ218" s="131" t="n">
        <v>0</v>
      </c>
      <c r="BK218" s="131" t="n">
        <v>0</v>
      </c>
      <c r="BL218" s="131" t="n">
        <v>0</v>
      </c>
      <c r="BM218" s="131" t="n">
        <v>0</v>
      </c>
      <c r="BN218" s="131" t="n">
        <v>0</v>
      </c>
      <c r="BO218" s="131" t="n">
        <v>0</v>
      </c>
    </row>
    <row r="219" customFormat="false" ht="15" hidden="false" customHeight="true" outlineLevel="0" collapsed="false">
      <c r="A219" s="131" t="n">
        <v>4839</v>
      </c>
      <c r="B219" s="131" t="s">
        <v>44</v>
      </c>
      <c r="C219" s="132" t="s">
        <v>546</v>
      </c>
      <c r="D219" s="133" t="s">
        <v>546</v>
      </c>
      <c r="E219" s="134" t="n">
        <f aca="false">IF(I219="regional",IF(R219*0.2975,S219*0.3484),S219*0.1939)</f>
        <v>459888</v>
      </c>
      <c r="F219" s="134" t="n">
        <v>0</v>
      </c>
      <c r="G219" s="135" t="n">
        <f aca="false">E219+F219</f>
        <v>459888</v>
      </c>
      <c r="H219" s="132"/>
      <c r="I219" s="133" t="s">
        <v>48</v>
      </c>
      <c r="J219" s="133" t="s">
        <v>44</v>
      </c>
      <c r="K219" s="133" t="s">
        <v>449</v>
      </c>
      <c r="L219" s="133"/>
      <c r="M219" s="136" t="n">
        <v>184</v>
      </c>
      <c r="N219" s="136" t="n">
        <v>0.906</v>
      </c>
      <c r="O219" s="136" t="n">
        <v>0.917</v>
      </c>
      <c r="P219" s="136" t="n">
        <v>0.925</v>
      </c>
      <c r="Q219" s="136" t="n">
        <v>0.952</v>
      </c>
      <c r="R219" s="136" t="n">
        <v>1207554</v>
      </c>
      <c r="S219" s="136" t="n">
        <v>1320000</v>
      </c>
      <c r="T219" s="8" t="n">
        <f aca="false">IF(I219="regional",IF(R219&gt;0,R219*0.2975,S219*0.3484),S219*0.1939)</f>
        <v>359247.315</v>
      </c>
      <c r="U219" s="136" t="n">
        <v>791000</v>
      </c>
      <c r="V219" s="136" t="n">
        <v>529000</v>
      </c>
      <c r="W219" s="136" t="n">
        <v>7000</v>
      </c>
      <c r="X219" s="136" t="n">
        <v>0</v>
      </c>
      <c r="Y219" s="136" t="n">
        <v>0</v>
      </c>
      <c r="Z219" s="136" t="n">
        <v>0</v>
      </c>
      <c r="AA219" s="136" t="n">
        <v>1679247.315</v>
      </c>
      <c r="AB219" s="136" t="n">
        <v>359247.315</v>
      </c>
      <c r="AC219" s="136" t="n">
        <v>1320000</v>
      </c>
      <c r="AD219" s="136" t="n">
        <v>0</v>
      </c>
      <c r="AE219" s="136" t="n">
        <v>0</v>
      </c>
      <c r="AF219" s="136" t="n">
        <v>1320000</v>
      </c>
      <c r="AG219" s="136" t="n">
        <v>0</v>
      </c>
      <c r="AH219" s="136" t="n">
        <v>1212000</v>
      </c>
      <c r="AI219" s="136" t="n">
        <v>1001000</v>
      </c>
      <c r="AJ219" s="132" t="s">
        <v>707</v>
      </c>
      <c r="AK219" s="132" t="s">
        <v>714</v>
      </c>
      <c r="AL219" s="133" t="s">
        <v>48</v>
      </c>
      <c r="AM219" s="132"/>
      <c r="AN219" s="133" t="s">
        <v>546</v>
      </c>
      <c r="AO219" s="133" t="n">
        <v>359247.315</v>
      </c>
      <c r="AP219" s="137" t="n">
        <f aca="false">AR219+AT219+AU219+AV219+AX219+AY219+AZ219+BD219+BF219+BG219+BH219+BJ219+BK219+(BL219+BM219+BN219)/1000+(0.1*BO219)</f>
        <v>571</v>
      </c>
      <c r="AQ219" s="137" t="n">
        <f aca="false">AR219+AT219+AU219+AV219+AX219+AY219+AZ219+BB219+BC219+BD219+BF219+BG219+BH219+BJ219+BK219+(BL219+BM219+BN219)/1000+(0.1*BO219)</f>
        <v>613</v>
      </c>
      <c r="AR219" s="131" t="n">
        <v>0</v>
      </c>
      <c r="AS219" s="131" t="n">
        <v>1001</v>
      </c>
      <c r="AT219" s="131" t="n">
        <v>570</v>
      </c>
      <c r="AU219" s="131" t="n">
        <v>1</v>
      </c>
      <c r="AV219" s="131" t="n">
        <v>0</v>
      </c>
      <c r="AW219" s="131" t="n">
        <v>0</v>
      </c>
      <c r="AX219" s="131" t="n">
        <v>0</v>
      </c>
      <c r="AY219" s="131" t="n">
        <v>0</v>
      </c>
      <c r="AZ219" s="131" t="n">
        <v>0</v>
      </c>
      <c r="BA219" s="131" t="n">
        <v>87</v>
      </c>
      <c r="BB219" s="131" t="n">
        <v>37</v>
      </c>
      <c r="BC219" s="131" t="n">
        <v>5</v>
      </c>
      <c r="BD219" s="131" t="n">
        <v>0</v>
      </c>
      <c r="BE219" s="131" t="n">
        <v>1</v>
      </c>
      <c r="BF219" s="131" t="n">
        <v>0</v>
      </c>
      <c r="BG219" s="131" t="n">
        <v>0</v>
      </c>
      <c r="BH219" s="131" t="n">
        <v>0</v>
      </c>
      <c r="BI219" s="131" t="n">
        <v>0</v>
      </c>
      <c r="BJ219" s="131" t="n">
        <v>0</v>
      </c>
      <c r="BK219" s="131" t="n">
        <v>0</v>
      </c>
      <c r="BL219" s="131" t="n">
        <v>0</v>
      </c>
      <c r="BM219" s="131" t="n">
        <v>0</v>
      </c>
      <c r="BN219" s="131" t="n">
        <v>0</v>
      </c>
      <c r="BO219" s="131" t="n">
        <v>0</v>
      </c>
    </row>
    <row r="220" customFormat="false" ht="15" hidden="false" customHeight="true" outlineLevel="0" collapsed="false">
      <c r="A220" s="131" t="n">
        <v>4840</v>
      </c>
      <c r="B220" s="131" t="s">
        <v>44</v>
      </c>
      <c r="C220" s="132" t="s">
        <v>548</v>
      </c>
      <c r="D220" s="133" t="s">
        <v>548</v>
      </c>
      <c r="E220" s="134" t="n">
        <f aca="false">IF(I220="regional",IF(R220*0.2975,S220*0.3484),S220*0.1939)</f>
        <v>444210</v>
      </c>
      <c r="F220" s="134" t="n">
        <v>0</v>
      </c>
      <c r="G220" s="135" t="n">
        <f aca="false">E220+F220</f>
        <v>444210</v>
      </c>
      <c r="H220" s="132" t="s">
        <v>49</v>
      </c>
      <c r="I220" s="133" t="s">
        <v>48</v>
      </c>
      <c r="J220" s="133" t="s">
        <v>44</v>
      </c>
      <c r="K220" s="133" t="s">
        <v>277</v>
      </c>
      <c r="L220" s="133"/>
      <c r="M220" s="136" t="n">
        <v>182</v>
      </c>
      <c r="N220" s="136" t="n">
        <v>0.942</v>
      </c>
      <c r="O220" s="136" t="n">
        <v>0.957</v>
      </c>
      <c r="P220" s="136" t="n">
        <v>0.925</v>
      </c>
      <c r="Q220" s="136" t="n">
        <v>0.952</v>
      </c>
      <c r="R220" s="136" t="n">
        <v>844738</v>
      </c>
      <c r="S220" s="136" t="n">
        <v>1275000</v>
      </c>
      <c r="T220" s="8" t="n">
        <f aca="false">IF(I220="regional",IF(R220&gt;0,R220*0.2975,S220*0.3484),S220*0.1939)</f>
        <v>251309.555</v>
      </c>
      <c r="U220" s="136" t="n">
        <v>844738</v>
      </c>
      <c r="V220" s="136" t="n">
        <v>430262</v>
      </c>
      <c r="W220" s="136" t="n">
        <v>6787</v>
      </c>
      <c r="X220" s="136" t="n">
        <v>0</v>
      </c>
      <c r="Y220" s="136" t="n">
        <v>0</v>
      </c>
      <c r="Z220" s="136" t="n">
        <v>0</v>
      </c>
      <c r="AA220" s="136" t="n">
        <v>1526309.555</v>
      </c>
      <c r="AB220" s="136" t="n">
        <v>251309.555</v>
      </c>
      <c r="AC220" s="136" t="n">
        <v>1275000</v>
      </c>
      <c r="AD220" s="136" t="n">
        <v>0</v>
      </c>
      <c r="AE220" s="136" t="n">
        <v>0</v>
      </c>
      <c r="AF220" s="136" t="n">
        <v>1275000</v>
      </c>
      <c r="AG220" s="136" t="n">
        <v>0</v>
      </c>
      <c r="AH220" s="136" t="n">
        <v>1027000</v>
      </c>
      <c r="AI220" s="136" t="n">
        <v>1026000</v>
      </c>
      <c r="AJ220" s="132" t="s">
        <v>707</v>
      </c>
      <c r="AK220" s="132" t="s">
        <v>712</v>
      </c>
      <c r="AL220" s="133" t="s">
        <v>48</v>
      </c>
      <c r="AM220" s="132" t="s">
        <v>49</v>
      </c>
      <c r="AN220" s="133" t="s">
        <v>548</v>
      </c>
      <c r="AO220" s="133" t="n">
        <v>251309.555</v>
      </c>
      <c r="AP220" s="137" t="n">
        <f aca="false">AR220+AT220+AU220+AV220+AX220+AY220+AZ220+BD220+BF220+BG220+BH220+BJ220+BK220+(BL220+BM220+BN220)/1000+(0.1*BO220)</f>
        <v>1114.2902</v>
      </c>
      <c r="AQ220" s="137" t="n">
        <f aca="false">AR220+AT220+AU220+AV220+AX220+AY220+AZ220+BB220+BC220+BD220+BF220+BG220+BH220+BJ220+BK220+(BL220+BM220+BN220)/1000+(0.1*BO220)</f>
        <v>1139.2902</v>
      </c>
      <c r="AR220" s="131" t="n">
        <v>421</v>
      </c>
      <c r="AS220" s="131" t="n">
        <v>1026</v>
      </c>
      <c r="AT220" s="131" t="n">
        <v>238</v>
      </c>
      <c r="AU220" s="131" t="n">
        <v>0</v>
      </c>
      <c r="AV220" s="131" t="n">
        <v>0</v>
      </c>
      <c r="AW220" s="131" t="n">
        <v>0</v>
      </c>
      <c r="AX220" s="131" t="n">
        <v>0</v>
      </c>
      <c r="AY220" s="131" t="n">
        <v>0</v>
      </c>
      <c r="AZ220" s="131" t="n">
        <v>0</v>
      </c>
      <c r="BA220" s="131" t="n">
        <v>199</v>
      </c>
      <c r="BB220" s="131" t="n">
        <v>25</v>
      </c>
      <c r="BC220" s="131" t="n">
        <v>0</v>
      </c>
      <c r="BD220" s="131" t="n">
        <v>0</v>
      </c>
      <c r="BE220" s="131" t="n">
        <v>0</v>
      </c>
      <c r="BF220" s="131" t="n">
        <v>0</v>
      </c>
      <c r="BG220" s="131" t="n">
        <v>0</v>
      </c>
      <c r="BH220" s="131" t="n">
        <v>90</v>
      </c>
      <c r="BI220" s="131" t="n">
        <v>0</v>
      </c>
      <c r="BJ220" s="131" t="n">
        <v>0</v>
      </c>
      <c r="BK220" s="131" t="n">
        <v>0</v>
      </c>
      <c r="BL220" s="131" t="n">
        <v>0</v>
      </c>
      <c r="BM220" s="131" t="n">
        <v>360068</v>
      </c>
      <c r="BN220" s="131" t="n">
        <v>0</v>
      </c>
      <c r="BO220" s="131" t="n">
        <v>52.222</v>
      </c>
    </row>
    <row r="221" customFormat="false" ht="15" hidden="false" customHeight="true" outlineLevel="0" collapsed="false">
      <c r="A221" s="131" t="n">
        <v>2105</v>
      </c>
      <c r="B221" s="131" t="s">
        <v>44</v>
      </c>
      <c r="C221" s="132" t="s">
        <v>550</v>
      </c>
      <c r="D221" s="133" t="s">
        <v>550</v>
      </c>
      <c r="E221" s="134" t="n">
        <f aca="false">IF(I221="regional",IF(R221*0.2975,S221*0.3484),S221*0.1939)</f>
        <v>377846.4196</v>
      </c>
      <c r="F221" s="134" t="n">
        <v>541854</v>
      </c>
      <c r="G221" s="135" t="n">
        <f aca="false">E221+F221</f>
        <v>919700.4196</v>
      </c>
      <c r="H221" s="132"/>
      <c r="I221" s="133" t="s">
        <v>48</v>
      </c>
      <c r="J221" s="133" t="s">
        <v>44</v>
      </c>
      <c r="K221" s="133" t="s">
        <v>552</v>
      </c>
      <c r="L221" s="133" t="s">
        <v>49</v>
      </c>
      <c r="M221" s="136" t="n">
        <v>144</v>
      </c>
      <c r="N221" s="136" t="n">
        <v>0.773</v>
      </c>
      <c r="O221" s="136" t="n">
        <v>0.858</v>
      </c>
      <c r="P221" s="136" t="n">
        <v>0.826</v>
      </c>
      <c r="Q221" s="136" t="n">
        <v>0.731</v>
      </c>
      <c r="R221" s="136" t="n">
        <v>1321540</v>
      </c>
      <c r="S221" s="136" t="n">
        <v>1084519</v>
      </c>
      <c r="T221" s="8" t="n">
        <f aca="false">IF(I221="regional",IF(R221&gt;0,R221*0.2975,S221*0.3484),S221*0.1939)</f>
        <v>393158.15</v>
      </c>
      <c r="U221" s="136" t="n">
        <v>662313</v>
      </c>
      <c r="V221" s="136" t="n">
        <v>422206</v>
      </c>
      <c r="W221" s="136" t="n">
        <v>5000</v>
      </c>
      <c r="X221" s="136" t="n">
        <v>541854</v>
      </c>
      <c r="Y221" s="136" t="n">
        <v>0</v>
      </c>
      <c r="Z221" s="136" t="n">
        <v>541854</v>
      </c>
      <c r="AA221" s="136" t="n">
        <v>935823.15</v>
      </c>
      <c r="AB221" s="136" t="n">
        <v>393158.15</v>
      </c>
      <c r="AC221" s="136" t="n">
        <v>542665</v>
      </c>
      <c r="AD221" s="136" t="n">
        <v>541854</v>
      </c>
      <c r="AE221" s="136" t="n">
        <v>0</v>
      </c>
      <c r="AF221" s="136" t="n">
        <v>542665</v>
      </c>
      <c r="AG221" s="136" t="n">
        <v>0</v>
      </c>
      <c r="AH221" s="136" t="n">
        <v>905000</v>
      </c>
      <c r="AI221" s="136" t="n">
        <v>876000</v>
      </c>
      <c r="AJ221" s="132" t="s">
        <v>707</v>
      </c>
      <c r="AK221" s="132" t="s">
        <v>729</v>
      </c>
      <c r="AL221" s="133" t="s">
        <v>48</v>
      </c>
      <c r="AM221" s="132"/>
      <c r="AN221" s="133" t="s">
        <v>550</v>
      </c>
      <c r="AO221" s="133" t="n">
        <v>935012.15</v>
      </c>
      <c r="AP221" s="137" t="n">
        <f aca="false">AR221+AT221+AU221+AV221+AX221+AY221+AZ221+BD221+BF221+BG221+BH221+BJ221+BK221+(BL221+BM221+BN221)/1000+(0.1*BO221)</f>
        <v>653.1191</v>
      </c>
      <c r="AQ221" s="137" t="n">
        <f aca="false">AR221+AT221+AU221+AV221+AX221+AY221+AZ221+BB221+BC221+BD221+BF221+BG221+BH221+BJ221+BK221+(BL221+BM221+BN221)/1000+(0.1*BO221)</f>
        <v>677.1191</v>
      </c>
      <c r="AR221" s="131" t="n">
        <v>278</v>
      </c>
      <c r="AS221" s="131" t="n">
        <v>876</v>
      </c>
      <c r="AT221" s="131" t="n">
        <v>127</v>
      </c>
      <c r="AU221" s="131" t="n">
        <v>1</v>
      </c>
      <c r="AV221" s="131" t="n">
        <v>0</v>
      </c>
      <c r="AW221" s="131" t="n">
        <v>0</v>
      </c>
      <c r="AX221" s="131" t="n">
        <v>0</v>
      </c>
      <c r="AY221" s="131" t="n">
        <v>0</v>
      </c>
      <c r="AZ221" s="131" t="n">
        <v>5</v>
      </c>
      <c r="BA221" s="131" t="n">
        <v>12</v>
      </c>
      <c r="BB221" s="131" t="n">
        <v>20</v>
      </c>
      <c r="BC221" s="131" t="n">
        <v>4</v>
      </c>
      <c r="BD221" s="131" t="n">
        <v>39</v>
      </c>
      <c r="BE221" s="131" t="n">
        <v>0</v>
      </c>
      <c r="BF221" s="131" t="n">
        <v>0</v>
      </c>
      <c r="BG221" s="131" t="n">
        <v>0</v>
      </c>
      <c r="BH221" s="131" t="n">
        <v>68</v>
      </c>
      <c r="BI221" s="131" t="n">
        <v>0</v>
      </c>
      <c r="BJ221" s="131" t="n">
        <v>0</v>
      </c>
      <c r="BK221" s="131" t="n">
        <v>0</v>
      </c>
      <c r="BL221" s="131" t="n">
        <v>0</v>
      </c>
      <c r="BM221" s="131" t="n">
        <v>36100</v>
      </c>
      <c r="BN221" s="131" t="n">
        <v>51262</v>
      </c>
      <c r="BO221" s="131" t="n">
        <v>477.571</v>
      </c>
    </row>
    <row r="222" customFormat="false" ht="15" hidden="false" customHeight="true" outlineLevel="0" collapsed="false">
      <c r="A222" s="131" t="n">
        <v>3920</v>
      </c>
      <c r="B222" s="131" t="s">
        <v>44</v>
      </c>
      <c r="C222" s="132" t="s">
        <v>553</v>
      </c>
      <c r="D222" s="133" t="s">
        <v>553</v>
      </c>
      <c r="E222" s="134" t="n">
        <f aca="false">IF(I222="regional",IF(R222*0.2975,S222*0.3484),S222*0.1939)</f>
        <v>328044.73</v>
      </c>
      <c r="F222" s="134" t="n">
        <v>0</v>
      </c>
      <c r="G222" s="135" t="n">
        <f aca="false">E222+F222</f>
        <v>328044.73</v>
      </c>
      <c r="H222" s="132"/>
      <c r="I222" s="133" t="s">
        <v>48</v>
      </c>
      <c r="J222" s="133" t="s">
        <v>44</v>
      </c>
      <c r="K222" s="133" t="s">
        <v>554</v>
      </c>
      <c r="L222" s="133"/>
      <c r="M222" s="136" t="n">
        <v>120</v>
      </c>
      <c r="N222" s="136" t="n">
        <v>0.922</v>
      </c>
      <c r="O222" s="136" t="n">
        <v>0.925</v>
      </c>
      <c r="P222" s="136" t="n">
        <v>0.894</v>
      </c>
      <c r="Q222" s="136" t="n">
        <v>0.877</v>
      </c>
      <c r="R222" s="136" t="n">
        <v>1072563</v>
      </c>
      <c r="S222" s="136" t="n">
        <v>941575</v>
      </c>
      <c r="T222" s="8" t="n">
        <f aca="false">IF(I222="regional",IF(R222&gt;0,R222*0.2975,S222*0.3484),S222*0.1939)</f>
        <v>319087.4925</v>
      </c>
      <c r="U222" s="136" t="n">
        <v>654711</v>
      </c>
      <c r="V222" s="136" t="n">
        <v>286864</v>
      </c>
      <c r="W222" s="136" t="n">
        <v>4852</v>
      </c>
      <c r="X222" s="136" t="n">
        <v>0</v>
      </c>
      <c r="Y222" s="136" t="n">
        <v>0</v>
      </c>
      <c r="Z222" s="136" t="n">
        <v>0</v>
      </c>
      <c r="AA222" s="136" t="n">
        <v>1260662.493</v>
      </c>
      <c r="AB222" s="136" t="n">
        <v>319087.4925</v>
      </c>
      <c r="AC222" s="136" t="n">
        <v>941575</v>
      </c>
      <c r="AD222" s="136" t="n">
        <v>0</v>
      </c>
      <c r="AE222" s="136" t="n">
        <v>0</v>
      </c>
      <c r="AF222" s="136" t="n">
        <v>941575</v>
      </c>
      <c r="AG222" s="136" t="n">
        <v>0</v>
      </c>
      <c r="AH222" s="136" t="n">
        <v>772000</v>
      </c>
      <c r="AI222" s="136" t="n">
        <v>695000</v>
      </c>
      <c r="AJ222" s="132" t="s">
        <v>707</v>
      </c>
      <c r="AK222" s="132" t="s">
        <v>729</v>
      </c>
      <c r="AL222" s="133" t="s">
        <v>48</v>
      </c>
      <c r="AM222" s="132"/>
      <c r="AN222" s="133" t="s">
        <v>553</v>
      </c>
      <c r="AO222" s="133" t="n">
        <v>319087.4925</v>
      </c>
      <c r="AP222" s="137" t="n">
        <f aca="false">AR222+AT222+AU222+AV222+AX222+AY222+AZ222+BD222+BF222+BG222+BH222+BJ222+BK222+(BL222+BM222+BN222)/1000+(0.1*BO222)</f>
        <v>235.591392</v>
      </c>
      <c r="AQ222" s="137" t="n">
        <f aca="false">AR222+AT222+AU222+AV222+AX222+AY222+AZ222+BB222+BC222+BD222+BF222+BG222+BH222+BJ222+BK222+(BL222+BM222+BN222)/1000+(0.1*BO222)</f>
        <v>282.591392</v>
      </c>
      <c r="AR222" s="131" t="n">
        <v>94</v>
      </c>
      <c r="AS222" s="131" t="n">
        <v>695</v>
      </c>
      <c r="AT222" s="131" t="n">
        <v>104</v>
      </c>
      <c r="AU222" s="131" t="n">
        <v>1</v>
      </c>
      <c r="AV222" s="131" t="n">
        <v>0</v>
      </c>
      <c r="AW222" s="131" t="n">
        <v>0</v>
      </c>
      <c r="AX222" s="131" t="n">
        <v>0</v>
      </c>
      <c r="AY222" s="131" t="n">
        <v>0</v>
      </c>
      <c r="AZ222" s="131" t="n">
        <v>0</v>
      </c>
      <c r="BA222" s="131" t="n">
        <v>12</v>
      </c>
      <c r="BB222" s="131" t="n">
        <v>47</v>
      </c>
      <c r="BC222" s="131" t="n">
        <v>0</v>
      </c>
      <c r="BD222" s="131" t="n">
        <v>0</v>
      </c>
      <c r="BE222" s="131" t="n">
        <v>0</v>
      </c>
      <c r="BF222" s="131" t="n">
        <v>0</v>
      </c>
      <c r="BG222" s="131" t="n">
        <v>0</v>
      </c>
      <c r="BH222" s="131" t="n">
        <v>0</v>
      </c>
      <c r="BI222" s="131" t="n">
        <v>0</v>
      </c>
      <c r="BJ222" s="131" t="n">
        <v>0</v>
      </c>
      <c r="BK222" s="131" t="n">
        <v>0</v>
      </c>
      <c r="BL222" s="131" t="n">
        <v>0</v>
      </c>
      <c r="BM222" s="131" t="n">
        <v>0</v>
      </c>
      <c r="BN222" s="131" t="n">
        <v>2039</v>
      </c>
      <c r="BO222" s="131" t="n">
        <v>345.52392</v>
      </c>
    </row>
    <row r="223" customFormat="false" ht="15" hidden="false" customHeight="true" outlineLevel="0" collapsed="false">
      <c r="A223" s="131" t="n">
        <v>9896</v>
      </c>
      <c r="B223" s="131"/>
      <c r="C223" s="132" t="s">
        <v>555</v>
      </c>
      <c r="D223" s="133" t="s">
        <v>555</v>
      </c>
      <c r="E223" s="134" t="n">
        <f aca="false">IF(I223="regional",IF(R223*0.2975,S223*0.3484),S223*0.1939)</f>
        <v>308443.0492</v>
      </c>
      <c r="F223" s="134" t="n">
        <v>0</v>
      </c>
      <c r="G223" s="135" t="n">
        <f aca="false">E223+F223</f>
        <v>308443.0492</v>
      </c>
      <c r="H223" s="132"/>
      <c r="I223" s="133" t="s">
        <v>48</v>
      </c>
      <c r="J223" s="133"/>
      <c r="K223" s="133" t="s">
        <v>449</v>
      </c>
      <c r="L223" s="133"/>
      <c r="M223" s="136" t="n">
        <v>139</v>
      </c>
      <c r="N223" s="136" t="n">
        <v>0.794</v>
      </c>
      <c r="O223" s="136" t="n">
        <v>0.793</v>
      </c>
      <c r="P223" s="136" t="n">
        <v>0.841</v>
      </c>
      <c r="Q223" s="136" t="n">
        <v>0.847</v>
      </c>
      <c r="R223" s="136" t="n">
        <v>1062497</v>
      </c>
      <c r="S223" s="136" t="n">
        <v>885313</v>
      </c>
      <c r="T223" s="8" t="n">
        <f aca="false">IF(I223="regional",IF(R223&gt;0,R223*0.2975,S223*0.3484),S223*0.1939)</f>
        <v>316092.8575</v>
      </c>
      <c r="U223" s="136" t="n">
        <v>595468</v>
      </c>
      <c r="V223" s="136" t="n">
        <v>289845</v>
      </c>
      <c r="W223" s="136" t="n">
        <v>4458</v>
      </c>
      <c r="X223" s="136" t="n">
        <v>0</v>
      </c>
      <c r="Y223" s="136" t="n">
        <v>0</v>
      </c>
      <c r="Z223" s="136" t="n">
        <v>0</v>
      </c>
      <c r="AA223" s="136" t="n">
        <v>1201405.858</v>
      </c>
      <c r="AB223" s="136" t="n">
        <v>316092.8575</v>
      </c>
      <c r="AC223" s="136" t="n">
        <v>885313</v>
      </c>
      <c r="AD223" s="136" t="n">
        <v>0</v>
      </c>
      <c r="AE223" s="136" t="n">
        <v>0</v>
      </c>
      <c r="AF223" s="136" t="n">
        <v>0</v>
      </c>
      <c r="AG223" s="136" t="n">
        <v>885313</v>
      </c>
      <c r="AH223" s="136" t="n">
        <v>0</v>
      </c>
      <c r="AI223" s="136" t="n">
        <v>0</v>
      </c>
      <c r="AJ223" s="132" t="s">
        <v>707</v>
      </c>
      <c r="AK223" s="132" t="s">
        <v>714</v>
      </c>
      <c r="AL223" s="133" t="s">
        <v>48</v>
      </c>
      <c r="AM223" s="132"/>
      <c r="AN223" s="133" t="s">
        <v>555</v>
      </c>
      <c r="AO223" s="133" t="n">
        <v>316092.8575</v>
      </c>
      <c r="AP223" s="137" t="n">
        <f aca="false">AR223+AT223+AU223+AV223+AX223+AY223+AZ223+BD223+BF223+BG223+BH223+BJ223+BK223+(BL223+BM223+BN223)/1000+(0.1*BO223)</f>
        <v>366.0912</v>
      </c>
      <c r="AQ223" s="137" t="n">
        <f aca="false">AR223+AT223+AU223+AV223+AX223+AY223+AZ223+BB223+BC223+BD223+BF223+BG223+BH223+BJ223+BK223+(BL223+BM223+BN223)/1000+(0.1*BO223)</f>
        <v>465.0912</v>
      </c>
      <c r="AR223" s="131" t="n">
        <v>0</v>
      </c>
      <c r="AS223" s="131" t="n">
        <v>0</v>
      </c>
      <c r="AT223" s="131" t="n">
        <v>273</v>
      </c>
      <c r="AU223" s="131" t="n">
        <v>3</v>
      </c>
      <c r="AV223" s="131" t="n">
        <v>0</v>
      </c>
      <c r="AW223" s="131" t="n">
        <v>0</v>
      </c>
      <c r="AX223" s="131" t="n">
        <v>1</v>
      </c>
      <c r="AY223" s="131" t="n">
        <v>0</v>
      </c>
      <c r="AZ223" s="131" t="n">
        <v>0</v>
      </c>
      <c r="BA223" s="131" t="n">
        <v>0</v>
      </c>
      <c r="BB223" s="131" t="n">
        <v>24</v>
      </c>
      <c r="BC223" s="131" t="n">
        <v>75</v>
      </c>
      <c r="BD223" s="131" t="n">
        <v>0</v>
      </c>
      <c r="BE223" s="131" t="n">
        <v>0</v>
      </c>
      <c r="BF223" s="131" t="n">
        <v>0</v>
      </c>
      <c r="BG223" s="131" t="n">
        <v>0</v>
      </c>
      <c r="BH223" s="131" t="n">
        <v>0</v>
      </c>
      <c r="BI223" s="131" t="n">
        <v>0</v>
      </c>
      <c r="BJ223" s="131" t="n">
        <v>0</v>
      </c>
      <c r="BK223" s="131" t="n">
        <v>0</v>
      </c>
      <c r="BL223" s="131" t="n">
        <v>7900</v>
      </c>
      <c r="BM223" s="131" t="n">
        <v>0</v>
      </c>
      <c r="BN223" s="131" t="n">
        <v>0</v>
      </c>
      <c r="BO223" s="131" t="n">
        <v>811.912</v>
      </c>
    </row>
    <row r="224" customFormat="false" ht="15" hidden="false" customHeight="true" outlineLevel="0" collapsed="false">
      <c r="A224" s="131" t="n">
        <v>3951</v>
      </c>
      <c r="B224" s="131"/>
      <c r="C224" s="139" t="s">
        <v>557</v>
      </c>
      <c r="D224" s="133" t="s">
        <v>557</v>
      </c>
      <c r="E224" s="134" t="n">
        <f aca="false">IF(I224="regional",IF(R224*0.2975,S224*0.3484),S224*0.1939)</f>
        <v>85255.9188</v>
      </c>
      <c r="F224" s="134" t="n">
        <v>235391</v>
      </c>
      <c r="G224" s="135" t="n">
        <f aca="false">E224+F224</f>
        <v>320646.9188</v>
      </c>
      <c r="H224" s="132" t="s">
        <v>49</v>
      </c>
      <c r="I224" s="133" t="s">
        <v>48</v>
      </c>
      <c r="J224" s="133" t="s">
        <v>49</v>
      </c>
      <c r="K224" s="133" t="s">
        <v>560</v>
      </c>
      <c r="L224" s="133" t="s">
        <v>44</v>
      </c>
      <c r="M224" s="136" t="n">
        <v>98</v>
      </c>
      <c r="N224" s="136" t="n">
        <v>0.823</v>
      </c>
      <c r="O224" s="136" t="n">
        <v>0.835</v>
      </c>
      <c r="P224" s="136" t="n">
        <v>0.851</v>
      </c>
      <c r="Q224" s="136" t="n">
        <v>0.758</v>
      </c>
      <c r="R224" s="136" t="n">
        <v>259829</v>
      </c>
      <c r="S224" s="136" t="n">
        <v>244707</v>
      </c>
      <c r="T224" s="8" t="n">
        <f aca="false">IF(I224="regional",IF(R224&gt;0,R224*0.2975,S224*0.3484),S224*0.1939)</f>
        <v>77299.1275</v>
      </c>
      <c r="U224" s="136" t="n">
        <v>214110</v>
      </c>
      <c r="V224" s="136" t="n">
        <v>30597</v>
      </c>
      <c r="W224" s="136" t="n">
        <v>943</v>
      </c>
      <c r="X224" s="136" t="n">
        <v>312690.1275</v>
      </c>
      <c r="Y224" s="136" t="n">
        <v>77299.1275</v>
      </c>
      <c r="Z224" s="136" t="n">
        <v>235391</v>
      </c>
      <c r="AA224" s="136" t="n">
        <v>9316</v>
      </c>
      <c r="AB224" s="136" t="n">
        <v>0</v>
      </c>
      <c r="AC224" s="136" t="n">
        <v>9316</v>
      </c>
      <c r="AD224" s="136" t="n">
        <v>0</v>
      </c>
      <c r="AE224" s="136" t="n">
        <v>235391</v>
      </c>
      <c r="AF224" s="136" t="n">
        <v>0</v>
      </c>
      <c r="AG224" s="136" t="n">
        <v>9316</v>
      </c>
      <c r="AH224" s="136" t="n">
        <v>0</v>
      </c>
      <c r="AI224" s="136" t="n">
        <v>0</v>
      </c>
      <c r="AJ224" s="132" t="n">
        <v>4</v>
      </c>
      <c r="AK224" s="132" t="s">
        <v>713</v>
      </c>
      <c r="AL224" s="133" t="s">
        <v>48</v>
      </c>
      <c r="AM224" s="132" t="s">
        <v>49</v>
      </c>
      <c r="AN224" s="133" t="s">
        <v>557</v>
      </c>
      <c r="AO224" s="133" t="n">
        <v>312690.1275</v>
      </c>
      <c r="AP224" s="137" t="n">
        <f aca="false">AR224+AT224+AU224+AV224+AX224+AY224+AZ224+BD224+BF224+BG224+BH224+BJ224+BK224+(BL224+BM224+BN224)/1000+(0.1*BO224)</f>
        <v>588.9377</v>
      </c>
      <c r="AQ224" s="137" t="n">
        <f aca="false">AR224+AT224+AU224+AV224+AX224+AY224+AZ224+BB224+BC224+BD224+BF224+BG224+BH224+BJ224+BK224+(BL224+BM224+BN224)/1000+(0.1*BO224)</f>
        <v>601.9377</v>
      </c>
      <c r="AR224" s="131" t="n">
        <v>115</v>
      </c>
      <c r="AS224" s="131" t="n">
        <v>0</v>
      </c>
      <c r="AT224" s="131" t="n">
        <v>67</v>
      </c>
      <c r="AU224" s="131" t="n">
        <v>7</v>
      </c>
      <c r="AV224" s="131" t="n">
        <v>64</v>
      </c>
      <c r="AW224" s="131" t="n">
        <v>24</v>
      </c>
      <c r="AX224" s="131" t="n">
        <v>2</v>
      </c>
      <c r="AY224" s="131" t="n">
        <v>0</v>
      </c>
      <c r="AZ224" s="131" t="n">
        <v>32</v>
      </c>
      <c r="BA224" s="131" t="n">
        <v>5</v>
      </c>
      <c r="BB224" s="131" t="n">
        <v>12</v>
      </c>
      <c r="BC224" s="131" t="n">
        <v>1</v>
      </c>
      <c r="BD224" s="131" t="n">
        <v>108</v>
      </c>
      <c r="BE224" s="131" t="n">
        <v>0</v>
      </c>
      <c r="BF224" s="131" t="n">
        <v>0</v>
      </c>
      <c r="BG224" s="131" t="n">
        <v>0</v>
      </c>
      <c r="BH224" s="131" t="n">
        <v>35</v>
      </c>
      <c r="BI224" s="131" t="n">
        <v>0</v>
      </c>
      <c r="BJ224" s="131" t="n">
        <v>0</v>
      </c>
      <c r="BK224" s="131" t="n">
        <v>0</v>
      </c>
      <c r="BL224" s="131" t="n">
        <v>135688</v>
      </c>
      <c r="BM224" s="131" t="n">
        <v>0</v>
      </c>
      <c r="BN224" s="131" t="n">
        <v>0</v>
      </c>
      <c r="BO224" s="131" t="n">
        <v>232.497</v>
      </c>
    </row>
    <row r="225" customFormat="false" ht="15" hidden="false" customHeight="true" outlineLevel="0" collapsed="false">
      <c r="A225" s="131" t="n">
        <v>9690</v>
      </c>
      <c r="B225" s="131"/>
      <c r="C225" s="132" t="s">
        <v>561</v>
      </c>
      <c r="D225" s="133" t="s">
        <v>561</v>
      </c>
      <c r="E225" s="134" t="n">
        <f aca="false">IF(I225="regional",IF(R225*0.2975,S225*0.3484),S225*0.1939)</f>
        <v>391186.6556</v>
      </c>
      <c r="F225" s="134" t="n">
        <v>0</v>
      </c>
      <c r="G225" s="135" t="n">
        <f aca="false">E225+F225</f>
        <v>391186.6556</v>
      </c>
      <c r="H225" s="132"/>
      <c r="I225" s="133" t="s">
        <v>48</v>
      </c>
      <c r="J225" s="133" t="s">
        <v>49</v>
      </c>
      <c r="K225" s="133" t="s">
        <v>229</v>
      </c>
      <c r="L225" s="133"/>
      <c r="M225" s="136" t="n">
        <v>0</v>
      </c>
      <c r="N225" s="136" t="n">
        <v>0.907</v>
      </c>
      <c r="O225" s="136" t="n">
        <v>0.924</v>
      </c>
      <c r="P225" s="136" t="n">
        <v>0.925</v>
      </c>
      <c r="Q225" s="136" t="n">
        <v>0.93</v>
      </c>
      <c r="R225" s="136" t="n">
        <v>1379609</v>
      </c>
      <c r="S225" s="136" t="n">
        <v>1122809</v>
      </c>
      <c r="T225" s="8" t="n">
        <f aca="false">IF(I225="regional",IF(R225&gt;0,R225*0.2975,S225*0.3484),S225*0.1939)</f>
        <v>410433.6775</v>
      </c>
      <c r="U225" s="136" t="n">
        <v>748269</v>
      </c>
      <c r="V225" s="136" t="n">
        <v>374540</v>
      </c>
      <c r="W225" s="136" t="n">
        <v>7000</v>
      </c>
      <c r="X225" s="136" t="n">
        <v>0</v>
      </c>
      <c r="Y225" s="136" t="n">
        <v>0</v>
      </c>
      <c r="Z225" s="136" t="n">
        <v>0</v>
      </c>
      <c r="AA225" s="136" t="n">
        <v>1533242.678</v>
      </c>
      <c r="AB225" s="136" t="n">
        <v>410433.6775</v>
      </c>
      <c r="AC225" s="136" t="n">
        <v>1122809</v>
      </c>
      <c r="AD225" s="136" t="n">
        <v>0</v>
      </c>
      <c r="AE225" s="136" t="n">
        <v>0</v>
      </c>
      <c r="AF225" s="136" t="n">
        <v>0</v>
      </c>
      <c r="AG225" s="136" t="n">
        <v>1122809</v>
      </c>
      <c r="AH225" s="136" t="n">
        <v>0</v>
      </c>
      <c r="AI225" s="136" t="n">
        <v>0</v>
      </c>
      <c r="AJ225" s="132" t="s">
        <v>707</v>
      </c>
      <c r="AK225" s="132" t="s">
        <v>714</v>
      </c>
      <c r="AL225" s="133" t="s">
        <v>48</v>
      </c>
      <c r="AM225" s="132"/>
      <c r="AN225" s="133" t="s">
        <v>561</v>
      </c>
      <c r="AO225" s="133" t="n">
        <v>410433.6775</v>
      </c>
      <c r="AP225" s="137" t="n">
        <f aca="false">AR225+AT225+AU225+AV225+AX225+AY225+AZ225+BD225+BF225+BG225+BH225+BJ225+BK225+(BL225+BM225+BN225)/1000+(0.1*BO225)</f>
        <v>245.4697</v>
      </c>
      <c r="AQ225" s="137" t="n">
        <f aca="false">AR225+AT225+AU225+AV225+AX225+AY225+AZ225+BB225+BC225+BD225+BF225+BG225+BH225+BJ225+BK225+(BL225+BM225+BN225)/1000+(0.1*BO225)</f>
        <v>445.4697</v>
      </c>
      <c r="AR225" s="131" t="n">
        <v>0</v>
      </c>
      <c r="AS225" s="131" t="n">
        <v>0</v>
      </c>
      <c r="AT225" s="131" t="n">
        <v>234</v>
      </c>
      <c r="AU225" s="131" t="n">
        <v>1</v>
      </c>
      <c r="AV225" s="131" t="n">
        <v>0</v>
      </c>
      <c r="AW225" s="131" t="n">
        <v>0</v>
      </c>
      <c r="AX225" s="131" t="n">
        <v>0</v>
      </c>
      <c r="AY225" s="131" t="n">
        <v>0</v>
      </c>
      <c r="AZ225" s="131" t="n">
        <v>0</v>
      </c>
      <c r="BA225" s="131" t="n">
        <v>0</v>
      </c>
      <c r="BB225" s="131" t="n">
        <v>200</v>
      </c>
      <c r="BC225" s="131" t="n">
        <v>0</v>
      </c>
      <c r="BD225" s="131" t="n">
        <v>0</v>
      </c>
      <c r="BE225" s="131" t="n">
        <v>0</v>
      </c>
      <c r="BF225" s="131" t="n">
        <v>0</v>
      </c>
      <c r="BG225" s="131" t="n">
        <v>0</v>
      </c>
      <c r="BH225" s="131" t="n">
        <v>0</v>
      </c>
      <c r="BI225" s="131" t="n">
        <v>0</v>
      </c>
      <c r="BJ225" s="131" t="n">
        <v>0</v>
      </c>
      <c r="BK225" s="131" t="n">
        <v>0</v>
      </c>
      <c r="BL225" s="131" t="n">
        <v>0</v>
      </c>
      <c r="BM225" s="131" t="n">
        <v>0</v>
      </c>
      <c r="BN225" s="131" t="n">
        <v>10000</v>
      </c>
      <c r="BO225" s="131" t="n">
        <v>4.697</v>
      </c>
    </row>
    <row r="226" customFormat="false" ht="15" hidden="false" customHeight="true" outlineLevel="0" collapsed="false">
      <c r="A226" s="131" t="n">
        <v>9711</v>
      </c>
      <c r="B226" s="131"/>
      <c r="C226" s="132" t="s">
        <v>563</v>
      </c>
      <c r="D226" s="133" t="s">
        <v>563</v>
      </c>
      <c r="E226" s="134" t="n">
        <f aca="false">IF(I226="regional",IF(R226*0.2975,S226*0.3484),S226*0.1939)</f>
        <v>29188.3487</v>
      </c>
      <c r="F226" s="134" t="n">
        <v>0</v>
      </c>
      <c r="G226" s="135" t="n">
        <f aca="false">E226+F226</f>
        <v>29188.3487</v>
      </c>
      <c r="H226" s="132" t="s">
        <v>49</v>
      </c>
      <c r="I226" s="133" t="s">
        <v>62</v>
      </c>
      <c r="J226" s="133"/>
      <c r="K226" s="133" t="s">
        <v>565</v>
      </c>
      <c r="L226" s="133"/>
      <c r="M226" s="136" t="n">
        <v>15</v>
      </c>
      <c r="N226" s="136" t="n">
        <v>0.933</v>
      </c>
      <c r="O226" s="136" t="n">
        <v>0.933</v>
      </c>
      <c r="P226" s="136" t="n">
        <v>0.915</v>
      </c>
      <c r="Q226" s="136" t="n">
        <v>0.978</v>
      </c>
      <c r="R226" s="136" t="n">
        <v>0</v>
      </c>
      <c r="S226" s="136" t="n">
        <v>150533</v>
      </c>
      <c r="T226" s="8" t="n">
        <f aca="false">IF(I226="regional",IF(R226&gt;0,R226*0.2975,S226*0.3484),S226*0.1939)</f>
        <v>29188.3487</v>
      </c>
      <c r="U226" s="136" t="n">
        <v>104359</v>
      </c>
      <c r="V226" s="136" t="n">
        <v>46174</v>
      </c>
      <c r="W226" s="136" t="n">
        <v>750</v>
      </c>
      <c r="X226" s="136" t="n">
        <v>0</v>
      </c>
      <c r="Y226" s="136" t="n">
        <v>0</v>
      </c>
      <c r="Z226" s="136" t="n">
        <v>0</v>
      </c>
      <c r="AA226" s="136" t="n">
        <v>179721.3487</v>
      </c>
      <c r="AB226" s="136" t="n">
        <v>29188.3487</v>
      </c>
      <c r="AC226" s="136" t="n">
        <v>150533</v>
      </c>
      <c r="AD226" s="136" t="n">
        <v>0</v>
      </c>
      <c r="AE226" s="136" t="n">
        <v>0</v>
      </c>
      <c r="AF226" s="136" t="n">
        <v>0</v>
      </c>
      <c r="AG226" s="136" t="n">
        <v>150533</v>
      </c>
      <c r="AH226" s="136" t="n">
        <v>0</v>
      </c>
      <c r="AI226" s="136" t="n">
        <v>0</v>
      </c>
      <c r="AJ226" s="132" t="n">
        <v>4</v>
      </c>
      <c r="AK226" s="132" t="s">
        <v>720</v>
      </c>
      <c r="AL226" s="133" t="s">
        <v>62</v>
      </c>
      <c r="AM226" s="132" t="s">
        <v>49</v>
      </c>
      <c r="AN226" s="133" t="s">
        <v>563</v>
      </c>
      <c r="AO226" s="133" t="n">
        <v>29188.3487</v>
      </c>
      <c r="AP226" s="137" t="n">
        <f aca="false">AR226+AT226+AU226+AV226+AX226+AY226+AZ226+BD226+BF226+BG226+BH226+BJ226+BK226+(BL226+BM226+BN226)/1000+(0.1*BO226)</f>
        <v>14.6807</v>
      </c>
      <c r="AQ226" s="137" t="n">
        <f aca="false">AR226+AT226+AU226+AV226+AX226+AY226+AZ226+BB226+BC226+BD226+BF226+BG226+BH226+BJ226+BK226+(BL226+BM226+BN226)/1000+(0.1*BO226)</f>
        <v>14.6807</v>
      </c>
      <c r="AR226" s="131" t="n">
        <v>0</v>
      </c>
      <c r="AS226" s="131" t="n">
        <v>0</v>
      </c>
      <c r="AT226" s="131" t="n">
        <v>7</v>
      </c>
      <c r="AU226" s="131" t="n">
        <v>1</v>
      </c>
      <c r="AV226" s="131" t="n">
        <v>0</v>
      </c>
      <c r="AW226" s="131" t="n">
        <v>0</v>
      </c>
      <c r="AX226" s="131" t="n">
        <v>0</v>
      </c>
      <c r="AY226" s="131" t="n">
        <v>0</v>
      </c>
      <c r="AZ226" s="131" t="n">
        <v>0</v>
      </c>
      <c r="BA226" s="131" t="n">
        <v>0</v>
      </c>
      <c r="BB226" s="131" t="n">
        <v>0</v>
      </c>
      <c r="BC226" s="131" t="n">
        <v>0</v>
      </c>
      <c r="BD226" s="131" t="n">
        <v>0</v>
      </c>
      <c r="BE226" s="131" t="n">
        <v>0</v>
      </c>
      <c r="BF226" s="131" t="n">
        <v>0</v>
      </c>
      <c r="BG226" s="131" t="n">
        <v>0</v>
      </c>
      <c r="BH226" s="131" t="n">
        <v>0</v>
      </c>
      <c r="BI226" s="131" t="n">
        <v>0</v>
      </c>
      <c r="BJ226" s="131" t="n">
        <v>0</v>
      </c>
      <c r="BK226" s="131" t="n">
        <v>0</v>
      </c>
      <c r="BL226" s="131" t="n">
        <v>0</v>
      </c>
      <c r="BM226" s="131" t="n">
        <v>0</v>
      </c>
      <c r="BN226" s="131" t="n">
        <v>0</v>
      </c>
      <c r="BO226" s="131" t="n">
        <v>66.807</v>
      </c>
    </row>
    <row r="227" customFormat="false" ht="15" hidden="false" customHeight="true" outlineLevel="0" collapsed="false">
      <c r="A227" s="131" t="n">
        <v>2520</v>
      </c>
      <c r="B227" s="131" t="s">
        <v>44</v>
      </c>
      <c r="C227" s="132" t="s">
        <v>566</v>
      </c>
      <c r="D227" s="133" t="s">
        <v>566</v>
      </c>
      <c r="E227" s="134" t="n">
        <f aca="false">IF(I227="regional",IF(R227*0.2975,S227*0.3484),S227*0.1939)</f>
        <v>245864.8348</v>
      </c>
      <c r="F227" s="134" t="n">
        <v>0</v>
      </c>
      <c r="G227" s="135" t="n">
        <f aca="false">E227+F227</f>
        <v>245864.8348</v>
      </c>
      <c r="H227" s="132"/>
      <c r="I227" s="133" t="s">
        <v>48</v>
      </c>
      <c r="J227" s="133" t="s">
        <v>49</v>
      </c>
      <c r="K227" s="133" t="s">
        <v>568</v>
      </c>
      <c r="L227" s="133"/>
      <c r="M227" s="136" t="n">
        <v>90</v>
      </c>
      <c r="N227" s="136" t="n">
        <v>0.877</v>
      </c>
      <c r="O227" s="136" t="n">
        <v>0.894</v>
      </c>
      <c r="P227" s="136" t="n">
        <v>0.848</v>
      </c>
      <c r="Q227" s="136" t="n">
        <v>0.801</v>
      </c>
      <c r="R227" s="136" t="n">
        <v>830190</v>
      </c>
      <c r="S227" s="136" t="n">
        <v>705697</v>
      </c>
      <c r="T227" s="8" t="n">
        <f aca="false">IF(I227="regional",IF(R227&gt;0,R227*0.2975,S227*0.3484),S227*0.1939)</f>
        <v>246981.525</v>
      </c>
      <c r="U227" s="136" t="n">
        <v>478449</v>
      </c>
      <c r="V227" s="136" t="n">
        <v>227248</v>
      </c>
      <c r="W227" s="136" t="n">
        <v>3585</v>
      </c>
      <c r="X227" s="136" t="n">
        <v>0</v>
      </c>
      <c r="Y227" s="136" t="n">
        <v>0</v>
      </c>
      <c r="Z227" s="136" t="n">
        <v>0</v>
      </c>
      <c r="AA227" s="136" t="n">
        <v>952678.525</v>
      </c>
      <c r="AB227" s="136" t="n">
        <v>246981.525</v>
      </c>
      <c r="AC227" s="136" t="n">
        <v>705697</v>
      </c>
      <c r="AD227" s="136" t="n">
        <v>0</v>
      </c>
      <c r="AE227" s="136" t="n">
        <v>0</v>
      </c>
      <c r="AF227" s="136" t="n">
        <v>0</v>
      </c>
      <c r="AG227" s="136" t="n">
        <v>705697</v>
      </c>
      <c r="AH227" s="136" t="n">
        <v>0</v>
      </c>
      <c r="AI227" s="136" t="n">
        <v>0</v>
      </c>
      <c r="AJ227" s="132" t="s">
        <v>707</v>
      </c>
      <c r="AK227" s="132" t="s">
        <v>729</v>
      </c>
      <c r="AL227" s="133" t="s">
        <v>48</v>
      </c>
      <c r="AM227" s="132"/>
      <c r="AN227" s="133" t="s">
        <v>566</v>
      </c>
      <c r="AO227" s="133" t="n">
        <v>513036.9575</v>
      </c>
      <c r="AP227" s="137" t="n">
        <f aca="false">AR227+AT227+AU227+AV227+AX227+AY227+AZ227+BD227+BF227+BG227+BH227+BJ227+BK227+(BL227+BM227+BN227)/1000+(0.1*BO227)</f>
        <v>382.4887</v>
      </c>
      <c r="AQ227" s="137" t="n">
        <f aca="false">AR227+AT227+AU227+AV227+AX227+AY227+AZ227+BB227+BC227+BD227+BF227+BG227+BH227+BJ227+BK227+(BL227+BM227+BN227)/1000+(0.1*BO227)</f>
        <v>403.4887</v>
      </c>
      <c r="AR227" s="131" t="n">
        <v>203</v>
      </c>
      <c r="AS227" s="131" t="n">
        <v>185</v>
      </c>
      <c r="AT227" s="131" t="n">
        <v>82</v>
      </c>
      <c r="AU227" s="131" t="n">
        <v>3</v>
      </c>
      <c r="AV227" s="131" t="n">
        <v>9</v>
      </c>
      <c r="AW227" s="131" t="n">
        <v>7</v>
      </c>
      <c r="AX227" s="131" t="n">
        <v>1</v>
      </c>
      <c r="AY227" s="131" t="n">
        <v>1</v>
      </c>
      <c r="AZ227" s="131" t="n">
        <v>2</v>
      </c>
      <c r="BA227" s="131" t="n">
        <v>7</v>
      </c>
      <c r="BB227" s="131" t="n">
        <v>21</v>
      </c>
      <c r="BC227" s="131" t="n">
        <v>0</v>
      </c>
      <c r="BD227" s="131" t="n">
        <v>25</v>
      </c>
      <c r="BE227" s="131" t="n">
        <v>0</v>
      </c>
      <c r="BF227" s="131" t="n">
        <v>0</v>
      </c>
      <c r="BG227" s="131" t="n">
        <v>0</v>
      </c>
      <c r="BH227" s="131" t="n">
        <v>39</v>
      </c>
      <c r="BI227" s="131" t="n">
        <v>0</v>
      </c>
      <c r="BJ227" s="131" t="n">
        <v>0</v>
      </c>
      <c r="BK227" s="131" t="n">
        <v>0</v>
      </c>
      <c r="BL227" s="131" t="n">
        <v>0</v>
      </c>
      <c r="BM227" s="131" t="n">
        <v>0</v>
      </c>
      <c r="BN227" s="131" t="n">
        <v>9737</v>
      </c>
      <c r="BO227" s="131" t="n">
        <v>77.517</v>
      </c>
    </row>
    <row r="228" customFormat="false" ht="15" hidden="false" customHeight="true" outlineLevel="0" collapsed="false">
      <c r="A228" s="131" t="n">
        <v>4116</v>
      </c>
      <c r="B228" s="131"/>
      <c r="C228" s="132" t="s">
        <v>566</v>
      </c>
      <c r="D228" s="133" t="s">
        <v>566</v>
      </c>
      <c r="E228" s="134" t="n">
        <f aca="false">IF(I228="regional",IF(R228*0.2975,S228*0.3484),S228*0.1939)</f>
        <v>197358.8448</v>
      </c>
      <c r="F228" s="134" t="n">
        <v>315718</v>
      </c>
      <c r="G228" s="135" t="n">
        <f aca="false">E228+F228</f>
        <v>513076.8448</v>
      </c>
      <c r="H228" s="132"/>
      <c r="I228" s="133" t="s">
        <v>48</v>
      </c>
      <c r="J228" s="133" t="s">
        <v>44</v>
      </c>
      <c r="K228" s="133" t="s">
        <v>568</v>
      </c>
      <c r="L228" s="133" t="s">
        <v>44</v>
      </c>
      <c r="M228" s="136" t="n">
        <v>69</v>
      </c>
      <c r="N228" s="136" t="n">
        <v>0.653</v>
      </c>
      <c r="O228" s="136" t="n">
        <v>0.784</v>
      </c>
      <c r="P228" s="136" t="n">
        <v>0.748</v>
      </c>
      <c r="Q228" s="136" t="n">
        <v>0.858</v>
      </c>
      <c r="R228" s="136" t="n">
        <v>663257</v>
      </c>
      <c r="S228" s="136" t="n">
        <v>566472</v>
      </c>
      <c r="T228" s="8" t="n">
        <f aca="false">IF(I228="regional",IF(R228&gt;0,R228*0.2975,S228*0.3484),S228*0.1939)</f>
        <v>197318.9575</v>
      </c>
      <c r="U228" s="136" t="n">
        <v>412761</v>
      </c>
      <c r="V228" s="136" t="n">
        <v>153711</v>
      </c>
      <c r="W228" s="136" t="n">
        <v>1927</v>
      </c>
      <c r="X228" s="136" t="n">
        <v>513036.9575</v>
      </c>
      <c r="Y228" s="136" t="n">
        <v>197318.9575</v>
      </c>
      <c r="Z228" s="136" t="n">
        <v>315718</v>
      </c>
      <c r="AA228" s="136" t="n">
        <v>250754</v>
      </c>
      <c r="AB228" s="136" t="n">
        <v>0</v>
      </c>
      <c r="AC228" s="136" t="n">
        <v>250754</v>
      </c>
      <c r="AD228" s="136" t="n">
        <v>315718</v>
      </c>
      <c r="AE228" s="136" t="n">
        <v>0</v>
      </c>
      <c r="AF228" s="136" t="n">
        <v>250754</v>
      </c>
      <c r="AG228" s="136" t="n">
        <v>0</v>
      </c>
      <c r="AH228" s="136" t="n">
        <v>138000</v>
      </c>
      <c r="AI228" s="136" t="n">
        <v>185000</v>
      </c>
      <c r="AJ228" s="132" t="s">
        <v>707</v>
      </c>
      <c r="AK228" s="132" t="s">
        <v>714</v>
      </c>
      <c r="AL228" s="133" t="s">
        <v>48</v>
      </c>
      <c r="AM228" s="132"/>
      <c r="AN228" s="133" t="s">
        <v>566</v>
      </c>
      <c r="AO228" s="133" t="n">
        <v>246981.525</v>
      </c>
      <c r="AP228" s="137" t="n">
        <f aca="false">AR228+AT228+AU228+AV228+AX228+AY228+AZ228+BD228+BF228+BG228+BH228+BJ228+BK228+(BL228+BM228+BN228)/1000+(0.1*BO228)</f>
        <v>131.3694</v>
      </c>
      <c r="AQ228" s="137" t="n">
        <f aca="false">AR228+AT228+AU228+AV228+AX228+AY228+AZ228+BB228+BC228+BD228+BF228+BG228+BH228+BJ228+BK228+(BL228+BM228+BN228)/1000+(0.1*BO228)</f>
        <v>131.3694</v>
      </c>
      <c r="AR228" s="131" t="n">
        <v>31</v>
      </c>
      <c r="AS228" s="131" t="n">
        <v>0</v>
      </c>
      <c r="AT228" s="131" t="n">
        <v>50</v>
      </c>
      <c r="AU228" s="131" t="n">
        <v>2</v>
      </c>
      <c r="AV228" s="131" t="n">
        <v>0</v>
      </c>
      <c r="AW228" s="131" t="n">
        <v>0</v>
      </c>
      <c r="AX228" s="131" t="n">
        <v>1</v>
      </c>
      <c r="AY228" s="131" t="n">
        <v>0</v>
      </c>
      <c r="AZ228" s="131" t="n">
        <v>0</v>
      </c>
      <c r="BA228" s="131" t="n">
        <v>0</v>
      </c>
      <c r="BB228" s="131" t="n">
        <v>0</v>
      </c>
      <c r="BC228" s="131" t="n">
        <v>0</v>
      </c>
      <c r="BD228" s="131" t="n">
        <v>0</v>
      </c>
      <c r="BE228" s="131" t="n">
        <v>0</v>
      </c>
      <c r="BF228" s="131" t="n">
        <v>0</v>
      </c>
      <c r="BG228" s="131" t="n">
        <v>0</v>
      </c>
      <c r="BH228" s="131" t="n">
        <v>0</v>
      </c>
      <c r="BI228" s="131" t="n">
        <v>0</v>
      </c>
      <c r="BJ228" s="131" t="n">
        <v>0</v>
      </c>
      <c r="BK228" s="131" t="n">
        <v>0</v>
      </c>
      <c r="BL228" s="131" t="n">
        <v>2661</v>
      </c>
      <c r="BM228" s="131" t="n">
        <v>0</v>
      </c>
      <c r="BN228" s="131" t="n">
        <v>6769</v>
      </c>
      <c r="BO228" s="131" t="n">
        <v>379.394</v>
      </c>
    </row>
    <row r="229" customFormat="false" ht="15" hidden="false" customHeight="true" outlineLevel="0" collapsed="false">
      <c r="A229" s="131" t="n">
        <v>9710</v>
      </c>
      <c r="B229" s="131"/>
      <c r="C229" s="132" t="s">
        <v>569</v>
      </c>
      <c r="D229" s="133" t="s">
        <v>569</v>
      </c>
      <c r="E229" s="134" t="n">
        <f aca="false">IF(I229="regional",IF(R229*0.2975,S229*0.3484),S229*0.1939)</f>
        <v>328138.1012</v>
      </c>
      <c r="F229" s="134" t="n">
        <v>0</v>
      </c>
      <c r="G229" s="135" t="n">
        <f aca="false">E229+F229</f>
        <v>328138.1012</v>
      </c>
      <c r="H229" s="132" t="s">
        <v>49</v>
      </c>
      <c r="I229" s="133" t="s">
        <v>48</v>
      </c>
      <c r="J229" s="133"/>
      <c r="K229" s="133" t="s">
        <v>565</v>
      </c>
      <c r="L229" s="133"/>
      <c r="M229" s="136" t="n">
        <v>115</v>
      </c>
      <c r="N229" s="136" t="n">
        <v>0.922</v>
      </c>
      <c r="O229" s="136" t="n">
        <v>0.926</v>
      </c>
      <c r="P229" s="136" t="n">
        <v>0.893</v>
      </c>
      <c r="Q229" s="136" t="n">
        <v>0.861</v>
      </c>
      <c r="R229" s="136" t="n">
        <v>640283</v>
      </c>
      <c r="S229" s="136" t="n">
        <v>941843</v>
      </c>
      <c r="T229" s="8" t="n">
        <f aca="false">IF(I229="regional",IF(R229&gt;0,R229*0.2975,S229*0.3484),S229*0.1939)</f>
        <v>190484.1925</v>
      </c>
      <c r="U229" s="136" t="n">
        <v>622508</v>
      </c>
      <c r="V229" s="136" t="n">
        <v>319335</v>
      </c>
      <c r="W229" s="136" t="n">
        <v>4681</v>
      </c>
      <c r="X229" s="136" t="n">
        <v>0</v>
      </c>
      <c r="Y229" s="136" t="n">
        <v>0</v>
      </c>
      <c r="Z229" s="136" t="n">
        <v>0</v>
      </c>
      <c r="AA229" s="136" t="n">
        <v>1132327.193</v>
      </c>
      <c r="AB229" s="136" t="n">
        <v>190484.1925</v>
      </c>
      <c r="AC229" s="136" t="n">
        <v>941843</v>
      </c>
      <c r="AD229" s="136" t="n">
        <v>0</v>
      </c>
      <c r="AE229" s="136" t="n">
        <v>0</v>
      </c>
      <c r="AF229" s="136" t="n">
        <v>0</v>
      </c>
      <c r="AG229" s="136" t="n">
        <v>941843</v>
      </c>
      <c r="AH229" s="136" t="n">
        <v>0</v>
      </c>
      <c r="AI229" s="136" t="n">
        <v>0</v>
      </c>
      <c r="AJ229" s="132" t="n">
        <v>4</v>
      </c>
      <c r="AK229" s="132" t="s">
        <v>720</v>
      </c>
      <c r="AL229" s="133" t="s">
        <v>48</v>
      </c>
      <c r="AM229" s="132" t="s">
        <v>49</v>
      </c>
      <c r="AN229" s="133" t="s">
        <v>569</v>
      </c>
      <c r="AO229" s="133" t="n">
        <v>190484.1925</v>
      </c>
      <c r="AP229" s="137" t="n">
        <f aca="false">AR229+AT229+AU229+AV229+AX229+AY229+AZ229+BD229+BF229+BG229+BH229+BJ229+BK229+(BL229+BM229+BN229)/1000+(0.1*BO229)</f>
        <v>296.0524</v>
      </c>
      <c r="AQ229" s="137" t="n">
        <f aca="false">AR229+AT229+AU229+AV229+AX229+AY229+AZ229+BB229+BC229+BD229+BF229+BG229+BH229+BJ229+BK229+(BL229+BM229+BN229)/1000+(0.1*BO229)</f>
        <v>314.0524</v>
      </c>
      <c r="AR229" s="131" t="n">
        <v>0</v>
      </c>
      <c r="AS229" s="131" t="n">
        <v>0</v>
      </c>
      <c r="AT229" s="131" t="n">
        <v>225</v>
      </c>
      <c r="AU229" s="131" t="n">
        <v>3</v>
      </c>
      <c r="AV229" s="131" t="n">
        <v>0</v>
      </c>
      <c r="AW229" s="131" t="n">
        <v>0</v>
      </c>
      <c r="AX229" s="131" t="n">
        <v>9</v>
      </c>
      <c r="AY229" s="131" t="n">
        <v>0</v>
      </c>
      <c r="AZ229" s="131" t="n">
        <v>0</v>
      </c>
      <c r="BA229" s="131" t="n">
        <v>0</v>
      </c>
      <c r="BB229" s="131" t="n">
        <v>18</v>
      </c>
      <c r="BC229" s="131" t="n">
        <v>0</v>
      </c>
      <c r="BD229" s="131" t="n">
        <v>0</v>
      </c>
      <c r="BE229" s="131" t="n">
        <v>0</v>
      </c>
      <c r="BF229" s="131" t="n">
        <v>0</v>
      </c>
      <c r="BG229" s="131" t="n">
        <v>0</v>
      </c>
      <c r="BH229" s="131" t="n">
        <v>0</v>
      </c>
      <c r="BI229" s="131" t="n">
        <v>0</v>
      </c>
      <c r="BJ229" s="131" t="n">
        <v>0</v>
      </c>
      <c r="BK229" s="131" t="n">
        <v>0</v>
      </c>
      <c r="BL229" s="131" t="n">
        <v>0</v>
      </c>
      <c r="BM229" s="131" t="n">
        <v>0</v>
      </c>
      <c r="BN229" s="131" t="n">
        <v>0</v>
      </c>
      <c r="BO229" s="131" t="n">
        <v>590.524</v>
      </c>
    </row>
    <row r="230" customFormat="false" ht="15" hidden="false" customHeight="true" outlineLevel="0" collapsed="false">
      <c r="A230" s="131" t="n">
        <v>9750</v>
      </c>
      <c r="B230" s="131"/>
      <c r="C230" s="132" t="s">
        <v>571</v>
      </c>
      <c r="D230" s="133" t="s">
        <v>571</v>
      </c>
      <c r="E230" s="134" t="n">
        <f aca="false">IF(I230="regional",IF(R230*0.2975,S230*0.3484),S230*0.1939)</f>
        <v>262539.2588</v>
      </c>
      <c r="F230" s="134" t="n">
        <v>0</v>
      </c>
      <c r="G230" s="135" t="n">
        <f aca="false">E230+F230</f>
        <v>262539.2588</v>
      </c>
      <c r="H230" s="132"/>
      <c r="I230" s="133" t="s">
        <v>48</v>
      </c>
      <c r="J230" s="133" t="s">
        <v>49</v>
      </c>
      <c r="K230" s="133" t="s">
        <v>102</v>
      </c>
      <c r="L230" s="133"/>
      <c r="M230" s="136" t="n">
        <v>87</v>
      </c>
      <c r="N230" s="136" t="n">
        <v>0.801</v>
      </c>
      <c r="O230" s="136" t="n">
        <v>0.801</v>
      </c>
      <c r="P230" s="136" t="n">
        <v>0.727</v>
      </c>
      <c r="Q230" s="136" t="n">
        <v>0.877</v>
      </c>
      <c r="R230" s="136" t="n">
        <v>848939</v>
      </c>
      <c r="S230" s="136" t="n">
        <v>753557</v>
      </c>
      <c r="T230" s="8" t="n">
        <f aca="false">IF(I230="regional",IF(R230&gt;0,R230*0.2975,S230*0.3484),S230*0.1939)</f>
        <v>252559.3525</v>
      </c>
      <c r="U230" s="136" t="n">
        <v>479418</v>
      </c>
      <c r="V230" s="136" t="n">
        <v>274139</v>
      </c>
      <c r="W230" s="136" t="n">
        <v>4365</v>
      </c>
      <c r="X230" s="136" t="n">
        <v>0</v>
      </c>
      <c r="Y230" s="136" t="n">
        <v>0</v>
      </c>
      <c r="Z230" s="136" t="n">
        <v>0</v>
      </c>
      <c r="AA230" s="136" t="n">
        <v>1006116.353</v>
      </c>
      <c r="AB230" s="136" t="n">
        <v>252559.3525</v>
      </c>
      <c r="AC230" s="136" t="n">
        <v>753557</v>
      </c>
      <c r="AD230" s="136" t="n">
        <v>0</v>
      </c>
      <c r="AE230" s="136" t="n">
        <v>0</v>
      </c>
      <c r="AF230" s="136" t="n">
        <v>0</v>
      </c>
      <c r="AG230" s="136" t="n">
        <v>753557</v>
      </c>
      <c r="AH230" s="136" t="n">
        <v>0</v>
      </c>
      <c r="AI230" s="136" t="n">
        <v>0</v>
      </c>
      <c r="AJ230" s="132" t="n">
        <v>4</v>
      </c>
      <c r="AK230" s="132" t="s">
        <v>720</v>
      </c>
      <c r="AL230" s="133" t="s">
        <v>48</v>
      </c>
      <c r="AM230" s="132"/>
      <c r="AN230" s="133" t="s">
        <v>571</v>
      </c>
      <c r="AO230" s="133" t="n">
        <v>252559.3525</v>
      </c>
      <c r="AP230" s="137" t="n">
        <f aca="false">AR230+AT230+AU230+AV230+AX230+AY230+AZ230+BD230+BF230+BG230+BH230+BJ230+BK230+(BL230+BM230+BN230)/1000+(0.1*BO230)</f>
        <v>138.017</v>
      </c>
      <c r="AQ230" s="137" t="n">
        <f aca="false">AR230+AT230+AU230+AV230+AX230+AY230+AZ230+BB230+BC230+BD230+BF230+BG230+BH230+BJ230+BK230+(BL230+BM230+BN230)/1000+(0.1*BO230)</f>
        <v>142.017</v>
      </c>
      <c r="AR230" s="158" t="n">
        <v>0</v>
      </c>
      <c r="AS230" s="158" t="n">
        <v>0</v>
      </c>
      <c r="AT230" s="158" t="n">
        <v>81</v>
      </c>
      <c r="AU230" s="158" t="n">
        <v>11</v>
      </c>
      <c r="AV230" s="158" t="n">
        <v>0</v>
      </c>
      <c r="AW230" s="158" t="n">
        <v>0</v>
      </c>
      <c r="AX230" s="158" t="n">
        <v>8</v>
      </c>
      <c r="AY230" s="158" t="n">
        <v>6</v>
      </c>
      <c r="AZ230" s="158" t="n">
        <v>0</v>
      </c>
      <c r="BA230" s="158" t="n">
        <v>0</v>
      </c>
      <c r="BB230" s="158" t="n">
        <v>2</v>
      </c>
      <c r="BC230" s="158" t="n">
        <v>2</v>
      </c>
      <c r="BD230" s="131" t="n">
        <v>0</v>
      </c>
      <c r="BE230" s="131" t="n">
        <v>0</v>
      </c>
      <c r="BF230" s="131" t="n">
        <v>0</v>
      </c>
      <c r="BG230" s="131" t="n">
        <v>0</v>
      </c>
      <c r="BH230" s="131" t="n">
        <v>0</v>
      </c>
      <c r="BI230" s="131" t="n">
        <v>0</v>
      </c>
      <c r="BJ230" s="131" t="n">
        <v>0</v>
      </c>
      <c r="BK230" s="131" t="n">
        <v>0</v>
      </c>
      <c r="BL230" s="158" t="n">
        <v>32017</v>
      </c>
      <c r="BM230" s="158" t="n">
        <v>0</v>
      </c>
      <c r="BN230" s="158" t="n">
        <v>0</v>
      </c>
      <c r="BO230" s="131" t="n">
        <v>0</v>
      </c>
      <c r="BP230" s="159"/>
      <c r="BQ230" s="159"/>
      <c r="BR230" s="159"/>
      <c r="BS230" s="159"/>
      <c r="BT230" s="159"/>
      <c r="BU230" s="159"/>
      <c r="BV230" s="159"/>
      <c r="BW230" s="159"/>
      <c r="BX230" s="159"/>
      <c r="BY230" s="159"/>
      <c r="BZ230" s="159"/>
      <c r="CA230" s="159"/>
      <c r="CB230" s="159"/>
      <c r="CC230" s="159"/>
      <c r="CD230" s="159"/>
      <c r="CE230" s="159"/>
      <c r="CF230" s="159"/>
      <c r="CG230" s="159"/>
      <c r="CH230" s="159"/>
      <c r="CI230" s="159"/>
      <c r="CJ230" s="159"/>
      <c r="CK230" s="159"/>
      <c r="CL230" s="159"/>
      <c r="CM230" s="159"/>
      <c r="CN230" s="159"/>
      <c r="CO230" s="159"/>
      <c r="CP230" s="159"/>
      <c r="CQ230" s="159"/>
      <c r="CR230" s="159"/>
      <c r="CS230" s="159"/>
      <c r="CT230" s="159"/>
      <c r="CU230" s="159"/>
      <c r="CV230" s="159"/>
      <c r="CW230" s="159"/>
      <c r="CX230" s="159"/>
      <c r="CY230" s="159"/>
      <c r="CZ230" s="159"/>
      <c r="DA230" s="159"/>
      <c r="DB230" s="159"/>
      <c r="DC230" s="159"/>
      <c r="DD230" s="159"/>
      <c r="DE230" s="159"/>
      <c r="DF230" s="159"/>
      <c r="DG230" s="159"/>
      <c r="DH230" s="159"/>
      <c r="DI230" s="159"/>
      <c r="DJ230" s="159"/>
      <c r="DK230" s="159"/>
      <c r="DL230" s="159"/>
      <c r="DM230" s="159"/>
      <c r="DN230" s="159"/>
      <c r="DO230" s="159"/>
      <c r="DP230" s="159"/>
      <c r="DQ230" s="159"/>
      <c r="DR230" s="159"/>
      <c r="DS230" s="159"/>
      <c r="DT230" s="159"/>
      <c r="DU230" s="159"/>
      <c r="DV230" s="159"/>
      <c r="DW230" s="159"/>
      <c r="DX230" s="159"/>
      <c r="DY230" s="159"/>
      <c r="DZ230" s="159"/>
      <c r="EA230" s="159"/>
      <c r="EB230" s="159"/>
      <c r="EC230" s="159"/>
      <c r="ED230" s="159"/>
      <c r="EE230" s="159"/>
      <c r="EF230" s="159"/>
      <c r="EG230" s="159"/>
      <c r="EH230" s="159"/>
      <c r="EI230" s="159"/>
      <c r="EJ230" s="159"/>
      <c r="EK230" s="159"/>
      <c r="EL230" s="159"/>
      <c r="EM230" s="159"/>
      <c r="EN230" s="159"/>
      <c r="EO230" s="159"/>
      <c r="EP230" s="159"/>
      <c r="EQ230" s="159"/>
      <c r="ER230" s="159"/>
      <c r="ES230" s="159"/>
      <c r="ET230" s="159"/>
      <c r="EU230" s="159"/>
      <c r="EV230" s="159"/>
      <c r="EW230" s="159"/>
      <c r="EX230" s="159"/>
      <c r="EY230" s="159"/>
      <c r="EZ230" s="159"/>
      <c r="FA230" s="159"/>
      <c r="FB230" s="159"/>
      <c r="FC230" s="159"/>
      <c r="FD230" s="159"/>
      <c r="FE230" s="159"/>
      <c r="FF230" s="159"/>
      <c r="FG230" s="159"/>
      <c r="FH230" s="159"/>
      <c r="FI230" s="159"/>
      <c r="FJ230" s="159"/>
      <c r="FK230" s="159"/>
      <c r="FL230" s="159"/>
      <c r="FM230" s="159"/>
      <c r="FN230" s="159"/>
      <c r="FO230" s="159"/>
      <c r="FP230" s="159"/>
      <c r="FQ230" s="159"/>
      <c r="FR230" s="159"/>
      <c r="FS230" s="159"/>
      <c r="FT230" s="159"/>
      <c r="FU230" s="159"/>
      <c r="FV230" s="159"/>
    </row>
    <row r="231" customFormat="false" ht="15" hidden="false" customHeight="true" outlineLevel="0" collapsed="false">
      <c r="A231" s="131" t="n">
        <v>1511</v>
      </c>
      <c r="B231" s="131" t="s">
        <v>44</v>
      </c>
      <c r="C231" s="132" t="s">
        <v>572</v>
      </c>
      <c r="D231" s="133" t="s">
        <v>572</v>
      </c>
      <c r="E231" s="134" t="n">
        <f aca="false">IF(I231="regional",IF(R231*0.2975,S231*0.3484),S231*0.1939)</f>
        <v>228462.9516</v>
      </c>
      <c r="F231" s="134" t="n">
        <v>0</v>
      </c>
      <c r="G231" s="135" t="n">
        <f aca="false">E231+F231</f>
        <v>228462.9516</v>
      </c>
      <c r="H231" s="132"/>
      <c r="I231" s="133" t="s">
        <v>48</v>
      </c>
      <c r="J231" s="133" t="s">
        <v>44</v>
      </c>
      <c r="K231" s="133" t="s">
        <v>574</v>
      </c>
      <c r="L231" s="133"/>
      <c r="M231" s="136" t="n">
        <v>102</v>
      </c>
      <c r="N231" s="136" t="n">
        <v>0.886</v>
      </c>
      <c r="O231" s="136" t="n">
        <v>0.915</v>
      </c>
      <c r="P231" s="136" t="n">
        <v>0.919</v>
      </c>
      <c r="Q231" s="136" t="n">
        <v>0.876</v>
      </c>
      <c r="R231" s="136" t="n">
        <v>743306</v>
      </c>
      <c r="S231" s="136" t="n">
        <v>655749</v>
      </c>
      <c r="T231" s="8" t="n">
        <f aca="false">IF(I231="regional",IF(R231&gt;0,R231*0.2975,S231*0.3484),S231*0.1939)</f>
        <v>221133.535</v>
      </c>
      <c r="U231" s="136" t="n">
        <v>389781</v>
      </c>
      <c r="V231" s="136" t="n">
        <v>265968</v>
      </c>
      <c r="W231" s="136" t="n">
        <v>3741</v>
      </c>
      <c r="X231" s="136" t="n">
        <v>0</v>
      </c>
      <c r="Y231" s="136" t="n">
        <v>0</v>
      </c>
      <c r="Z231" s="136" t="n">
        <v>0</v>
      </c>
      <c r="AA231" s="136" t="n">
        <v>876882.535</v>
      </c>
      <c r="AB231" s="136" t="n">
        <v>221133.535</v>
      </c>
      <c r="AC231" s="136" t="n">
        <v>655749</v>
      </c>
      <c r="AD231" s="136" t="n">
        <v>0</v>
      </c>
      <c r="AE231" s="136" t="n">
        <v>0</v>
      </c>
      <c r="AF231" s="136" t="n">
        <v>655749</v>
      </c>
      <c r="AG231" s="136" t="n">
        <v>0</v>
      </c>
      <c r="AH231" s="136" t="n">
        <v>1008000</v>
      </c>
      <c r="AI231" s="136" t="n">
        <v>895000</v>
      </c>
      <c r="AJ231" s="132" t="s">
        <v>707</v>
      </c>
      <c r="AK231" s="132" t="s">
        <v>708</v>
      </c>
      <c r="AL231" s="133" t="s">
        <v>48</v>
      </c>
      <c r="AM231" s="132"/>
      <c r="AN231" s="133" t="s">
        <v>572</v>
      </c>
      <c r="AO231" s="133" t="n">
        <v>221133.535</v>
      </c>
      <c r="AP231" s="137" t="n">
        <f aca="false">AR231+AT231+AU231+AV231+AX231+AY231+AZ231+BD231+BF231+BG231+BH231+BJ231+BK231+(BL231+BM231+BN231)/1000+(0.1*BO231)</f>
        <v>204.7604</v>
      </c>
      <c r="AQ231" s="137" t="n">
        <f aca="false">AR231+AT231+AU231+AV231+AX231+AY231+AZ231+BB231+BC231+BD231+BF231+BG231+BH231+BJ231+BK231+(BL231+BM231+BN231)/1000+(0.1*BO231)</f>
        <v>236.7604</v>
      </c>
      <c r="AR231" s="131" t="n">
        <v>78</v>
      </c>
      <c r="AS231" s="131" t="n">
        <v>895</v>
      </c>
      <c r="AT231" s="131" t="n">
        <v>60</v>
      </c>
      <c r="AU231" s="131" t="n">
        <v>9</v>
      </c>
      <c r="AV231" s="131" t="n">
        <v>0</v>
      </c>
      <c r="AW231" s="131" t="n">
        <v>0</v>
      </c>
      <c r="AX231" s="131" t="n">
        <v>0</v>
      </c>
      <c r="AY231" s="131" t="n">
        <v>0</v>
      </c>
      <c r="AZ231" s="131" t="n">
        <v>0</v>
      </c>
      <c r="BA231" s="131" t="n">
        <v>13</v>
      </c>
      <c r="BB231" s="131" t="n">
        <v>32</v>
      </c>
      <c r="BC231" s="131" t="n">
        <v>0</v>
      </c>
      <c r="BD231" s="131" t="n">
        <v>0</v>
      </c>
      <c r="BE231" s="131" t="n">
        <v>0</v>
      </c>
      <c r="BF231" s="131" t="n">
        <v>0</v>
      </c>
      <c r="BG231" s="131" t="n">
        <v>0</v>
      </c>
      <c r="BH231" s="131" t="n">
        <v>0</v>
      </c>
      <c r="BI231" s="131" t="n">
        <v>0</v>
      </c>
      <c r="BJ231" s="131" t="n">
        <v>0</v>
      </c>
      <c r="BK231" s="131" t="n">
        <v>0</v>
      </c>
      <c r="BL231" s="131" t="n">
        <v>8500</v>
      </c>
      <c r="BM231" s="131" t="n">
        <v>0</v>
      </c>
      <c r="BN231" s="131" t="n">
        <v>3597</v>
      </c>
      <c r="BO231" s="131" t="n">
        <v>456.634</v>
      </c>
    </row>
    <row r="232" customFormat="false" ht="15" hidden="false" customHeight="true" outlineLevel="0" collapsed="false">
      <c r="A232" s="151" t="n">
        <v>4775</v>
      </c>
      <c r="B232" s="151"/>
      <c r="C232" s="152" t="s">
        <v>575</v>
      </c>
      <c r="D232" s="133" t="s">
        <v>575</v>
      </c>
      <c r="E232" s="134" t="n">
        <f aca="false">IF(I232="regional",IF(R232*0.2975,S232*0.3484),S232*0.1939)</f>
        <v>0</v>
      </c>
      <c r="F232" s="134" t="n">
        <v>0</v>
      </c>
      <c r="G232" s="135" t="n">
        <f aca="false">E232+F232</f>
        <v>0</v>
      </c>
      <c r="H232" s="139" t="s">
        <v>49</v>
      </c>
      <c r="I232" s="140" t="s">
        <v>48</v>
      </c>
      <c r="J232" s="133"/>
      <c r="K232" s="133" t="s">
        <v>43</v>
      </c>
      <c r="L232" s="133"/>
      <c r="M232" s="136" t="n">
        <v>0</v>
      </c>
      <c r="N232" s="136" t="n">
        <v>0</v>
      </c>
      <c r="O232" s="136" t="n">
        <v>0</v>
      </c>
      <c r="P232" s="136" t="n">
        <v>0</v>
      </c>
      <c r="Q232" s="136" t="n">
        <v>0</v>
      </c>
      <c r="R232" s="142" t="n">
        <v>560732</v>
      </c>
      <c r="S232" s="136" t="n">
        <v>0</v>
      </c>
      <c r="T232" s="8" t="n">
        <f aca="false">IF(I232="regional",IF(R232&gt;0,R232*0.2975,S232*0.3484),S232*0.1939)</f>
        <v>166817.77</v>
      </c>
      <c r="U232" s="136" t="n">
        <v>0</v>
      </c>
      <c r="V232" s="136" t="n">
        <v>0</v>
      </c>
      <c r="W232" s="136" t="n">
        <v>0</v>
      </c>
      <c r="X232" s="136" t="n">
        <v>0</v>
      </c>
      <c r="Y232" s="136" t="n">
        <v>0</v>
      </c>
      <c r="Z232" s="136" t="n">
        <v>0</v>
      </c>
      <c r="AA232" s="136" t="n">
        <v>0</v>
      </c>
      <c r="AB232" s="136" t="n">
        <v>0</v>
      </c>
      <c r="AC232" s="136" t="n">
        <v>0</v>
      </c>
      <c r="AD232" s="136" t="n">
        <v>0</v>
      </c>
      <c r="AE232" s="136" t="n">
        <v>0</v>
      </c>
      <c r="AF232" s="136" t="n">
        <v>0</v>
      </c>
      <c r="AG232" s="136" t="n">
        <v>0</v>
      </c>
      <c r="AH232" s="136" t="n">
        <v>0</v>
      </c>
      <c r="AI232" s="136" t="n">
        <v>0</v>
      </c>
      <c r="AJ232" s="139" t="s">
        <v>707</v>
      </c>
      <c r="AK232" s="139" t="s">
        <v>712</v>
      </c>
      <c r="AL232" s="154" t="s">
        <v>48</v>
      </c>
      <c r="AM232" s="139" t="s">
        <v>49</v>
      </c>
      <c r="AN232" s="153" t="s">
        <v>575</v>
      </c>
      <c r="AO232" s="154" t="n">
        <v>0</v>
      </c>
      <c r="AP232" s="155" t="n">
        <v>0</v>
      </c>
      <c r="AQ232" s="137" t="n">
        <f aca="false">AR232+AT232+AU232+AV232+AX232+AY232+AZ232+BB232+BC232+BD232+BF232+BG232+BH232+BJ232+BK232+(BL232+BM232+BN232)/1000+(0.1*BO232)</f>
        <v>134.3887</v>
      </c>
      <c r="AR232" s="156" t="n">
        <v>0</v>
      </c>
      <c r="AS232" s="156" t="n">
        <v>0</v>
      </c>
      <c r="AT232" s="156" t="n">
        <v>110</v>
      </c>
      <c r="AU232" s="156" t="n">
        <v>4</v>
      </c>
      <c r="AV232" s="156" t="n">
        <v>0</v>
      </c>
      <c r="AW232" s="156" t="n">
        <v>0</v>
      </c>
      <c r="AX232" s="156" t="n">
        <v>3</v>
      </c>
      <c r="AY232" s="156" t="n">
        <v>1</v>
      </c>
      <c r="AZ232" s="156" t="n">
        <v>0</v>
      </c>
      <c r="BA232" s="156" t="n">
        <v>61</v>
      </c>
      <c r="BB232" s="156" t="n">
        <v>6</v>
      </c>
      <c r="BC232" s="156" t="n">
        <v>0</v>
      </c>
      <c r="BD232" s="156" t="n">
        <v>0</v>
      </c>
      <c r="BE232" s="156" t="n">
        <v>0</v>
      </c>
      <c r="BF232" s="156" t="n">
        <v>0</v>
      </c>
      <c r="BG232" s="156" t="n">
        <v>0</v>
      </c>
      <c r="BH232" s="156" t="n">
        <v>0</v>
      </c>
      <c r="BI232" s="156" t="n">
        <v>0</v>
      </c>
      <c r="BJ232" s="156" t="n">
        <v>0</v>
      </c>
      <c r="BK232" s="156" t="n">
        <v>0</v>
      </c>
      <c r="BL232" s="164" t="n">
        <v>0</v>
      </c>
      <c r="BM232" s="164" t="n">
        <v>0</v>
      </c>
      <c r="BN232" s="164" t="n">
        <v>9000</v>
      </c>
      <c r="BO232" s="138" t="n">
        <v>13.887</v>
      </c>
    </row>
    <row r="233" customFormat="false" ht="15" hidden="false" customHeight="true" outlineLevel="0" collapsed="false">
      <c r="A233" s="131" t="n">
        <v>4316</v>
      </c>
      <c r="B233" s="131"/>
      <c r="C233" s="132" t="s">
        <v>576</v>
      </c>
      <c r="D233" s="133" t="s">
        <v>576</v>
      </c>
      <c r="E233" s="134" t="n">
        <f aca="false">IF(I233="regional",IF(R233*0.2975,S233*0.3484),S233*0.1939)</f>
        <v>95345.0897</v>
      </c>
      <c r="F233" s="134" t="n">
        <v>0</v>
      </c>
      <c r="G233" s="135" t="n">
        <f aca="false">E233+F233</f>
        <v>95345.0897</v>
      </c>
      <c r="H233" s="132" t="s">
        <v>49</v>
      </c>
      <c r="I233" s="133" t="s">
        <v>62</v>
      </c>
      <c r="J233" s="133"/>
      <c r="K233" s="133" t="s">
        <v>170</v>
      </c>
      <c r="L233" s="133"/>
      <c r="M233" s="136" t="n">
        <v>26</v>
      </c>
      <c r="N233" s="136" t="n">
        <v>0.979</v>
      </c>
      <c r="O233" s="136" t="n">
        <v>0.988</v>
      </c>
      <c r="P233" s="136" t="n">
        <v>1</v>
      </c>
      <c r="Q233" s="136" t="n">
        <v>0.964</v>
      </c>
      <c r="R233" s="136" t="n">
        <v>0</v>
      </c>
      <c r="S233" s="136" t="n">
        <v>491723</v>
      </c>
      <c r="T233" s="8" t="n">
        <f aca="false">IF(I233="regional",IF(R233&gt;0,R233*0.2975,S233*0.3484),S233*0.1939)</f>
        <v>95345.0897</v>
      </c>
      <c r="U233" s="136" t="n">
        <v>356418</v>
      </c>
      <c r="V233" s="136" t="n">
        <v>135305</v>
      </c>
      <c r="W233" s="136" t="n">
        <v>1626</v>
      </c>
      <c r="X233" s="136" t="n">
        <v>0</v>
      </c>
      <c r="Y233" s="136" t="n">
        <v>0</v>
      </c>
      <c r="Z233" s="136" t="n">
        <v>0</v>
      </c>
      <c r="AA233" s="136" t="n">
        <v>587068.0897</v>
      </c>
      <c r="AB233" s="136" t="n">
        <v>95345.0897</v>
      </c>
      <c r="AC233" s="136" t="n">
        <v>491723</v>
      </c>
      <c r="AD233" s="136" t="n">
        <v>0</v>
      </c>
      <c r="AE233" s="136" t="n">
        <v>0</v>
      </c>
      <c r="AF233" s="136" t="n">
        <v>0</v>
      </c>
      <c r="AG233" s="136" t="n">
        <v>491723</v>
      </c>
      <c r="AH233" s="136" t="n">
        <v>0</v>
      </c>
      <c r="AI233" s="136" t="n">
        <v>0</v>
      </c>
      <c r="AJ233" s="132" t="n">
        <v>4</v>
      </c>
      <c r="AK233" s="132" t="s">
        <v>720</v>
      </c>
      <c r="AL233" s="133" t="s">
        <v>62</v>
      </c>
      <c r="AM233" s="132" t="s">
        <v>49</v>
      </c>
      <c r="AN233" s="133" t="s">
        <v>576</v>
      </c>
      <c r="AO233" s="133" t="n">
        <v>95345.0897</v>
      </c>
      <c r="AP233" s="137" t="n">
        <f aca="false">AR233+AT233+AU233+AV233+AX233+AY233+AZ233+BD233+BF233+BG233+BH233+BJ233+BK233+(BL233+BM233+BN233)/1000+(0.1*BO233)</f>
        <v>25</v>
      </c>
      <c r="AQ233" s="137" t="n">
        <f aca="false">AR233+AT233+AU233+AV233+AX233+AY233+AZ233+BB233+BC233+BD233+BF233+BG233+BH233+BJ233+BK233+(BL233+BM233+BN233)/1000+(0.1*BO233)</f>
        <v>25</v>
      </c>
      <c r="AR233" s="131" t="n">
        <v>0</v>
      </c>
      <c r="AS233" s="131" t="n">
        <v>0</v>
      </c>
      <c r="AT233" s="131" t="n">
        <v>24</v>
      </c>
      <c r="AU233" s="131" t="n">
        <v>0</v>
      </c>
      <c r="AV233" s="131" t="n">
        <v>0</v>
      </c>
      <c r="AW233" s="131" t="n">
        <v>0</v>
      </c>
      <c r="AX233" s="131" t="n">
        <v>0</v>
      </c>
      <c r="AY233" s="131" t="n">
        <v>1</v>
      </c>
      <c r="AZ233" s="131" t="n">
        <v>0</v>
      </c>
      <c r="BA233" s="131" t="n">
        <v>8</v>
      </c>
      <c r="BB233" s="131" t="n">
        <v>0</v>
      </c>
      <c r="BC233" s="131" t="n">
        <v>0</v>
      </c>
      <c r="BD233" s="131" t="n">
        <v>0</v>
      </c>
      <c r="BE233" s="131" t="n">
        <v>0</v>
      </c>
      <c r="BF233" s="131" t="n">
        <v>0</v>
      </c>
      <c r="BG233" s="131" t="n">
        <v>0</v>
      </c>
      <c r="BH233" s="131" t="n">
        <v>0</v>
      </c>
      <c r="BI233" s="131" t="n">
        <v>0</v>
      </c>
      <c r="BJ233" s="131" t="n">
        <v>0</v>
      </c>
      <c r="BK233" s="131" t="n">
        <v>0</v>
      </c>
      <c r="BL233" s="131" t="n">
        <v>0</v>
      </c>
      <c r="BM233" s="131" t="n">
        <v>0</v>
      </c>
      <c r="BN233" s="131" t="n">
        <v>0</v>
      </c>
      <c r="BO233" s="131" t="n">
        <v>0</v>
      </c>
    </row>
    <row r="234" customFormat="false" ht="15" hidden="false" customHeight="true" outlineLevel="0" collapsed="false">
      <c r="A234" s="131" t="n">
        <v>9270</v>
      </c>
      <c r="B234" s="131" t="s">
        <v>44</v>
      </c>
      <c r="C234" s="132" t="s">
        <v>578</v>
      </c>
      <c r="D234" s="133" t="s">
        <v>578</v>
      </c>
      <c r="E234" s="134" t="n">
        <f aca="false">IF(I234="regional",IF(R234*0.2975,S234*0.3484),S234*0.1939)</f>
        <v>274441.9964</v>
      </c>
      <c r="F234" s="134" t="n">
        <v>0</v>
      </c>
      <c r="G234" s="135" t="n">
        <f aca="false">E234+F234</f>
        <v>274441.9964</v>
      </c>
      <c r="H234" s="132"/>
      <c r="I234" s="133" t="s">
        <v>48</v>
      </c>
      <c r="J234" s="133" t="s">
        <v>44</v>
      </c>
      <c r="K234" s="133" t="s">
        <v>579</v>
      </c>
      <c r="L234" s="133"/>
      <c r="M234" s="136" t="n">
        <v>115</v>
      </c>
      <c r="N234" s="136" t="n">
        <v>0.832</v>
      </c>
      <c r="O234" s="136" t="n">
        <v>0.832</v>
      </c>
      <c r="P234" s="136" t="n">
        <v>0.813</v>
      </c>
      <c r="Q234" s="136" t="n">
        <v>0.768</v>
      </c>
      <c r="R234" s="136" t="n">
        <v>922805</v>
      </c>
      <c r="S234" s="136" t="n">
        <v>787721</v>
      </c>
      <c r="T234" s="8" t="n">
        <f aca="false">IF(I234="regional",IF(R234&gt;0,R234*0.2975,S234*0.3484),S234*0.1939)</f>
        <v>274534.4875</v>
      </c>
      <c r="U234" s="136" t="n">
        <v>506639</v>
      </c>
      <c r="V234" s="136" t="n">
        <v>281082</v>
      </c>
      <c r="W234" s="136" t="n">
        <v>4060</v>
      </c>
      <c r="X234" s="136" t="n">
        <v>0</v>
      </c>
      <c r="Y234" s="136" t="n">
        <v>0</v>
      </c>
      <c r="Z234" s="136" t="n">
        <v>0</v>
      </c>
      <c r="AA234" s="136" t="n">
        <v>1062255.488</v>
      </c>
      <c r="AB234" s="136" t="n">
        <v>274534.4875</v>
      </c>
      <c r="AC234" s="136" t="n">
        <v>787721</v>
      </c>
      <c r="AD234" s="136" t="n">
        <v>0</v>
      </c>
      <c r="AE234" s="136" t="n">
        <v>0</v>
      </c>
      <c r="AF234" s="136" t="n">
        <v>787721</v>
      </c>
      <c r="AG234" s="136" t="n">
        <v>0</v>
      </c>
      <c r="AH234" s="136" t="n">
        <v>688000</v>
      </c>
      <c r="AI234" s="136" t="n">
        <v>314000</v>
      </c>
      <c r="AJ234" s="132" t="s">
        <v>707</v>
      </c>
      <c r="AK234" s="132" t="s">
        <v>712</v>
      </c>
      <c r="AL234" s="133" t="s">
        <v>48</v>
      </c>
      <c r="AM234" s="132"/>
      <c r="AN234" s="133" t="s">
        <v>578</v>
      </c>
      <c r="AO234" s="133" t="n">
        <v>274534.4875</v>
      </c>
      <c r="AP234" s="137" t="n">
        <f aca="false">AR234+AT234+AU234+AV234+AX234+AY234+AZ234+BD234+BF234+BG234+BH234+BJ234+BK234+(BL234+BM234+BN234)/1000+(0.1*BO234)</f>
        <v>406.767</v>
      </c>
      <c r="AQ234" s="137" t="n">
        <f aca="false">AR234+AT234+AU234+AV234+AX234+AY234+AZ234+BB234+BC234+BD234+BF234+BG234+BH234+BJ234+BK234+(BL234+BM234+BN234)/1000+(0.1*BO234)</f>
        <v>429.767</v>
      </c>
      <c r="AR234" s="131" t="n">
        <v>4</v>
      </c>
      <c r="AS234" s="131" t="n">
        <v>314</v>
      </c>
      <c r="AT234" s="131" t="n">
        <v>240</v>
      </c>
      <c r="AU234" s="131" t="n">
        <v>66</v>
      </c>
      <c r="AV234" s="131" t="n">
        <v>0</v>
      </c>
      <c r="AW234" s="131" t="n">
        <v>0</v>
      </c>
      <c r="AX234" s="131" t="n">
        <v>2</v>
      </c>
      <c r="AY234" s="131" t="n">
        <v>0</v>
      </c>
      <c r="AZ234" s="131" t="n">
        <v>0</v>
      </c>
      <c r="BA234" s="131" t="n">
        <v>0</v>
      </c>
      <c r="BB234" s="131" t="n">
        <v>23</v>
      </c>
      <c r="BC234" s="131" t="n">
        <v>0</v>
      </c>
      <c r="BD234" s="131" t="n">
        <v>21</v>
      </c>
      <c r="BE234" s="131" t="n">
        <v>0</v>
      </c>
      <c r="BF234" s="131" t="n">
        <v>0</v>
      </c>
      <c r="BG234" s="131" t="n">
        <v>0</v>
      </c>
      <c r="BH234" s="131" t="n">
        <v>0</v>
      </c>
      <c r="BI234" s="131" t="n">
        <v>0</v>
      </c>
      <c r="BJ234" s="131" t="n">
        <v>0</v>
      </c>
      <c r="BK234" s="131" t="n">
        <v>0</v>
      </c>
      <c r="BL234" s="131" t="n">
        <v>0</v>
      </c>
      <c r="BM234" s="131" t="n">
        <v>0</v>
      </c>
      <c r="BN234" s="131" t="n">
        <v>4735</v>
      </c>
      <c r="BO234" s="131" t="n">
        <v>690.32</v>
      </c>
    </row>
    <row r="235" customFormat="false" ht="15" hidden="false" customHeight="true" outlineLevel="0" collapsed="false">
      <c r="A235" s="131" t="n">
        <v>1582</v>
      </c>
      <c r="B235" s="131"/>
      <c r="C235" s="132" t="s">
        <v>580</v>
      </c>
      <c r="D235" s="133" t="s">
        <v>580</v>
      </c>
      <c r="E235" s="134" t="n">
        <f aca="false">IF(I235="regional",IF(R235*0.2975,S235*0.3484),S235*0.1939)</f>
        <v>23199.7472</v>
      </c>
      <c r="F235" s="134" t="n">
        <v>0</v>
      </c>
      <c r="G235" s="135" t="n">
        <f aca="false">E235+F235</f>
        <v>23199.7472</v>
      </c>
      <c r="H235" s="132"/>
      <c r="I235" s="133" t="s">
        <v>62</v>
      </c>
      <c r="J235" s="133"/>
      <c r="K235" s="133" t="s">
        <v>170</v>
      </c>
      <c r="L235" s="133"/>
      <c r="M235" s="136" t="n">
        <v>4</v>
      </c>
      <c r="N235" s="136" t="n">
        <v>0.986</v>
      </c>
      <c r="O235" s="136" t="n">
        <v>0.986</v>
      </c>
      <c r="P235" s="136" t="n">
        <v>0.986</v>
      </c>
      <c r="Q235" s="136" t="n">
        <v>0.962</v>
      </c>
      <c r="R235" s="136" t="n">
        <v>0</v>
      </c>
      <c r="S235" s="136" t="n">
        <v>119648</v>
      </c>
      <c r="T235" s="8" t="n">
        <f aca="false">IF(I235="regional",IF(R235&gt;0,R235*0.2975,S235*0.3484),S235*0.1939)</f>
        <v>23199.7472</v>
      </c>
      <c r="U235" s="136" t="n">
        <v>109388</v>
      </c>
      <c r="V235" s="136" t="n">
        <v>10260</v>
      </c>
      <c r="W235" s="136" t="n">
        <v>600</v>
      </c>
      <c r="X235" s="136" t="n">
        <v>0</v>
      </c>
      <c r="Y235" s="136" t="n">
        <v>0</v>
      </c>
      <c r="Z235" s="136" t="n">
        <v>0</v>
      </c>
      <c r="AA235" s="136" t="n">
        <v>142847.7472</v>
      </c>
      <c r="AB235" s="136" t="n">
        <v>23199.7472</v>
      </c>
      <c r="AC235" s="136" t="n">
        <v>119648</v>
      </c>
      <c r="AD235" s="136" t="n">
        <v>0</v>
      </c>
      <c r="AE235" s="136" t="n">
        <v>0</v>
      </c>
      <c r="AF235" s="136" t="n">
        <v>0</v>
      </c>
      <c r="AG235" s="136" t="n">
        <v>119648</v>
      </c>
      <c r="AH235" s="136" t="n">
        <v>0</v>
      </c>
      <c r="AI235" s="136" t="n">
        <v>0</v>
      </c>
      <c r="AJ235" s="132" t="n">
        <v>4</v>
      </c>
      <c r="AK235" s="132" t="s">
        <v>720</v>
      </c>
      <c r="AL235" s="133" t="s">
        <v>62</v>
      </c>
      <c r="AM235" s="132"/>
      <c r="AN235" s="133" t="s">
        <v>580</v>
      </c>
      <c r="AO235" s="133" t="n">
        <v>23199.7472</v>
      </c>
      <c r="AP235" s="137" t="n">
        <f aca="false">AR235+AT235+AU235+AV235+AX235+AY235+AZ235+BD235+BF235+BG235+BH235+BJ235+BK235+(BL235+BM235+BN235)/1000+(0.1*BO235)</f>
        <v>8.4447</v>
      </c>
      <c r="AQ235" s="137" t="n">
        <f aca="false">AR235+AT235+AU235+AV235+AX235+AY235+AZ235+BB235+BC235+BD235+BF235+BG235+BH235+BJ235+BK235+(BL235+BM235+BN235)/1000+(0.1*BO235)</f>
        <v>8.4447</v>
      </c>
      <c r="AR235" s="131" t="n">
        <v>0</v>
      </c>
      <c r="AS235" s="131" t="n">
        <v>0</v>
      </c>
      <c r="AT235" s="131" t="n">
        <v>6</v>
      </c>
      <c r="AU235" s="131" t="n">
        <v>0</v>
      </c>
      <c r="AV235" s="131" t="n">
        <v>0</v>
      </c>
      <c r="AW235" s="131" t="n">
        <v>0</v>
      </c>
      <c r="AX235" s="131" t="n">
        <v>0</v>
      </c>
      <c r="AY235" s="131" t="n">
        <v>1</v>
      </c>
      <c r="AZ235" s="131" t="n">
        <v>0</v>
      </c>
      <c r="BA235" s="131" t="n">
        <v>0</v>
      </c>
      <c r="BB235" s="131" t="n">
        <v>0</v>
      </c>
      <c r="BC235" s="131" t="n">
        <v>0</v>
      </c>
      <c r="BD235" s="131" t="n">
        <v>0</v>
      </c>
      <c r="BE235" s="131" t="n">
        <v>0</v>
      </c>
      <c r="BF235" s="131" t="n">
        <v>0</v>
      </c>
      <c r="BG235" s="131" t="n">
        <v>0</v>
      </c>
      <c r="BH235" s="131" t="n">
        <v>0</v>
      </c>
      <c r="BI235" s="131" t="n">
        <v>0</v>
      </c>
      <c r="BJ235" s="131" t="n">
        <v>0</v>
      </c>
      <c r="BK235" s="131" t="n">
        <v>0</v>
      </c>
      <c r="BL235" s="131" t="n">
        <v>0</v>
      </c>
      <c r="BM235" s="131" t="n">
        <v>0</v>
      </c>
      <c r="BN235" s="131" t="n">
        <v>0</v>
      </c>
      <c r="BO235" s="131" t="n">
        <v>14.447</v>
      </c>
    </row>
    <row r="236" customFormat="false" ht="15" hidden="false" customHeight="true" outlineLevel="0" collapsed="false">
      <c r="A236" s="131" t="n">
        <v>4841</v>
      </c>
      <c r="B236" s="131"/>
      <c r="C236" s="132" t="s">
        <v>582</v>
      </c>
      <c r="D236" s="133" t="s">
        <v>582</v>
      </c>
      <c r="E236" s="134" t="n">
        <f aca="false">IF(I236="regional",IF(R236*0.2975,S236*0.3484),S236*0.1939)</f>
        <v>336206</v>
      </c>
      <c r="F236" s="134" t="n">
        <v>0</v>
      </c>
      <c r="G236" s="135" t="n">
        <f aca="false">E236+F236</f>
        <v>336206</v>
      </c>
      <c r="H236" s="132" t="s">
        <v>49</v>
      </c>
      <c r="I236" s="133" t="s">
        <v>48</v>
      </c>
      <c r="J236" s="133" t="s">
        <v>49</v>
      </c>
      <c r="K236" s="133" t="s">
        <v>490</v>
      </c>
      <c r="L236" s="133"/>
      <c r="M236" s="136" t="n">
        <v>106</v>
      </c>
      <c r="N236" s="136" t="n">
        <v>0.809</v>
      </c>
      <c r="O236" s="136" t="n">
        <v>0.836</v>
      </c>
      <c r="P236" s="136" t="n">
        <v>0.925</v>
      </c>
      <c r="Q236" s="136" t="n">
        <v>0.952</v>
      </c>
      <c r="R236" s="136" t="n">
        <v>771000</v>
      </c>
      <c r="S236" s="136" t="n">
        <v>965000</v>
      </c>
      <c r="T236" s="8" t="n">
        <f aca="false">IF(I236="regional",IF(R236&gt;0,R236*0.2975,S236*0.3484),S236*0.1939)</f>
        <v>229372.5</v>
      </c>
      <c r="U236" s="136" t="n">
        <v>771000</v>
      </c>
      <c r="V236" s="136" t="n">
        <v>194000</v>
      </c>
      <c r="W236" s="136" t="n">
        <v>5043</v>
      </c>
      <c r="X236" s="136" t="n">
        <v>0</v>
      </c>
      <c r="Y236" s="136" t="n">
        <v>0</v>
      </c>
      <c r="Z236" s="136" t="n">
        <v>0</v>
      </c>
      <c r="AA236" s="136" t="n">
        <v>1194372.5</v>
      </c>
      <c r="AB236" s="136" t="n">
        <v>229372.5</v>
      </c>
      <c r="AC236" s="136" t="n">
        <v>965000</v>
      </c>
      <c r="AD236" s="136" t="n">
        <v>0</v>
      </c>
      <c r="AE236" s="136" t="n">
        <v>0</v>
      </c>
      <c r="AF236" s="136" t="n">
        <v>0</v>
      </c>
      <c r="AG236" s="136" t="n">
        <v>965000</v>
      </c>
      <c r="AH236" s="136" t="n">
        <v>0</v>
      </c>
      <c r="AI236" s="136" t="n">
        <v>0</v>
      </c>
      <c r="AJ236" s="132" t="n">
        <v>4</v>
      </c>
      <c r="AK236" s="132" t="s">
        <v>724</v>
      </c>
      <c r="AL236" s="133" t="s">
        <v>48</v>
      </c>
      <c r="AM236" s="132" t="s">
        <v>49</v>
      </c>
      <c r="AN236" s="133" t="s">
        <v>582</v>
      </c>
      <c r="AO236" s="133" t="n">
        <v>229372.5</v>
      </c>
      <c r="AP236" s="137" t="n">
        <f aca="false">AR236+AT236+AU236+AV236+AX236+AY236+AZ236+BD236+BF236+BG236+BH236+BJ236+BK236+(BL236+BM236+BN236)/1000+(0.1*BO236)</f>
        <v>348.138</v>
      </c>
      <c r="AQ236" s="137" t="n">
        <f aca="false">AR236+AT236+AU236+AV236+AX236+AY236+AZ236+BB236+BC236+BD236+BF236+BG236+BH236+BJ236+BK236+(BL236+BM236+BN236)/1000+(0.1*BO236)</f>
        <v>360.138</v>
      </c>
      <c r="AR236" s="131" t="n">
        <v>0</v>
      </c>
      <c r="AS236" s="131" t="n">
        <v>0</v>
      </c>
      <c r="AT236" s="131" t="n">
        <v>191</v>
      </c>
      <c r="AU236" s="131" t="n">
        <v>13</v>
      </c>
      <c r="AV236" s="131" t="n">
        <v>0</v>
      </c>
      <c r="AW236" s="131" t="n">
        <v>0</v>
      </c>
      <c r="AX236" s="131" t="n">
        <v>33</v>
      </c>
      <c r="AY236" s="131" t="n">
        <v>0</v>
      </c>
      <c r="AZ236" s="131" t="n">
        <v>0</v>
      </c>
      <c r="BA236" s="131" t="n">
        <v>62</v>
      </c>
      <c r="BB236" s="131" t="n">
        <v>12</v>
      </c>
      <c r="BC236" s="131" t="n">
        <v>0</v>
      </c>
      <c r="BD236" s="131" t="n">
        <v>0</v>
      </c>
      <c r="BE236" s="131" t="n">
        <v>1</v>
      </c>
      <c r="BF236" s="131" t="n">
        <v>0</v>
      </c>
      <c r="BG236" s="131" t="n">
        <v>0</v>
      </c>
      <c r="BH236" s="131" t="n">
        <v>0</v>
      </c>
      <c r="BI236" s="131" t="n">
        <v>0</v>
      </c>
      <c r="BJ236" s="131" t="n">
        <v>0</v>
      </c>
      <c r="BK236" s="131" t="n">
        <v>0</v>
      </c>
      <c r="BL236" s="131" t="n">
        <v>111138</v>
      </c>
      <c r="BM236" s="131" t="n">
        <v>0</v>
      </c>
      <c r="BN236" s="131" t="n">
        <v>0</v>
      </c>
      <c r="BO236" s="131" t="n">
        <v>0</v>
      </c>
    </row>
    <row r="237" customFormat="false" ht="15" hidden="false" customHeight="true" outlineLevel="0" collapsed="false">
      <c r="A237" s="131" t="n">
        <v>9774</v>
      </c>
      <c r="B237" s="131"/>
      <c r="C237" s="132" t="s">
        <v>584</v>
      </c>
      <c r="D237" s="133" t="s">
        <v>584</v>
      </c>
      <c r="E237" s="134" t="n">
        <f aca="false">IF(I237="regional",IF(R237*0.2975,S237*0.3484),S237*0.1939)</f>
        <v>9753.5578</v>
      </c>
      <c r="F237" s="134" t="n">
        <v>0</v>
      </c>
      <c r="G237" s="135" t="n">
        <f aca="false">E237+F237</f>
        <v>9753.5578</v>
      </c>
      <c r="H237" s="132" t="s">
        <v>44</v>
      </c>
      <c r="I237" s="133" t="s">
        <v>62</v>
      </c>
      <c r="J237" s="133"/>
      <c r="K237" s="133" t="s">
        <v>585</v>
      </c>
      <c r="L237" s="133"/>
      <c r="M237" s="136" t="n">
        <v>8</v>
      </c>
      <c r="N237" s="136" t="n">
        <v>0.811</v>
      </c>
      <c r="O237" s="136" t="n">
        <v>0.811</v>
      </c>
      <c r="P237" s="136" t="n">
        <v>0.953</v>
      </c>
      <c r="Q237" s="136" t="n">
        <v>0.912</v>
      </c>
      <c r="R237" s="136" t="n">
        <v>0</v>
      </c>
      <c r="S237" s="136" t="n">
        <v>50302</v>
      </c>
      <c r="T237" s="8" t="n">
        <f aca="false">IF(I237="regional",IF(R237&gt;0,R237*0.2975,S237*0.3484),S237*0.1939)</f>
        <v>9753.5578</v>
      </c>
      <c r="U237" s="136" t="n">
        <v>21500</v>
      </c>
      <c r="V237" s="136" t="n">
        <v>28802</v>
      </c>
      <c r="W237" s="136" t="n">
        <v>250</v>
      </c>
      <c r="X237" s="136" t="n">
        <v>0</v>
      </c>
      <c r="Y237" s="136" t="n">
        <v>0</v>
      </c>
      <c r="Z237" s="136" t="n">
        <v>0</v>
      </c>
      <c r="AA237" s="136" t="n">
        <v>60055.5578</v>
      </c>
      <c r="AB237" s="136" t="n">
        <v>9753.5578</v>
      </c>
      <c r="AC237" s="136" t="n">
        <v>50302</v>
      </c>
      <c r="AD237" s="136" t="n">
        <v>0</v>
      </c>
      <c r="AE237" s="136" t="n">
        <v>0</v>
      </c>
      <c r="AF237" s="136" t="n">
        <v>0</v>
      </c>
      <c r="AG237" s="136" t="n">
        <v>50302</v>
      </c>
      <c r="AH237" s="136" t="n">
        <v>0</v>
      </c>
      <c r="AI237" s="136" t="n">
        <v>0</v>
      </c>
      <c r="AJ237" s="132" t="n">
        <v>4</v>
      </c>
      <c r="AK237" s="132" t="s">
        <v>720</v>
      </c>
      <c r="AL237" s="133" t="s">
        <v>62</v>
      </c>
      <c r="AM237" s="132"/>
      <c r="AN237" s="133" t="s">
        <v>584</v>
      </c>
      <c r="AO237" s="133" t="n">
        <v>9753.5578</v>
      </c>
      <c r="AP237" s="137" t="n">
        <f aca="false">AR237+AT237+AU237+AV237+AX237+AY237+AZ237+BD237+BF237+BG237+BH237+BJ237+BK237+(BL237+BM237+BN237)/1000+(0.1*BO237)</f>
        <v>0</v>
      </c>
      <c r="AQ237" s="137" t="n">
        <f aca="false">AR237+AT237+AU237+AV237+AX237+AY237+AZ237+BB237+BC237+BD237+BF237+BG237+BH237+BJ237+BK237+(BL237+BM237+BN237)/1000+(0.1*BO237)</f>
        <v>0</v>
      </c>
      <c r="AR237" s="131" t="n">
        <v>0</v>
      </c>
      <c r="AS237" s="131" t="n">
        <v>0</v>
      </c>
      <c r="AT237" s="131" t="n">
        <v>0</v>
      </c>
      <c r="AU237" s="131" t="n">
        <v>0</v>
      </c>
      <c r="AV237" s="131" t="n">
        <v>0</v>
      </c>
      <c r="AW237" s="131" t="n">
        <v>0</v>
      </c>
      <c r="AX237" s="131" t="n">
        <v>0</v>
      </c>
      <c r="AY237" s="131" t="n">
        <v>0</v>
      </c>
      <c r="AZ237" s="131" t="n">
        <v>0</v>
      </c>
      <c r="BA237" s="131" t="n">
        <v>0</v>
      </c>
      <c r="BB237" s="131" t="n">
        <v>0</v>
      </c>
      <c r="BC237" s="131" t="n">
        <v>0</v>
      </c>
      <c r="BD237" s="131" t="n">
        <v>0</v>
      </c>
      <c r="BE237" s="131" t="n">
        <v>0</v>
      </c>
      <c r="BF237" s="131" t="n">
        <v>0</v>
      </c>
      <c r="BG237" s="131" t="n">
        <v>0</v>
      </c>
      <c r="BH237" s="131" t="n">
        <v>0</v>
      </c>
      <c r="BI237" s="131" t="n">
        <v>0</v>
      </c>
      <c r="BJ237" s="131" t="n">
        <v>0</v>
      </c>
      <c r="BK237" s="131" t="n">
        <v>0</v>
      </c>
      <c r="BL237" s="131" t="n">
        <v>0</v>
      </c>
      <c r="BM237" s="131" t="n">
        <v>0</v>
      </c>
      <c r="BN237" s="131" t="n">
        <v>0</v>
      </c>
      <c r="BO237" s="131" t="n">
        <v>0</v>
      </c>
    </row>
    <row r="238" customFormat="false" ht="15" hidden="false" customHeight="true" outlineLevel="0" collapsed="false">
      <c r="A238" s="131" t="n">
        <v>9773</v>
      </c>
      <c r="B238" s="131"/>
      <c r="C238" s="132" t="s">
        <v>586</v>
      </c>
      <c r="D238" s="133" t="s">
        <v>586</v>
      </c>
      <c r="E238" s="134" t="n">
        <f aca="false">IF(I238="regional",IF(R238*0.2975,S238*0.3484),S238*0.1939)</f>
        <v>415536.68</v>
      </c>
      <c r="F238" s="134" t="n">
        <v>0</v>
      </c>
      <c r="G238" s="135" t="n">
        <f aca="false">E238+F238</f>
        <v>415536.68</v>
      </c>
      <c r="H238" s="132"/>
      <c r="I238" s="133" t="s">
        <v>48</v>
      </c>
      <c r="J238" s="133" t="s">
        <v>49</v>
      </c>
      <c r="K238" s="133" t="s">
        <v>585</v>
      </c>
      <c r="L238" s="133"/>
      <c r="M238" s="136" t="n">
        <v>134</v>
      </c>
      <c r="N238" s="136" t="n">
        <v>0.704</v>
      </c>
      <c r="O238" s="136" t="n">
        <v>0.693</v>
      </c>
      <c r="P238" s="136" t="n">
        <v>0.563</v>
      </c>
      <c r="Q238" s="136" t="n">
        <v>0.626</v>
      </c>
      <c r="R238" s="136" t="n">
        <v>1288538</v>
      </c>
      <c r="S238" s="136" t="n">
        <v>1192700</v>
      </c>
      <c r="T238" s="8" t="n">
        <f aca="false">IF(I238="regional",IF(R238&gt;0,R238*0.2975,S238*0.3484),S238*0.1939)</f>
        <v>383340.055</v>
      </c>
      <c r="U238" s="136" t="n">
        <v>931236</v>
      </c>
      <c r="V238" s="136" t="n">
        <v>261464</v>
      </c>
      <c r="W238" s="136" t="n">
        <v>6964</v>
      </c>
      <c r="X238" s="136" t="n">
        <v>0</v>
      </c>
      <c r="Y238" s="136" t="n">
        <v>0</v>
      </c>
      <c r="Z238" s="136" t="n">
        <v>0</v>
      </c>
      <c r="AA238" s="136" t="n">
        <v>1576040.055</v>
      </c>
      <c r="AB238" s="136" t="n">
        <v>383340.055</v>
      </c>
      <c r="AC238" s="136" t="n">
        <v>1192700</v>
      </c>
      <c r="AD238" s="136" t="n">
        <v>0</v>
      </c>
      <c r="AE238" s="136" t="n">
        <v>0</v>
      </c>
      <c r="AF238" s="136" t="n">
        <v>0</v>
      </c>
      <c r="AG238" s="136" t="n">
        <v>1192700</v>
      </c>
      <c r="AH238" s="136" t="n">
        <v>0</v>
      </c>
      <c r="AI238" s="136" t="n">
        <v>0</v>
      </c>
      <c r="AJ238" s="132" t="n">
        <v>4</v>
      </c>
      <c r="AK238" s="132" t="s">
        <v>720</v>
      </c>
      <c r="AL238" s="133" t="s">
        <v>48</v>
      </c>
      <c r="AM238" s="132"/>
      <c r="AN238" s="133" t="s">
        <v>586</v>
      </c>
      <c r="AO238" s="133" t="n">
        <v>383340.055</v>
      </c>
      <c r="AP238" s="137" t="n">
        <f aca="false">AR238+AT238+AU238+AV238+AX238+AY238+AZ238+BD238+BF238+BG238+BH238+BJ238+BK238+(BL238+BM238+BN238)/1000+(0.1*BO238)</f>
        <v>264.8566</v>
      </c>
      <c r="AQ238" s="137" t="n">
        <f aca="false">AR238+AT238+AU238+AV238+AX238+AY238+AZ238+BB238+BC238+BD238+BF238+BG238+BH238+BJ238+BK238+(BL238+BM238+BN238)/1000+(0.1*BO238)</f>
        <v>273.8566</v>
      </c>
      <c r="AR238" s="131" t="n">
        <v>0</v>
      </c>
      <c r="AS238" s="131" t="n">
        <v>0</v>
      </c>
      <c r="AT238" s="131" t="n">
        <v>130</v>
      </c>
      <c r="AU238" s="131" t="n">
        <v>38</v>
      </c>
      <c r="AV238" s="131" t="n">
        <v>0</v>
      </c>
      <c r="AW238" s="131" t="n">
        <v>0</v>
      </c>
      <c r="AX238" s="131" t="n">
        <v>0</v>
      </c>
      <c r="AY238" s="131" t="n">
        <v>0</v>
      </c>
      <c r="AZ238" s="131" t="n">
        <v>0</v>
      </c>
      <c r="BA238" s="131" t="n">
        <v>0</v>
      </c>
      <c r="BB238" s="131" t="n">
        <v>5</v>
      </c>
      <c r="BC238" s="131" t="n">
        <v>4</v>
      </c>
      <c r="BD238" s="131" t="n">
        <v>0</v>
      </c>
      <c r="BE238" s="131" t="n">
        <v>0</v>
      </c>
      <c r="BF238" s="131" t="n">
        <v>0</v>
      </c>
      <c r="BG238" s="131" t="n">
        <v>0</v>
      </c>
      <c r="BH238" s="131" t="n">
        <v>0</v>
      </c>
      <c r="BI238" s="131" t="n">
        <v>0</v>
      </c>
      <c r="BJ238" s="131" t="n">
        <v>0</v>
      </c>
      <c r="BK238" s="131" t="n">
        <v>0</v>
      </c>
      <c r="BL238" s="131" t="n">
        <v>21985</v>
      </c>
      <c r="BM238" s="131" t="n">
        <v>0</v>
      </c>
      <c r="BN238" s="131" t="n">
        <v>0</v>
      </c>
      <c r="BO238" s="131" t="n">
        <v>748.716</v>
      </c>
    </row>
    <row r="239" customFormat="false" ht="15" hidden="false" customHeight="true" outlineLevel="0" collapsed="false">
      <c r="A239" s="131" t="n">
        <v>3917</v>
      </c>
      <c r="B239" s="131" t="s">
        <v>44</v>
      </c>
      <c r="C239" s="132" t="s">
        <v>587</v>
      </c>
      <c r="D239" s="133" t="s">
        <v>587</v>
      </c>
      <c r="E239" s="134" t="n">
        <f aca="false">IF(I239="regional",IF(R239*0.2975,S239*0.3484),S239*0.1939)</f>
        <v>355510.4956</v>
      </c>
      <c r="F239" s="134" t="n">
        <v>490459</v>
      </c>
      <c r="G239" s="135" t="n">
        <f aca="false">E239+F239</f>
        <v>845969.4956</v>
      </c>
      <c r="H239" s="132"/>
      <c r="I239" s="133" t="s">
        <v>48</v>
      </c>
      <c r="J239" s="133" t="s">
        <v>44</v>
      </c>
      <c r="K239" s="133" t="s">
        <v>589</v>
      </c>
      <c r="L239" s="133" t="s">
        <v>44</v>
      </c>
      <c r="M239" s="136" t="n">
        <v>152</v>
      </c>
      <c r="N239" s="136" t="n">
        <v>0.731</v>
      </c>
      <c r="O239" s="136" t="n">
        <v>0.833</v>
      </c>
      <c r="P239" s="136" t="n">
        <v>0.807</v>
      </c>
      <c r="Q239" s="136" t="n">
        <v>0.755</v>
      </c>
      <c r="R239" s="136" t="n">
        <v>1283965</v>
      </c>
      <c r="S239" s="136" t="n">
        <v>1020409</v>
      </c>
      <c r="T239" s="8" t="n">
        <f aca="false">IF(I239="regional",IF(R239&gt;0,R239*0.2975,S239*0.3484),S239*0.1939)</f>
        <v>381979.5875</v>
      </c>
      <c r="U239" s="136" t="n">
        <v>716811</v>
      </c>
      <c r="V239" s="136" t="n">
        <v>303598</v>
      </c>
      <c r="W239" s="136" t="n">
        <v>5338</v>
      </c>
      <c r="X239" s="136" t="n">
        <v>872438.5875</v>
      </c>
      <c r="Y239" s="136" t="n">
        <v>381979.5875</v>
      </c>
      <c r="Z239" s="136" t="n">
        <v>490459</v>
      </c>
      <c r="AA239" s="136" t="n">
        <v>529950</v>
      </c>
      <c r="AB239" s="136" t="n">
        <v>0</v>
      </c>
      <c r="AC239" s="136" t="n">
        <v>529950</v>
      </c>
      <c r="AD239" s="136" t="n">
        <v>490459</v>
      </c>
      <c r="AE239" s="136" t="n">
        <v>0</v>
      </c>
      <c r="AF239" s="136" t="n">
        <v>529950</v>
      </c>
      <c r="AG239" s="136" t="n">
        <v>0</v>
      </c>
      <c r="AH239" s="136" t="n">
        <v>393000</v>
      </c>
      <c r="AI239" s="136" t="n">
        <v>315000</v>
      </c>
      <c r="AJ239" s="132" t="s">
        <v>707</v>
      </c>
      <c r="AK239" s="132" t="s">
        <v>729</v>
      </c>
      <c r="AL239" s="133" t="s">
        <v>48</v>
      </c>
      <c r="AM239" s="132"/>
      <c r="AN239" s="133" t="s">
        <v>587</v>
      </c>
      <c r="AO239" s="133" t="n">
        <v>872438.5875</v>
      </c>
      <c r="AP239" s="137" t="n">
        <f aca="false">AR239+AT239+AU239+AV239+AX239+AY239+AZ239+BD239+BF239+BG239+BH239+BJ239+BK239+(BL239+BM239+BN239)/1000+(0.1*BO239)</f>
        <v>530.0685</v>
      </c>
      <c r="AQ239" s="137" t="n">
        <f aca="false">AR239+AT239+AU239+AV239+AX239+AY239+AZ239+BB239+BC239+BD239+BF239+BG239+BH239+BJ239+BK239+(BL239+BM239+BN239)/1000+(0.1*BO239)</f>
        <v>555.0685</v>
      </c>
      <c r="AR239" s="131" t="n">
        <v>208</v>
      </c>
      <c r="AS239" s="131" t="n">
        <v>315</v>
      </c>
      <c r="AT239" s="131" t="n">
        <v>127</v>
      </c>
      <c r="AU239" s="131" t="n">
        <v>0</v>
      </c>
      <c r="AV239" s="131" t="n">
        <v>0</v>
      </c>
      <c r="AW239" s="131" t="n">
        <v>17</v>
      </c>
      <c r="AX239" s="131" t="n">
        <v>0</v>
      </c>
      <c r="AY239" s="131" t="n">
        <v>0</v>
      </c>
      <c r="AZ239" s="131" t="n">
        <v>15</v>
      </c>
      <c r="BA239" s="131" t="n">
        <v>32</v>
      </c>
      <c r="BB239" s="131" t="n">
        <v>25</v>
      </c>
      <c r="BC239" s="131" t="n">
        <v>0</v>
      </c>
      <c r="BD239" s="131" t="n">
        <v>21</v>
      </c>
      <c r="BE239" s="131" t="n">
        <v>0</v>
      </c>
      <c r="BF239" s="131" t="n">
        <v>0</v>
      </c>
      <c r="BG239" s="131" t="n">
        <v>0</v>
      </c>
      <c r="BH239" s="131" t="n">
        <v>75</v>
      </c>
      <c r="BI239" s="131" t="n">
        <v>0</v>
      </c>
      <c r="BJ239" s="131" t="n">
        <v>0</v>
      </c>
      <c r="BK239" s="131" t="n">
        <v>0</v>
      </c>
      <c r="BL239" s="131" t="n">
        <v>0</v>
      </c>
      <c r="BM239" s="131" t="n">
        <v>0</v>
      </c>
      <c r="BN239" s="131" t="n">
        <v>8045</v>
      </c>
      <c r="BO239" s="131" t="n">
        <v>760.235</v>
      </c>
    </row>
    <row r="240" customFormat="false" ht="15" hidden="false" customHeight="true" outlineLevel="0" collapsed="false">
      <c r="A240" s="131" t="n">
        <v>3915</v>
      </c>
      <c r="B240" s="131"/>
      <c r="C240" s="132" t="s">
        <v>590</v>
      </c>
      <c r="D240" s="133" t="s">
        <v>590</v>
      </c>
      <c r="E240" s="134" t="n">
        <f aca="false">IF(I240="regional",IF(R240*0.2975,S240*0.3484),S240*0.1939)</f>
        <v>45421.075</v>
      </c>
      <c r="F240" s="134" t="n">
        <v>0</v>
      </c>
      <c r="G240" s="135" t="n">
        <f aca="false">E240+F240</f>
        <v>45421.075</v>
      </c>
      <c r="H240" s="132"/>
      <c r="I240" s="133" t="s">
        <v>62</v>
      </c>
      <c r="J240" s="133"/>
      <c r="K240" s="133" t="s">
        <v>589</v>
      </c>
      <c r="L240" s="133"/>
      <c r="M240" s="136" t="n">
        <v>19</v>
      </c>
      <c r="N240" s="136" t="n">
        <v>0.954</v>
      </c>
      <c r="O240" s="136" t="n">
        <v>0.914</v>
      </c>
      <c r="P240" s="136" t="n">
        <v>0.937</v>
      </c>
      <c r="Q240" s="136" t="n">
        <v>1</v>
      </c>
      <c r="R240" s="136" t="n">
        <v>0</v>
      </c>
      <c r="S240" s="136" t="n">
        <v>234250</v>
      </c>
      <c r="T240" s="8" t="n">
        <f aca="false">IF(I240="regional",IF(R240&gt;0,R240*0.2975,S240*0.3484),S240*0.1939)</f>
        <v>45421.075</v>
      </c>
      <c r="U240" s="136" t="n">
        <v>172179</v>
      </c>
      <c r="V240" s="136" t="n">
        <v>62071</v>
      </c>
      <c r="W240" s="136" t="n">
        <v>1150</v>
      </c>
      <c r="X240" s="136" t="n">
        <v>0</v>
      </c>
      <c r="Y240" s="136" t="n">
        <v>0</v>
      </c>
      <c r="Z240" s="136" t="n">
        <v>0</v>
      </c>
      <c r="AA240" s="136" t="n">
        <v>279671.075</v>
      </c>
      <c r="AB240" s="136" t="n">
        <v>45421.075</v>
      </c>
      <c r="AC240" s="136" t="n">
        <v>234250</v>
      </c>
      <c r="AD240" s="136" t="n">
        <v>0</v>
      </c>
      <c r="AE240" s="136" t="n">
        <v>0</v>
      </c>
      <c r="AF240" s="136" t="n">
        <v>0</v>
      </c>
      <c r="AG240" s="136" t="n">
        <v>234250</v>
      </c>
      <c r="AH240" s="136" t="n">
        <v>0</v>
      </c>
      <c r="AI240" s="136" t="n">
        <v>0</v>
      </c>
      <c r="AJ240" s="132" t="s">
        <v>707</v>
      </c>
      <c r="AK240" s="132" t="s">
        <v>729</v>
      </c>
      <c r="AL240" s="133" t="s">
        <v>62</v>
      </c>
      <c r="AM240" s="132"/>
      <c r="AN240" s="133" t="s">
        <v>590</v>
      </c>
      <c r="AO240" s="133" t="n">
        <v>45421.075</v>
      </c>
      <c r="AP240" s="137" t="n">
        <f aca="false">AR240+AT240+AU240+AV240+AX240+AY240+AZ240+BD240+BF240+BG240+BH240+BJ240+BK240+(BL240+BM240+BN240)/1000+(0.1*BO240)</f>
        <v>12.9219</v>
      </c>
      <c r="AQ240" s="137" t="n">
        <f aca="false">AR240+AT240+AU240+AV240+AX240+AY240+AZ240+BB240+BC240+BD240+BF240+BG240+BH240+BJ240+BK240+(BL240+BM240+BN240)/1000+(0.1*BO240)</f>
        <v>19.9219</v>
      </c>
      <c r="AR240" s="131" t="n">
        <v>0</v>
      </c>
      <c r="AS240" s="131" t="n">
        <v>0</v>
      </c>
      <c r="AT240" s="131" t="n">
        <v>8</v>
      </c>
      <c r="AU240" s="131" t="n">
        <v>0</v>
      </c>
      <c r="AV240" s="131" t="n">
        <v>0</v>
      </c>
      <c r="AW240" s="131" t="n">
        <v>0</v>
      </c>
      <c r="AX240" s="131" t="n">
        <v>0</v>
      </c>
      <c r="AY240" s="131" t="n">
        <v>0</v>
      </c>
      <c r="AZ240" s="131" t="n">
        <v>0</v>
      </c>
      <c r="BA240" s="131" t="n">
        <v>0</v>
      </c>
      <c r="BB240" s="131" t="n">
        <v>1</v>
      </c>
      <c r="BC240" s="131" t="n">
        <v>6</v>
      </c>
      <c r="BD240" s="131" t="n">
        <v>0</v>
      </c>
      <c r="BE240" s="131" t="n">
        <v>0</v>
      </c>
      <c r="BF240" s="131" t="n">
        <v>0</v>
      </c>
      <c r="BG240" s="131" t="n">
        <v>0</v>
      </c>
      <c r="BH240" s="131" t="n">
        <v>0</v>
      </c>
      <c r="BI240" s="131" t="n">
        <v>0</v>
      </c>
      <c r="BJ240" s="131" t="n">
        <v>0</v>
      </c>
      <c r="BK240" s="131" t="n">
        <v>0</v>
      </c>
      <c r="BL240" s="131" t="n">
        <v>0</v>
      </c>
      <c r="BM240" s="131" t="n">
        <v>0</v>
      </c>
      <c r="BN240" s="131" t="n">
        <v>0</v>
      </c>
      <c r="BO240" s="131" t="n">
        <v>49.219</v>
      </c>
    </row>
    <row r="241" customFormat="false" ht="15" hidden="false" customHeight="true" outlineLevel="0" collapsed="false">
      <c r="A241" s="131" t="n">
        <v>519</v>
      </c>
      <c r="B241" s="131"/>
      <c r="C241" s="132" t="s">
        <v>591</v>
      </c>
      <c r="D241" s="133" t="s">
        <v>591</v>
      </c>
      <c r="E241" s="134" t="n">
        <f aca="false">IF(I241="regional",IF(R241*0.2975,S241*0.3484),S241*0.1939)</f>
        <v>73843.1309</v>
      </c>
      <c r="F241" s="134" t="n">
        <v>0</v>
      </c>
      <c r="G241" s="135" t="n">
        <f aca="false">E241+F241</f>
        <v>73843.1309</v>
      </c>
      <c r="H241" s="132" t="s">
        <v>49</v>
      </c>
      <c r="I241" s="133" t="s">
        <v>62</v>
      </c>
      <c r="J241" s="133"/>
      <c r="K241" s="133" t="s">
        <v>449</v>
      </c>
      <c r="L241" s="133"/>
      <c r="M241" s="136" t="n">
        <v>41</v>
      </c>
      <c r="N241" s="136" t="n">
        <v>0.678</v>
      </c>
      <c r="O241" s="136" t="n">
        <v>0.671</v>
      </c>
      <c r="P241" s="136" t="n">
        <v>0.72</v>
      </c>
      <c r="Q241" s="136" t="n">
        <v>0.992</v>
      </c>
      <c r="R241" s="136" t="n">
        <v>0</v>
      </c>
      <c r="S241" s="136" t="n">
        <v>380831</v>
      </c>
      <c r="T241" s="8" t="n">
        <f aca="false">IF(I241="regional",IF(R241&gt;0,R241*0.2975,S241*0.3484),S241*0.1939)</f>
        <v>73843.1309</v>
      </c>
      <c r="U241" s="136" t="n">
        <v>263436</v>
      </c>
      <c r="V241" s="136" t="n">
        <v>117395</v>
      </c>
      <c r="W241" s="136" t="n">
        <v>1875</v>
      </c>
      <c r="X241" s="136" t="n">
        <v>0</v>
      </c>
      <c r="Y241" s="136" t="n">
        <v>0</v>
      </c>
      <c r="Z241" s="136" t="n">
        <v>0</v>
      </c>
      <c r="AA241" s="136" t="n">
        <v>454674.1309</v>
      </c>
      <c r="AB241" s="136" t="n">
        <v>73843.1309</v>
      </c>
      <c r="AC241" s="136" t="n">
        <v>380831</v>
      </c>
      <c r="AD241" s="136" t="n">
        <v>0</v>
      </c>
      <c r="AE241" s="136" t="n">
        <v>0</v>
      </c>
      <c r="AF241" s="136" t="n">
        <v>0</v>
      </c>
      <c r="AG241" s="136" t="n">
        <v>380831</v>
      </c>
      <c r="AH241" s="136" t="n">
        <v>0</v>
      </c>
      <c r="AI241" s="136" t="n">
        <v>0</v>
      </c>
      <c r="AJ241" s="132" t="s">
        <v>707</v>
      </c>
      <c r="AK241" s="132" t="s">
        <v>714</v>
      </c>
      <c r="AL241" s="133" t="s">
        <v>62</v>
      </c>
      <c r="AM241" s="132" t="s">
        <v>49</v>
      </c>
      <c r="AN241" s="133" t="s">
        <v>591</v>
      </c>
      <c r="AO241" s="133" t="n">
        <v>73843.1309</v>
      </c>
      <c r="AP241" s="137" t="n">
        <f aca="false">AR241+AT241+AU241+AV241+AX241+AY241+AZ241+BD241+BF241+BG241+BH241+BJ241+BK241+(BL241+BM241+BN241)/1000+(0.1*BO241)</f>
        <v>46</v>
      </c>
      <c r="AQ241" s="137" t="n">
        <f aca="false">AR241+AT241+AU241+AV241+AX241+AY241+AZ241+BB241+BC241+BD241+BF241+BG241+BH241+BJ241+BK241+(BL241+BM241+BN241)/1000+(0.1*BO241)</f>
        <v>62</v>
      </c>
      <c r="AR241" s="158" t="n">
        <v>0</v>
      </c>
      <c r="AS241" s="158" t="n">
        <v>0</v>
      </c>
      <c r="AT241" s="158" t="n">
        <v>46</v>
      </c>
      <c r="AU241" s="158" t="n">
        <v>0</v>
      </c>
      <c r="AV241" s="131" t="n">
        <v>0</v>
      </c>
      <c r="AW241" s="131" t="n">
        <v>0</v>
      </c>
      <c r="AX241" s="131" t="n">
        <v>0</v>
      </c>
      <c r="AY241" s="131" t="n">
        <v>0</v>
      </c>
      <c r="AZ241" s="158" t="n">
        <v>0</v>
      </c>
      <c r="BA241" s="158" t="n">
        <v>29</v>
      </c>
      <c r="BB241" s="158" t="n">
        <v>16</v>
      </c>
      <c r="BC241" s="158" t="n">
        <v>0</v>
      </c>
      <c r="BD241" s="158" t="n">
        <v>0</v>
      </c>
      <c r="BE241" s="158" t="n">
        <v>0</v>
      </c>
      <c r="BF241" s="158" t="n">
        <v>0</v>
      </c>
      <c r="BG241" s="158" t="n">
        <v>0</v>
      </c>
      <c r="BH241" s="158" t="n">
        <v>0</v>
      </c>
      <c r="BI241" s="158" t="n">
        <v>0</v>
      </c>
      <c r="BJ241" s="158" t="n">
        <v>0</v>
      </c>
      <c r="BK241" s="158" t="n">
        <v>0</v>
      </c>
      <c r="BL241" s="131" t="n">
        <v>0</v>
      </c>
      <c r="BM241" s="131" t="n">
        <v>0</v>
      </c>
      <c r="BN241" s="131" t="n">
        <v>0</v>
      </c>
      <c r="BO241" s="131" t="n">
        <v>0</v>
      </c>
      <c r="BP241" s="160"/>
      <c r="BQ241" s="160"/>
      <c r="BR241" s="160"/>
      <c r="BS241" s="160"/>
      <c r="BT241" s="160"/>
      <c r="BU241" s="160"/>
      <c r="BV241" s="160"/>
      <c r="BW241" s="160"/>
      <c r="BX241" s="160"/>
      <c r="BY241" s="160"/>
      <c r="BZ241" s="160"/>
      <c r="CA241" s="160"/>
      <c r="CB241" s="160"/>
      <c r="CC241" s="160"/>
      <c r="CD241" s="160"/>
      <c r="CE241" s="160"/>
      <c r="CF241" s="160"/>
      <c r="CG241" s="160"/>
      <c r="CH241" s="160"/>
      <c r="CI241" s="160"/>
      <c r="CJ241" s="160"/>
      <c r="CK241" s="160"/>
      <c r="CL241" s="160"/>
      <c r="CM241" s="160"/>
      <c r="CN241" s="160"/>
      <c r="CO241" s="160"/>
      <c r="CP241" s="160"/>
      <c r="CQ241" s="160"/>
      <c r="CR241" s="160"/>
      <c r="CS241" s="160"/>
      <c r="CT241" s="160"/>
      <c r="CU241" s="160"/>
      <c r="CV241" s="160"/>
      <c r="CW241" s="160"/>
      <c r="CX241" s="160"/>
      <c r="CY241" s="160"/>
      <c r="CZ241" s="160"/>
      <c r="DA241" s="160"/>
      <c r="DB241" s="160"/>
      <c r="DC241" s="160"/>
      <c r="DD241" s="160"/>
      <c r="DE241" s="160"/>
      <c r="DF241" s="160"/>
      <c r="DG241" s="160"/>
      <c r="DH241" s="160"/>
      <c r="DI241" s="160"/>
      <c r="DJ241" s="160"/>
      <c r="DK241" s="160"/>
      <c r="DL241" s="160"/>
      <c r="DM241" s="160"/>
      <c r="DN241" s="160"/>
      <c r="DO241" s="160"/>
      <c r="DP241" s="160"/>
      <c r="DQ241" s="160"/>
      <c r="DR241" s="160"/>
      <c r="DS241" s="160"/>
      <c r="DT241" s="160"/>
      <c r="DU241" s="160"/>
      <c r="DV241" s="160"/>
      <c r="DW241" s="160"/>
      <c r="DX241" s="160"/>
      <c r="DY241" s="160"/>
      <c r="DZ241" s="160"/>
      <c r="EA241" s="160"/>
      <c r="EB241" s="160"/>
      <c r="EC241" s="160"/>
      <c r="ED241" s="160"/>
      <c r="EE241" s="160"/>
      <c r="EF241" s="160"/>
      <c r="EG241" s="160"/>
      <c r="EH241" s="160"/>
      <c r="EI241" s="160"/>
      <c r="EJ241" s="160"/>
      <c r="EK241" s="160"/>
      <c r="EL241" s="160"/>
      <c r="EM241" s="160"/>
      <c r="EN241" s="160"/>
      <c r="EO241" s="160"/>
      <c r="EP241" s="160"/>
      <c r="EQ241" s="160"/>
      <c r="ER241" s="160"/>
      <c r="ES241" s="160"/>
      <c r="ET241" s="160"/>
      <c r="EU241" s="160"/>
      <c r="EV241" s="160"/>
      <c r="EW241" s="160"/>
      <c r="EX241" s="160"/>
      <c r="EY241" s="160"/>
      <c r="EZ241" s="160"/>
      <c r="FA241" s="160"/>
      <c r="FB241" s="160"/>
      <c r="FC241" s="160"/>
      <c r="FD241" s="160"/>
      <c r="FE241" s="160"/>
      <c r="FF241" s="160"/>
      <c r="FG241" s="160"/>
      <c r="FH241" s="160"/>
      <c r="FI241" s="160"/>
      <c r="FJ241" s="160"/>
      <c r="FK241" s="160"/>
      <c r="FL241" s="160"/>
      <c r="FM241" s="160"/>
      <c r="FN241" s="160"/>
      <c r="FO241" s="160"/>
      <c r="FP241" s="160"/>
      <c r="FQ241" s="160"/>
      <c r="FR241" s="160"/>
      <c r="FS241" s="160"/>
      <c r="FT241" s="160"/>
      <c r="FU241" s="160"/>
      <c r="FV241" s="160"/>
      <c r="FW241" s="160"/>
      <c r="FX241" s="160"/>
      <c r="FY241" s="160"/>
      <c r="FZ241" s="160"/>
      <c r="GA241" s="160"/>
      <c r="GB241" s="160"/>
      <c r="GC241" s="160"/>
      <c r="GD241" s="160"/>
      <c r="GE241" s="160"/>
      <c r="GF241" s="160"/>
      <c r="GG241" s="160"/>
      <c r="GH241" s="160"/>
      <c r="GI241" s="160"/>
      <c r="GJ241" s="160"/>
    </row>
    <row r="242" customFormat="false" ht="15" hidden="false" customHeight="true" outlineLevel="0" collapsed="false">
      <c r="A242" s="131" t="n">
        <v>9805</v>
      </c>
      <c r="B242" s="131"/>
      <c r="C242" s="132" t="s">
        <v>593</v>
      </c>
      <c r="D242" s="133" t="s">
        <v>593</v>
      </c>
      <c r="E242" s="134" t="n">
        <f aca="false">IF(I242="regional",IF(R242*0.2975,S242*0.3484),S242*0.1939)</f>
        <v>466287.4112</v>
      </c>
      <c r="F242" s="134" t="n">
        <v>0</v>
      </c>
      <c r="G242" s="135" t="n">
        <f aca="false">E242+F242</f>
        <v>466287.4112</v>
      </c>
      <c r="H242" s="132" t="s">
        <v>49</v>
      </c>
      <c r="I242" s="133" t="s">
        <v>48</v>
      </c>
      <c r="J242" s="133" t="s">
        <v>49</v>
      </c>
      <c r="K242" s="133" t="s">
        <v>594</v>
      </c>
      <c r="L242" s="133"/>
      <c r="M242" s="136" t="n">
        <v>143</v>
      </c>
      <c r="N242" s="136" t="n">
        <v>0.947</v>
      </c>
      <c r="O242" s="136" t="n">
        <v>0.957</v>
      </c>
      <c r="P242" s="136" t="n">
        <v>0.939</v>
      </c>
      <c r="Q242" s="136" t="n">
        <v>0.889</v>
      </c>
      <c r="R242" s="136" t="n">
        <v>1500930</v>
      </c>
      <c r="S242" s="136" t="n">
        <v>1338368</v>
      </c>
      <c r="T242" s="8" t="n">
        <f aca="false">IF(I242="regional",IF(R242&gt;0,R242*0.2975,S242*0.3484),S242*0.1939)</f>
        <v>446526.675</v>
      </c>
      <c r="U242" s="136" t="n">
        <v>878311</v>
      </c>
      <c r="V242" s="136" t="n">
        <v>460057</v>
      </c>
      <c r="W242" s="136" t="n">
        <v>6956</v>
      </c>
      <c r="X242" s="136" t="n">
        <v>0</v>
      </c>
      <c r="Y242" s="136" t="n">
        <v>0</v>
      </c>
      <c r="Z242" s="136" t="n">
        <v>0</v>
      </c>
      <c r="AA242" s="136" t="n">
        <v>1784894.675</v>
      </c>
      <c r="AB242" s="136" t="n">
        <v>446526.675</v>
      </c>
      <c r="AC242" s="136" t="n">
        <v>1338368</v>
      </c>
      <c r="AD242" s="136" t="n">
        <v>0</v>
      </c>
      <c r="AE242" s="136" t="n">
        <v>0</v>
      </c>
      <c r="AF242" s="136" t="n">
        <v>0</v>
      </c>
      <c r="AG242" s="136" t="n">
        <v>1338368</v>
      </c>
      <c r="AH242" s="136" t="n">
        <v>0</v>
      </c>
      <c r="AI242" s="136" t="n">
        <v>0</v>
      </c>
      <c r="AJ242" s="132" t="s">
        <v>707</v>
      </c>
      <c r="AK242" s="132" t="s">
        <v>712</v>
      </c>
      <c r="AL242" s="133" t="s">
        <v>48</v>
      </c>
      <c r="AM242" s="132" t="s">
        <v>49</v>
      </c>
      <c r="AN242" s="133" t="s">
        <v>593</v>
      </c>
      <c r="AO242" s="133" t="n">
        <v>446526.675</v>
      </c>
      <c r="AP242" s="137" t="n">
        <f aca="false">AR242+AT242+AU242+AV242+AX242+AY242+AZ242+BD242+BF242+BG242+BH242+BJ242+BK242+(BL242+BM242+BN242)/1000+(0.1*BO242)</f>
        <v>367.5494</v>
      </c>
      <c r="AQ242" s="137" t="n">
        <f aca="false">AR242+AT242+AU242+AV242+AX242+AY242+AZ242+BB242+BC242+BD242+BF242+BG242+BH242+BJ242+BK242+(BL242+BM242+BN242)/1000+(0.1*BO242)</f>
        <v>519.5494</v>
      </c>
      <c r="AR242" s="131" t="n">
        <v>0</v>
      </c>
      <c r="AS242" s="131" t="n">
        <v>0</v>
      </c>
      <c r="AT242" s="131" t="n">
        <v>252</v>
      </c>
      <c r="AU242" s="131" t="n">
        <v>0</v>
      </c>
      <c r="AV242" s="131" t="n">
        <v>0</v>
      </c>
      <c r="AW242" s="131" t="n">
        <v>0</v>
      </c>
      <c r="AX242" s="131" t="n">
        <v>11</v>
      </c>
      <c r="AY242" s="131" t="n">
        <v>0</v>
      </c>
      <c r="AZ242" s="131" t="n">
        <v>0</v>
      </c>
      <c r="BA242" s="131" t="n">
        <v>0</v>
      </c>
      <c r="BB242" s="131" t="n">
        <v>152</v>
      </c>
      <c r="BC242" s="131" t="n">
        <v>0</v>
      </c>
      <c r="BD242" s="131" t="n">
        <v>0</v>
      </c>
      <c r="BE242" s="131" t="n">
        <v>0</v>
      </c>
      <c r="BF242" s="131" t="n">
        <v>0</v>
      </c>
      <c r="BG242" s="131" t="n">
        <v>0</v>
      </c>
      <c r="BH242" s="131" t="n">
        <v>0</v>
      </c>
      <c r="BI242" s="131" t="n">
        <v>0</v>
      </c>
      <c r="BJ242" s="131" t="n">
        <v>0</v>
      </c>
      <c r="BK242" s="131" t="n">
        <v>0</v>
      </c>
      <c r="BL242" s="131" t="n">
        <v>5000</v>
      </c>
      <c r="BM242" s="131" t="n">
        <v>0</v>
      </c>
      <c r="BN242" s="131" t="n">
        <v>0</v>
      </c>
      <c r="BO242" s="131" t="n">
        <v>995.494</v>
      </c>
    </row>
    <row r="243" customFormat="false" ht="15" hidden="false" customHeight="true" outlineLevel="0" collapsed="false">
      <c r="A243" s="168" t="n">
        <v>4676</v>
      </c>
      <c r="B243" s="168"/>
      <c r="C243" s="174" t="s">
        <v>595</v>
      </c>
      <c r="D243" s="133" t="s">
        <v>595</v>
      </c>
      <c r="E243" s="134" t="n">
        <f aca="false">IF(I243="regional",IF(R243*0.2975,S243*0.3484),S243*0.1939)</f>
        <v>288290.548</v>
      </c>
      <c r="F243" s="134" t="n">
        <v>0</v>
      </c>
      <c r="G243" s="135" t="n">
        <f aca="false">E243+F243</f>
        <v>288290.548</v>
      </c>
      <c r="H243" s="132" t="s">
        <v>49</v>
      </c>
      <c r="I243" s="133" t="s">
        <v>48</v>
      </c>
      <c r="J243" s="133" t="s">
        <v>49</v>
      </c>
      <c r="K243" s="133" t="s">
        <v>306</v>
      </c>
      <c r="L243" s="133"/>
      <c r="M243" s="136" t="n">
        <v>152</v>
      </c>
      <c r="N243" s="136" t="n">
        <v>0.957</v>
      </c>
      <c r="O243" s="136" t="n">
        <v>0.944</v>
      </c>
      <c r="P243" s="136" t="n">
        <v>0.925</v>
      </c>
      <c r="Q243" s="136" t="n">
        <v>0.952</v>
      </c>
      <c r="R243" s="136" t="n">
        <v>1200354</v>
      </c>
      <c r="S243" s="136" t="n">
        <v>827470</v>
      </c>
      <c r="T243" s="8" t="n">
        <f aca="false">IF(I243="regional",IF(R243&gt;0,R243*0.2975,S243*0.3484),S243*0.1939)</f>
        <v>357105.315</v>
      </c>
      <c r="U243" s="136" t="n">
        <v>349393</v>
      </c>
      <c r="V243" s="136" t="n">
        <v>478077</v>
      </c>
      <c r="W243" s="136" t="n">
        <v>4000</v>
      </c>
      <c r="X243" s="136" t="n">
        <v>0</v>
      </c>
      <c r="Y243" s="136" t="n">
        <v>0</v>
      </c>
      <c r="Z243" s="136" t="n">
        <v>0</v>
      </c>
      <c r="AA243" s="136" t="n">
        <v>1184575.315</v>
      </c>
      <c r="AB243" s="136" t="n">
        <v>357105.315</v>
      </c>
      <c r="AC243" s="136" t="n">
        <v>827470</v>
      </c>
      <c r="AD243" s="136" t="n">
        <v>0</v>
      </c>
      <c r="AE243" s="136" t="n">
        <v>0</v>
      </c>
      <c r="AF243" s="136" t="n">
        <v>0</v>
      </c>
      <c r="AG243" s="136" t="n">
        <v>827470</v>
      </c>
      <c r="AH243" s="136" t="n">
        <v>0</v>
      </c>
      <c r="AI243" s="136" t="n">
        <v>0</v>
      </c>
      <c r="AJ243" s="174" t="n">
        <v>4</v>
      </c>
      <c r="AK243" s="174" t="s">
        <v>724</v>
      </c>
      <c r="AL243" s="133" t="s">
        <v>48</v>
      </c>
      <c r="AM243" s="132" t="s">
        <v>49</v>
      </c>
      <c r="AN243" s="176" t="s">
        <v>595</v>
      </c>
      <c r="AO243" s="176" t="n">
        <v>357105.315</v>
      </c>
      <c r="AP243" s="155" t="n">
        <v>0</v>
      </c>
      <c r="AQ243" s="137" t="n">
        <f aca="false">AR243+AT243+AU243+AV243+AX243+AY243+AZ243+BB243+BC243+BD243+BF243+BG243+BH243+BJ243+BK243+(BL243+BM243+BN243)/1000+(0.1*BO243)</f>
        <v>1695</v>
      </c>
      <c r="AR243" s="156" t="n">
        <v>618</v>
      </c>
      <c r="AS243" s="156" t="n">
        <v>0</v>
      </c>
      <c r="AT243" s="156" t="n">
        <v>978</v>
      </c>
      <c r="AU243" s="156" t="n">
        <v>0</v>
      </c>
      <c r="AV243" s="131" t="n">
        <v>0</v>
      </c>
      <c r="AW243" s="131" t="n">
        <v>0</v>
      </c>
      <c r="AX243" s="131" t="n">
        <v>0</v>
      </c>
      <c r="AY243" s="131" t="n">
        <v>0</v>
      </c>
      <c r="AZ243" s="156" t="n">
        <v>0</v>
      </c>
      <c r="BA243" s="156" t="n">
        <v>12</v>
      </c>
      <c r="BB243" s="156" t="n">
        <v>8</v>
      </c>
      <c r="BC243" s="156" t="n">
        <v>0</v>
      </c>
      <c r="BD243" s="156" t="n">
        <v>5</v>
      </c>
      <c r="BE243" s="156" t="n">
        <v>0</v>
      </c>
      <c r="BF243" s="156" t="n">
        <v>0</v>
      </c>
      <c r="BG243" s="156" t="n">
        <v>0</v>
      </c>
      <c r="BH243" s="156" t="n">
        <v>86</v>
      </c>
      <c r="BI243" s="156" t="n">
        <v>0</v>
      </c>
      <c r="BJ243" s="156" t="n">
        <v>0</v>
      </c>
      <c r="BK243" s="156" t="n">
        <v>0</v>
      </c>
      <c r="BL243" s="156" t="n">
        <v>0</v>
      </c>
      <c r="BM243" s="156" t="n">
        <v>0</v>
      </c>
      <c r="BN243" s="156" t="n">
        <v>0</v>
      </c>
      <c r="BO243" s="131" t="n">
        <v>0</v>
      </c>
    </row>
    <row r="244" customFormat="false" ht="15" hidden="false" customHeight="true" outlineLevel="0" collapsed="false">
      <c r="A244" s="131" t="n">
        <v>4514</v>
      </c>
      <c r="B244" s="131"/>
      <c r="C244" s="132" t="s">
        <v>597</v>
      </c>
      <c r="D244" s="133" t="s">
        <v>597</v>
      </c>
      <c r="E244" s="134" t="n">
        <f aca="false">IF(I244="regional",IF(R244*0.2975,S244*0.3484),S244*0.1939)</f>
        <v>31635.5606</v>
      </c>
      <c r="F244" s="134" t="n">
        <v>0</v>
      </c>
      <c r="G244" s="135" t="n">
        <f aca="false">E244+F244</f>
        <v>31635.5606</v>
      </c>
      <c r="H244" s="132" t="s">
        <v>49</v>
      </c>
      <c r="I244" s="133" t="s">
        <v>62</v>
      </c>
      <c r="J244" s="133"/>
      <c r="K244" s="133" t="s">
        <v>599</v>
      </c>
      <c r="L244" s="133"/>
      <c r="M244" s="136" t="n">
        <v>10</v>
      </c>
      <c r="N244" s="136" t="n">
        <v>0.966</v>
      </c>
      <c r="O244" s="136" t="n">
        <v>0.966</v>
      </c>
      <c r="P244" s="136" t="n">
        <v>0.947</v>
      </c>
      <c r="Q244" s="136" t="n">
        <v>0.966</v>
      </c>
      <c r="R244" s="136" t="n">
        <v>0</v>
      </c>
      <c r="S244" s="136" t="n">
        <v>163154</v>
      </c>
      <c r="T244" s="8" t="n">
        <f aca="false">IF(I244="regional",IF(R244&gt;0,R244*0.2975,S244*0.3484),S244*0.1939)</f>
        <v>31635.5606</v>
      </c>
      <c r="U244" s="136" t="n">
        <v>139108</v>
      </c>
      <c r="V244" s="136" t="n">
        <v>24046</v>
      </c>
      <c r="W244" s="136" t="n">
        <v>800</v>
      </c>
      <c r="X244" s="136" t="n">
        <v>0</v>
      </c>
      <c r="Y244" s="136" t="n">
        <v>0</v>
      </c>
      <c r="Z244" s="136" t="n">
        <v>0</v>
      </c>
      <c r="AA244" s="136" t="n">
        <v>194789.5606</v>
      </c>
      <c r="AB244" s="136" t="n">
        <v>31635.5606</v>
      </c>
      <c r="AC244" s="136" t="n">
        <v>163154</v>
      </c>
      <c r="AD244" s="136" t="n">
        <v>0</v>
      </c>
      <c r="AE244" s="136" t="n">
        <v>0</v>
      </c>
      <c r="AF244" s="136" t="n">
        <v>0</v>
      </c>
      <c r="AG244" s="136" t="n">
        <v>163154</v>
      </c>
      <c r="AH244" s="136" t="n">
        <v>0</v>
      </c>
      <c r="AI244" s="136" t="n">
        <v>0</v>
      </c>
      <c r="AJ244" s="132" t="s">
        <v>707</v>
      </c>
      <c r="AK244" s="132" t="s">
        <v>714</v>
      </c>
      <c r="AL244" s="133" t="s">
        <v>62</v>
      </c>
      <c r="AM244" s="132" t="s">
        <v>49</v>
      </c>
      <c r="AN244" s="133" t="s">
        <v>597</v>
      </c>
      <c r="AO244" s="133" t="n">
        <v>31635.5606</v>
      </c>
      <c r="AP244" s="137" t="n">
        <f aca="false">AR244+AT244+AU244+AV244+AX244+AY244+AZ244+BD244+BF244+BG244+BH244+BJ244+BK244+(BL244+BM244+BN244)/1000+(0.1*BO244)</f>
        <v>8.7792</v>
      </c>
      <c r="AQ244" s="137" t="n">
        <f aca="false">AR244+AT244+AU244+AV244+AX244+AY244+AZ244+BB244+BC244+BD244+BF244+BG244+BH244+BJ244+BK244+(BL244+BM244+BN244)/1000+(0.1*BO244)</f>
        <v>8.7792</v>
      </c>
      <c r="AR244" s="131" t="n">
        <v>0</v>
      </c>
      <c r="AS244" s="131" t="n">
        <v>0</v>
      </c>
      <c r="AT244" s="131" t="n">
        <v>8</v>
      </c>
      <c r="AU244" s="131" t="n">
        <v>0</v>
      </c>
      <c r="AV244" s="131" t="n">
        <v>0</v>
      </c>
      <c r="AW244" s="131" t="n">
        <v>0</v>
      </c>
      <c r="AX244" s="131" t="n">
        <v>0</v>
      </c>
      <c r="AY244" s="131" t="n">
        <v>0</v>
      </c>
      <c r="AZ244" s="131" t="n">
        <v>0</v>
      </c>
      <c r="BA244" s="131" t="n">
        <v>0</v>
      </c>
      <c r="BB244" s="131" t="n">
        <v>0</v>
      </c>
      <c r="BC244" s="131" t="n">
        <v>0</v>
      </c>
      <c r="BD244" s="131" t="n">
        <v>0</v>
      </c>
      <c r="BE244" s="131" t="n">
        <v>0</v>
      </c>
      <c r="BF244" s="131" t="n">
        <v>0</v>
      </c>
      <c r="BG244" s="131" t="n">
        <v>0</v>
      </c>
      <c r="BH244" s="131" t="n">
        <v>0</v>
      </c>
      <c r="BI244" s="131" t="n">
        <v>0</v>
      </c>
      <c r="BJ244" s="131" t="n">
        <v>0</v>
      </c>
      <c r="BK244" s="131" t="n">
        <v>0</v>
      </c>
      <c r="BL244" s="131" t="n">
        <v>0</v>
      </c>
      <c r="BM244" s="131" t="n">
        <v>0</v>
      </c>
      <c r="BN244" s="131" t="n">
        <v>0</v>
      </c>
      <c r="BO244" s="131" t="n">
        <v>7.792</v>
      </c>
    </row>
    <row r="245" customFormat="false" ht="15" hidden="false" customHeight="true" outlineLevel="0" collapsed="false">
      <c r="A245" s="131" t="n">
        <v>4842</v>
      </c>
      <c r="B245" s="131" t="s">
        <v>44</v>
      </c>
      <c r="C245" s="132" t="s">
        <v>768</v>
      </c>
      <c r="D245" s="133" t="s">
        <v>768</v>
      </c>
      <c r="E245" s="134" t="n">
        <f aca="false">IF(I245="regional",IF(R245*0.2975,S245*0.3484),S245*0.1939)</f>
        <v>381498</v>
      </c>
      <c r="F245" s="134" t="n">
        <v>663000</v>
      </c>
      <c r="G245" s="135" t="n">
        <f aca="false">E245+F245</f>
        <v>1044498</v>
      </c>
      <c r="H245" s="132"/>
      <c r="I245" s="133" t="s">
        <v>48</v>
      </c>
      <c r="J245" s="133" t="s">
        <v>44</v>
      </c>
      <c r="K245" s="133" t="s">
        <v>602</v>
      </c>
      <c r="L245" s="133" t="s">
        <v>44</v>
      </c>
      <c r="M245" s="136" t="n">
        <v>38</v>
      </c>
      <c r="N245" s="136" t="n">
        <v>0.787</v>
      </c>
      <c r="O245" s="136" t="n">
        <v>0.789</v>
      </c>
      <c r="P245" s="136" t="n">
        <v>0.925</v>
      </c>
      <c r="Q245" s="136" t="n">
        <v>0.952</v>
      </c>
      <c r="R245" s="136" t="n">
        <v>1152038</v>
      </c>
      <c r="S245" s="136" t="n">
        <v>1095000</v>
      </c>
      <c r="T245" s="8" t="n">
        <f aca="false">IF(I245="regional",IF(R245&gt;0,R245*0.2975,S245*0.3484),S245*0.1939)</f>
        <v>342731.305</v>
      </c>
      <c r="U245" s="136" t="n">
        <v>564100</v>
      </c>
      <c r="V245" s="136" t="n">
        <v>530900</v>
      </c>
      <c r="W245" s="136" t="n">
        <v>6400</v>
      </c>
      <c r="X245" s="136" t="n">
        <v>1005731.305</v>
      </c>
      <c r="Y245" s="136" t="n">
        <v>342731.305</v>
      </c>
      <c r="Z245" s="136" t="n">
        <v>663000</v>
      </c>
      <c r="AA245" s="136" t="n">
        <v>432000</v>
      </c>
      <c r="AB245" s="136" t="n">
        <v>0</v>
      </c>
      <c r="AC245" s="136" t="n">
        <v>432000</v>
      </c>
      <c r="AD245" s="136" t="n">
        <v>663000</v>
      </c>
      <c r="AE245" s="136" t="n">
        <v>0</v>
      </c>
      <c r="AF245" s="136" t="n">
        <v>432000</v>
      </c>
      <c r="AG245" s="136" t="n">
        <v>0</v>
      </c>
      <c r="AH245" s="136" t="n">
        <v>1564000</v>
      </c>
      <c r="AI245" s="136" t="n">
        <v>976000</v>
      </c>
      <c r="AJ245" s="132" t="s">
        <v>721</v>
      </c>
      <c r="AK245" s="132" t="s">
        <v>108</v>
      </c>
      <c r="AL245" s="133" t="s">
        <v>48</v>
      </c>
      <c r="AM245" s="132"/>
      <c r="AN245" s="133" t="s">
        <v>768</v>
      </c>
      <c r="AO245" s="133" t="n">
        <v>1005731.305</v>
      </c>
      <c r="AP245" s="137" t="n">
        <f aca="false">AR245+AT245+AU245+AV245+AX245+AY245+AZ245+BD245+BF245+BG245+BH245+BJ245+BK245+(BL245+BM245+BN245)/1000+(0.1*BO245)</f>
        <v>927</v>
      </c>
      <c r="AQ245" s="137" t="n">
        <f aca="false">AR245+AT245+AU245+AV245+AX245+AY245+AZ245+BB245+BC245+BD245+BF245+BG245+BH245+BJ245+BK245+(BL245+BM245+BN245)/1000+(0.1*BO245)</f>
        <v>947</v>
      </c>
      <c r="AR245" s="131" t="n">
        <v>400</v>
      </c>
      <c r="AS245" s="131" t="n">
        <v>976</v>
      </c>
      <c r="AT245" s="131" t="n">
        <v>395</v>
      </c>
      <c r="AU245" s="131" t="n">
        <v>0</v>
      </c>
      <c r="AV245" s="131" t="n">
        <v>0</v>
      </c>
      <c r="AW245" s="131" t="n">
        <v>0</v>
      </c>
      <c r="AX245" s="131" t="n">
        <v>0</v>
      </c>
      <c r="AY245" s="131" t="n">
        <v>0</v>
      </c>
      <c r="AZ245" s="131" t="n">
        <v>28</v>
      </c>
      <c r="BA245" s="131" t="n">
        <v>19</v>
      </c>
      <c r="BB245" s="131" t="n">
        <v>20</v>
      </c>
      <c r="BC245" s="131" t="n">
        <v>0</v>
      </c>
      <c r="BD245" s="131" t="n">
        <v>17</v>
      </c>
      <c r="BE245" s="131" t="n">
        <v>2</v>
      </c>
      <c r="BF245" s="131" t="n">
        <v>0</v>
      </c>
      <c r="BG245" s="131" t="n">
        <v>0</v>
      </c>
      <c r="BH245" s="131" t="n">
        <v>87</v>
      </c>
      <c r="BI245" s="131" t="n">
        <v>0</v>
      </c>
      <c r="BJ245" s="131" t="n">
        <v>0</v>
      </c>
      <c r="BK245" s="131" t="n">
        <v>0</v>
      </c>
      <c r="BL245" s="131" t="n">
        <v>0</v>
      </c>
      <c r="BM245" s="131" t="n">
        <v>0</v>
      </c>
      <c r="BN245" s="131" t="n">
        <v>0</v>
      </c>
      <c r="BO245" s="131" t="n">
        <v>0</v>
      </c>
    </row>
    <row r="246" customFormat="false" ht="15" hidden="false" customHeight="true" outlineLevel="0" collapsed="false">
      <c r="A246" s="131" t="n">
        <v>4536</v>
      </c>
      <c r="B246" s="131" t="s">
        <v>44</v>
      </c>
      <c r="C246" s="132" t="s">
        <v>603</v>
      </c>
      <c r="D246" s="133" t="s">
        <v>603</v>
      </c>
      <c r="E246" s="134" t="n">
        <f aca="false">IF(I246="regional",IF(R246*0.2975,S246*0.3484),S246*0.1939)</f>
        <v>313270.1312</v>
      </c>
      <c r="F246" s="134" t="n">
        <v>0</v>
      </c>
      <c r="G246" s="135" t="n">
        <f aca="false">E246+F246</f>
        <v>313270.1312</v>
      </c>
      <c r="H246" s="132" t="s">
        <v>49</v>
      </c>
      <c r="I246" s="133" t="s">
        <v>48</v>
      </c>
      <c r="J246" s="133" t="s">
        <v>44</v>
      </c>
      <c r="K246" s="133" t="s">
        <v>604</v>
      </c>
      <c r="L246" s="133"/>
      <c r="M246" s="136" t="n">
        <v>111</v>
      </c>
      <c r="N246" s="136" t="n">
        <v>0.961</v>
      </c>
      <c r="O246" s="136" t="n">
        <v>0.96</v>
      </c>
      <c r="P246" s="136" t="n">
        <v>0.958</v>
      </c>
      <c r="Q246" s="136" t="n">
        <v>0.953</v>
      </c>
      <c r="R246" s="136" t="n">
        <v>1125920</v>
      </c>
      <c r="S246" s="136" t="n">
        <v>899168</v>
      </c>
      <c r="T246" s="8" t="n">
        <f aca="false">IF(I246="regional",IF(R246&gt;0,R246*0.2975,S246*0.3484),S246*0.1939)</f>
        <v>334961.2</v>
      </c>
      <c r="U246" s="136" t="n">
        <v>554638</v>
      </c>
      <c r="V246" s="136" t="n">
        <v>344530</v>
      </c>
      <c r="W246" s="136" t="n">
        <v>5100</v>
      </c>
      <c r="X246" s="136" t="n">
        <v>0</v>
      </c>
      <c r="Y246" s="136" t="n">
        <v>0</v>
      </c>
      <c r="Z246" s="136" t="n">
        <v>0</v>
      </c>
      <c r="AA246" s="136" t="n">
        <v>1234129.2</v>
      </c>
      <c r="AB246" s="136" t="n">
        <v>334961.2</v>
      </c>
      <c r="AC246" s="136" t="n">
        <v>899168</v>
      </c>
      <c r="AD246" s="136" t="n">
        <v>0</v>
      </c>
      <c r="AE246" s="136" t="n">
        <v>0</v>
      </c>
      <c r="AF246" s="136" t="n">
        <v>899168</v>
      </c>
      <c r="AG246" s="136" t="n">
        <v>0</v>
      </c>
      <c r="AH246" s="136" t="n">
        <v>775000</v>
      </c>
      <c r="AI246" s="136" t="n">
        <v>724000</v>
      </c>
      <c r="AJ246" s="132" t="n">
        <v>4</v>
      </c>
      <c r="AK246" s="132" t="s">
        <v>706</v>
      </c>
      <c r="AL246" s="133" t="s">
        <v>48</v>
      </c>
      <c r="AM246" s="132" t="s">
        <v>49</v>
      </c>
      <c r="AN246" s="133" t="s">
        <v>603</v>
      </c>
      <c r="AO246" s="133" t="n">
        <v>334961.2</v>
      </c>
      <c r="AP246" s="137" t="n">
        <f aca="false">AR246+AT246+AU246+AV246+AX246+AY246+AZ246+BD246+BF246+BG246+BH246+BJ246+BK246+(BL246+BM246+BN246)/1000+(0.1*BO246)</f>
        <v>289.6757</v>
      </c>
      <c r="AQ246" s="137" t="n">
        <f aca="false">AR246+AT246+AU246+AV246+AX246+AY246+AZ246+BB246+BC246+BD246+BF246+BG246+BH246+BJ246+BK246+(BL246+BM246+BN246)/1000+(0.1*BO246)</f>
        <v>297.6757</v>
      </c>
      <c r="AR246" s="131" t="n">
        <v>91</v>
      </c>
      <c r="AS246" s="131" t="n">
        <v>724</v>
      </c>
      <c r="AT246" s="131" t="n">
        <v>70</v>
      </c>
      <c r="AU246" s="131" t="n">
        <v>0</v>
      </c>
      <c r="AV246" s="131" t="n">
        <v>13</v>
      </c>
      <c r="AW246" s="131" t="n">
        <v>8</v>
      </c>
      <c r="AX246" s="131" t="n">
        <v>0</v>
      </c>
      <c r="AY246" s="131" t="n">
        <v>0</v>
      </c>
      <c r="AZ246" s="131" t="n">
        <v>0</v>
      </c>
      <c r="BA246" s="131" t="n">
        <v>29</v>
      </c>
      <c r="BB246" s="131" t="n">
        <v>8</v>
      </c>
      <c r="BC246" s="131" t="n">
        <v>0</v>
      </c>
      <c r="BD246" s="131" t="n">
        <v>0</v>
      </c>
      <c r="BE246" s="131" t="n">
        <v>0</v>
      </c>
      <c r="BF246" s="131" t="n">
        <v>0</v>
      </c>
      <c r="BG246" s="131" t="n">
        <v>0</v>
      </c>
      <c r="BH246" s="131" t="n">
        <v>0</v>
      </c>
      <c r="BI246" s="131" t="n">
        <v>0</v>
      </c>
      <c r="BJ246" s="131" t="n">
        <v>0</v>
      </c>
      <c r="BK246" s="131" t="n">
        <v>0</v>
      </c>
      <c r="BL246" s="131" t="n">
        <v>13935</v>
      </c>
      <c r="BM246" s="131" t="n">
        <v>0</v>
      </c>
      <c r="BN246" s="131" t="n">
        <v>70755</v>
      </c>
      <c r="BO246" s="131" t="n">
        <v>309.857</v>
      </c>
    </row>
    <row r="247" customFormat="false" ht="15" hidden="false" customHeight="true" outlineLevel="0" collapsed="false">
      <c r="A247" s="131" t="n">
        <v>3764</v>
      </c>
      <c r="B247" s="131"/>
      <c r="C247" s="132" t="s">
        <v>605</v>
      </c>
      <c r="D247" s="133" t="s">
        <v>605</v>
      </c>
      <c r="E247" s="134" t="n">
        <f aca="false">IF(I247="regional",IF(R247*0.2975,S247*0.3484),S247*0.1939)</f>
        <v>69704.1415</v>
      </c>
      <c r="F247" s="134" t="n">
        <v>0</v>
      </c>
      <c r="G247" s="135" t="n">
        <f aca="false">E247+F247</f>
        <v>69704.1415</v>
      </c>
      <c r="H247" s="132"/>
      <c r="I247" s="133" t="s">
        <v>62</v>
      </c>
      <c r="J247" s="133"/>
      <c r="K247" s="133" t="s">
        <v>604</v>
      </c>
      <c r="L247" s="133"/>
      <c r="M247" s="136" t="n">
        <v>30</v>
      </c>
      <c r="N247" s="136" t="n">
        <v>0.964</v>
      </c>
      <c r="O247" s="136" t="n">
        <v>0.977</v>
      </c>
      <c r="P247" s="136" t="n">
        <v>0.988</v>
      </c>
      <c r="Q247" s="136" t="n">
        <v>0.989</v>
      </c>
      <c r="R247" s="136" t="n">
        <v>0</v>
      </c>
      <c r="S247" s="136" t="n">
        <v>359485</v>
      </c>
      <c r="T247" s="8" t="n">
        <f aca="false">IF(I247="regional",IF(R247&gt;0,R247*0.2975,S247*0.3484),S247*0.1939)</f>
        <v>69704.1415</v>
      </c>
      <c r="U247" s="136" t="n">
        <v>257363</v>
      </c>
      <c r="V247" s="136" t="n">
        <v>102122</v>
      </c>
      <c r="W247" s="136" t="n">
        <v>1600</v>
      </c>
      <c r="X247" s="136" t="n">
        <v>0</v>
      </c>
      <c r="Y247" s="136" t="n">
        <v>0</v>
      </c>
      <c r="Z247" s="136" t="n">
        <v>0</v>
      </c>
      <c r="AA247" s="136" t="n">
        <v>429189.1415</v>
      </c>
      <c r="AB247" s="136" t="n">
        <v>69704.1415</v>
      </c>
      <c r="AC247" s="136" t="n">
        <v>359485</v>
      </c>
      <c r="AD247" s="136" t="n">
        <v>0</v>
      </c>
      <c r="AE247" s="136" t="n">
        <v>0</v>
      </c>
      <c r="AF247" s="136" t="n">
        <v>0</v>
      </c>
      <c r="AG247" s="136" t="n">
        <v>359485</v>
      </c>
      <c r="AH247" s="136" t="n">
        <v>0</v>
      </c>
      <c r="AI247" s="136" t="n">
        <v>0</v>
      </c>
      <c r="AJ247" s="132" t="n">
        <v>4</v>
      </c>
      <c r="AK247" s="132" t="s">
        <v>706</v>
      </c>
      <c r="AL247" s="133" t="s">
        <v>62</v>
      </c>
      <c r="AM247" s="132"/>
      <c r="AN247" s="133" t="s">
        <v>605</v>
      </c>
      <c r="AO247" s="133" t="n">
        <v>69704.1415</v>
      </c>
      <c r="AP247" s="137" t="n">
        <f aca="false">AR247+AT247+AU247+AV247+AX247+AY247+AZ247+BD247+BF247+BG247+BH247+BJ247+BK247+(BL247+BM247+BN247)/1000+(0.1*BO247)</f>
        <v>31</v>
      </c>
      <c r="AQ247" s="137" t="n">
        <f aca="false">AR247+AT247+AU247+AV247+AX247+AY247+AZ247+BB247+BC247+BD247+BF247+BG247+BH247+BJ247+BK247+(BL247+BM247+BN247)/1000+(0.1*BO247)</f>
        <v>31</v>
      </c>
      <c r="AR247" s="131" t="n">
        <v>0</v>
      </c>
      <c r="AS247" s="131" t="n">
        <v>0</v>
      </c>
      <c r="AT247" s="131" t="n">
        <v>24</v>
      </c>
      <c r="AU247" s="131" t="n">
        <v>5</v>
      </c>
      <c r="AV247" s="131" t="n">
        <v>0</v>
      </c>
      <c r="AW247" s="131" t="n">
        <v>-1</v>
      </c>
      <c r="AX247" s="131" t="n">
        <v>0</v>
      </c>
      <c r="AY247" s="131" t="n">
        <v>2</v>
      </c>
      <c r="AZ247" s="131" t="n">
        <v>0</v>
      </c>
      <c r="BA247" s="131" t="n">
        <v>21</v>
      </c>
      <c r="BB247" s="131" t="n">
        <v>0</v>
      </c>
      <c r="BC247" s="131" t="n">
        <v>0</v>
      </c>
      <c r="BD247" s="131" t="n">
        <v>0</v>
      </c>
      <c r="BE247" s="131" t="n">
        <v>0</v>
      </c>
      <c r="BF247" s="131" t="n">
        <v>0</v>
      </c>
      <c r="BG247" s="131" t="n">
        <v>0</v>
      </c>
      <c r="BH247" s="131" t="n">
        <v>0</v>
      </c>
      <c r="BI247" s="131" t="n">
        <v>0</v>
      </c>
      <c r="BJ247" s="131" t="n">
        <v>0</v>
      </c>
      <c r="BK247" s="131" t="n">
        <v>0</v>
      </c>
      <c r="BL247" s="131" t="n">
        <v>0</v>
      </c>
      <c r="BM247" s="131" t="n">
        <v>0</v>
      </c>
      <c r="BN247" s="131" t="n">
        <v>0</v>
      </c>
      <c r="BO247" s="131" t="n">
        <v>0</v>
      </c>
    </row>
    <row r="248" customFormat="false" ht="15" hidden="false" customHeight="true" outlineLevel="0" collapsed="false">
      <c r="A248" s="131" t="n">
        <v>4530</v>
      </c>
      <c r="B248" s="131" t="s">
        <v>44</v>
      </c>
      <c r="C248" s="132" t="s">
        <v>606</v>
      </c>
      <c r="D248" s="133" t="s">
        <v>606</v>
      </c>
      <c r="E248" s="134" t="n">
        <f aca="false">IF(I248="regional",IF(R248*0.2975,S248*0.3484),S248*0.1939)</f>
        <v>119077.1972</v>
      </c>
      <c r="F248" s="134" t="n">
        <v>0</v>
      </c>
      <c r="G248" s="135" t="n">
        <f aca="false">E248+F248</f>
        <v>119077.1972</v>
      </c>
      <c r="H248" s="132" t="s">
        <v>44</v>
      </c>
      <c r="I248" s="133" t="s">
        <v>48</v>
      </c>
      <c r="J248" s="133" t="s">
        <v>44</v>
      </c>
      <c r="K248" s="133" t="s">
        <v>554</v>
      </c>
      <c r="L248" s="133"/>
      <c r="M248" s="136" t="n">
        <v>45</v>
      </c>
      <c r="N248" s="136" t="n">
        <v>0.793</v>
      </c>
      <c r="O248" s="136" t="n">
        <v>0.853</v>
      </c>
      <c r="P248" s="136" t="n">
        <v>0.855</v>
      </c>
      <c r="Q248" s="136" t="n">
        <v>0.479</v>
      </c>
      <c r="R248" s="136" t="n">
        <v>403389</v>
      </c>
      <c r="S248" s="136" t="n">
        <v>341783</v>
      </c>
      <c r="T248" s="8" t="n">
        <f aca="false">IF(I248="regional",IF(R248&gt;0,R248*0.2975,S248*0.3484),S248*0.1939)</f>
        <v>120008.2275</v>
      </c>
      <c r="U248" s="136" t="n">
        <v>192321</v>
      </c>
      <c r="V248" s="136" t="n">
        <v>149462</v>
      </c>
      <c r="W248" s="136" t="n">
        <v>1875</v>
      </c>
      <c r="X248" s="136" t="n">
        <v>0</v>
      </c>
      <c r="Y248" s="136" t="n">
        <v>0</v>
      </c>
      <c r="Z248" s="136" t="n">
        <v>0</v>
      </c>
      <c r="AA248" s="136" t="n">
        <v>461791.2275</v>
      </c>
      <c r="AB248" s="136" t="n">
        <v>120008.2275</v>
      </c>
      <c r="AC248" s="136" t="n">
        <v>341783</v>
      </c>
      <c r="AD248" s="136" t="n">
        <v>0</v>
      </c>
      <c r="AE248" s="136" t="n">
        <v>0</v>
      </c>
      <c r="AF248" s="136" t="n">
        <v>341783</v>
      </c>
      <c r="AG248" s="136" t="n">
        <v>0</v>
      </c>
      <c r="AH248" s="136" t="n">
        <v>440000</v>
      </c>
      <c r="AI248" s="136" t="n">
        <v>313000</v>
      </c>
      <c r="AJ248" s="132" t="s">
        <v>707</v>
      </c>
      <c r="AK248" s="132" t="s">
        <v>729</v>
      </c>
      <c r="AL248" s="133" t="s">
        <v>62</v>
      </c>
      <c r="AM248" s="132"/>
      <c r="AN248" s="133" t="s">
        <v>606</v>
      </c>
      <c r="AO248" s="133" t="n">
        <v>120008.2275</v>
      </c>
      <c r="AP248" s="137" t="n">
        <f aca="false">AR248+AT248+AU248+AV248+AX248+AY248+AZ248+BD248+BF248+BG248+BH248+BJ248+BK248+(BL248+BM248+BN248)/1000+(0.1*BO248)</f>
        <v>149.349</v>
      </c>
      <c r="AQ248" s="137" t="n">
        <f aca="false">AR248+AT248+AU248+AV248+AX248+AY248+AZ248+BB248+BC248+BD248+BF248+BG248+BH248+BJ248+BK248+(BL248+BM248+BN248)/1000+(0.1*BO248)</f>
        <v>151.349</v>
      </c>
      <c r="AR248" s="131" t="n">
        <v>5</v>
      </c>
      <c r="AS248" s="131" t="n">
        <v>313</v>
      </c>
      <c r="AT248" s="131" t="n">
        <v>66</v>
      </c>
      <c r="AU248" s="131" t="n">
        <v>0</v>
      </c>
      <c r="AV248" s="131" t="n">
        <v>5</v>
      </c>
      <c r="AW248" s="131" t="n">
        <v>313</v>
      </c>
      <c r="AX248" s="131" t="n">
        <v>66</v>
      </c>
      <c r="AY248" s="131" t="n">
        <v>0</v>
      </c>
      <c r="AZ248" s="131" t="n">
        <v>0</v>
      </c>
      <c r="BA248" s="131" t="n">
        <v>0</v>
      </c>
      <c r="BB248" s="131" t="n">
        <v>1</v>
      </c>
      <c r="BC248" s="131" t="n">
        <v>1</v>
      </c>
      <c r="BD248" s="131" t="n">
        <v>0</v>
      </c>
      <c r="BE248" s="131" t="n">
        <v>0</v>
      </c>
      <c r="BF248" s="131" t="n">
        <v>0</v>
      </c>
      <c r="BG248" s="131" t="n">
        <v>0</v>
      </c>
      <c r="BH248" s="131" t="n">
        <v>0</v>
      </c>
      <c r="BI248" s="131" t="n">
        <v>0</v>
      </c>
      <c r="BJ248" s="131" t="n">
        <v>0</v>
      </c>
      <c r="BK248" s="131" t="n">
        <v>0</v>
      </c>
      <c r="BL248" s="131" t="n">
        <v>0</v>
      </c>
      <c r="BM248" s="131" t="n">
        <v>0</v>
      </c>
      <c r="BN248" s="131" t="n">
        <v>0</v>
      </c>
      <c r="BO248" s="131" t="n">
        <v>73.49</v>
      </c>
    </row>
    <row r="249" customFormat="false" ht="15" hidden="false" customHeight="true" outlineLevel="0" collapsed="false">
      <c r="A249" s="131" t="n">
        <v>4534</v>
      </c>
      <c r="B249" s="131"/>
      <c r="C249" s="132" t="s">
        <v>608</v>
      </c>
      <c r="D249" s="133" t="s">
        <v>608</v>
      </c>
      <c r="E249" s="134" t="n">
        <f aca="false">IF(I249="regional",IF(R249*0.2975,S249*0.3484),S249*0.1939)</f>
        <v>74305.7763</v>
      </c>
      <c r="F249" s="134" t="n">
        <v>0</v>
      </c>
      <c r="G249" s="135" t="n">
        <f aca="false">E249+F249</f>
        <v>74305.7763</v>
      </c>
      <c r="H249" s="132" t="s">
        <v>49</v>
      </c>
      <c r="I249" s="133" t="s">
        <v>62</v>
      </c>
      <c r="J249" s="133"/>
      <c r="K249" s="133" t="s">
        <v>609</v>
      </c>
      <c r="L249" s="133"/>
      <c r="M249" s="136" t="n">
        <v>20</v>
      </c>
      <c r="N249" s="136" t="n">
        <v>0.974</v>
      </c>
      <c r="O249" s="136" t="n">
        <v>0.974</v>
      </c>
      <c r="P249" s="136" t="n">
        <v>0.957</v>
      </c>
      <c r="Q249" s="136" t="n">
        <v>0.938</v>
      </c>
      <c r="R249" s="136" t="n">
        <v>0</v>
      </c>
      <c r="S249" s="136" t="n">
        <v>383217</v>
      </c>
      <c r="T249" s="8" t="n">
        <f aca="false">IF(I249="regional",IF(R249&gt;0,R249*0.2975,S249*0.3484),S249*0.1939)</f>
        <v>74305.7763</v>
      </c>
      <c r="U249" s="136" t="n">
        <v>302558</v>
      </c>
      <c r="V249" s="136" t="n">
        <v>80659</v>
      </c>
      <c r="W249" s="136" t="n">
        <v>1375</v>
      </c>
      <c r="X249" s="136" t="n">
        <v>0</v>
      </c>
      <c r="Y249" s="136" t="n">
        <v>0</v>
      </c>
      <c r="Z249" s="136" t="n">
        <v>0</v>
      </c>
      <c r="AA249" s="136" t="n">
        <v>457522.7763</v>
      </c>
      <c r="AB249" s="136" t="n">
        <v>74305.7763</v>
      </c>
      <c r="AC249" s="136" t="n">
        <v>383217</v>
      </c>
      <c r="AD249" s="136" t="n">
        <v>0</v>
      </c>
      <c r="AE249" s="136" t="n">
        <v>0</v>
      </c>
      <c r="AF249" s="136" t="n">
        <v>0</v>
      </c>
      <c r="AG249" s="136" t="n">
        <v>383217</v>
      </c>
      <c r="AH249" s="136" t="n">
        <v>0</v>
      </c>
      <c r="AI249" s="136" t="n">
        <v>0</v>
      </c>
      <c r="AJ249" s="132" t="n">
        <v>4</v>
      </c>
      <c r="AK249" s="132" t="s">
        <v>706</v>
      </c>
      <c r="AL249" s="133" t="s">
        <v>62</v>
      </c>
      <c r="AM249" s="132" t="s">
        <v>49</v>
      </c>
      <c r="AN249" s="133" t="s">
        <v>608</v>
      </c>
      <c r="AO249" s="133" t="n">
        <v>74305.7763</v>
      </c>
      <c r="AP249" s="137" t="n">
        <f aca="false">AR249+AT249+AU249+AV249+AX249+AY249+AZ249+BD249+BF249+BG249+BH249+BJ249+BK249+(BL249+BM249+BN249)/1000+(0.1*BO249)</f>
        <v>35.4144</v>
      </c>
      <c r="AQ249" s="137" t="n">
        <f aca="false">AR249+AT249+AU249+AV249+AX249+AY249+AZ249+BB249+BC249+BD249+BF249+BG249+BH249+BJ249+BK249+(BL249+BM249+BN249)/1000+(0.1*BO249)</f>
        <v>46.4144</v>
      </c>
      <c r="AR249" s="131" t="n">
        <v>0</v>
      </c>
      <c r="AS249" s="131" t="n">
        <v>0</v>
      </c>
      <c r="AT249" s="131" t="n">
        <v>13</v>
      </c>
      <c r="AU249" s="131" t="n">
        <v>7</v>
      </c>
      <c r="AV249" s="131" t="n">
        <v>0</v>
      </c>
      <c r="AW249" s="131" t="n">
        <v>0</v>
      </c>
      <c r="AX249" s="131" t="n">
        <v>0</v>
      </c>
      <c r="AY249" s="131" t="n">
        <v>3</v>
      </c>
      <c r="AZ249" s="131" t="n">
        <v>0</v>
      </c>
      <c r="BA249" s="131" t="n">
        <v>0</v>
      </c>
      <c r="BB249" s="131" t="n">
        <v>8</v>
      </c>
      <c r="BC249" s="131" t="n">
        <v>3</v>
      </c>
      <c r="BD249" s="131" t="n">
        <v>0</v>
      </c>
      <c r="BE249" s="131" t="n">
        <v>0</v>
      </c>
      <c r="BF249" s="131" t="n">
        <v>0</v>
      </c>
      <c r="BG249" s="131" t="n">
        <v>0</v>
      </c>
      <c r="BH249" s="131" t="n">
        <v>0</v>
      </c>
      <c r="BI249" s="131" t="n">
        <v>0</v>
      </c>
      <c r="BJ249" s="131" t="n">
        <v>0</v>
      </c>
      <c r="BK249" s="131" t="n">
        <v>0</v>
      </c>
      <c r="BL249" s="131" t="n">
        <v>0</v>
      </c>
      <c r="BM249" s="131" t="n">
        <v>0</v>
      </c>
      <c r="BN249" s="131" t="n">
        <v>0</v>
      </c>
      <c r="BO249" s="131" t="n">
        <v>124.144</v>
      </c>
    </row>
    <row r="250" customFormat="false" ht="15" hidden="false" customHeight="true" outlineLevel="0" collapsed="false">
      <c r="A250" s="131" t="n">
        <v>4523</v>
      </c>
      <c r="B250" s="131" t="s">
        <v>44</v>
      </c>
      <c r="C250" s="132" t="s">
        <v>610</v>
      </c>
      <c r="D250" s="133" t="s">
        <v>610</v>
      </c>
      <c r="E250" s="134" t="n">
        <f aca="false">IF(I250="regional",IF(R250*0.2975,S250*0.3484),S250*0.1939)</f>
        <v>375283.9376</v>
      </c>
      <c r="F250" s="134" t="n">
        <v>59946</v>
      </c>
      <c r="G250" s="135" t="n">
        <f aca="false">E250+F250</f>
        <v>435229.9376</v>
      </c>
      <c r="H250" s="132"/>
      <c r="I250" s="133" t="s">
        <v>48</v>
      </c>
      <c r="J250" s="133" t="s">
        <v>44</v>
      </c>
      <c r="K250" s="133" t="s">
        <v>769</v>
      </c>
      <c r="L250" s="133" t="s">
        <v>44</v>
      </c>
      <c r="M250" s="136" t="n">
        <v>145</v>
      </c>
      <c r="N250" s="136" t="n">
        <v>0.557</v>
      </c>
      <c r="O250" s="136" t="n">
        <v>0.558</v>
      </c>
      <c r="P250" s="136" t="n">
        <v>0.602</v>
      </c>
      <c r="Q250" s="136" t="n">
        <v>0.705</v>
      </c>
      <c r="R250" s="136" t="n">
        <v>1383318</v>
      </c>
      <c r="S250" s="136" t="n">
        <v>1077164</v>
      </c>
      <c r="T250" s="8" t="n">
        <f aca="false">IF(I250="regional",IF(R250&gt;0,R250*0.2975,S250*0.3484),S250*0.1939)</f>
        <v>411537.105</v>
      </c>
      <c r="U250" s="136" t="n">
        <v>691883</v>
      </c>
      <c r="V250" s="136" t="n">
        <v>385281</v>
      </c>
      <c r="W250" s="136" t="n">
        <v>5214</v>
      </c>
      <c r="X250" s="136" t="n">
        <v>471483.105</v>
      </c>
      <c r="Y250" s="136" t="n">
        <v>411537.105</v>
      </c>
      <c r="Z250" s="136" t="n">
        <v>59946</v>
      </c>
      <c r="AA250" s="136" t="n">
        <v>1017218</v>
      </c>
      <c r="AB250" s="136" t="n">
        <v>0</v>
      </c>
      <c r="AC250" s="136" t="n">
        <v>1017218</v>
      </c>
      <c r="AD250" s="136" t="n">
        <v>59946</v>
      </c>
      <c r="AE250" s="136" t="n">
        <v>0</v>
      </c>
      <c r="AF250" s="136" t="n">
        <v>1017218</v>
      </c>
      <c r="AG250" s="136" t="n">
        <v>0</v>
      </c>
      <c r="AH250" s="136" t="n">
        <v>473000</v>
      </c>
      <c r="AI250" s="136" t="n">
        <v>515000</v>
      </c>
      <c r="AJ250" s="132" t="s">
        <v>707</v>
      </c>
      <c r="AK250" s="132" t="s">
        <v>708</v>
      </c>
      <c r="AL250" s="133" t="s">
        <v>48</v>
      </c>
      <c r="AM250" s="132"/>
      <c r="AN250" s="133" t="s">
        <v>610</v>
      </c>
      <c r="AO250" s="133" t="n">
        <v>471483.105</v>
      </c>
      <c r="AP250" s="137" t="n">
        <f aca="false">AR250+AT250+AU250+AV250+AX250+AY250+AZ250+BD250+BF250+BG250+BH250+BJ250+BK250+(BL250+BM250+BN250)/1000+(0.1*BO250)</f>
        <v>410.2721</v>
      </c>
      <c r="AQ250" s="137" t="n">
        <f aca="false">AR250+AT250+AU250+AV250+AX250+AY250+AZ250+BB250+BC250+BD250+BF250+BG250+BH250+BJ250+BK250+(BL250+BM250+BN250)/1000+(0.1*BO250)</f>
        <v>410.2721</v>
      </c>
      <c r="AR250" s="131" t="n">
        <v>145</v>
      </c>
      <c r="AS250" s="131" t="n">
        <v>515</v>
      </c>
      <c r="AT250" s="131" t="n">
        <v>143</v>
      </c>
      <c r="AU250" s="131" t="n">
        <v>0</v>
      </c>
      <c r="AV250" s="131" t="n">
        <v>0</v>
      </c>
      <c r="AW250" s="131" t="n">
        <v>0</v>
      </c>
      <c r="AX250" s="131" t="n">
        <v>0</v>
      </c>
      <c r="AY250" s="131" t="n">
        <v>0</v>
      </c>
      <c r="AZ250" s="131" t="n">
        <v>0</v>
      </c>
      <c r="BA250" s="131" t="n">
        <v>0</v>
      </c>
      <c r="BB250" s="131" t="n">
        <v>0</v>
      </c>
      <c r="BC250" s="131" t="n">
        <v>0</v>
      </c>
      <c r="BD250" s="131" t="n">
        <v>0</v>
      </c>
      <c r="BE250" s="131" t="n">
        <v>0</v>
      </c>
      <c r="BF250" s="131" t="n">
        <v>0</v>
      </c>
      <c r="BG250" s="131" t="n">
        <v>0</v>
      </c>
      <c r="BH250" s="131" t="n">
        <v>14</v>
      </c>
      <c r="BI250" s="131" t="n">
        <v>1</v>
      </c>
      <c r="BJ250" s="131" t="n">
        <v>0</v>
      </c>
      <c r="BK250" s="131" t="n">
        <v>0</v>
      </c>
      <c r="BL250" s="131" t="n">
        <v>10352</v>
      </c>
      <c r="BM250" s="131" t="n">
        <v>0</v>
      </c>
      <c r="BN250" s="131" t="n">
        <v>0</v>
      </c>
      <c r="BO250" s="131" t="n">
        <v>979.201</v>
      </c>
    </row>
    <row r="251" customFormat="false" ht="15" hidden="false" customHeight="true" outlineLevel="0" collapsed="false">
      <c r="A251" s="131" t="n">
        <v>4533</v>
      </c>
      <c r="B251" s="131"/>
      <c r="C251" s="132" t="s">
        <v>612</v>
      </c>
      <c r="D251" s="133" t="s">
        <v>612</v>
      </c>
      <c r="E251" s="134" t="n">
        <f aca="false">IF(I251="regional",IF(R251*0.2975,S251*0.3484),S251*0.1939)</f>
        <v>16461.9161</v>
      </c>
      <c r="F251" s="134" t="n">
        <v>0</v>
      </c>
      <c r="G251" s="135" t="n">
        <f aca="false">E251+F251</f>
        <v>16461.9161</v>
      </c>
      <c r="H251" s="132"/>
      <c r="I251" s="133" t="s">
        <v>62</v>
      </c>
      <c r="J251" s="133"/>
      <c r="K251" s="133" t="s">
        <v>514</v>
      </c>
      <c r="L251" s="133"/>
      <c r="M251" s="136" t="n">
        <v>5</v>
      </c>
      <c r="N251" s="136" t="n">
        <v>0.923</v>
      </c>
      <c r="O251" s="136" t="n">
        <v>0.923</v>
      </c>
      <c r="P251" s="136" t="n">
        <v>0.923</v>
      </c>
      <c r="Q251" s="136" t="n">
        <v>1</v>
      </c>
      <c r="R251" s="136" t="n">
        <v>0</v>
      </c>
      <c r="S251" s="136" t="n">
        <v>84899</v>
      </c>
      <c r="T251" s="8" t="n">
        <f aca="false">IF(I251="regional",IF(R251&gt;0,R251*0.2975,S251*0.3484),S251*0.1939)</f>
        <v>16461.9161</v>
      </c>
      <c r="U251" s="136" t="n">
        <v>60000</v>
      </c>
      <c r="V251" s="136" t="n">
        <v>24899</v>
      </c>
      <c r="W251" s="136" t="n">
        <v>530</v>
      </c>
      <c r="X251" s="136" t="n">
        <v>0</v>
      </c>
      <c r="Y251" s="136" t="n">
        <v>0</v>
      </c>
      <c r="Z251" s="136" t="n">
        <v>0</v>
      </c>
      <c r="AA251" s="136" t="n">
        <v>101360.9161</v>
      </c>
      <c r="AB251" s="136" t="n">
        <v>16461.9161</v>
      </c>
      <c r="AC251" s="136" t="n">
        <v>84899</v>
      </c>
      <c r="AD251" s="136" t="n">
        <v>0</v>
      </c>
      <c r="AE251" s="136" t="n">
        <v>0</v>
      </c>
      <c r="AF251" s="136" t="n">
        <v>0</v>
      </c>
      <c r="AG251" s="136" t="n">
        <v>84899</v>
      </c>
      <c r="AH251" s="136" t="n">
        <v>0</v>
      </c>
      <c r="AI251" s="136" t="n">
        <v>0</v>
      </c>
      <c r="AJ251" s="132" t="n">
        <v>4</v>
      </c>
      <c r="AK251" s="132" t="s">
        <v>728</v>
      </c>
      <c r="AL251" s="133" t="s">
        <v>62</v>
      </c>
      <c r="AM251" s="132"/>
      <c r="AN251" s="133" t="s">
        <v>612</v>
      </c>
      <c r="AO251" s="133" t="n">
        <v>16461.9161</v>
      </c>
      <c r="AP251" s="137" t="n">
        <f aca="false">AR251+AT251+AU251+AV251+AX251+AY251+AZ251+BD251+BF251+BG251+BH251+BJ251+BK251+(BL251+BM251+BN251)/1000+(0.1*BO251)</f>
        <v>4</v>
      </c>
      <c r="AQ251" s="137" t="n">
        <f aca="false">AR251+AT251+AU251+AV251+AX251+AY251+AZ251+BB251+BC251+BD251+BF251+BG251+BH251+BJ251+BK251+(BL251+BM251+BN251)/1000+(0.1*BO251)</f>
        <v>6</v>
      </c>
      <c r="AR251" s="131" t="n">
        <v>0</v>
      </c>
      <c r="AS251" s="131" t="n">
        <v>0</v>
      </c>
      <c r="AT251" s="131" t="n">
        <v>4</v>
      </c>
      <c r="AU251" s="131" t="n">
        <v>0</v>
      </c>
      <c r="AV251" s="131" t="n">
        <v>0</v>
      </c>
      <c r="AW251" s="131" t="n">
        <v>0</v>
      </c>
      <c r="AX251" s="131" t="n">
        <v>0</v>
      </c>
      <c r="AY251" s="131" t="n">
        <v>0</v>
      </c>
      <c r="AZ251" s="131" t="n">
        <v>0</v>
      </c>
      <c r="BA251" s="131" t="n">
        <v>0</v>
      </c>
      <c r="BB251" s="131" t="n">
        <v>1</v>
      </c>
      <c r="BC251" s="131" t="n">
        <v>1</v>
      </c>
      <c r="BD251" s="131" t="n">
        <v>0</v>
      </c>
      <c r="BE251" s="131" t="n">
        <v>0</v>
      </c>
      <c r="BF251" s="131" t="n">
        <v>0</v>
      </c>
      <c r="BG251" s="131" t="n">
        <v>0</v>
      </c>
      <c r="BH251" s="131" t="n">
        <v>0</v>
      </c>
      <c r="BI251" s="131" t="n">
        <v>0</v>
      </c>
      <c r="BJ251" s="131" t="n">
        <v>0</v>
      </c>
      <c r="BK251" s="131" t="n">
        <v>0</v>
      </c>
      <c r="BL251" s="131" t="n">
        <v>0</v>
      </c>
      <c r="BM251" s="131" t="n">
        <v>0</v>
      </c>
      <c r="BN251" s="131" t="n">
        <v>0</v>
      </c>
      <c r="BO251" s="131" t="n">
        <v>0</v>
      </c>
    </row>
    <row r="252" customFormat="false" ht="12.75" hidden="false" customHeight="false" outlineLevel="0" collapsed="false">
      <c r="A252" s="158" t="n">
        <v>9855</v>
      </c>
      <c r="B252" s="158"/>
      <c r="C252" s="196" t="s">
        <v>615</v>
      </c>
      <c r="D252" s="197" t="s">
        <v>615</v>
      </c>
      <c r="E252" s="134" t="n">
        <f aca="false">IF(I252="regional",IF(R252*0.2975,S252*0.3484),S252*0.1939)</f>
        <v>276371.784</v>
      </c>
      <c r="F252" s="198" t="n">
        <v>0</v>
      </c>
      <c r="G252" s="135" t="n">
        <f aca="false">E252+F252</f>
        <v>276371.784</v>
      </c>
      <c r="H252" s="196"/>
      <c r="I252" s="197" t="s">
        <v>48</v>
      </c>
      <c r="J252" s="197" t="s">
        <v>49</v>
      </c>
      <c r="K252" s="197" t="s">
        <v>421</v>
      </c>
      <c r="L252" s="197"/>
      <c r="M252" s="199" t="n">
        <v>102</v>
      </c>
      <c r="N252" s="199" t="n">
        <v>0.579</v>
      </c>
      <c r="O252" s="199" t="n">
        <v>0.624</v>
      </c>
      <c r="P252" s="199" t="n">
        <v>0.511</v>
      </c>
      <c r="Q252" s="199" t="n">
        <v>0.533</v>
      </c>
      <c r="R252" s="199" t="n">
        <v>825921</v>
      </c>
      <c r="S252" s="199" t="n">
        <v>793260</v>
      </c>
      <c r="T252" s="8" t="n">
        <f aca="false">IF(I252="regional",IF(R252&gt;0,R252*0.2975,S252*0.3484),S252*0.1939)</f>
        <v>245711.4975</v>
      </c>
      <c r="U252" s="199" t="n">
        <v>538792</v>
      </c>
      <c r="V252" s="199" t="n">
        <v>254468</v>
      </c>
      <c r="W252" s="199" t="n">
        <v>3520</v>
      </c>
      <c r="X252" s="199" t="n">
        <v>0</v>
      </c>
      <c r="Y252" s="199" t="n">
        <v>0</v>
      </c>
      <c r="Z252" s="199" t="n">
        <v>0</v>
      </c>
      <c r="AA252" s="199" t="n">
        <v>1038971.498</v>
      </c>
      <c r="AB252" s="199" t="n">
        <v>245711.4975</v>
      </c>
      <c r="AC252" s="199" t="n">
        <v>793260</v>
      </c>
      <c r="AD252" s="199" t="n">
        <v>0</v>
      </c>
      <c r="AE252" s="199" t="n">
        <v>0</v>
      </c>
      <c r="AF252" s="199" t="n">
        <v>0</v>
      </c>
      <c r="AG252" s="199" t="n">
        <v>793260</v>
      </c>
      <c r="AH252" s="199" t="n">
        <v>0</v>
      </c>
      <c r="AI252" s="199" t="n">
        <v>0</v>
      </c>
      <c r="AJ252" s="196" t="n">
        <v>4</v>
      </c>
      <c r="AK252" s="196" t="s">
        <v>720</v>
      </c>
      <c r="AL252" s="197" t="s">
        <v>48</v>
      </c>
      <c r="AM252" s="196"/>
      <c r="AN252" s="197" t="s">
        <v>615</v>
      </c>
      <c r="AO252" s="197" t="n">
        <v>245711.4975</v>
      </c>
      <c r="AP252" s="200" t="n">
        <f aca="false">AR252+AT252+AU252+AV252+AX252+AY252+AZ252+BD252+BF252+BG252+BH252+BJ252+BK252+(BL252+BM252+BN252)/1000+(0.1*BO252)</f>
        <v>281</v>
      </c>
      <c r="AQ252" s="137" t="n">
        <f aca="false">AR252+AT252+AU252+AV252+AX252+AY252+AZ252+BB252+BC252+BD252+BF252+BG252+BH252+BJ252+BK252+(BL252+BM252+BN252)/1000+(0.1*BO252)</f>
        <v>291</v>
      </c>
      <c r="AR252" s="158" t="n">
        <v>0</v>
      </c>
      <c r="AS252" s="158" t="n">
        <v>0</v>
      </c>
      <c r="AT252" s="158" t="n">
        <v>249</v>
      </c>
      <c r="AU252" s="158" t="n">
        <v>22</v>
      </c>
      <c r="AV252" s="158" t="n">
        <v>0</v>
      </c>
      <c r="AW252" s="158" t="n">
        <v>0</v>
      </c>
      <c r="AX252" s="158" t="n">
        <v>10</v>
      </c>
      <c r="AY252" s="158" t="n">
        <v>0</v>
      </c>
      <c r="AZ252" s="158" t="n">
        <v>0</v>
      </c>
      <c r="BA252" s="158" t="n">
        <v>0</v>
      </c>
      <c r="BB252" s="158" t="n">
        <v>7</v>
      </c>
      <c r="BC252" s="158" t="n">
        <v>3</v>
      </c>
      <c r="BD252" s="158" t="n">
        <v>0</v>
      </c>
      <c r="BE252" s="158" t="n">
        <v>0</v>
      </c>
      <c r="BF252" s="158" t="n">
        <v>0</v>
      </c>
      <c r="BG252" s="158" t="n">
        <v>0</v>
      </c>
      <c r="BH252" s="158" t="n">
        <v>0</v>
      </c>
      <c r="BI252" s="158" t="n">
        <v>0</v>
      </c>
      <c r="BJ252" s="158" t="n">
        <v>0</v>
      </c>
      <c r="BK252" s="158" t="n">
        <v>0</v>
      </c>
      <c r="BL252" s="158" t="n">
        <v>0</v>
      </c>
      <c r="BM252" s="158" t="n">
        <v>0</v>
      </c>
      <c r="BN252" s="158" t="n">
        <v>0</v>
      </c>
      <c r="BO252" s="158" t="n">
        <v>0</v>
      </c>
      <c r="BP252" s="160"/>
      <c r="BQ252" s="160"/>
      <c r="BR252" s="160"/>
      <c r="BS252" s="160"/>
      <c r="BT252" s="160"/>
      <c r="BU252" s="160"/>
      <c r="BV252" s="160"/>
      <c r="BW252" s="160"/>
      <c r="BX252" s="160"/>
      <c r="BY252" s="160"/>
      <c r="BZ252" s="160"/>
      <c r="CA252" s="160"/>
      <c r="CB252" s="160"/>
      <c r="CC252" s="160"/>
      <c r="CD252" s="160"/>
      <c r="CE252" s="160"/>
      <c r="CF252" s="160"/>
      <c r="CG252" s="160"/>
      <c r="CH252" s="160"/>
      <c r="CI252" s="160"/>
      <c r="CJ252" s="160"/>
      <c r="CK252" s="160"/>
      <c r="CL252" s="160"/>
      <c r="CM252" s="160"/>
      <c r="CN252" s="160"/>
      <c r="CO252" s="160"/>
      <c r="CP252" s="160"/>
      <c r="CQ252" s="160"/>
      <c r="CR252" s="160"/>
      <c r="CS252" s="160"/>
      <c r="CT252" s="160"/>
      <c r="CU252" s="160"/>
      <c r="CV252" s="160"/>
      <c r="CW252" s="160"/>
      <c r="CX252" s="160"/>
      <c r="CY252" s="160"/>
      <c r="CZ252" s="160"/>
      <c r="DA252" s="160"/>
      <c r="DB252" s="160"/>
      <c r="DC252" s="160"/>
      <c r="DD252" s="160"/>
      <c r="DE252" s="160"/>
      <c r="DF252" s="160"/>
      <c r="DG252" s="160"/>
      <c r="DH252" s="160"/>
    </row>
    <row r="253" customFormat="false" ht="12.75" hidden="false" customHeight="false" outlineLevel="0" collapsed="false">
      <c r="A253" s="158" t="n">
        <v>4612</v>
      </c>
      <c r="B253" s="158"/>
      <c r="C253" s="196" t="s">
        <v>616</v>
      </c>
      <c r="D253" s="197" t="s">
        <v>616</v>
      </c>
      <c r="E253" s="134" t="n">
        <f aca="false">IF(I253="regional",IF(R253*0.2975,S253*0.3484),S253*0.1939)</f>
        <v>51471.1428</v>
      </c>
      <c r="F253" s="198" t="n">
        <v>0</v>
      </c>
      <c r="G253" s="201" t="n">
        <f aca="false">E253+F253</f>
        <v>51471.1428</v>
      </c>
      <c r="H253" s="196" t="s">
        <v>49</v>
      </c>
      <c r="I253" s="197" t="s">
        <v>62</v>
      </c>
      <c r="J253" s="197"/>
      <c r="K253" s="197" t="s">
        <v>98</v>
      </c>
      <c r="L253" s="197"/>
      <c r="M253" s="199" t="n">
        <v>18</v>
      </c>
      <c r="N253" s="199" t="n">
        <v>0.997</v>
      </c>
      <c r="O253" s="199" t="n">
        <v>0.997</v>
      </c>
      <c r="P253" s="199" t="n">
        <v>1</v>
      </c>
      <c r="Q253" s="199" t="n">
        <v>0.952</v>
      </c>
      <c r="R253" s="199" t="n">
        <v>0</v>
      </c>
      <c r="S253" s="199" t="n">
        <v>265452</v>
      </c>
      <c r="T253" s="8" t="n">
        <f aca="false">IF(I253="regional",IF(R253&gt;0,R253*0.2975,S253*0.3484),S253*0.1939)</f>
        <v>51471.1428</v>
      </c>
      <c r="U253" s="199" t="n">
        <v>222664</v>
      </c>
      <c r="V253" s="199" t="n">
        <v>42788</v>
      </c>
      <c r="W253" s="199" t="n">
        <v>0</v>
      </c>
      <c r="X253" s="199" t="n">
        <v>0</v>
      </c>
      <c r="Y253" s="199" t="n">
        <v>0</v>
      </c>
      <c r="Z253" s="199" t="n">
        <v>0</v>
      </c>
      <c r="AA253" s="199" t="n">
        <v>316923.1428</v>
      </c>
      <c r="AB253" s="199" t="n">
        <v>51471.1428</v>
      </c>
      <c r="AC253" s="199" t="n">
        <v>265452</v>
      </c>
      <c r="AD253" s="199" t="n">
        <v>0</v>
      </c>
      <c r="AE253" s="199" t="n">
        <v>0</v>
      </c>
      <c r="AF253" s="199" t="n">
        <v>0</v>
      </c>
      <c r="AG253" s="199" t="n">
        <v>265452</v>
      </c>
      <c r="AH253" s="199" t="n">
        <v>0</v>
      </c>
      <c r="AI253" s="199" t="n">
        <v>0</v>
      </c>
      <c r="AJ253" s="196" t="n">
        <v>4</v>
      </c>
      <c r="AK253" s="196" t="s">
        <v>706</v>
      </c>
      <c r="AL253" s="197" t="s">
        <v>62</v>
      </c>
      <c r="AM253" s="196" t="s">
        <v>49</v>
      </c>
      <c r="AN253" s="197" t="s">
        <v>616</v>
      </c>
      <c r="AO253" s="197" t="n">
        <v>51471.1428</v>
      </c>
      <c r="AP253" s="200" t="n">
        <f aca="false">AR253+AT253+AU253+AV253+AX253+AY253+AZ253+BD253+BF253+BG253+BH253+BJ253+BK253+(BL253+BM253+BN253)/1000+(0.1*BO253)</f>
        <v>14</v>
      </c>
      <c r="AQ253" s="137" t="n">
        <f aca="false">AR253+AT253+AU253+AV253+AX253+AY253+AZ253+BB253+BC253+BD253+BF253+BG253+BH253+BJ253+BK253+(BL253+BM253+BN253)/1000+(0.1*BO253)</f>
        <v>22</v>
      </c>
      <c r="AR253" s="158" t="n">
        <v>0</v>
      </c>
      <c r="AS253" s="158" t="n">
        <v>0</v>
      </c>
      <c r="AT253" s="158" t="n">
        <v>7</v>
      </c>
      <c r="AU253" s="158" t="n">
        <v>7</v>
      </c>
      <c r="AV253" s="158" t="n">
        <v>0</v>
      </c>
      <c r="AW253" s="158" t="n">
        <v>0</v>
      </c>
      <c r="AX253" s="158" t="n">
        <v>0</v>
      </c>
      <c r="AY253" s="158" t="n">
        <v>0</v>
      </c>
      <c r="AZ253" s="158" t="n">
        <v>0</v>
      </c>
      <c r="BA253" s="158" t="n">
        <v>5</v>
      </c>
      <c r="BB253" s="158" t="n">
        <v>8</v>
      </c>
      <c r="BC253" s="158" t="n">
        <v>0</v>
      </c>
      <c r="BD253" s="158" t="n">
        <v>0</v>
      </c>
      <c r="BE253" s="158" t="n">
        <v>0</v>
      </c>
      <c r="BF253" s="158" t="n">
        <v>0</v>
      </c>
      <c r="BG253" s="158" t="n">
        <v>0</v>
      </c>
      <c r="BH253" s="158" t="n">
        <v>0</v>
      </c>
      <c r="BI253" s="158" t="n">
        <v>0</v>
      </c>
      <c r="BJ253" s="158" t="n">
        <v>0</v>
      </c>
      <c r="BK253" s="158" t="n">
        <v>0</v>
      </c>
      <c r="BL253" s="158" t="n">
        <v>0</v>
      </c>
      <c r="BM253" s="158" t="n">
        <v>0</v>
      </c>
      <c r="BN253" s="158" t="n">
        <v>0</v>
      </c>
      <c r="BO253" s="158" t="n">
        <v>0</v>
      </c>
      <c r="BP253" s="160"/>
      <c r="BQ253" s="160"/>
      <c r="BR253" s="160"/>
      <c r="BS253" s="160"/>
      <c r="BT253" s="160"/>
      <c r="BU253" s="160"/>
      <c r="BV253" s="160"/>
      <c r="BW253" s="160"/>
      <c r="BX253" s="160"/>
      <c r="BY253" s="160"/>
      <c r="BZ253" s="160"/>
      <c r="CA253" s="160"/>
      <c r="CB253" s="160"/>
      <c r="CC253" s="160"/>
      <c r="CD253" s="160"/>
      <c r="CE253" s="160"/>
      <c r="CF253" s="160"/>
      <c r="CG253" s="160"/>
      <c r="CH253" s="160"/>
      <c r="CI253" s="160"/>
      <c r="CJ253" s="160"/>
      <c r="CK253" s="160"/>
      <c r="CL253" s="160"/>
      <c r="CM253" s="160"/>
      <c r="CN253" s="160"/>
      <c r="CO253" s="160"/>
      <c r="CP253" s="160"/>
      <c r="CQ253" s="160"/>
      <c r="CR253" s="160"/>
      <c r="CS253" s="160"/>
      <c r="CT253" s="160"/>
      <c r="CU253" s="160"/>
      <c r="CV253" s="160"/>
      <c r="CW253" s="160"/>
      <c r="CX253" s="160"/>
      <c r="CY253" s="160"/>
      <c r="CZ253" s="160"/>
      <c r="DA253" s="160"/>
      <c r="DB253" s="160"/>
      <c r="DC253" s="160"/>
      <c r="DD253" s="160"/>
      <c r="DE253" s="160"/>
      <c r="DF253" s="160"/>
      <c r="DG253" s="160"/>
      <c r="DH253" s="160"/>
    </row>
    <row r="254" customFormat="false" ht="12.75" hidden="false" customHeight="false" outlineLevel="0" collapsed="false">
      <c r="A254" s="61"/>
      <c r="B254" s="61"/>
      <c r="C254" s="202"/>
      <c r="D254" s="202"/>
      <c r="E254" s="202"/>
      <c r="F254" s="202"/>
      <c r="G254" s="202"/>
      <c r="H254" s="202"/>
      <c r="I254" s="202"/>
      <c r="J254" s="202"/>
      <c r="K254" s="202" t="n">
        <f aca="false">COUNTIF(L2:L253,"y")</f>
        <v>52</v>
      </c>
      <c r="L254" s="202"/>
      <c r="M254" s="202"/>
      <c r="N254" s="202"/>
      <c r="O254" s="202"/>
      <c r="P254" s="202"/>
      <c r="Q254" s="202"/>
      <c r="R254" s="202"/>
      <c r="S254" s="202"/>
      <c r="T254" s="202"/>
      <c r="U254" s="202"/>
      <c r="V254" s="202"/>
      <c r="W254" s="202"/>
      <c r="X254" s="202"/>
      <c r="Y254" s="202"/>
      <c r="Z254" s="202"/>
      <c r="AA254" s="202"/>
      <c r="AB254" s="202"/>
      <c r="AC254" s="202"/>
      <c r="AD254" s="202"/>
      <c r="AE254" s="202"/>
      <c r="AF254" s="202"/>
      <c r="AG254" s="202"/>
      <c r="AH254" s="202"/>
      <c r="AI254" s="202"/>
      <c r="AJ254" s="202"/>
      <c r="AK254" s="202"/>
      <c r="AL254" s="202"/>
      <c r="AM254" s="202"/>
      <c r="AN254" s="202"/>
      <c r="AO254" s="202"/>
      <c r="AP254" s="202"/>
      <c r="AQ254" s="202" t="n">
        <f aca="false">SUM(AQ2:AQ253)</f>
        <v>88892.364233</v>
      </c>
      <c r="AR254" s="202" t="n">
        <f aca="false">SUM(AR2:AR253)</f>
        <v>22774</v>
      </c>
      <c r="AS254" s="202" t="n">
        <f aca="false">SUM(AS2:AS253)</f>
        <v>50239</v>
      </c>
      <c r="AT254" s="202" t="n">
        <f aca="false">SUM(AT2:AT253)</f>
        <v>32961</v>
      </c>
      <c r="AU254" s="202" t="n">
        <f aca="false">SUM(AU2:AU253)</f>
        <v>2359</v>
      </c>
      <c r="AV254" s="202" t="n">
        <f aca="false">SUM(AV2:AV253)</f>
        <v>871</v>
      </c>
      <c r="AW254" s="203" t="n">
        <f aca="false">SUM(AW2:AW253)</f>
        <v>928</v>
      </c>
      <c r="AX254" s="202" t="n">
        <f aca="false">SUM(AX2:AX253)</f>
        <v>1052</v>
      </c>
      <c r="AY254" s="202" t="n">
        <f aca="false">SUM(AY2:AY253)</f>
        <v>207</v>
      </c>
      <c r="AZ254" s="202" t="n">
        <f aca="false">SUM(AZ2:AZ253)</f>
        <v>2064</v>
      </c>
      <c r="BA254" s="202" t="n">
        <f aca="false">SUM(BA2:BA253)</f>
        <v>3952</v>
      </c>
      <c r="BB254" s="202" t="n">
        <f aca="false">SUM(BB2:BB253)</f>
        <v>6439</v>
      </c>
      <c r="BC254" s="202" t="n">
        <f aca="false">SUM(BC2:BC253)</f>
        <v>464</v>
      </c>
      <c r="BD254" s="202" t="n">
        <f aca="false">SUM(BD2:BD253)</f>
        <v>2694</v>
      </c>
      <c r="BE254" s="202" t="n">
        <f aca="false">SUM(BE2:BE253)</f>
        <v>24</v>
      </c>
      <c r="BF254" s="202" t="n">
        <f aca="false">SUM(BF2:BF253)</f>
        <v>0</v>
      </c>
      <c r="BG254" s="202" t="n">
        <f aca="false">SUM(BG2:BG253)</f>
        <v>0</v>
      </c>
      <c r="BH254" s="202" t="n">
        <f aca="false">SUM(BH2:BH253)</f>
        <v>5047</v>
      </c>
      <c r="BI254" s="202" t="n">
        <f aca="false">SUM(BI2:BI253)</f>
        <v>82</v>
      </c>
      <c r="BJ254" s="202" t="n">
        <f aca="false">SUM(BJ2:BJ253)</f>
        <v>0</v>
      </c>
      <c r="BK254" s="202" t="n">
        <f aca="false">SUM(BK2:BK253)</f>
        <v>0</v>
      </c>
      <c r="BL254" s="202" t="n">
        <f aca="false">SUM(BL2:BL253)</f>
        <v>1896076</v>
      </c>
      <c r="BM254" s="202" t="n">
        <f aca="false">SUM(BM2:BM253)</f>
        <v>684022</v>
      </c>
      <c r="BN254" s="202" t="n">
        <f aca="false">SUM(BN2:BN253)</f>
        <v>2696101</v>
      </c>
      <c r="BO254" s="202" t="n">
        <f aca="false">SUM(BO2:BO253)</f>
        <v>66841.65233</v>
      </c>
    </row>
    <row r="255" customFormat="false" ht="13.5" hidden="false" customHeight="false" outlineLevel="0" collapsed="false">
      <c r="A255" s="204"/>
      <c r="B255" s="204"/>
      <c r="C255" s="205"/>
      <c r="D255" s="205"/>
      <c r="E255" s="205"/>
      <c r="F255" s="205"/>
      <c r="G255" s="205"/>
      <c r="H255" s="205"/>
      <c r="I255" s="205"/>
      <c r="J255" s="205"/>
      <c r="K255" s="205"/>
      <c r="L255" s="205"/>
      <c r="M255" s="205"/>
      <c r="N255" s="205"/>
      <c r="O255" s="205"/>
      <c r="P255" s="205"/>
      <c r="Q255" s="205"/>
      <c r="R255" s="205"/>
      <c r="S255" s="205"/>
      <c r="T255" s="205"/>
      <c r="U255" s="205"/>
      <c r="V255" s="205"/>
      <c r="W255" s="205"/>
      <c r="X255" s="205"/>
      <c r="Y255" s="205"/>
      <c r="Z255" s="205"/>
      <c r="AA255" s="205"/>
      <c r="AB255" s="205"/>
      <c r="AC255" s="205"/>
      <c r="AD255" s="205"/>
      <c r="AE255" s="205"/>
      <c r="AF255" s="205"/>
      <c r="AG255" s="205"/>
      <c r="AH255" s="205"/>
      <c r="AI255" s="205"/>
      <c r="AJ255" s="205"/>
      <c r="AK255" s="205"/>
      <c r="AL255" s="205"/>
      <c r="AM255" s="205"/>
      <c r="AN255" s="205"/>
      <c r="AO255" s="205"/>
      <c r="AP255" s="206"/>
      <c r="AQ255" s="206"/>
      <c r="AR255" s="207" t="n">
        <f aca="false">AR254-SUMIF($AM$2:$AM$253,"n",AR2:AR253)</f>
        <v>16777</v>
      </c>
      <c r="AS255" s="208" t="n">
        <f aca="false">AS254-SUMIF($AM$2:$AM$253,"n",AS2:AS253)</f>
        <v>34563</v>
      </c>
      <c r="AT255" s="207" t="n">
        <f aca="false">AT254-SUMIF($AM$2:$AM$253,"n",AT2:AT253)</f>
        <v>23212</v>
      </c>
      <c r="AU255" s="207" t="n">
        <f aca="false">AU254-SUMIF($AM$2:$AM$253,"n",AU2:AU253)</f>
        <v>1954</v>
      </c>
      <c r="AV255" s="207" t="n">
        <f aca="false">AV254-SUMIF($AM$2:$AM$253,"n",AV2:AV253)</f>
        <v>466</v>
      </c>
      <c r="AW255" s="208" t="n">
        <f aca="false">AW254-SUMIF($AM$2:$AM$253,"n",AW2:AW253)</f>
        <v>523</v>
      </c>
      <c r="AX255" s="207" t="n">
        <f aca="false">AX254-SUMIF($AM$2:$AM$253,"n",AX2:AX253)</f>
        <v>845</v>
      </c>
      <c r="AY255" s="207" t="n">
        <f aca="false">AY254-SUMIF($AM$2:$AM$253,"n",AY2:AY253)</f>
        <v>175</v>
      </c>
      <c r="AZ255" s="207" t="n">
        <f aca="false">AZ254-SUMIF($AM$2:$AM$253,"n",AZ2:AZ253)</f>
        <v>748</v>
      </c>
      <c r="BA255" s="208" t="n">
        <f aca="false">BA254-SUMIF($AM$2:$AM$253,"n",BA2:BA253)</f>
        <v>2348</v>
      </c>
      <c r="BB255" s="208" t="n">
        <f aca="false">BB254-SUMIF($AM$2:$AM$253,"n",BB2:BB253)</f>
        <v>4762</v>
      </c>
      <c r="BC255" s="208" t="n">
        <f aca="false">BC254-SUMIF($AM$2:$AM$253,"n",BC2:BC253)</f>
        <v>421</v>
      </c>
      <c r="BD255" s="207" t="n">
        <f aca="false">BD254-SUMIF($AM$2:$AM$253,"n",BD2:BD253)</f>
        <v>1915</v>
      </c>
      <c r="BE255" s="208" t="n">
        <f aca="false">BE254-SUMIF($AM$2:$AM$253,"n",BE2:BE253)</f>
        <v>23</v>
      </c>
      <c r="BF255" s="208" t="n">
        <f aca="false">BF254-SUMIF($AM$2:$AM$253,"n",BF2:BF253)</f>
        <v>0</v>
      </c>
      <c r="BG255" s="208" t="n">
        <f aca="false">BG254-SUMIF($AM$2:$AM$253,"n",BG2:BG253)</f>
        <v>0</v>
      </c>
      <c r="BH255" s="207" t="n">
        <f aca="false">BH254-SUMIF($AM$2:$AM$253,"n",BH2:BH253)</f>
        <v>3526</v>
      </c>
      <c r="BI255" s="208" t="n">
        <f aca="false">BI254-SUMIF($AM$2:$AM$253,"n",BI2:BI253)</f>
        <v>43</v>
      </c>
      <c r="BJ255" s="208" t="n">
        <f aca="false">BJ254-SUMIF($AM$2:$AM$253,"n",BJ2:BJ253)</f>
        <v>0</v>
      </c>
      <c r="BK255" s="208" t="n">
        <f aca="false">BK254-SUMIF($AM$2:$AM$253,"n",BK2:BK253)</f>
        <v>0</v>
      </c>
      <c r="BL255" s="207" t="n">
        <f aca="false">BL254-SUMIF($AM$2:$AM$253,"n",BL2:BL253)</f>
        <v>1417657</v>
      </c>
      <c r="BM255" s="207" t="n">
        <f aca="false">BM254-SUMIF($AM$2:$AM$253,"n",BM2:BM253)</f>
        <v>184376</v>
      </c>
      <c r="BN255" s="207" t="n">
        <f aca="false">BN254-SUMIF($AM$2:$AM$253,"n",BN2:BN253)</f>
        <v>2196215</v>
      </c>
      <c r="BO255" s="207" t="n">
        <f aca="false">BO254-SUMIF($AM$2:$AM$253,"n",BO2:BO253)</f>
        <v>50061.32356</v>
      </c>
    </row>
    <row r="256" customFormat="false" ht="13.5" hidden="false" customHeight="false" outlineLevel="0" collapsed="false"/>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4" pageOrder="downThenOver" orientation="landscape" blackAndWhite="false" draft="false" cellComments="none" horizontalDpi="300" verticalDpi="300" copies="1"/>
  <headerFooter differentFirst="false" differentOddEven="false">
    <oddHeader/>
    <oddFooter/>
  </headerFooter>
  <legacyDrawing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J90"/>
  <sheetViews>
    <sheetView showFormulas="false" showGridLines="true" showRowColHeaders="true" showZeros="true" rightToLeft="false" tabSelected="false" showOutlineSymbols="true" defaultGridColor="true" view="normal" topLeftCell="A10" colorId="64" zoomScale="100" zoomScaleNormal="100" zoomScalePageLayoutView="100" workbookViewId="0">
      <selection pane="topLeft" activeCell="D41" activeCellId="0" sqref="D41:D64"/>
    </sheetView>
  </sheetViews>
  <sheetFormatPr defaultColWidth="9.0546875" defaultRowHeight="12.75" customHeight="true" zeroHeight="false" outlineLevelRow="0" outlineLevelCol="0"/>
  <cols>
    <col collapsed="false" customWidth="true" hidden="false" outlineLevel="0" max="1" min="1" style="0" width="3.56"/>
    <col collapsed="false" customWidth="true" hidden="false" outlineLevel="0" max="2" min="2" style="0" width="23.14"/>
    <col collapsed="false" customWidth="true" hidden="false" outlineLevel="0" max="3" min="3" style="0" width="14.85"/>
    <col collapsed="false" customWidth="true" hidden="false" outlineLevel="0" max="5" min="4" style="0" width="14.7"/>
    <col collapsed="false" customWidth="true" hidden="false" outlineLevel="0" max="7" min="6" style="0" width="16.28"/>
    <col collapsed="false" customWidth="true" hidden="false" outlineLevel="0" max="8" min="8" style="0" width="23.7"/>
    <col collapsed="false" customWidth="true" hidden="false" outlineLevel="0" max="9" min="9" style="0" width="2.56"/>
  </cols>
  <sheetData>
    <row r="1" customFormat="false" ht="18" hidden="false" customHeight="false" outlineLevel="0" collapsed="false">
      <c r="A1" s="556"/>
      <c r="B1" s="931" t="s">
        <v>1473</v>
      </c>
      <c r="C1" s="556"/>
      <c r="D1" s="556"/>
      <c r="E1" s="556"/>
      <c r="F1" s="556"/>
      <c r="H1" s="932" t="s">
        <v>2</v>
      </c>
      <c r="I1" s="556"/>
      <c r="J1" s="556"/>
    </row>
    <row r="2" customFormat="false" ht="7.5" hidden="false" customHeight="true" outlineLevel="0" collapsed="false">
      <c r="A2" s="556"/>
      <c r="B2" s="556"/>
      <c r="C2" s="556"/>
      <c r="D2" s="556"/>
      <c r="E2" s="556"/>
      <c r="F2" s="556"/>
      <c r="G2" s="556"/>
      <c r="H2" s="556"/>
      <c r="I2" s="556"/>
      <c r="J2" s="556"/>
    </row>
    <row r="3" customFormat="false" ht="15.75" hidden="false" customHeight="false" outlineLevel="0" collapsed="false">
      <c r="A3" s="556"/>
      <c r="B3" s="933" t="s">
        <v>1474</v>
      </c>
      <c r="C3" s="933"/>
      <c r="D3" s="933"/>
      <c r="E3" s="933"/>
      <c r="F3" s="933"/>
      <c r="G3" s="933"/>
      <c r="H3" s="933"/>
      <c r="I3" s="556"/>
      <c r="J3" s="556"/>
    </row>
    <row r="4" customFormat="false" ht="9.75" hidden="false" customHeight="true" outlineLevel="0" collapsed="false">
      <c r="A4" s="556"/>
      <c r="B4" s="556"/>
      <c r="C4" s="556"/>
      <c r="D4" s="556"/>
      <c r="E4" s="556"/>
      <c r="F4" s="556"/>
      <c r="G4" s="556"/>
      <c r="H4" s="556"/>
      <c r="I4" s="556"/>
      <c r="J4" s="556"/>
    </row>
    <row r="5" customFormat="false" ht="15.75" hidden="false" customHeight="true" outlineLevel="0" collapsed="false">
      <c r="A5" s="556"/>
      <c r="D5" s="934" t="s">
        <v>1475</v>
      </c>
      <c r="E5" s="935" t="s">
        <v>1476</v>
      </c>
      <c r="F5" s="935"/>
      <c r="G5" s="556"/>
      <c r="H5" s="556"/>
      <c r="I5" s="556"/>
      <c r="J5" s="556"/>
    </row>
    <row r="6" customFormat="false" ht="12.75" hidden="false" customHeight="false" outlineLevel="0" collapsed="false">
      <c r="A6" s="556"/>
      <c r="D6" s="936" t="s">
        <v>1477</v>
      </c>
      <c r="E6" s="937" t="n">
        <f aca="false">'Re-Whole'!E6:F6</f>
        <v>45926</v>
      </c>
      <c r="F6" s="937"/>
      <c r="G6" s="556"/>
      <c r="H6" s="556"/>
      <c r="I6" s="556"/>
      <c r="J6" s="556"/>
    </row>
    <row r="7" customFormat="false" ht="12.75" hidden="false" customHeight="false" outlineLevel="0" collapsed="false">
      <c r="A7" s="556"/>
      <c r="D7" s="936" t="s">
        <v>1478</v>
      </c>
      <c r="E7" s="938" t="str">
        <f aca="false">'Re-Whole'!E7:F7</f>
        <v>Angela Schwarz</v>
      </c>
      <c r="F7" s="938"/>
      <c r="G7" s="556"/>
      <c r="H7" s="556"/>
      <c r="I7" s="556"/>
      <c r="J7" s="556"/>
    </row>
    <row r="8" customFormat="false" ht="12.75" hidden="false" customHeight="false" outlineLevel="0" collapsed="false">
      <c r="A8" s="556"/>
      <c r="D8" s="936" t="s">
        <v>1480</v>
      </c>
      <c r="E8" s="938" t="str">
        <f aca="false">'Re-Whole'!E8:F8</f>
        <v>Stuart Rexrode</v>
      </c>
      <c r="F8" s="938"/>
      <c r="G8" s="556"/>
      <c r="H8" s="556"/>
      <c r="I8" s="556"/>
      <c r="J8" s="556"/>
    </row>
    <row r="9" customFormat="false" ht="12.75" hidden="false" customHeight="false" outlineLevel="0" collapsed="false">
      <c r="A9" s="556"/>
      <c r="D9" s="936" t="s">
        <v>1482</v>
      </c>
      <c r="E9" s="938" t="str">
        <f aca="false">'Re-Whole'!E9:F9</f>
        <v>10 years</v>
      </c>
      <c r="F9" s="938"/>
      <c r="G9" s="556"/>
      <c r="H9" s="556"/>
      <c r="I9" s="556"/>
      <c r="J9" s="556"/>
    </row>
    <row r="10" customFormat="false" ht="25.5" hidden="false" customHeight="false" outlineLevel="0" collapsed="false">
      <c r="A10" s="556"/>
      <c r="D10" s="939" t="s">
        <v>1484</v>
      </c>
      <c r="E10" s="938" t="str">
        <f aca="false">'Re-Whole'!E10:F10</f>
        <v>Kevin Greiner / Jun Wang</v>
      </c>
      <c r="F10" s="938"/>
      <c r="G10" s="556"/>
      <c r="H10" s="556"/>
      <c r="I10" s="556"/>
      <c r="J10" s="556"/>
    </row>
    <row r="11" customFormat="false" ht="9" hidden="false" customHeight="true" outlineLevel="0" collapsed="false">
      <c r="A11" s="556"/>
      <c r="B11" s="556"/>
      <c r="C11" s="556"/>
      <c r="D11" s="556"/>
      <c r="E11" s="556"/>
      <c r="F11" s="556"/>
      <c r="G11" s="556"/>
      <c r="H11" s="556"/>
      <c r="I11" s="556"/>
      <c r="J11" s="556"/>
    </row>
    <row r="12" customFormat="false" ht="7.5" hidden="false" customHeight="true" outlineLevel="0" collapsed="false">
      <c r="A12" s="556"/>
      <c r="B12" s="556"/>
      <c r="C12" s="556"/>
      <c r="D12" s="556"/>
      <c r="E12" s="556"/>
      <c r="F12" s="556"/>
      <c r="G12" s="556"/>
      <c r="H12" s="556"/>
      <c r="I12" s="556"/>
      <c r="J12" s="556"/>
    </row>
    <row r="13" customFormat="false" ht="15.75" hidden="false" customHeight="false" outlineLevel="0" collapsed="false">
      <c r="A13" s="556"/>
      <c r="B13" s="933" t="s">
        <v>1486</v>
      </c>
      <c r="C13" s="933"/>
      <c r="D13" s="933"/>
      <c r="E13" s="933"/>
      <c r="F13" s="933"/>
      <c r="G13" s="933"/>
      <c r="H13" s="933"/>
      <c r="I13" s="556"/>
      <c r="J13" s="556"/>
    </row>
    <row r="14" customFormat="false" ht="8.25" hidden="false" customHeight="true" outlineLevel="0" collapsed="false">
      <c r="A14" s="556"/>
      <c r="B14" s="556"/>
      <c r="C14" s="556"/>
      <c r="D14" s="556"/>
      <c r="E14" s="556"/>
      <c r="F14" s="556"/>
      <c r="G14" s="556"/>
      <c r="H14" s="556"/>
      <c r="I14" s="556"/>
      <c r="J14" s="556"/>
    </row>
    <row r="15" customFormat="false" ht="15.75" hidden="false" customHeight="false" outlineLevel="0" collapsed="false">
      <c r="A15" s="556"/>
      <c r="B15" s="940" t="s">
        <v>857</v>
      </c>
      <c r="C15" s="940"/>
      <c r="D15" s="940"/>
      <c r="E15" s="556"/>
      <c r="F15" s="940" t="s">
        <v>1487</v>
      </c>
      <c r="G15" s="940"/>
      <c r="H15" s="940"/>
      <c r="I15" s="556"/>
      <c r="J15" s="556"/>
    </row>
    <row r="16" customFormat="false" ht="12.75" hidden="false" customHeight="false" outlineLevel="0" collapsed="false">
      <c r="A16" s="556"/>
      <c r="B16" s="941" t="s">
        <v>1488</v>
      </c>
      <c r="C16" s="941" t="s">
        <v>1489</v>
      </c>
      <c r="D16" s="942" t="s">
        <v>1490</v>
      </c>
      <c r="E16" s="556"/>
      <c r="G16" s="936" t="s">
        <v>1491</v>
      </c>
      <c r="H16" s="938" t="s">
        <v>1492</v>
      </c>
      <c r="I16" s="556"/>
      <c r="J16" s="556"/>
    </row>
    <row r="17" customFormat="false" ht="12.75" hidden="false" customHeight="false" outlineLevel="0" collapsed="false">
      <c r="A17" s="556"/>
      <c r="B17" s="936" t="s">
        <v>1493</v>
      </c>
      <c r="C17" s="943"/>
      <c r="D17" s="944"/>
      <c r="E17" s="556"/>
      <c r="G17" s="936" t="s">
        <v>1494</v>
      </c>
      <c r="H17" s="938" t="s">
        <v>1495</v>
      </c>
      <c r="I17" s="556"/>
      <c r="J17" s="556"/>
    </row>
    <row r="18" customFormat="false" ht="12.75" hidden="false" customHeight="false" outlineLevel="0" collapsed="false">
      <c r="A18" s="556"/>
      <c r="B18" s="945" t="s">
        <v>1496</v>
      </c>
      <c r="C18" s="946" t="n">
        <f aca="false">Breakout!C135</f>
        <v>61345132.1638868</v>
      </c>
      <c r="D18" s="947" t="n">
        <v>0</v>
      </c>
      <c r="E18" s="556"/>
      <c r="G18" s="936" t="s">
        <v>1497</v>
      </c>
      <c r="H18" s="948" t="s">
        <v>1551</v>
      </c>
      <c r="I18" s="556"/>
      <c r="J18" s="556"/>
    </row>
    <row r="19" customFormat="false" ht="12.75" hidden="false" customHeight="false" outlineLevel="0" collapsed="false">
      <c r="A19" s="556"/>
      <c r="B19" s="945" t="s">
        <v>1498</v>
      </c>
      <c r="C19" s="946" t="n">
        <f aca="false">Breakout!C142</f>
        <v>1113600</v>
      </c>
      <c r="D19" s="947" t="n">
        <v>0</v>
      </c>
      <c r="E19" s="556"/>
      <c r="G19" s="949" t="s">
        <v>1499</v>
      </c>
      <c r="H19" s="949"/>
      <c r="I19" s="556"/>
      <c r="J19" s="556"/>
    </row>
    <row r="20" customFormat="false" ht="12.75" hidden="false" customHeight="false" outlineLevel="0" collapsed="false">
      <c r="A20" s="556"/>
      <c r="B20" s="945" t="s">
        <v>1500</v>
      </c>
      <c r="C20" s="946" t="n">
        <v>0</v>
      </c>
      <c r="D20" s="947" t="n">
        <v>0</v>
      </c>
      <c r="E20" s="556"/>
      <c r="G20" s="936" t="s">
        <v>1501</v>
      </c>
      <c r="H20" s="938" t="s">
        <v>1158</v>
      </c>
      <c r="I20" s="556"/>
      <c r="J20" s="556"/>
    </row>
    <row r="21" customFormat="false" ht="12.75" hidden="false" customHeight="false" outlineLevel="0" collapsed="false">
      <c r="A21" s="556"/>
      <c r="B21" s="936" t="s">
        <v>1502</v>
      </c>
      <c r="C21" s="946" t="n">
        <v>0</v>
      </c>
      <c r="D21" s="947" t="n">
        <v>0</v>
      </c>
      <c r="E21" s="556"/>
      <c r="G21" s="936" t="s">
        <v>1503</v>
      </c>
      <c r="H21" s="938" t="s">
        <v>1158</v>
      </c>
      <c r="I21" s="556"/>
      <c r="J21" s="556"/>
    </row>
    <row r="22" customFormat="false" ht="12.75" hidden="false" customHeight="false" outlineLevel="0" collapsed="false">
      <c r="A22" s="556"/>
      <c r="B22" s="936" t="s">
        <v>1504</v>
      </c>
      <c r="C22" s="946" t="n">
        <v>0</v>
      </c>
      <c r="D22" s="947" t="n">
        <v>0</v>
      </c>
      <c r="E22" s="556"/>
      <c r="G22" s="936" t="s">
        <v>1505</v>
      </c>
      <c r="H22" s="948" t="s">
        <v>1552</v>
      </c>
      <c r="I22" s="556"/>
      <c r="J22" s="556"/>
    </row>
    <row r="23" customFormat="false" ht="12.75" hidden="false" customHeight="false" outlineLevel="0" collapsed="false">
      <c r="A23" s="556"/>
      <c r="B23" s="950" t="s">
        <v>1553</v>
      </c>
      <c r="C23" s="946" t="n">
        <f aca="false">Breakout!C158</f>
        <v>512088.885515695</v>
      </c>
      <c r="D23" s="947" t="n">
        <v>0</v>
      </c>
      <c r="E23" s="556"/>
      <c r="G23" s="936" t="s">
        <v>1507</v>
      </c>
      <c r="H23" s="938" t="s">
        <v>1552</v>
      </c>
      <c r="I23" s="556"/>
      <c r="J23" s="556"/>
    </row>
    <row r="24" customFormat="false" ht="12.75" hidden="false" customHeight="false" outlineLevel="0" collapsed="false">
      <c r="A24" s="556"/>
      <c r="B24" s="950" t="s">
        <v>1508</v>
      </c>
      <c r="C24" s="946" t="n">
        <f aca="false">Breakout!C151</f>
        <v>559201.062983139</v>
      </c>
      <c r="D24" s="947" t="n">
        <v>0</v>
      </c>
      <c r="E24" s="556"/>
      <c r="G24" s="204"/>
      <c r="H24" s="951"/>
      <c r="I24" s="556"/>
      <c r="J24" s="556"/>
    </row>
    <row r="25" customFormat="false" ht="13.5" hidden="false" customHeight="false" outlineLevel="0" collapsed="false">
      <c r="A25" s="556"/>
      <c r="B25" s="954" t="s">
        <v>684</v>
      </c>
      <c r="C25" s="955" t="n">
        <f aca="false">SUM(C18:C24)</f>
        <v>63530022.1123856</v>
      </c>
      <c r="D25" s="991"/>
      <c r="E25" s="556"/>
      <c r="F25" s="556"/>
      <c r="G25" s="556"/>
      <c r="H25" s="556"/>
      <c r="I25" s="556"/>
      <c r="J25" s="556"/>
    </row>
    <row r="26" customFormat="false" ht="9" hidden="false" customHeight="true" outlineLevel="0" collapsed="false">
      <c r="A26" s="556"/>
      <c r="B26" s="556"/>
      <c r="C26" s="556"/>
      <c r="D26" s="556"/>
      <c r="E26" s="556"/>
      <c r="F26" s="556"/>
      <c r="G26" s="556"/>
      <c r="H26" s="556"/>
      <c r="I26" s="556"/>
      <c r="J26" s="556"/>
    </row>
    <row r="27" customFormat="false" ht="15.75" hidden="false" customHeight="false" outlineLevel="0" collapsed="false">
      <c r="A27" s="556"/>
      <c r="B27" s="933" t="s">
        <v>1510</v>
      </c>
      <c r="C27" s="933"/>
      <c r="D27" s="933"/>
      <c r="E27" s="933"/>
      <c r="F27" s="933"/>
      <c r="G27" s="933"/>
      <c r="H27" s="933"/>
      <c r="I27" s="556"/>
      <c r="J27" s="556"/>
    </row>
    <row r="28" customFormat="false" ht="12.75" hidden="false" customHeight="false" outlineLevel="0" collapsed="false">
      <c r="A28" s="556"/>
      <c r="B28" s="556"/>
      <c r="C28" s="556"/>
      <c r="D28" s="556"/>
      <c r="E28" s="556"/>
      <c r="F28" s="556"/>
      <c r="G28" s="556"/>
      <c r="H28" s="556"/>
      <c r="I28" s="556"/>
      <c r="J28" s="556"/>
    </row>
    <row r="29" customFormat="false" ht="12.75" hidden="false" customHeight="false" outlineLevel="0" collapsed="false">
      <c r="A29" s="556"/>
      <c r="B29" s="957" t="s">
        <v>1511</v>
      </c>
      <c r="C29" s="958"/>
      <c r="D29" s="958"/>
      <c r="E29" s="556"/>
      <c r="G29" s="957" t="s">
        <v>1512</v>
      </c>
      <c r="H29" s="958"/>
      <c r="I29" s="556"/>
      <c r="J29" s="556"/>
    </row>
    <row r="30" customFormat="false" ht="12.75" hidden="false" customHeight="false" outlineLevel="0" collapsed="false">
      <c r="A30" s="556"/>
      <c r="B30" s="556"/>
      <c r="C30" s="959" t="s">
        <v>1513</v>
      </c>
      <c r="D30" s="959" t="s">
        <v>1514</v>
      </c>
      <c r="E30" s="556"/>
      <c r="F30" s="556"/>
      <c r="G30" s="556"/>
      <c r="H30" s="556"/>
      <c r="I30" s="556"/>
      <c r="J30" s="556"/>
    </row>
    <row r="31" customFormat="false" ht="12.75" hidden="false" customHeight="false" outlineLevel="0" collapsed="false">
      <c r="A31" s="556"/>
      <c r="B31" s="936" t="s">
        <v>1515</v>
      </c>
      <c r="C31" s="946" t="n">
        <f aca="false">C64-D64</f>
        <v>-7173984.07140742</v>
      </c>
      <c r="D31" s="960" t="n">
        <f aca="false">E64</f>
        <v>-0.0174140550649185</v>
      </c>
      <c r="E31" s="556"/>
      <c r="F31" s="556"/>
      <c r="G31" s="556"/>
      <c r="H31" s="556"/>
      <c r="I31" s="556"/>
      <c r="J31" s="556"/>
    </row>
    <row r="32" customFormat="false" ht="12.75" hidden="false" customHeight="false" outlineLevel="0" collapsed="false">
      <c r="A32" s="556"/>
      <c r="B32" s="936" t="s">
        <v>1516</v>
      </c>
      <c r="C32" s="946" t="n">
        <f aca="false">D64</f>
        <v>17430427.1161772</v>
      </c>
      <c r="D32" s="961" t="n">
        <f aca="false">D64/Breakout!B184</f>
        <v>0.0423104393019108</v>
      </c>
      <c r="E32" s="556"/>
      <c r="G32" s="936" t="s">
        <v>1517</v>
      </c>
      <c r="H32" s="946" t="n">
        <v>0</v>
      </c>
      <c r="I32" s="556"/>
      <c r="J32" s="556"/>
    </row>
    <row r="33" customFormat="false" ht="12.75" hidden="false" customHeight="false" outlineLevel="0" collapsed="false">
      <c r="A33" s="556"/>
      <c r="B33" s="936" t="s">
        <v>1518</v>
      </c>
      <c r="C33" s="946" t="n">
        <f aca="false">C64</f>
        <v>10256443.0447698</v>
      </c>
      <c r="D33" s="961" t="n">
        <f aca="false">C64/Breakout!B184</f>
        <v>0.0248963842369923</v>
      </c>
      <c r="E33" s="556"/>
      <c r="G33" s="936" t="s">
        <v>1395</v>
      </c>
      <c r="H33" s="946" t="n">
        <f aca="false">0</f>
        <v>0</v>
      </c>
      <c r="I33" s="556"/>
      <c r="J33" s="556"/>
    </row>
    <row r="34" customFormat="false" ht="12.75" hidden="false" customHeight="false" outlineLevel="0" collapsed="false">
      <c r="A34" s="556"/>
      <c r="B34" s="936" t="s">
        <v>1416</v>
      </c>
      <c r="C34" s="946" t="n">
        <f aca="false">Breakout!B185</f>
        <v>792789348.900143</v>
      </c>
      <c r="D34" s="556"/>
      <c r="E34" s="556"/>
      <c r="G34" s="936" t="s">
        <v>1519</v>
      </c>
      <c r="H34" s="946" t="n">
        <v>0</v>
      </c>
      <c r="I34" s="556"/>
      <c r="J34" s="556"/>
    </row>
    <row r="35" customFormat="false" ht="12.75" hidden="false" customHeight="false" outlineLevel="0" collapsed="false">
      <c r="A35" s="556"/>
      <c r="B35" s="936" t="s">
        <v>1395</v>
      </c>
      <c r="C35" s="962" t="n">
        <v>0</v>
      </c>
      <c r="D35" s="556"/>
      <c r="E35" s="556"/>
      <c r="G35" s="936" t="s">
        <v>684</v>
      </c>
      <c r="H35" s="946" t="n">
        <f aca="false">SUM(H32:H34)</f>
        <v>0</v>
      </c>
      <c r="I35" s="556"/>
      <c r="J35" s="556"/>
    </row>
    <row r="36" customFormat="false" ht="12.75" hidden="false" customHeight="false" outlineLevel="0" collapsed="false">
      <c r="A36" s="556"/>
      <c r="B36" s="936" t="s">
        <v>1520</v>
      </c>
      <c r="C36" s="946" t="n">
        <v>0</v>
      </c>
      <c r="D36" s="556"/>
      <c r="E36" s="556"/>
      <c r="F36" s="556"/>
      <c r="G36" s="556"/>
      <c r="H36" s="556"/>
      <c r="I36" s="556"/>
      <c r="J36" s="556"/>
    </row>
    <row r="37" customFormat="false" ht="12.75" hidden="false" customHeight="false" outlineLevel="0" collapsed="false">
      <c r="A37" s="556"/>
      <c r="B37" s="556"/>
      <c r="C37" s="556"/>
      <c r="D37" s="556"/>
      <c r="E37" s="556"/>
      <c r="G37" s="556"/>
      <c r="H37" s="556"/>
      <c r="I37" s="556"/>
      <c r="J37" s="556"/>
    </row>
    <row r="38" customFormat="false" ht="12.75" hidden="false" customHeight="false" outlineLevel="0" collapsed="false">
      <c r="A38" s="556"/>
      <c r="B38" s="957" t="s">
        <v>1522</v>
      </c>
      <c r="C38" s="958"/>
      <c r="D38" s="958"/>
      <c r="E38" s="556"/>
      <c r="G38" s="556"/>
      <c r="H38" s="556"/>
      <c r="I38" s="556"/>
      <c r="J38" s="556"/>
    </row>
    <row r="39" customFormat="false" ht="12.75" hidden="false" customHeight="false" outlineLevel="0" collapsed="false">
      <c r="A39" s="556"/>
      <c r="B39" s="556"/>
      <c r="C39" s="556"/>
      <c r="D39" s="556"/>
      <c r="E39" s="556"/>
      <c r="F39" s="556"/>
      <c r="G39" s="556"/>
      <c r="H39" s="556"/>
      <c r="I39" s="556"/>
      <c r="J39" s="556"/>
    </row>
    <row r="40" customFormat="false" ht="26.25" hidden="false" customHeight="false" outlineLevel="0" collapsed="false">
      <c r="A40" s="556"/>
      <c r="B40" s="964" t="s">
        <v>1523</v>
      </c>
      <c r="C40" s="964" t="s">
        <v>1524</v>
      </c>
      <c r="D40" s="964" t="s">
        <v>1525</v>
      </c>
      <c r="E40" s="965" t="s">
        <v>1526</v>
      </c>
      <c r="F40" s="959"/>
      <c r="G40" s="556"/>
      <c r="H40" s="556"/>
      <c r="I40" s="556"/>
      <c r="J40" s="556"/>
    </row>
    <row r="41" customFormat="false" ht="13.5" hidden="false" customHeight="false" outlineLevel="0" collapsed="false">
      <c r="A41" s="556"/>
      <c r="B41" s="978" t="s">
        <v>1527</v>
      </c>
      <c r="C41" s="976" t="n">
        <v>0</v>
      </c>
      <c r="D41" s="976" t="n">
        <v>0</v>
      </c>
      <c r="E41" s="977" t="n">
        <f aca="false">(C41-D41)/Breakout!$B$184</f>
        <v>0</v>
      </c>
      <c r="F41" s="556"/>
      <c r="G41" s="556"/>
      <c r="H41" s="556"/>
      <c r="I41" s="556"/>
      <c r="J41" s="556"/>
    </row>
    <row r="42" customFormat="false" ht="12.75" hidden="false" customHeight="false" outlineLevel="0" collapsed="false">
      <c r="A42" s="556"/>
      <c r="B42" s="936" t="s">
        <v>1554</v>
      </c>
      <c r="C42" s="946" t="n">
        <v>0</v>
      </c>
      <c r="D42" s="946" t="n">
        <v>0</v>
      </c>
      <c r="E42" s="977" t="n">
        <f aca="false">(C42-D42)/Breakout!$B$184</f>
        <v>0</v>
      </c>
      <c r="F42" s="556"/>
      <c r="G42" s="556"/>
      <c r="H42" s="556"/>
      <c r="I42" s="556"/>
      <c r="J42" s="556"/>
    </row>
    <row r="43" customFormat="false" ht="12.75" hidden="false" customHeight="false" outlineLevel="0" collapsed="false">
      <c r="A43" s="556"/>
      <c r="B43" s="936" t="s">
        <v>1555</v>
      </c>
      <c r="C43" s="946"/>
      <c r="D43" s="946"/>
      <c r="E43" s="977"/>
      <c r="F43" s="556"/>
      <c r="G43" s="556"/>
      <c r="H43" s="556"/>
      <c r="I43" s="556"/>
      <c r="J43" s="556"/>
    </row>
    <row r="44" customFormat="false" ht="12.75" hidden="false" customHeight="false" outlineLevel="0" collapsed="false">
      <c r="A44" s="556"/>
      <c r="B44" s="936" t="s">
        <v>1528</v>
      </c>
      <c r="C44" s="946" t="n">
        <f aca="false">Breakout!$B$139</f>
        <v>93962258.6653418</v>
      </c>
      <c r="D44" s="946" t="n">
        <v>134239333.228143</v>
      </c>
      <c r="E44" s="977" t="n">
        <f aca="false">(C44-D44)/Breakout!$B$184</f>
        <v>-0.0977681560635035</v>
      </c>
      <c r="F44" s="556"/>
      <c r="G44" s="556"/>
      <c r="H44" s="556"/>
      <c r="I44" s="556"/>
      <c r="J44" s="556"/>
    </row>
    <row r="45" customFormat="false" ht="12.75" hidden="false" customHeight="false" outlineLevel="0" collapsed="false">
      <c r="A45" s="556"/>
      <c r="B45" s="936" t="s">
        <v>1529</v>
      </c>
      <c r="C45" s="946" t="n">
        <f aca="false">Breakout!$B$146</f>
        <v>1347386.07076553</v>
      </c>
      <c r="D45" s="946" t="n">
        <v>1714675.56802719</v>
      </c>
      <c r="E45" s="977" t="n">
        <f aca="false">(C45-D45)/Breakout!$B$184</f>
        <v>-0.000891554743698515</v>
      </c>
      <c r="F45" s="556"/>
      <c r="G45" s="556"/>
      <c r="H45" s="556"/>
      <c r="I45" s="556"/>
      <c r="J45" s="556"/>
    </row>
    <row r="46" customFormat="false" ht="12.75" hidden="false" customHeight="false" outlineLevel="0" collapsed="false">
      <c r="A46" s="556"/>
      <c r="B46" s="936" t="s">
        <v>1530</v>
      </c>
      <c r="C46" s="946" t="n">
        <v>0</v>
      </c>
      <c r="D46" s="946" t="n">
        <v>0</v>
      </c>
      <c r="E46" s="977" t="n">
        <f aca="false">(C46-D46)/Breakout!$B$184</f>
        <v>0</v>
      </c>
      <c r="F46" s="556"/>
      <c r="G46" s="556"/>
      <c r="H46" s="556"/>
      <c r="I46" s="556"/>
      <c r="J46" s="556"/>
    </row>
    <row r="47" customFormat="false" ht="12.75" hidden="false" customHeight="false" outlineLevel="0" collapsed="false">
      <c r="A47" s="556"/>
      <c r="B47" s="936" t="s">
        <v>1531</v>
      </c>
      <c r="C47" s="946" t="n">
        <v>0</v>
      </c>
      <c r="D47" s="946" t="n">
        <v>0</v>
      </c>
      <c r="E47" s="977" t="n">
        <f aca="false">(C47-D47)/Breakout!$B$184</f>
        <v>0</v>
      </c>
      <c r="F47" s="556"/>
      <c r="G47" s="556"/>
      <c r="H47" s="556"/>
      <c r="I47" s="556"/>
      <c r="J47" s="556"/>
    </row>
    <row r="48" customFormat="false" ht="12.75" hidden="false" customHeight="false" outlineLevel="0" collapsed="false">
      <c r="A48" s="556"/>
      <c r="B48" s="936" t="s">
        <v>1532</v>
      </c>
      <c r="C48" s="946" t="n">
        <v>0</v>
      </c>
      <c r="D48" s="946" t="n">
        <v>0</v>
      </c>
      <c r="E48" s="977" t="n">
        <f aca="false">(C48-D48)/Breakout!$B$184</f>
        <v>0</v>
      </c>
      <c r="F48" s="556"/>
      <c r="G48" s="556"/>
      <c r="H48" s="556"/>
      <c r="I48" s="556"/>
      <c r="J48" s="556"/>
    </row>
    <row r="49" customFormat="false" ht="12.75" hidden="false" customHeight="false" outlineLevel="0" collapsed="false">
      <c r="A49" s="556"/>
      <c r="B49" s="936" t="s">
        <v>1533</v>
      </c>
      <c r="C49" s="946" t="n">
        <v>0</v>
      </c>
      <c r="D49" s="946" t="n">
        <v>0</v>
      </c>
      <c r="E49" s="977" t="n">
        <f aca="false">(C49-D49)/Breakout!$B$184</f>
        <v>0</v>
      </c>
      <c r="F49" s="556"/>
      <c r="G49" s="556"/>
      <c r="H49" s="556"/>
      <c r="I49" s="556"/>
      <c r="J49" s="556"/>
    </row>
    <row r="50" customFormat="false" ht="13.5" hidden="false" customHeight="false" outlineLevel="0" collapsed="false">
      <c r="A50" s="556"/>
      <c r="B50" s="954" t="s">
        <v>1556</v>
      </c>
      <c r="C50" s="992" t="n">
        <v>0</v>
      </c>
      <c r="D50" s="992" t="n">
        <v>0</v>
      </c>
      <c r="E50" s="993" t="n">
        <f aca="false">(C50-D50)/Breakout!$B$184</f>
        <v>0</v>
      </c>
      <c r="F50" s="556"/>
      <c r="G50" s="556"/>
      <c r="H50" s="556"/>
      <c r="I50" s="556"/>
      <c r="J50" s="556"/>
    </row>
    <row r="51" customFormat="false" ht="13.5" hidden="false" customHeight="false" outlineLevel="0" collapsed="false">
      <c r="A51" s="556"/>
      <c r="B51" s="967" t="s">
        <v>1535</v>
      </c>
      <c r="C51" s="968" t="n">
        <f aca="false">SUM(C41:C50)</f>
        <v>95309644.7361073</v>
      </c>
      <c r="D51" s="968" t="n">
        <v>135954008.79617</v>
      </c>
      <c r="E51" s="969" t="n">
        <f aca="false">SUM(E42:E50)</f>
        <v>-0.098659710807202</v>
      </c>
      <c r="F51" s="556"/>
      <c r="G51" s="556"/>
      <c r="H51" s="556"/>
      <c r="I51" s="556"/>
      <c r="J51" s="556"/>
    </row>
    <row r="52" customFormat="false" ht="12.75" hidden="false" customHeight="false" outlineLevel="0" collapsed="false">
      <c r="A52" s="556"/>
      <c r="B52" s="556"/>
      <c r="C52" s="576"/>
      <c r="D52" s="576"/>
      <c r="E52" s="994"/>
      <c r="F52" s="556"/>
      <c r="G52" s="556"/>
      <c r="H52" s="556"/>
      <c r="I52" s="556"/>
      <c r="J52" s="556"/>
    </row>
    <row r="53" customFormat="false" ht="13.5" hidden="false" customHeight="false" outlineLevel="0" collapsed="false">
      <c r="A53" s="556"/>
      <c r="B53" s="964" t="s">
        <v>1536</v>
      </c>
      <c r="C53" s="970"/>
      <c r="D53" s="970"/>
      <c r="E53" s="995"/>
      <c r="F53" s="556"/>
      <c r="G53" s="556"/>
      <c r="H53" s="556"/>
      <c r="I53" s="556"/>
      <c r="J53" s="556"/>
    </row>
    <row r="54" customFormat="false" ht="13.5" hidden="false" customHeight="false" outlineLevel="0" collapsed="false">
      <c r="A54" s="556"/>
      <c r="B54" s="972" t="s">
        <v>1000</v>
      </c>
      <c r="C54" s="973" t="n">
        <f aca="false">'RMPM-Redis'!AD10</f>
        <v>1275000</v>
      </c>
      <c r="D54" s="973" t="n">
        <v>1275000</v>
      </c>
      <c r="E54" s="974" t="n">
        <f aca="false">(C54-D54)/Breakout!$B$184</f>
        <v>0</v>
      </c>
      <c r="F54" s="556"/>
      <c r="G54" s="556"/>
      <c r="H54" s="556"/>
      <c r="I54" s="556"/>
      <c r="J54" s="556"/>
    </row>
    <row r="55" customFormat="false" ht="12.75" hidden="false" customHeight="false" outlineLevel="0" collapsed="false">
      <c r="A55" s="556"/>
      <c r="B55" s="978" t="s">
        <v>1557</v>
      </c>
      <c r="C55" s="976" t="n">
        <f aca="false">Breakout!$B$167</f>
        <v>0</v>
      </c>
      <c r="D55" s="976" t="n">
        <v>0</v>
      </c>
      <c r="E55" s="977" t="n">
        <f aca="false">(C55-D55)/Breakout!$B$184</f>
        <v>0</v>
      </c>
      <c r="F55" s="556"/>
      <c r="G55" s="556"/>
      <c r="H55" s="556"/>
      <c r="I55" s="556"/>
      <c r="J55" s="556"/>
    </row>
    <row r="56" customFormat="false" ht="12.75" hidden="false" customHeight="false" outlineLevel="0" collapsed="false">
      <c r="A56" s="556"/>
      <c r="B56" s="936" t="s">
        <v>1558</v>
      </c>
      <c r="C56" s="976" t="n">
        <f aca="false">-Breakout!$B$174</f>
        <v>78900078.3908845</v>
      </c>
      <c r="D56" s="976" t="n">
        <v>110616227.395575</v>
      </c>
      <c r="E56" s="977" t="n">
        <f aca="false">(C56-D56)/Breakout!$B$184</f>
        <v>-0.0769874535150006</v>
      </c>
      <c r="F56" s="556"/>
      <c r="G56" s="556"/>
      <c r="H56" s="556"/>
      <c r="I56" s="556"/>
      <c r="J56" s="556"/>
    </row>
    <row r="57" customFormat="false" ht="12.75" hidden="false" customHeight="false" outlineLevel="0" collapsed="false">
      <c r="A57" s="556"/>
      <c r="B57" s="936" t="s">
        <v>1051</v>
      </c>
      <c r="C57" s="976" t="n">
        <v>0</v>
      </c>
      <c r="D57" s="976" t="n">
        <v>0</v>
      </c>
      <c r="E57" s="977" t="n">
        <f aca="false">(C57-D57)/Breakout!$B$184</f>
        <v>0</v>
      </c>
      <c r="F57" s="556"/>
      <c r="G57" s="556"/>
      <c r="H57" s="556"/>
      <c r="I57" s="556"/>
      <c r="J57" s="556"/>
    </row>
    <row r="58" customFormat="false" ht="13.5" hidden="false" customHeight="false" outlineLevel="0" collapsed="false">
      <c r="A58" s="556"/>
      <c r="B58" s="954" t="s">
        <v>1537</v>
      </c>
      <c r="C58" s="966" t="n">
        <f aca="false">SUM(C54:C57)</f>
        <v>80175078.3908845</v>
      </c>
      <c r="D58" s="966" t="n">
        <v>111891227.395575</v>
      </c>
      <c r="E58" s="993" t="n">
        <f aca="false">(C58-D58)/Breakout!$B$184</f>
        <v>-0.0769874535150006</v>
      </c>
      <c r="F58" s="556"/>
      <c r="G58" s="556"/>
      <c r="H58" s="556"/>
      <c r="I58" s="556"/>
      <c r="J58" s="556"/>
    </row>
    <row r="59" customFormat="false" ht="13.5" hidden="false" customHeight="false" outlineLevel="0" collapsed="false">
      <c r="A59" s="556"/>
      <c r="B59" s="979" t="s">
        <v>1538</v>
      </c>
      <c r="C59" s="980" t="n">
        <f aca="false">C51-C58</f>
        <v>15134566.3452228</v>
      </c>
      <c r="D59" s="980" t="n">
        <v>24062781.4005957</v>
      </c>
      <c r="E59" s="981" t="n">
        <f aca="false">E51+E58</f>
        <v>-0.175647164322203</v>
      </c>
      <c r="F59" s="556"/>
      <c r="G59" s="556"/>
      <c r="H59" s="556"/>
      <c r="I59" s="556"/>
      <c r="J59" s="556"/>
    </row>
    <row r="60" customFormat="false" ht="12.75" hidden="false" customHeight="false" outlineLevel="0" collapsed="false">
      <c r="A60" s="556"/>
      <c r="B60" s="556"/>
      <c r="C60" s="982"/>
      <c r="D60" s="982"/>
      <c r="E60" s="977"/>
      <c r="F60" s="556"/>
      <c r="G60" s="556"/>
      <c r="H60" s="556"/>
      <c r="I60" s="556"/>
      <c r="J60" s="556"/>
    </row>
    <row r="61" customFormat="false" ht="12.75" hidden="false" customHeight="false" outlineLevel="0" collapsed="false">
      <c r="A61" s="556"/>
      <c r="B61" s="936" t="s">
        <v>1539</v>
      </c>
      <c r="C61" s="946" t="n">
        <f aca="false">-Breakout!$B$153</f>
        <v>3601267.31660266</v>
      </c>
      <c r="D61" s="946" t="n">
        <v>5048899.98248208</v>
      </c>
      <c r="E61" s="977" t="n">
        <f aca="false">(C61-D61)/Breakout!$B$184</f>
        <v>-0.00351396862698264</v>
      </c>
      <c r="F61" s="556"/>
      <c r="G61" s="556"/>
      <c r="H61" s="556"/>
      <c r="I61" s="556"/>
      <c r="J61" s="556"/>
    </row>
    <row r="62" customFormat="false" ht="12.75" hidden="false" customHeight="false" outlineLevel="0" collapsed="false">
      <c r="A62" s="556"/>
      <c r="B62" s="936" t="s">
        <v>1540</v>
      </c>
      <c r="C62" s="946" t="n">
        <v>0</v>
      </c>
      <c r="D62" s="946" t="n">
        <v>0</v>
      </c>
      <c r="E62" s="977" t="n">
        <f aca="false">(C62-D62)/Breakout!$B$184</f>
        <v>0</v>
      </c>
      <c r="F62" s="556"/>
      <c r="G62" s="556"/>
      <c r="H62" s="556"/>
      <c r="I62" s="556"/>
      <c r="J62" s="556"/>
    </row>
    <row r="63" customFormat="false" ht="13.5" hidden="false" customHeight="false" outlineLevel="0" collapsed="false">
      <c r="A63" s="556"/>
      <c r="B63" s="950" t="s">
        <v>1559</v>
      </c>
      <c r="C63" s="970" t="n">
        <f aca="false">-Breakout!$B$160</f>
        <v>1276855.98385041</v>
      </c>
      <c r="D63" s="970" t="n">
        <v>1583454.30193639</v>
      </c>
      <c r="E63" s="977" t="n">
        <f aca="false">(C63-D63)/Breakout!$B$184</f>
        <v>-0.000744233600300309</v>
      </c>
      <c r="F63" s="556"/>
      <c r="G63" s="556"/>
      <c r="H63" s="556"/>
      <c r="I63" s="556"/>
      <c r="J63" s="556"/>
    </row>
    <row r="64" customFormat="false" ht="13.5" hidden="false" customHeight="false" outlineLevel="0" collapsed="false">
      <c r="A64" s="556"/>
      <c r="B64" s="979" t="s">
        <v>1542</v>
      </c>
      <c r="C64" s="980" t="n">
        <f aca="false">C59-SUM(C61:C63)</f>
        <v>10256443.0447698</v>
      </c>
      <c r="D64" s="980" t="n">
        <v>17430427.1161772</v>
      </c>
      <c r="E64" s="981" t="n">
        <f aca="false">(C64-D64)/Breakout!B184</f>
        <v>-0.0174140550649185</v>
      </c>
      <c r="F64" s="556"/>
      <c r="G64" s="556"/>
      <c r="H64" s="556"/>
      <c r="I64" s="556"/>
      <c r="J64" s="556"/>
    </row>
    <row r="65" customFormat="false" ht="12.75" hidden="false" customHeight="false" outlineLevel="0" collapsed="false">
      <c r="A65" s="556"/>
      <c r="B65" s="556"/>
      <c r="C65" s="556"/>
      <c r="D65" s="556"/>
      <c r="E65" s="556"/>
      <c r="F65" s="556"/>
      <c r="G65" s="556"/>
      <c r="H65" s="556"/>
      <c r="I65" s="556"/>
      <c r="J65" s="556"/>
    </row>
    <row r="66" customFormat="false" ht="15.75" hidden="false" customHeight="false" outlineLevel="0" collapsed="false">
      <c r="A66" s="556"/>
      <c r="B66" s="933" t="s">
        <v>1543</v>
      </c>
      <c r="C66" s="933"/>
      <c r="D66" s="933"/>
      <c r="E66" s="933"/>
      <c r="F66" s="933"/>
      <c r="G66" s="933"/>
      <c r="H66" s="933"/>
      <c r="I66" s="556"/>
      <c r="J66" s="556"/>
    </row>
    <row r="67" customFormat="false" ht="12.75" hidden="false" customHeight="false" outlineLevel="0" collapsed="false">
      <c r="A67" s="556"/>
      <c r="B67" s="204"/>
      <c r="C67" s="556"/>
      <c r="D67" s="556"/>
      <c r="E67" s="556"/>
      <c r="F67" s="556"/>
      <c r="G67" s="556"/>
      <c r="H67" s="556"/>
      <c r="I67" s="556"/>
      <c r="J67" s="556"/>
    </row>
    <row r="68" customFormat="false" ht="12.75" hidden="false" customHeight="false" outlineLevel="0" collapsed="false">
      <c r="A68" s="556"/>
      <c r="B68" s="556"/>
      <c r="C68" s="556"/>
      <c r="D68" s="556"/>
      <c r="E68" s="556"/>
      <c r="F68" s="556"/>
      <c r="G68" s="556"/>
      <c r="H68" s="556"/>
      <c r="I68" s="556"/>
      <c r="J68" s="556"/>
    </row>
    <row r="69" customFormat="false" ht="12.75" hidden="false" customHeight="false" outlineLevel="0" collapsed="false">
      <c r="A69" s="556"/>
      <c r="B69" s="556"/>
      <c r="C69" s="556"/>
      <c r="D69" s="556"/>
      <c r="E69" s="556"/>
      <c r="F69" s="556"/>
      <c r="G69" s="556"/>
      <c r="H69" s="556"/>
      <c r="I69" s="556"/>
      <c r="J69" s="556"/>
    </row>
    <row r="70" customFormat="false" ht="12.75" hidden="false" customHeight="false" outlineLevel="0" collapsed="false">
      <c r="A70" s="556"/>
      <c r="B70" s="556"/>
      <c r="C70" s="556"/>
      <c r="D70" s="556"/>
      <c r="E70" s="556"/>
      <c r="F70" s="556"/>
      <c r="G70" s="556"/>
      <c r="H70" s="556"/>
      <c r="I70" s="556"/>
      <c r="J70" s="556"/>
    </row>
    <row r="71" customFormat="false" ht="12.75" hidden="false" customHeight="false" outlineLevel="0" collapsed="false">
      <c r="A71" s="556"/>
      <c r="B71" s="556"/>
      <c r="C71" s="556"/>
      <c r="D71" s="556"/>
      <c r="E71" s="556"/>
      <c r="F71" s="556"/>
      <c r="G71" s="556"/>
      <c r="H71" s="556"/>
      <c r="I71" s="556"/>
      <c r="J71" s="556"/>
    </row>
    <row r="72" customFormat="false" ht="12.75" hidden="false" customHeight="false" outlineLevel="0" collapsed="false">
      <c r="A72" s="556"/>
      <c r="B72" s="556"/>
      <c r="C72" s="556"/>
      <c r="D72" s="556"/>
      <c r="E72" s="556"/>
      <c r="F72" s="556"/>
      <c r="G72" s="556"/>
      <c r="H72" s="556"/>
      <c r="I72" s="556"/>
      <c r="J72" s="556"/>
    </row>
    <row r="73" customFormat="false" ht="12.75" hidden="false" customHeight="false" outlineLevel="0" collapsed="false">
      <c r="A73" s="556"/>
      <c r="B73" s="984"/>
      <c r="C73" s="556"/>
      <c r="D73" s="556"/>
      <c r="E73" s="556"/>
      <c r="F73" s="556"/>
      <c r="G73" s="556"/>
      <c r="H73" s="556"/>
      <c r="I73" s="556"/>
      <c r="J73" s="556"/>
    </row>
    <row r="74" customFormat="false" ht="12.75" hidden="false" customHeight="false" outlineLevel="0" collapsed="false">
      <c r="A74" s="556"/>
      <c r="B74" s="556"/>
      <c r="C74" s="556"/>
      <c r="D74" s="556"/>
      <c r="E74" s="556"/>
      <c r="F74" s="556"/>
      <c r="G74" s="556"/>
      <c r="H74" s="556"/>
      <c r="I74" s="556"/>
      <c r="J74" s="556"/>
    </row>
    <row r="75" customFormat="false" ht="12.75" hidden="false" customHeight="false" outlineLevel="0" collapsed="false">
      <c r="A75" s="556"/>
      <c r="B75" s="556"/>
      <c r="C75" s="556"/>
      <c r="D75" s="556"/>
      <c r="E75" s="556"/>
      <c r="F75" s="556"/>
      <c r="G75" s="556"/>
      <c r="H75" s="556"/>
      <c r="I75" s="556"/>
      <c r="J75" s="556"/>
    </row>
    <row r="76" customFormat="false" ht="12.75" hidden="false" customHeight="false" outlineLevel="0" collapsed="false">
      <c r="A76" s="556"/>
      <c r="B76" s="556"/>
      <c r="C76" s="556"/>
      <c r="D76" s="556"/>
      <c r="E76" s="556"/>
      <c r="F76" s="556"/>
      <c r="G76" s="556"/>
      <c r="H76" s="556"/>
      <c r="I76" s="556"/>
      <c r="J76" s="556"/>
    </row>
    <row r="77" customFormat="false" ht="12.75" hidden="false" customHeight="false" outlineLevel="0" collapsed="false">
      <c r="A77" s="556"/>
      <c r="B77" s="556"/>
      <c r="C77" s="556"/>
      <c r="D77" s="556"/>
      <c r="E77" s="556"/>
      <c r="F77" s="556"/>
      <c r="G77" s="556"/>
      <c r="H77" s="556"/>
      <c r="I77" s="556"/>
      <c r="J77" s="556"/>
    </row>
    <row r="78" customFormat="false" ht="12.75" hidden="false" customHeight="false" outlineLevel="0" collapsed="false">
      <c r="A78" s="556"/>
      <c r="B78" s="959" t="s">
        <v>1544</v>
      </c>
      <c r="C78" s="959"/>
      <c r="D78" s="959"/>
      <c r="E78" s="959"/>
      <c r="F78" s="959"/>
      <c r="G78" s="959"/>
      <c r="H78" s="959"/>
      <c r="I78" s="556"/>
      <c r="J78" s="556"/>
    </row>
    <row r="79" customFormat="false" ht="12.75" hidden="false" customHeight="false" outlineLevel="0" collapsed="false">
      <c r="A79" s="556"/>
      <c r="B79" s="556"/>
      <c r="C79" s="556"/>
      <c r="D79" s="556"/>
      <c r="E79" s="556"/>
      <c r="F79" s="556"/>
      <c r="G79" s="556"/>
      <c r="H79" s="556"/>
      <c r="I79" s="556"/>
      <c r="J79" s="556"/>
    </row>
    <row r="80" customFormat="false" ht="12.75" hidden="false" customHeight="false" outlineLevel="0" collapsed="false">
      <c r="A80" s="556"/>
      <c r="B80" s="556"/>
      <c r="C80" s="556"/>
      <c r="D80" s="556" t="s">
        <v>888</v>
      </c>
      <c r="E80" s="556" t="s">
        <v>890</v>
      </c>
      <c r="F80" s="556"/>
      <c r="G80" s="556"/>
      <c r="H80" s="556"/>
    </row>
    <row r="81" customFormat="false" ht="12.75" hidden="false" customHeight="false" outlineLevel="0" collapsed="false">
      <c r="C81" s="0" t="n">
        <v>1</v>
      </c>
      <c r="D81" s="772" t="n">
        <v>-886077.209970765</v>
      </c>
      <c r="E81" s="772" t="n">
        <f aca="false">Breakout!$C$186</f>
        <v>-764310.777345441</v>
      </c>
    </row>
    <row r="82" customFormat="false" ht="12.75" hidden="false" customHeight="false" outlineLevel="0" collapsed="false">
      <c r="C82" s="0" t="n">
        <v>2</v>
      </c>
      <c r="D82" s="772" t="n">
        <v>-911576.270523699</v>
      </c>
      <c r="E82" s="772" t="n">
        <f aca="false">Breakout!$D$186</f>
        <v>-789416.106843194</v>
      </c>
    </row>
    <row r="83" customFormat="false" ht="12.75" hidden="false" customHeight="false" outlineLevel="0" collapsed="false">
      <c r="C83" s="0" t="n">
        <v>3</v>
      </c>
      <c r="D83" s="772" t="n">
        <v>1977904.26782911</v>
      </c>
      <c r="E83" s="772" t="n">
        <f aca="false">Breakout!$E$186</f>
        <v>2101421.69876573</v>
      </c>
    </row>
    <row r="84" customFormat="false" ht="12.75" hidden="false" customHeight="false" outlineLevel="0" collapsed="false">
      <c r="B84" s="441"/>
      <c r="C84" s="0" t="n">
        <v>4</v>
      </c>
      <c r="D84" s="772" t="n">
        <v>2173957.52077677</v>
      </c>
      <c r="E84" s="772" t="n">
        <f aca="false">Breakout!$F$186</f>
        <v>2299591.75390861</v>
      </c>
    </row>
    <row r="85" customFormat="false" ht="12.75" hidden="false" customHeight="false" outlineLevel="0" collapsed="false">
      <c r="C85" s="0" t="n">
        <v>5</v>
      </c>
      <c r="D85" s="772" t="n">
        <v>3565032.55096184</v>
      </c>
      <c r="E85" s="772" t="n">
        <f aca="false">Breakout!$G$186</f>
        <v>3693244.33589105</v>
      </c>
    </row>
    <row r="86" customFormat="false" ht="12.75" hidden="false" customHeight="false" outlineLevel="0" collapsed="false">
      <c r="C86" s="0" t="n">
        <v>6</v>
      </c>
      <c r="D86" s="772" t="n">
        <v>3567966.60911643</v>
      </c>
      <c r="E86" s="772" t="n">
        <f aca="false">Breakout!$H$186</f>
        <v>3699213.49757035</v>
      </c>
    </row>
    <row r="87" customFormat="false" ht="12.75" hidden="false" customHeight="false" outlineLevel="0" collapsed="false">
      <c r="C87" s="0" t="n">
        <v>7</v>
      </c>
      <c r="D87" s="772" t="n">
        <v>3571340.05906031</v>
      </c>
      <c r="E87" s="772" t="n">
        <f aca="false">Breakout!$I$186</f>
        <v>3706076.57494343</v>
      </c>
    </row>
    <row r="88" customFormat="false" ht="12.75" hidden="false" customHeight="false" outlineLevel="0" collapsed="false">
      <c r="C88" s="0" t="n">
        <v>8</v>
      </c>
      <c r="D88" s="772" t="n">
        <v>3575150.14501545</v>
      </c>
      <c r="E88" s="772" t="n">
        <f aca="false">Breakout!$J$186</f>
        <v>3713827.96154858</v>
      </c>
    </row>
    <row r="89" customFormat="false" ht="12.75" hidden="false" customHeight="false" outlineLevel="0" collapsed="false">
      <c r="C89" s="0" t="n">
        <v>9</v>
      </c>
      <c r="D89" s="772" t="n">
        <v>5548403.48569029</v>
      </c>
      <c r="E89" s="772" t="n">
        <f aca="false">Breakout!$K$186</f>
        <v>5691471.60590618</v>
      </c>
    </row>
    <row r="90" customFormat="false" ht="12.75" hidden="false" customHeight="false" outlineLevel="0" collapsed="false">
      <c r="C90" s="0" t="n">
        <v>10</v>
      </c>
      <c r="D90" s="772" t="n">
        <v>5553079.2743288</v>
      </c>
      <c r="E90" s="772" t="n">
        <f aca="false">Breakout!$L$186</f>
        <v>5700984.21161845</v>
      </c>
    </row>
  </sheetData>
  <mergeCells count="14">
    <mergeCell ref="B3:H3"/>
    <mergeCell ref="E5:F5"/>
    <mergeCell ref="E6:F6"/>
    <mergeCell ref="E7:F7"/>
    <mergeCell ref="E8:F8"/>
    <mergeCell ref="E9:F9"/>
    <mergeCell ref="E10:F10"/>
    <mergeCell ref="B13:H13"/>
    <mergeCell ref="B15:D15"/>
    <mergeCell ref="F15:H15"/>
    <mergeCell ref="G19:H19"/>
    <mergeCell ref="B27:H27"/>
    <mergeCell ref="B66:H66"/>
    <mergeCell ref="B78:H78"/>
  </mergeCells>
  <printOptions headings="false" gridLines="false" gridLinesSet="true" horizontalCentered="false" verticalCentered="false"/>
  <pageMargins left="0.570138888888889" right="0.290277777777778" top="0.440277777777778" bottom="0.270138888888889"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J90"/>
  <sheetViews>
    <sheetView showFormulas="false" showGridLines="true" showRowColHeaders="true" showZeros="true" rightToLeft="false" tabSelected="false" showOutlineSymbols="true" defaultGridColor="true" view="normal" topLeftCell="A41" colorId="64" zoomScale="100" zoomScaleNormal="100" zoomScalePageLayoutView="100" workbookViewId="0">
      <selection pane="topLeft" activeCell="D41" activeCellId="0" sqref="D41:D64"/>
    </sheetView>
  </sheetViews>
  <sheetFormatPr defaultColWidth="9.0546875" defaultRowHeight="12.75" customHeight="true" zeroHeight="false" outlineLevelRow="0" outlineLevelCol="0"/>
  <cols>
    <col collapsed="false" customWidth="true" hidden="false" outlineLevel="0" max="1" min="1" style="0" width="3.56"/>
    <col collapsed="false" customWidth="true" hidden="false" outlineLevel="0" max="2" min="2" style="0" width="22.99"/>
    <col collapsed="false" customWidth="true" hidden="false" outlineLevel="0" max="3" min="3" style="0" width="14.85"/>
    <col collapsed="false" customWidth="true" hidden="false" outlineLevel="0" max="5" min="4" style="0" width="14.7"/>
    <col collapsed="false" customWidth="true" hidden="false" outlineLevel="0" max="7" min="6" style="0" width="16.28"/>
    <col collapsed="false" customWidth="true" hidden="false" outlineLevel="0" max="8" min="8" style="0" width="23.7"/>
    <col collapsed="false" customWidth="true" hidden="false" outlineLevel="0" max="9" min="9" style="0" width="2.56"/>
  </cols>
  <sheetData>
    <row r="1" customFormat="false" ht="18" hidden="false" customHeight="false" outlineLevel="0" collapsed="false">
      <c r="A1" s="556"/>
      <c r="B1" s="931" t="s">
        <v>1473</v>
      </c>
      <c r="C1" s="556"/>
      <c r="D1" s="556"/>
      <c r="E1" s="556"/>
      <c r="F1" s="556"/>
      <c r="H1" s="932" t="s">
        <v>1074</v>
      </c>
      <c r="I1" s="556"/>
      <c r="J1" s="556"/>
    </row>
    <row r="2" customFormat="false" ht="7.5" hidden="false" customHeight="true" outlineLevel="0" collapsed="false">
      <c r="A2" s="556"/>
      <c r="B2" s="556"/>
      <c r="C2" s="556"/>
      <c r="D2" s="556"/>
      <c r="E2" s="556"/>
      <c r="F2" s="556"/>
      <c r="G2" s="556"/>
      <c r="H2" s="556"/>
      <c r="I2" s="556"/>
      <c r="J2" s="556"/>
    </row>
    <row r="3" customFormat="false" ht="15.75" hidden="false" customHeight="false" outlineLevel="0" collapsed="false">
      <c r="A3" s="556"/>
      <c r="B3" s="933" t="s">
        <v>1474</v>
      </c>
      <c r="C3" s="933"/>
      <c r="D3" s="933"/>
      <c r="E3" s="933"/>
      <c r="F3" s="933"/>
      <c r="G3" s="933"/>
      <c r="H3" s="933"/>
      <c r="I3" s="556"/>
      <c r="J3" s="556"/>
    </row>
    <row r="4" customFormat="false" ht="9.75" hidden="false" customHeight="true" outlineLevel="0" collapsed="false">
      <c r="A4" s="556"/>
      <c r="B4" s="556"/>
      <c r="C4" s="556"/>
      <c r="D4" s="556"/>
      <c r="E4" s="556"/>
      <c r="F4" s="556"/>
      <c r="G4" s="556"/>
      <c r="H4" s="556"/>
      <c r="I4" s="556"/>
      <c r="J4" s="556"/>
    </row>
    <row r="5" customFormat="false" ht="15.75" hidden="false" customHeight="true" outlineLevel="0" collapsed="false">
      <c r="A5" s="556"/>
      <c r="D5" s="934" t="s">
        <v>1475</v>
      </c>
      <c r="E5" s="935" t="s">
        <v>1476</v>
      </c>
      <c r="F5" s="935"/>
      <c r="G5" s="556"/>
      <c r="H5" s="556"/>
      <c r="I5" s="556"/>
      <c r="J5" s="556"/>
    </row>
    <row r="6" customFormat="false" ht="12.75" hidden="false" customHeight="false" outlineLevel="0" collapsed="false">
      <c r="A6" s="556"/>
      <c r="D6" s="936" t="s">
        <v>1477</v>
      </c>
      <c r="E6" s="937" t="n">
        <f aca="false">'Re-Whole'!E6:F6</f>
        <v>45926</v>
      </c>
      <c r="F6" s="937"/>
      <c r="G6" s="556"/>
      <c r="H6" s="556"/>
      <c r="I6" s="556"/>
      <c r="J6" s="556"/>
    </row>
    <row r="7" customFormat="false" ht="12.75" hidden="false" customHeight="false" outlineLevel="0" collapsed="false">
      <c r="A7" s="556"/>
      <c r="D7" s="936" t="s">
        <v>1478</v>
      </c>
      <c r="E7" s="938" t="str">
        <f aca="false">'Re-Whole'!E7:F7</f>
        <v>Angela Schwarz</v>
      </c>
      <c r="F7" s="938"/>
      <c r="G7" s="556"/>
      <c r="H7" s="556"/>
      <c r="I7" s="556"/>
      <c r="J7" s="556"/>
    </row>
    <row r="8" customFormat="false" ht="12.75" hidden="false" customHeight="false" outlineLevel="0" collapsed="false">
      <c r="A8" s="556"/>
      <c r="D8" s="936" t="s">
        <v>1480</v>
      </c>
      <c r="E8" s="938" t="str">
        <f aca="false">'Re-Whole'!E8:F8</f>
        <v>Stuart Rexrode</v>
      </c>
      <c r="F8" s="938"/>
      <c r="G8" s="556"/>
      <c r="H8" s="556"/>
      <c r="I8" s="556"/>
      <c r="J8" s="556"/>
    </row>
    <row r="9" customFormat="false" ht="12.75" hidden="false" customHeight="false" outlineLevel="0" collapsed="false">
      <c r="A9" s="556"/>
      <c r="D9" s="936" t="s">
        <v>1482</v>
      </c>
      <c r="E9" s="938" t="str">
        <f aca="false">'Re-Whole'!E9:F9</f>
        <v>10 years</v>
      </c>
      <c r="F9" s="938"/>
      <c r="G9" s="556"/>
      <c r="H9" s="556"/>
      <c r="I9" s="556"/>
      <c r="J9" s="556"/>
    </row>
    <row r="10" customFormat="false" ht="25.5" hidden="false" customHeight="false" outlineLevel="0" collapsed="false">
      <c r="A10" s="556"/>
      <c r="D10" s="939" t="s">
        <v>1484</v>
      </c>
      <c r="E10" s="938" t="str">
        <f aca="false">'Re-Whole'!E10:F10</f>
        <v>Kevin Greiner / Jun Wang</v>
      </c>
      <c r="F10" s="938"/>
      <c r="G10" s="556"/>
      <c r="H10" s="556"/>
      <c r="I10" s="556"/>
      <c r="J10" s="556"/>
    </row>
    <row r="11" customFormat="false" ht="9" hidden="false" customHeight="true" outlineLevel="0" collapsed="false">
      <c r="A11" s="556"/>
      <c r="B11" s="556"/>
      <c r="C11" s="556"/>
      <c r="D11" s="556"/>
      <c r="E11" s="556"/>
      <c r="F11" s="556"/>
      <c r="G11" s="556"/>
      <c r="H11" s="556"/>
      <c r="I11" s="556"/>
      <c r="J11" s="556"/>
    </row>
    <row r="12" customFormat="false" ht="7.5" hidden="false" customHeight="true" outlineLevel="0" collapsed="false">
      <c r="A12" s="556"/>
      <c r="B12" s="556"/>
      <c r="C12" s="556"/>
      <c r="D12" s="556"/>
      <c r="E12" s="556"/>
      <c r="F12" s="556"/>
      <c r="G12" s="556"/>
      <c r="H12" s="556"/>
      <c r="I12" s="556"/>
      <c r="J12" s="556"/>
    </row>
    <row r="13" customFormat="false" ht="15.75" hidden="false" customHeight="false" outlineLevel="0" collapsed="false">
      <c r="A13" s="556"/>
      <c r="B13" s="933" t="s">
        <v>1486</v>
      </c>
      <c r="C13" s="933"/>
      <c r="D13" s="933"/>
      <c r="E13" s="933"/>
      <c r="F13" s="933"/>
      <c r="G13" s="933"/>
      <c r="H13" s="933"/>
      <c r="I13" s="556"/>
      <c r="J13" s="556"/>
    </row>
    <row r="14" customFormat="false" ht="8.25" hidden="false" customHeight="true" outlineLevel="0" collapsed="false">
      <c r="A14" s="556"/>
      <c r="B14" s="556"/>
      <c r="C14" s="556"/>
      <c r="D14" s="556"/>
      <c r="E14" s="556"/>
      <c r="F14" s="556"/>
      <c r="G14" s="556"/>
      <c r="H14" s="556"/>
      <c r="I14" s="556"/>
      <c r="J14" s="556"/>
    </row>
    <row r="15" customFormat="false" ht="15.75" hidden="false" customHeight="false" outlineLevel="0" collapsed="false">
      <c r="A15" s="556"/>
      <c r="B15" s="940" t="s">
        <v>857</v>
      </c>
      <c r="C15" s="940"/>
      <c r="D15" s="940"/>
      <c r="E15" s="556"/>
      <c r="F15" s="940" t="s">
        <v>1487</v>
      </c>
      <c r="G15" s="940"/>
      <c r="H15" s="940"/>
      <c r="I15" s="556"/>
      <c r="J15" s="556"/>
    </row>
    <row r="16" customFormat="false" ht="12.75" hidden="false" customHeight="false" outlineLevel="0" collapsed="false">
      <c r="A16" s="556"/>
      <c r="B16" s="941" t="s">
        <v>1488</v>
      </c>
      <c r="C16" s="941" t="s">
        <v>1489</v>
      </c>
      <c r="D16" s="942" t="s">
        <v>1490</v>
      </c>
      <c r="E16" s="556"/>
      <c r="G16" s="936" t="s">
        <v>1491</v>
      </c>
      <c r="H16" s="938" t="s">
        <v>1492</v>
      </c>
      <c r="I16" s="556"/>
      <c r="J16" s="556"/>
    </row>
    <row r="17" customFormat="false" ht="12.75" hidden="false" customHeight="false" outlineLevel="0" collapsed="false">
      <c r="A17" s="556"/>
      <c r="B17" s="936" t="s">
        <v>1493</v>
      </c>
      <c r="C17" s="943"/>
      <c r="D17" s="944"/>
      <c r="E17" s="556"/>
      <c r="G17" s="936" t="s">
        <v>1494</v>
      </c>
      <c r="H17" s="938" t="s">
        <v>1495</v>
      </c>
      <c r="I17" s="556"/>
      <c r="J17" s="556"/>
    </row>
    <row r="18" customFormat="false" ht="12.75" hidden="false" customHeight="false" outlineLevel="0" collapsed="false">
      <c r="A18" s="556"/>
      <c r="B18" s="945" t="s">
        <v>1496</v>
      </c>
      <c r="C18" s="946" t="n">
        <v>0</v>
      </c>
      <c r="D18" s="947" t="n">
        <v>0</v>
      </c>
      <c r="E18" s="556"/>
      <c r="G18" s="936" t="s">
        <v>1497</v>
      </c>
      <c r="H18" s="948" t="s">
        <v>1560</v>
      </c>
      <c r="I18" s="556"/>
      <c r="J18" s="556"/>
    </row>
    <row r="19" customFormat="false" ht="12.75" hidden="false" customHeight="false" outlineLevel="0" collapsed="false">
      <c r="A19" s="556"/>
      <c r="B19" s="945" t="s">
        <v>1498</v>
      </c>
      <c r="C19" s="946" t="n">
        <v>0</v>
      </c>
      <c r="D19" s="947" t="n">
        <v>0</v>
      </c>
      <c r="E19" s="556"/>
      <c r="G19" s="949" t="s">
        <v>1499</v>
      </c>
      <c r="H19" s="949"/>
      <c r="I19" s="556"/>
      <c r="J19" s="556"/>
    </row>
    <row r="20" customFormat="false" ht="12.75" hidden="false" customHeight="false" outlineLevel="0" collapsed="false">
      <c r="A20" s="556"/>
      <c r="B20" s="945" t="s">
        <v>1500</v>
      </c>
      <c r="C20" s="946" t="n">
        <v>0</v>
      </c>
      <c r="D20" s="947" t="n">
        <v>0</v>
      </c>
      <c r="E20" s="556"/>
      <c r="G20" s="936" t="s">
        <v>1501</v>
      </c>
      <c r="H20" s="938" t="s">
        <v>1552</v>
      </c>
      <c r="I20" s="556"/>
      <c r="J20" s="556"/>
    </row>
    <row r="21" customFormat="false" ht="12.75" hidden="false" customHeight="false" outlineLevel="0" collapsed="false">
      <c r="A21" s="556"/>
      <c r="B21" s="936" t="s">
        <v>1502</v>
      </c>
      <c r="C21" s="946" t="n">
        <v>0</v>
      </c>
      <c r="D21" s="947" t="n">
        <v>0</v>
      </c>
      <c r="E21" s="556"/>
      <c r="G21" s="936" t="s">
        <v>1503</v>
      </c>
      <c r="H21" s="938" t="s">
        <v>1552</v>
      </c>
      <c r="I21" s="556"/>
      <c r="J21" s="556"/>
    </row>
    <row r="22" customFormat="false" ht="12.75" hidden="false" customHeight="false" outlineLevel="0" collapsed="false">
      <c r="A22" s="556"/>
      <c r="B22" s="936" t="s">
        <v>1504</v>
      </c>
      <c r="C22" s="946" t="n">
        <v>0</v>
      </c>
      <c r="D22" s="947" t="n">
        <v>0</v>
      </c>
      <c r="E22" s="556"/>
      <c r="G22" s="936" t="s">
        <v>1505</v>
      </c>
      <c r="H22" s="938" t="s">
        <v>1552</v>
      </c>
      <c r="I22" s="556"/>
      <c r="J22" s="556"/>
    </row>
    <row r="23" customFormat="false" ht="12.75" hidden="false" customHeight="false" outlineLevel="0" collapsed="false">
      <c r="A23" s="556"/>
      <c r="B23" s="950" t="s">
        <v>1553</v>
      </c>
      <c r="C23" s="946" t="n">
        <v>0</v>
      </c>
      <c r="D23" s="947" t="n">
        <v>0</v>
      </c>
      <c r="E23" s="556"/>
      <c r="G23" s="936" t="s">
        <v>1507</v>
      </c>
      <c r="H23" s="948" t="n">
        <v>-0.01</v>
      </c>
      <c r="I23" s="556"/>
      <c r="J23" s="556"/>
    </row>
    <row r="24" customFormat="false" ht="12.75" hidden="false" customHeight="false" outlineLevel="0" collapsed="false">
      <c r="A24" s="556"/>
      <c r="B24" s="950" t="s">
        <v>1508</v>
      </c>
      <c r="C24" s="946" t="n">
        <v>0</v>
      </c>
      <c r="D24" s="947" t="n">
        <v>0</v>
      </c>
      <c r="E24" s="556"/>
      <c r="G24" s="204"/>
      <c r="H24" s="951"/>
      <c r="I24" s="556"/>
      <c r="J24" s="556"/>
    </row>
    <row r="25" customFormat="false" ht="13.5" hidden="false" customHeight="false" outlineLevel="0" collapsed="false">
      <c r="A25" s="556"/>
      <c r="B25" s="954" t="s">
        <v>684</v>
      </c>
      <c r="C25" s="955" t="n">
        <f aca="false">SUM(C18:C24)</f>
        <v>0</v>
      </c>
      <c r="D25" s="991"/>
      <c r="E25" s="556"/>
      <c r="F25" s="556"/>
      <c r="G25" s="556"/>
      <c r="H25" s="556"/>
      <c r="I25" s="556"/>
      <c r="J25" s="556"/>
    </row>
    <row r="26" customFormat="false" ht="9" hidden="false" customHeight="true" outlineLevel="0" collapsed="false">
      <c r="A26" s="556"/>
      <c r="B26" s="556"/>
      <c r="C26" s="556"/>
      <c r="D26" s="556"/>
      <c r="E26" s="556"/>
      <c r="F26" s="556"/>
      <c r="G26" s="556"/>
      <c r="H26" s="556"/>
      <c r="I26" s="556"/>
      <c r="J26" s="556"/>
    </row>
    <row r="27" customFormat="false" ht="15.75" hidden="false" customHeight="false" outlineLevel="0" collapsed="false">
      <c r="A27" s="556"/>
      <c r="B27" s="933" t="s">
        <v>1510</v>
      </c>
      <c r="C27" s="933"/>
      <c r="D27" s="933"/>
      <c r="E27" s="933"/>
      <c r="F27" s="933"/>
      <c r="G27" s="933"/>
      <c r="H27" s="933"/>
      <c r="I27" s="556"/>
      <c r="J27" s="556"/>
    </row>
    <row r="28" customFormat="false" ht="12.75" hidden="false" customHeight="false" outlineLevel="0" collapsed="false">
      <c r="A28" s="556"/>
      <c r="B28" s="556"/>
      <c r="C28" s="556"/>
      <c r="D28" s="556"/>
      <c r="E28" s="556"/>
      <c r="F28" s="556"/>
      <c r="G28" s="556"/>
      <c r="H28" s="556"/>
      <c r="I28" s="556"/>
      <c r="J28" s="556"/>
    </row>
    <row r="29" customFormat="false" ht="12.75" hidden="false" customHeight="false" outlineLevel="0" collapsed="false">
      <c r="A29" s="556"/>
      <c r="B29" s="957" t="s">
        <v>1511</v>
      </c>
      <c r="C29" s="958"/>
      <c r="D29" s="958"/>
      <c r="E29" s="556"/>
      <c r="G29" s="957" t="s">
        <v>1512</v>
      </c>
      <c r="H29" s="958"/>
      <c r="I29" s="556"/>
      <c r="J29" s="556"/>
    </row>
    <row r="30" customFormat="false" ht="12.75" hidden="false" customHeight="false" outlineLevel="0" collapsed="false">
      <c r="A30" s="556"/>
      <c r="B30" s="556"/>
      <c r="C30" s="959" t="s">
        <v>1513</v>
      </c>
      <c r="D30" s="959" t="s">
        <v>1514</v>
      </c>
      <c r="E30" s="556"/>
      <c r="F30" s="556"/>
      <c r="G30" s="556"/>
      <c r="H30" s="556"/>
      <c r="I30" s="556"/>
      <c r="J30" s="556"/>
    </row>
    <row r="31" customFormat="false" ht="12.75" hidden="false" customHeight="false" outlineLevel="0" collapsed="false">
      <c r="A31" s="556"/>
      <c r="B31" s="936" t="s">
        <v>1515</v>
      </c>
      <c r="C31" s="946" t="n">
        <f aca="false">C64-D64</f>
        <v>-1820366.43339151</v>
      </c>
      <c r="D31" s="960" t="n">
        <f aca="false">E64</f>
        <v>-0.47372765743363</v>
      </c>
      <c r="E31" s="556"/>
      <c r="F31" s="556"/>
      <c r="G31" s="556"/>
      <c r="H31" s="556"/>
      <c r="I31" s="556"/>
      <c r="J31" s="556"/>
    </row>
    <row r="32" customFormat="false" ht="12.75" hidden="false" customHeight="false" outlineLevel="0" collapsed="false">
      <c r="A32" s="556"/>
      <c r="B32" s="936" t="s">
        <v>1516</v>
      </c>
      <c r="C32" s="946" t="n">
        <f aca="false">D64</f>
        <v>1758780.71028135</v>
      </c>
      <c r="D32" s="961" t="n">
        <f aca="false">D64/Breakout!B242</f>
        <v>0.457700741201178</v>
      </c>
      <c r="E32" s="556"/>
      <c r="G32" s="936" t="s">
        <v>1517</v>
      </c>
      <c r="H32" s="946" t="n">
        <v>0</v>
      </c>
      <c r="I32" s="556"/>
      <c r="J32" s="556"/>
    </row>
    <row r="33" customFormat="false" ht="12.75" hidden="false" customHeight="false" outlineLevel="0" collapsed="false">
      <c r="A33" s="556"/>
      <c r="B33" s="936" t="s">
        <v>1518</v>
      </c>
      <c r="C33" s="946" t="n">
        <f aca="false">C64</f>
        <v>-61585.7231101627</v>
      </c>
      <c r="D33" s="961" t="n">
        <f aca="false">C64/Breakout!B242</f>
        <v>-0.0160269162324522</v>
      </c>
      <c r="E33" s="556"/>
      <c r="G33" s="936" t="s">
        <v>1395</v>
      </c>
      <c r="H33" s="946" t="n">
        <v>0</v>
      </c>
      <c r="I33" s="556"/>
      <c r="J33" s="556"/>
    </row>
    <row r="34" customFormat="false" ht="12.75" hidden="false" customHeight="false" outlineLevel="0" collapsed="false">
      <c r="A34" s="556"/>
      <c r="B34" s="936" t="s">
        <v>1416</v>
      </c>
      <c r="C34" s="946" t="n">
        <f aca="false">Breakout!B243</f>
        <v>8750000</v>
      </c>
      <c r="D34" s="556"/>
      <c r="E34" s="556"/>
      <c r="G34" s="936" t="s">
        <v>1519</v>
      </c>
      <c r="H34" s="946" t="n">
        <f aca="false">C55</f>
        <v>3524229.07488987</v>
      </c>
      <c r="I34" s="556"/>
      <c r="J34" s="556"/>
    </row>
    <row r="35" customFormat="false" ht="12.75" hidden="false" customHeight="false" outlineLevel="0" collapsed="false">
      <c r="A35" s="556"/>
      <c r="B35" s="936" t="s">
        <v>1395</v>
      </c>
      <c r="C35" s="962" t="n">
        <v>0</v>
      </c>
      <c r="D35" s="556"/>
      <c r="E35" s="556"/>
      <c r="G35" s="936" t="s">
        <v>684</v>
      </c>
      <c r="H35" s="946" t="n">
        <f aca="false">SUM(H32:H34)</f>
        <v>3524229.07488987</v>
      </c>
      <c r="I35" s="556"/>
      <c r="J35" s="556"/>
    </row>
    <row r="36" customFormat="false" ht="12.75" hidden="false" customHeight="false" outlineLevel="0" collapsed="false">
      <c r="A36" s="556"/>
      <c r="B36" s="936" t="s">
        <v>1520</v>
      </c>
      <c r="C36" s="946" t="n">
        <v>0</v>
      </c>
      <c r="D36" s="556"/>
      <c r="E36" s="556"/>
      <c r="F36" s="556"/>
      <c r="G36" s="556"/>
      <c r="H36" s="556"/>
      <c r="I36" s="556"/>
      <c r="J36" s="556"/>
    </row>
    <row r="37" customFormat="false" ht="12.75" hidden="false" customHeight="false" outlineLevel="0" collapsed="false">
      <c r="A37" s="556"/>
      <c r="B37" s="556"/>
      <c r="C37" s="556"/>
      <c r="D37" s="556"/>
      <c r="E37" s="556"/>
      <c r="G37" s="556"/>
      <c r="H37" s="556"/>
      <c r="I37" s="556"/>
      <c r="J37" s="556"/>
    </row>
    <row r="38" customFormat="false" ht="12.75" hidden="false" customHeight="false" outlineLevel="0" collapsed="false">
      <c r="A38" s="556"/>
      <c r="B38" s="957" t="s">
        <v>1522</v>
      </c>
      <c r="C38" s="958"/>
      <c r="D38" s="958"/>
      <c r="E38" s="556"/>
      <c r="G38" s="556"/>
      <c r="H38" s="556"/>
      <c r="I38" s="556"/>
      <c r="J38" s="556"/>
    </row>
    <row r="39" customFormat="false" ht="12.75" hidden="false" customHeight="false" outlineLevel="0" collapsed="false">
      <c r="A39" s="556"/>
      <c r="B39" s="556"/>
      <c r="C39" s="556"/>
      <c r="D39" s="556"/>
      <c r="E39" s="556"/>
      <c r="F39" s="556"/>
      <c r="G39" s="556"/>
      <c r="H39" s="556"/>
      <c r="I39" s="556"/>
      <c r="J39" s="556"/>
    </row>
    <row r="40" customFormat="false" ht="26.25" hidden="false" customHeight="false" outlineLevel="0" collapsed="false">
      <c r="A40" s="556"/>
      <c r="B40" s="964" t="s">
        <v>1523</v>
      </c>
      <c r="C40" s="964" t="s">
        <v>1524</v>
      </c>
      <c r="D40" s="964" t="s">
        <v>1525</v>
      </c>
      <c r="E40" s="965" t="s">
        <v>1526</v>
      </c>
      <c r="F40" s="959"/>
      <c r="G40" s="556"/>
      <c r="H40" s="556"/>
      <c r="I40" s="556"/>
      <c r="J40" s="556"/>
    </row>
    <row r="41" customFormat="false" ht="13.5" hidden="false" customHeight="false" outlineLevel="0" collapsed="false">
      <c r="A41" s="556"/>
      <c r="B41" s="978" t="s">
        <v>1527</v>
      </c>
      <c r="C41" s="976" t="n">
        <v>0</v>
      </c>
      <c r="D41" s="976" t="n">
        <v>0</v>
      </c>
      <c r="E41" s="977" t="n">
        <f aca="false">(C41-D41)/Breakout!$B$242</f>
        <v>0</v>
      </c>
      <c r="F41" s="556"/>
      <c r="G41" s="556"/>
      <c r="H41" s="556"/>
      <c r="I41" s="556"/>
      <c r="J41" s="556"/>
    </row>
    <row r="42" customFormat="false" ht="12.75" hidden="false" customHeight="false" outlineLevel="0" collapsed="false">
      <c r="A42" s="556"/>
      <c r="B42" s="936" t="s">
        <v>1554</v>
      </c>
      <c r="C42" s="946" t="n">
        <v>0</v>
      </c>
      <c r="D42" s="946" t="n">
        <v>0</v>
      </c>
      <c r="E42" s="977" t="n">
        <f aca="false">(C42-D42)/Breakout!$B$242</f>
        <v>0</v>
      </c>
      <c r="F42" s="556"/>
      <c r="G42" s="556"/>
      <c r="H42" s="556"/>
      <c r="I42" s="556"/>
      <c r="J42" s="556"/>
    </row>
    <row r="43" customFormat="false" ht="12.75" hidden="false" customHeight="false" outlineLevel="0" collapsed="false">
      <c r="A43" s="556"/>
      <c r="B43" s="936" t="s">
        <v>1555</v>
      </c>
      <c r="C43" s="946"/>
      <c r="D43" s="946"/>
      <c r="E43" s="977" t="n">
        <f aca="false">(C43-D43)/Breakout!$B$242</f>
        <v>0</v>
      </c>
      <c r="F43" s="556"/>
      <c r="G43" s="556"/>
      <c r="H43" s="556"/>
      <c r="I43" s="556"/>
      <c r="J43" s="556"/>
    </row>
    <row r="44" customFormat="false" ht="12.75" hidden="false" customHeight="false" outlineLevel="0" collapsed="false">
      <c r="A44" s="556"/>
      <c r="B44" s="936" t="s">
        <v>1528</v>
      </c>
      <c r="C44" s="946" t="n">
        <v>0</v>
      </c>
      <c r="D44" s="946" t="n">
        <v>0</v>
      </c>
      <c r="E44" s="977" t="n">
        <f aca="false">(C44-D44)/Breakout!$B$242</f>
        <v>0</v>
      </c>
      <c r="F44" s="556"/>
      <c r="G44" s="556"/>
      <c r="H44" s="556"/>
      <c r="I44" s="556"/>
      <c r="J44" s="556"/>
    </row>
    <row r="45" customFormat="false" ht="12.75" hidden="false" customHeight="false" outlineLevel="0" collapsed="false">
      <c r="A45" s="556"/>
      <c r="B45" s="936" t="s">
        <v>1529</v>
      </c>
      <c r="C45" s="946" t="n">
        <v>0</v>
      </c>
      <c r="D45" s="946" t="n">
        <v>0</v>
      </c>
      <c r="E45" s="977" t="n">
        <f aca="false">(C45-D45)/Breakout!$B$242</f>
        <v>0</v>
      </c>
      <c r="F45" s="556"/>
      <c r="G45" s="556"/>
      <c r="H45" s="556"/>
      <c r="I45" s="556"/>
      <c r="J45" s="556"/>
    </row>
    <row r="46" customFormat="false" ht="12.75" hidden="false" customHeight="false" outlineLevel="0" collapsed="false">
      <c r="A46" s="556"/>
      <c r="B46" s="936" t="s">
        <v>1530</v>
      </c>
      <c r="C46" s="946" t="n">
        <v>0</v>
      </c>
      <c r="D46" s="946" t="n">
        <v>0</v>
      </c>
      <c r="E46" s="977" t="n">
        <f aca="false">(C46-D46)/Breakout!$B$242</f>
        <v>0</v>
      </c>
      <c r="F46" s="556"/>
      <c r="G46" s="556"/>
      <c r="H46" s="556"/>
      <c r="I46" s="556"/>
      <c r="J46" s="556"/>
    </row>
    <row r="47" customFormat="false" ht="12.75" hidden="false" customHeight="false" outlineLevel="0" collapsed="false">
      <c r="A47" s="556"/>
      <c r="B47" s="936" t="s">
        <v>1561</v>
      </c>
      <c r="C47" s="946" t="n">
        <f aca="false">Breakout!$B$225</f>
        <v>3842643.35177971</v>
      </c>
      <c r="D47" s="946" t="n">
        <v>5912365.61594173</v>
      </c>
      <c r="E47" s="977" t="n">
        <f aca="false">(C47-D47)/Breakout!$B$242</f>
        <v>-0.538619401981044</v>
      </c>
      <c r="F47" s="556"/>
      <c r="G47" s="556"/>
      <c r="H47" s="556"/>
      <c r="I47" s="556"/>
      <c r="J47" s="556"/>
    </row>
    <row r="48" customFormat="false" ht="12.75" hidden="false" customHeight="false" outlineLevel="0" collapsed="false">
      <c r="A48" s="556"/>
      <c r="B48" s="936" t="s">
        <v>1532</v>
      </c>
      <c r="C48" s="946" t="n">
        <v>0</v>
      </c>
      <c r="D48" s="946" t="n">
        <v>0</v>
      </c>
      <c r="E48" s="977" t="n">
        <f aca="false">(C48-D48)/Breakout!$B$242</f>
        <v>0</v>
      </c>
      <c r="F48" s="556"/>
      <c r="G48" s="556"/>
      <c r="H48" s="556"/>
      <c r="I48" s="556"/>
      <c r="J48" s="556"/>
    </row>
    <row r="49" customFormat="false" ht="12.75" hidden="false" customHeight="false" outlineLevel="0" collapsed="false">
      <c r="A49" s="556"/>
      <c r="B49" s="936" t="s">
        <v>1533</v>
      </c>
      <c r="C49" s="946" t="n">
        <v>0</v>
      </c>
      <c r="D49" s="946" t="n">
        <v>0</v>
      </c>
      <c r="E49" s="977" t="n">
        <f aca="false">(C49-D49)/Breakout!$B$242</f>
        <v>0</v>
      </c>
      <c r="F49" s="556"/>
      <c r="G49" s="556"/>
      <c r="H49" s="556"/>
      <c r="I49" s="556"/>
      <c r="J49" s="556"/>
    </row>
    <row r="50" customFormat="false" ht="13.5" hidden="false" customHeight="false" outlineLevel="0" collapsed="false">
      <c r="A50" s="556"/>
      <c r="B50" s="954" t="s">
        <v>1556</v>
      </c>
      <c r="C50" s="992" t="n">
        <v>0</v>
      </c>
      <c r="D50" s="992" t="n">
        <v>0</v>
      </c>
      <c r="E50" s="977" t="n">
        <f aca="false">(C50-D50)/Breakout!$B$242</f>
        <v>0</v>
      </c>
      <c r="F50" s="556"/>
      <c r="G50" s="556"/>
      <c r="H50" s="556"/>
      <c r="I50" s="556"/>
      <c r="J50" s="556"/>
    </row>
    <row r="51" customFormat="false" ht="13.5" hidden="false" customHeight="false" outlineLevel="0" collapsed="false">
      <c r="A51" s="556"/>
      <c r="B51" s="967" t="s">
        <v>1535</v>
      </c>
      <c r="C51" s="968" t="n">
        <f aca="false">SUM(C41:C50)</f>
        <v>3842643.35177971</v>
      </c>
      <c r="D51" s="968" t="n">
        <v>5912365.61594173</v>
      </c>
      <c r="E51" s="969" t="n">
        <f aca="false">SUM(E42:E50)</f>
        <v>-0.538619401981044</v>
      </c>
      <c r="F51" s="556"/>
      <c r="G51" s="556"/>
      <c r="H51" s="556"/>
      <c r="I51" s="556"/>
      <c r="J51" s="556"/>
    </row>
    <row r="52" customFormat="false" ht="12.75" hidden="false" customHeight="false" outlineLevel="0" collapsed="false">
      <c r="A52" s="556"/>
      <c r="B52" s="556"/>
      <c r="C52" s="576"/>
      <c r="D52" s="576"/>
      <c r="E52" s="994"/>
      <c r="F52" s="556"/>
      <c r="G52" s="556"/>
      <c r="H52" s="556"/>
      <c r="I52" s="556"/>
      <c r="J52" s="556"/>
    </row>
    <row r="53" customFormat="false" ht="13.5" hidden="false" customHeight="false" outlineLevel="0" collapsed="false">
      <c r="A53" s="556"/>
      <c r="B53" s="964" t="s">
        <v>1536</v>
      </c>
      <c r="C53" s="970"/>
      <c r="D53" s="970"/>
      <c r="E53" s="995"/>
      <c r="F53" s="556"/>
      <c r="G53" s="556"/>
      <c r="H53" s="556"/>
      <c r="I53" s="556"/>
      <c r="J53" s="556"/>
    </row>
    <row r="54" customFormat="false" ht="13.5" hidden="false" customHeight="false" outlineLevel="0" collapsed="false">
      <c r="A54" s="556"/>
      <c r="B54" s="972" t="s">
        <v>1000</v>
      </c>
      <c r="C54" s="973" t="n">
        <f aca="false">'RMPM-FM'!S10</f>
        <v>380000</v>
      </c>
      <c r="D54" s="973" t="n">
        <v>380000</v>
      </c>
      <c r="E54" s="974" t="n">
        <f aca="false">(C54-D54)/Breakout!$B$242</f>
        <v>0</v>
      </c>
      <c r="F54" s="556"/>
      <c r="G54" s="556"/>
      <c r="H54" s="556"/>
      <c r="I54" s="556"/>
      <c r="J54" s="556"/>
    </row>
    <row r="55" customFormat="false" ht="12.75" hidden="false" customHeight="false" outlineLevel="0" collapsed="false">
      <c r="A55" s="556"/>
      <c r="B55" s="978" t="s">
        <v>1562</v>
      </c>
      <c r="C55" s="976" t="n">
        <f aca="false">-Breakout!$B$211</f>
        <v>3524229.07488987</v>
      </c>
      <c r="D55" s="976" t="n">
        <v>3773584.90566038</v>
      </c>
      <c r="E55" s="962" t="n">
        <f aca="false">(C55-D55)/Breakout!$B$242</f>
        <v>-0.0648917445474145</v>
      </c>
      <c r="F55" s="556"/>
      <c r="G55" s="556"/>
      <c r="H55" s="556"/>
      <c r="I55" s="556"/>
      <c r="J55" s="556"/>
    </row>
    <row r="56" customFormat="false" ht="12.75" hidden="false" customHeight="false" outlineLevel="0" collapsed="false">
      <c r="A56" s="556"/>
      <c r="B56" s="936" t="s">
        <v>1563</v>
      </c>
      <c r="C56" s="976" t="n">
        <f aca="false">-Breakout!$B$218</f>
        <v>-0</v>
      </c>
      <c r="D56" s="976" t="n">
        <v>0</v>
      </c>
      <c r="E56" s="962" t="n">
        <f aca="false">(C56-D56)/Breakout!$B$242</f>
        <v>-0</v>
      </c>
      <c r="F56" s="556"/>
      <c r="G56" s="556"/>
      <c r="H56" s="556"/>
      <c r="I56" s="556"/>
      <c r="J56" s="556"/>
    </row>
    <row r="57" customFormat="false" ht="12.75" hidden="false" customHeight="false" outlineLevel="0" collapsed="false">
      <c r="A57" s="556"/>
      <c r="B57" s="936" t="s">
        <v>1564</v>
      </c>
      <c r="C57" s="976" t="n">
        <f aca="false">-Breakout!$B$232</f>
        <v>-0</v>
      </c>
      <c r="D57" s="976" t="n">
        <v>0</v>
      </c>
      <c r="E57" s="962" t="n">
        <f aca="false">(C57-D57)/Breakout!$B$242</f>
        <v>-0</v>
      </c>
      <c r="F57" s="556"/>
      <c r="G57" s="556"/>
      <c r="H57" s="556"/>
      <c r="I57" s="556"/>
      <c r="J57" s="556"/>
    </row>
    <row r="58" customFormat="false" ht="13.5" hidden="false" customHeight="false" outlineLevel="0" collapsed="false">
      <c r="A58" s="556"/>
      <c r="B58" s="954" t="s">
        <v>1537</v>
      </c>
      <c r="C58" s="966" t="n">
        <f aca="false">SUM(C54:C57)</f>
        <v>3904229.07488987</v>
      </c>
      <c r="D58" s="966" t="n">
        <v>4153584.90566038</v>
      </c>
      <c r="E58" s="962" t="n">
        <f aca="false">(C58-D58)/Breakout!$B$242</f>
        <v>-0.0648917445474145</v>
      </c>
      <c r="F58" s="556"/>
      <c r="G58" s="556"/>
      <c r="H58" s="556"/>
      <c r="I58" s="556"/>
      <c r="J58" s="556"/>
    </row>
    <row r="59" customFormat="false" ht="13.5" hidden="false" customHeight="false" outlineLevel="0" collapsed="false">
      <c r="A59" s="556"/>
      <c r="B59" s="967" t="s">
        <v>1538</v>
      </c>
      <c r="C59" s="968" t="n">
        <f aca="false">C51-C58</f>
        <v>-61585.7231101627</v>
      </c>
      <c r="D59" s="968" t="n">
        <v>1758780.71028135</v>
      </c>
      <c r="E59" s="969" t="n">
        <f aca="false">E52+E58</f>
        <v>-0.0648917445474145</v>
      </c>
      <c r="F59" s="556"/>
      <c r="G59" s="556"/>
      <c r="H59" s="556"/>
      <c r="I59" s="556"/>
      <c r="J59" s="556"/>
    </row>
    <row r="60" customFormat="false" ht="12.75" hidden="false" customHeight="false" outlineLevel="0" collapsed="false">
      <c r="A60" s="556"/>
      <c r="B60" s="556"/>
      <c r="C60" s="982"/>
      <c r="D60" s="982"/>
      <c r="E60" s="977"/>
      <c r="F60" s="556"/>
      <c r="G60" s="556"/>
      <c r="H60" s="556"/>
      <c r="I60" s="556"/>
      <c r="J60" s="556"/>
    </row>
    <row r="61" customFormat="false" ht="12.75" hidden="false" customHeight="false" outlineLevel="0" collapsed="false">
      <c r="A61" s="556"/>
      <c r="B61" s="936" t="s">
        <v>1539</v>
      </c>
      <c r="C61" s="946" t="n">
        <v>0</v>
      </c>
      <c r="D61" s="946" t="n">
        <v>0</v>
      </c>
      <c r="E61" s="977" t="n">
        <f aca="false">(C61-D61)/Breakout!$B$242</f>
        <v>0</v>
      </c>
      <c r="F61" s="556"/>
      <c r="G61" s="556"/>
      <c r="H61" s="556"/>
      <c r="I61" s="556"/>
      <c r="J61" s="556"/>
    </row>
    <row r="62" customFormat="false" ht="12.75" hidden="false" customHeight="false" outlineLevel="0" collapsed="false">
      <c r="A62" s="556"/>
      <c r="B62" s="936" t="s">
        <v>1540</v>
      </c>
      <c r="C62" s="946" t="n">
        <v>0</v>
      </c>
      <c r="D62" s="946" t="n">
        <v>0</v>
      </c>
      <c r="E62" s="977" t="n">
        <f aca="false">(C62-D62)/Breakout!$B$242</f>
        <v>0</v>
      </c>
      <c r="F62" s="556"/>
      <c r="G62" s="556"/>
      <c r="H62" s="556"/>
      <c r="I62" s="556"/>
      <c r="J62" s="556"/>
    </row>
    <row r="63" customFormat="false" ht="13.5" hidden="false" customHeight="false" outlineLevel="0" collapsed="false">
      <c r="A63" s="556"/>
      <c r="B63" s="950" t="s">
        <v>1559</v>
      </c>
      <c r="C63" s="970" t="n">
        <v>0</v>
      </c>
      <c r="D63" s="970" t="n">
        <v>0</v>
      </c>
      <c r="E63" s="977" t="n">
        <f aca="false">(C63-D63)/Breakout!$B$242</f>
        <v>0</v>
      </c>
      <c r="F63" s="556"/>
      <c r="G63" s="556"/>
      <c r="H63" s="556"/>
      <c r="I63" s="556"/>
      <c r="J63" s="556"/>
    </row>
    <row r="64" customFormat="false" ht="13.5" hidden="false" customHeight="false" outlineLevel="0" collapsed="false">
      <c r="A64" s="556"/>
      <c r="B64" s="979" t="s">
        <v>1542</v>
      </c>
      <c r="C64" s="980" t="n">
        <f aca="false">C59-SUM(C61:C63)</f>
        <v>-61585.7231101627</v>
      </c>
      <c r="D64" s="980" t="n">
        <v>1758780.71028135</v>
      </c>
      <c r="E64" s="981" t="n">
        <f aca="false">(C64-D64)/Breakout!$B$242</f>
        <v>-0.47372765743363</v>
      </c>
      <c r="F64" s="556"/>
      <c r="G64" s="556"/>
      <c r="H64" s="556"/>
      <c r="I64" s="556"/>
      <c r="J64" s="556"/>
    </row>
    <row r="65" customFormat="false" ht="12.75" hidden="false" customHeight="false" outlineLevel="0" collapsed="false">
      <c r="A65" s="556"/>
      <c r="B65" s="556"/>
      <c r="C65" s="556"/>
      <c r="D65" s="556"/>
      <c r="E65" s="556"/>
      <c r="F65" s="556"/>
      <c r="G65" s="556"/>
      <c r="H65" s="556"/>
      <c r="I65" s="556"/>
      <c r="J65" s="556"/>
    </row>
    <row r="66" customFormat="false" ht="15.75" hidden="false" customHeight="false" outlineLevel="0" collapsed="false">
      <c r="A66" s="556"/>
      <c r="B66" s="933" t="s">
        <v>1543</v>
      </c>
      <c r="C66" s="933"/>
      <c r="D66" s="933"/>
      <c r="E66" s="933"/>
      <c r="F66" s="933"/>
      <c r="G66" s="933"/>
      <c r="H66" s="933"/>
      <c r="I66" s="556"/>
      <c r="J66" s="556"/>
    </row>
    <row r="67" customFormat="false" ht="12.75" hidden="false" customHeight="false" outlineLevel="0" collapsed="false">
      <c r="A67" s="556"/>
      <c r="B67" s="204"/>
      <c r="C67" s="556"/>
      <c r="D67" s="556"/>
      <c r="E67" s="556"/>
      <c r="F67" s="556"/>
      <c r="G67" s="556"/>
      <c r="H67" s="556"/>
      <c r="I67" s="556"/>
      <c r="J67" s="556"/>
    </row>
    <row r="68" customFormat="false" ht="12.75" hidden="false" customHeight="false" outlineLevel="0" collapsed="false">
      <c r="A68" s="556"/>
      <c r="B68" s="556"/>
      <c r="C68" s="556"/>
      <c r="D68" s="556"/>
      <c r="E68" s="556"/>
      <c r="F68" s="556"/>
      <c r="G68" s="556"/>
      <c r="H68" s="556"/>
      <c r="I68" s="556"/>
      <c r="J68" s="556"/>
    </row>
    <row r="69" customFormat="false" ht="12.75" hidden="false" customHeight="false" outlineLevel="0" collapsed="false">
      <c r="A69" s="556"/>
      <c r="B69" s="556"/>
      <c r="C69" s="556"/>
      <c r="D69" s="556"/>
      <c r="E69" s="556"/>
      <c r="F69" s="556"/>
      <c r="G69" s="556"/>
      <c r="H69" s="556"/>
      <c r="I69" s="556"/>
      <c r="J69" s="556"/>
    </row>
    <row r="70" customFormat="false" ht="12.75" hidden="false" customHeight="false" outlineLevel="0" collapsed="false">
      <c r="A70" s="556"/>
      <c r="B70" s="556"/>
      <c r="C70" s="556"/>
      <c r="D70" s="556"/>
      <c r="E70" s="556"/>
      <c r="F70" s="556"/>
      <c r="G70" s="556"/>
      <c r="H70" s="556"/>
      <c r="I70" s="556"/>
      <c r="J70" s="556"/>
    </row>
    <row r="71" customFormat="false" ht="12.75" hidden="false" customHeight="false" outlineLevel="0" collapsed="false">
      <c r="A71" s="556"/>
      <c r="B71" s="556"/>
      <c r="C71" s="556"/>
      <c r="D71" s="556"/>
      <c r="E71" s="556"/>
      <c r="F71" s="556"/>
      <c r="G71" s="556"/>
      <c r="H71" s="556"/>
      <c r="I71" s="556"/>
      <c r="J71" s="556"/>
    </row>
    <row r="72" customFormat="false" ht="12.75" hidden="false" customHeight="false" outlineLevel="0" collapsed="false">
      <c r="A72" s="556"/>
      <c r="B72" s="556"/>
      <c r="C72" s="556"/>
      <c r="D72" s="556"/>
      <c r="E72" s="556"/>
      <c r="F72" s="556"/>
      <c r="G72" s="556"/>
      <c r="H72" s="556"/>
      <c r="I72" s="556"/>
      <c r="J72" s="556"/>
    </row>
    <row r="73" customFormat="false" ht="12.75" hidden="false" customHeight="false" outlineLevel="0" collapsed="false">
      <c r="A73" s="556"/>
      <c r="B73" s="984"/>
      <c r="C73" s="556"/>
      <c r="D73" s="556"/>
      <c r="E73" s="556"/>
      <c r="F73" s="556"/>
      <c r="G73" s="556"/>
      <c r="H73" s="556"/>
      <c r="I73" s="556"/>
      <c r="J73" s="556"/>
    </row>
    <row r="74" customFormat="false" ht="12.75" hidden="false" customHeight="false" outlineLevel="0" collapsed="false">
      <c r="A74" s="556"/>
      <c r="B74" s="556"/>
      <c r="C74" s="556"/>
      <c r="D74" s="556"/>
      <c r="E74" s="556"/>
      <c r="F74" s="556"/>
      <c r="G74" s="556"/>
      <c r="H74" s="556"/>
      <c r="I74" s="556"/>
      <c r="J74" s="556"/>
    </row>
    <row r="75" customFormat="false" ht="12.75" hidden="false" customHeight="false" outlineLevel="0" collapsed="false">
      <c r="A75" s="556"/>
      <c r="B75" s="556"/>
      <c r="C75" s="556"/>
      <c r="D75" s="556"/>
      <c r="E75" s="556"/>
      <c r="F75" s="556"/>
      <c r="G75" s="556"/>
      <c r="H75" s="556"/>
      <c r="I75" s="556"/>
      <c r="J75" s="556"/>
    </row>
    <row r="76" customFormat="false" ht="12.75" hidden="false" customHeight="false" outlineLevel="0" collapsed="false">
      <c r="A76" s="556"/>
      <c r="B76" s="556"/>
      <c r="C76" s="556"/>
      <c r="D76" s="556"/>
      <c r="E76" s="556"/>
      <c r="F76" s="556"/>
      <c r="G76" s="556"/>
      <c r="H76" s="556"/>
      <c r="I76" s="556"/>
      <c r="J76" s="556"/>
    </row>
    <row r="77" customFormat="false" ht="12.75" hidden="false" customHeight="false" outlineLevel="0" collapsed="false">
      <c r="A77" s="556"/>
      <c r="B77" s="556"/>
      <c r="C77" s="556"/>
      <c r="D77" s="556"/>
      <c r="E77" s="556"/>
      <c r="F77" s="556"/>
      <c r="G77" s="556"/>
      <c r="H77" s="556"/>
      <c r="I77" s="556"/>
      <c r="J77" s="556"/>
    </row>
    <row r="78" customFormat="false" ht="12.75" hidden="false" customHeight="false" outlineLevel="0" collapsed="false">
      <c r="A78" s="556"/>
      <c r="B78" s="959" t="s">
        <v>1544</v>
      </c>
      <c r="C78" s="959"/>
      <c r="D78" s="959"/>
      <c r="E78" s="959"/>
      <c r="F78" s="959"/>
      <c r="G78" s="959"/>
      <c r="H78" s="959"/>
      <c r="I78" s="556"/>
      <c r="J78" s="556"/>
    </row>
    <row r="79" customFormat="false" ht="12.75" hidden="false" customHeight="false" outlineLevel="0" collapsed="false">
      <c r="A79" s="556"/>
      <c r="B79" s="556"/>
      <c r="C79" s="556"/>
      <c r="D79" s="556"/>
      <c r="E79" s="556"/>
      <c r="F79" s="556"/>
      <c r="G79" s="556"/>
      <c r="H79" s="556"/>
      <c r="I79" s="556"/>
      <c r="J79" s="556"/>
    </row>
    <row r="80" customFormat="false" ht="12.75" hidden="false" customHeight="false" outlineLevel="0" collapsed="false">
      <c r="A80" s="556"/>
      <c r="B80" s="556"/>
      <c r="C80" s="556"/>
      <c r="D80" s="556" t="s">
        <v>888</v>
      </c>
      <c r="E80" s="556" t="s">
        <v>890</v>
      </c>
      <c r="F80" s="556"/>
      <c r="G80" s="556"/>
      <c r="H80" s="556"/>
    </row>
    <row r="81" customFormat="false" ht="12.75" hidden="false" customHeight="false" outlineLevel="0" collapsed="false">
      <c r="C81" s="0" t="n">
        <v>1</v>
      </c>
      <c r="D81" s="772" t="n">
        <f aca="false">Breakout!$C$244</f>
        <v>-3800000</v>
      </c>
      <c r="E81" s="772" t="n">
        <f aca="false">Breakout!$C$244</f>
        <v>-3800000</v>
      </c>
    </row>
    <row r="82" customFormat="false" ht="12.75" hidden="false" customHeight="false" outlineLevel="0" collapsed="false">
      <c r="C82" s="0" t="n">
        <v>2</v>
      </c>
      <c r="D82" s="772" t="n">
        <f aca="false">Breakout!$D$244</f>
        <v>350000</v>
      </c>
      <c r="E82" s="772" t="n">
        <f aca="false">Breakout!$D$244</f>
        <v>350000</v>
      </c>
    </row>
    <row r="83" customFormat="false" ht="12.75" hidden="false" customHeight="false" outlineLevel="0" collapsed="false">
      <c r="C83" s="0" t="n">
        <v>3</v>
      </c>
      <c r="D83" s="772" t="n">
        <f aca="false">Breakout!$E$244</f>
        <v>500000</v>
      </c>
      <c r="E83" s="772" t="n">
        <f aca="false">Breakout!$E$244</f>
        <v>500000</v>
      </c>
    </row>
    <row r="84" customFormat="false" ht="12.75" hidden="false" customHeight="false" outlineLevel="0" collapsed="false">
      <c r="B84" s="441"/>
      <c r="C84" s="0" t="n">
        <v>4</v>
      </c>
      <c r="D84" s="772" t="n">
        <f aca="false">Breakout!$F$244</f>
        <v>650000</v>
      </c>
      <c r="E84" s="772" t="n">
        <f aca="false">Breakout!$F$244</f>
        <v>650000</v>
      </c>
    </row>
    <row r="85" customFormat="false" ht="12.75" hidden="false" customHeight="false" outlineLevel="0" collapsed="false">
      <c r="C85" s="0" t="n">
        <v>5</v>
      </c>
      <c r="D85" s="772" t="n">
        <f aca="false">Breakout!$G$244</f>
        <v>800000</v>
      </c>
      <c r="E85" s="772" t="n">
        <f aca="false">Breakout!$G$244</f>
        <v>800000</v>
      </c>
    </row>
    <row r="86" customFormat="false" ht="12.75" hidden="false" customHeight="false" outlineLevel="0" collapsed="false">
      <c r="C86" s="0" t="n">
        <v>6</v>
      </c>
      <c r="D86" s="772" t="n">
        <f aca="false">Breakout!$H$244</f>
        <v>950000</v>
      </c>
      <c r="E86" s="772" t="n">
        <f aca="false">Breakout!$H$244</f>
        <v>950000</v>
      </c>
    </row>
    <row r="87" customFormat="false" ht="12.75" hidden="false" customHeight="false" outlineLevel="0" collapsed="false">
      <c r="C87" s="0" t="n">
        <v>7</v>
      </c>
      <c r="D87" s="772" t="n">
        <f aca="false">Breakout!$I$244</f>
        <v>1100000</v>
      </c>
      <c r="E87" s="772" t="n">
        <f aca="false">Breakout!$I$244</f>
        <v>1100000</v>
      </c>
    </row>
    <row r="88" customFormat="false" ht="12.75" hidden="false" customHeight="false" outlineLevel="0" collapsed="false">
      <c r="C88" s="0" t="n">
        <v>8</v>
      </c>
      <c r="D88" s="772" t="n">
        <f aca="false">Breakout!$J$244</f>
        <v>1250000</v>
      </c>
      <c r="E88" s="772" t="n">
        <f aca="false">Breakout!$J$244</f>
        <v>1250000</v>
      </c>
    </row>
    <row r="89" customFormat="false" ht="12.75" hidden="false" customHeight="false" outlineLevel="0" collapsed="false">
      <c r="C89" s="0" t="n">
        <v>9</v>
      </c>
      <c r="D89" s="772" t="n">
        <f aca="false">Breakout!$K$244</f>
        <v>1400000</v>
      </c>
      <c r="E89" s="772" t="n">
        <f aca="false">Breakout!$K$244</f>
        <v>1400000</v>
      </c>
    </row>
    <row r="90" customFormat="false" ht="12.75" hidden="false" customHeight="false" outlineLevel="0" collapsed="false">
      <c r="C90" s="0" t="n">
        <v>10</v>
      </c>
      <c r="D90" s="772" t="n">
        <f aca="false">Breakout!$L$244</f>
        <v>1550000</v>
      </c>
      <c r="E90" s="772" t="n">
        <f aca="false">Breakout!$L$244</f>
        <v>1550000</v>
      </c>
    </row>
  </sheetData>
  <mergeCells count="14">
    <mergeCell ref="B3:H3"/>
    <mergeCell ref="E5:F5"/>
    <mergeCell ref="E6:F6"/>
    <mergeCell ref="E7:F7"/>
    <mergeCell ref="E8:F8"/>
    <mergeCell ref="E9:F9"/>
    <mergeCell ref="E10:F10"/>
    <mergeCell ref="B13:H13"/>
    <mergeCell ref="B15:D15"/>
    <mergeCell ref="F15:H15"/>
    <mergeCell ref="G19:H19"/>
    <mergeCell ref="B27:H27"/>
    <mergeCell ref="B66:H66"/>
    <mergeCell ref="B78:H78"/>
  </mergeCells>
  <printOptions headings="false" gridLines="false" gridLinesSet="true" horizontalCentered="false" verticalCentered="false"/>
  <pageMargins left="0.440277777777778" right="0.320138888888889" top="0.359722222222222" bottom="0.19027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2:IW32"/>
  <sheetViews>
    <sheetView showFormulas="false" showGridLines="true" showRowColHeaders="true" showZeros="true" rightToLeft="false" tabSelected="false" showOutlineSymbols="true" defaultGridColor="true" view="normal" topLeftCell="A1" colorId="64" zoomScale="85" zoomScaleNormal="85" zoomScalePageLayoutView="100" workbookViewId="0">
      <selection pane="topLeft" activeCell="G26" activeCellId="0" sqref="G26"/>
    </sheetView>
  </sheetViews>
  <sheetFormatPr defaultColWidth="9.13671875" defaultRowHeight="15.75" customHeight="true" zeroHeight="false" outlineLevelRow="0" outlineLevelCol="0"/>
  <cols>
    <col collapsed="false" customWidth="true" hidden="false" outlineLevel="0" max="1" min="1" style="996" width="3.85"/>
    <col collapsed="false" customWidth="true" hidden="false" outlineLevel="0" max="2" min="2" style="997" width="17.7"/>
    <col collapsed="false" customWidth="true" hidden="false" outlineLevel="0" max="3" min="3" style="996" width="12.42"/>
    <col collapsed="false" customWidth="true" hidden="false" outlineLevel="0" max="6" min="4" style="998" width="21.7"/>
    <col collapsed="false" customWidth="false" hidden="false" outlineLevel="0" max="7" min="7" style="996" width="9.14"/>
    <col collapsed="false" customWidth="true" hidden="false" outlineLevel="0" max="8" min="8" style="996" width="15.56"/>
    <col collapsed="false" customWidth="false" hidden="false" outlineLevel="0" max="257" min="9" style="996" width="9.14"/>
  </cols>
  <sheetData>
    <row r="2" customFormat="false" ht="15.75" hidden="false" customHeight="false" outlineLevel="0" collapsed="false">
      <c r="C2" s="999" t="s">
        <v>950</v>
      </c>
      <c r="D2" s="998" t="s">
        <v>1565</v>
      </c>
      <c r="E2" s="1000" t="n">
        <f aca="false">Breakout!$C$5</f>
        <v>0.135</v>
      </c>
      <c r="F2" s="1000" t="n">
        <f aca="false">Breakout!$C$5</f>
        <v>0.135</v>
      </c>
    </row>
    <row r="3" customFormat="false" ht="15.75" hidden="false" customHeight="false" outlineLevel="0" collapsed="false">
      <c r="A3" s="997"/>
      <c r="C3" s="999" t="s">
        <v>1566</v>
      </c>
      <c r="D3" s="1001" t="s">
        <v>1567</v>
      </c>
      <c r="E3" s="1001" t="s">
        <v>1545</v>
      </c>
      <c r="F3" s="1001" t="s">
        <v>1547</v>
      </c>
      <c r="G3" s="997"/>
      <c r="H3" s="997"/>
      <c r="I3" s="997"/>
      <c r="J3" s="997"/>
      <c r="K3" s="997"/>
      <c r="L3" s="997"/>
      <c r="M3" s="997"/>
      <c r="N3" s="997"/>
      <c r="O3" s="997"/>
      <c r="P3" s="997"/>
      <c r="Q3" s="997"/>
      <c r="R3" s="997"/>
      <c r="S3" s="997"/>
      <c r="T3" s="997"/>
      <c r="U3" s="997"/>
      <c r="V3" s="997"/>
      <c r="W3" s="997"/>
      <c r="X3" s="997"/>
      <c r="Y3" s="997"/>
      <c r="Z3" s="997"/>
      <c r="AA3" s="997"/>
      <c r="AB3" s="997"/>
      <c r="AC3" s="997"/>
      <c r="AD3" s="997"/>
      <c r="AE3" s="997"/>
      <c r="AF3" s="997"/>
      <c r="AG3" s="997"/>
      <c r="AH3" s="997"/>
      <c r="AI3" s="997"/>
      <c r="AJ3" s="997"/>
      <c r="AK3" s="997"/>
      <c r="AL3" s="997"/>
      <c r="AM3" s="997"/>
      <c r="AN3" s="997"/>
      <c r="AO3" s="997"/>
      <c r="AP3" s="997"/>
      <c r="AQ3" s="997"/>
      <c r="AR3" s="997"/>
      <c r="AS3" s="997"/>
      <c r="AT3" s="997"/>
      <c r="AU3" s="997"/>
      <c r="AV3" s="997"/>
      <c r="AW3" s="997"/>
      <c r="AX3" s="997"/>
      <c r="AY3" s="997"/>
      <c r="AZ3" s="997"/>
      <c r="BA3" s="997"/>
      <c r="BB3" s="997"/>
      <c r="BC3" s="997"/>
      <c r="BD3" s="997"/>
      <c r="BE3" s="997"/>
      <c r="BF3" s="997"/>
      <c r="BG3" s="997"/>
      <c r="BH3" s="997"/>
      <c r="BI3" s="997"/>
      <c r="BJ3" s="997"/>
      <c r="BK3" s="997"/>
      <c r="BL3" s="997"/>
      <c r="BM3" s="997"/>
      <c r="BN3" s="997"/>
      <c r="BO3" s="997"/>
      <c r="BP3" s="997"/>
      <c r="BQ3" s="997"/>
      <c r="BR3" s="997"/>
      <c r="BS3" s="997"/>
      <c r="BT3" s="997"/>
      <c r="BU3" s="997"/>
      <c r="BV3" s="997"/>
      <c r="BW3" s="997"/>
      <c r="BX3" s="997"/>
      <c r="BY3" s="997"/>
      <c r="BZ3" s="997"/>
      <c r="CA3" s="997"/>
      <c r="CB3" s="997"/>
      <c r="CC3" s="997"/>
      <c r="CD3" s="997"/>
      <c r="CE3" s="997"/>
      <c r="CF3" s="997"/>
      <c r="CG3" s="997"/>
      <c r="CH3" s="997"/>
      <c r="CI3" s="997"/>
      <c r="CJ3" s="997"/>
      <c r="CK3" s="997"/>
      <c r="CL3" s="997"/>
      <c r="CM3" s="997"/>
      <c r="CN3" s="997"/>
      <c r="CO3" s="997"/>
      <c r="CP3" s="997"/>
      <c r="CQ3" s="997"/>
      <c r="CR3" s="997"/>
      <c r="CS3" s="997"/>
      <c r="CT3" s="997"/>
      <c r="CU3" s="997"/>
      <c r="CV3" s="997"/>
      <c r="CW3" s="997"/>
      <c r="CX3" s="997"/>
      <c r="CY3" s="997"/>
      <c r="CZ3" s="997"/>
      <c r="DA3" s="997"/>
      <c r="DB3" s="997"/>
      <c r="DC3" s="997"/>
      <c r="DD3" s="997"/>
      <c r="DE3" s="997"/>
      <c r="DF3" s="997"/>
      <c r="DG3" s="997"/>
      <c r="DH3" s="997"/>
      <c r="DI3" s="997"/>
      <c r="DJ3" s="997"/>
      <c r="DK3" s="997"/>
      <c r="DL3" s="997"/>
      <c r="DM3" s="997"/>
      <c r="DN3" s="997"/>
      <c r="DO3" s="997"/>
      <c r="DP3" s="997"/>
      <c r="DQ3" s="997"/>
      <c r="DR3" s="997"/>
      <c r="DS3" s="997"/>
      <c r="DT3" s="997"/>
      <c r="DU3" s="997"/>
      <c r="DV3" s="997"/>
      <c r="DW3" s="997"/>
      <c r="DX3" s="997"/>
      <c r="DY3" s="997"/>
      <c r="DZ3" s="997"/>
      <c r="EA3" s="997"/>
      <c r="EB3" s="997"/>
      <c r="EC3" s="997"/>
      <c r="ED3" s="997"/>
      <c r="EE3" s="997"/>
      <c r="EF3" s="997"/>
      <c r="EG3" s="997"/>
      <c r="EH3" s="997"/>
      <c r="EI3" s="997"/>
      <c r="EJ3" s="997"/>
      <c r="EK3" s="997"/>
      <c r="EL3" s="997"/>
      <c r="EM3" s="997"/>
      <c r="EN3" s="997"/>
      <c r="EO3" s="997"/>
      <c r="EP3" s="997"/>
      <c r="EQ3" s="997"/>
      <c r="ER3" s="997"/>
      <c r="ES3" s="997"/>
      <c r="ET3" s="997"/>
      <c r="EU3" s="997"/>
      <c r="EV3" s="997"/>
      <c r="EW3" s="997"/>
      <c r="EX3" s="997"/>
      <c r="EY3" s="997"/>
      <c r="EZ3" s="997"/>
      <c r="FA3" s="997"/>
      <c r="FB3" s="997"/>
      <c r="FC3" s="997"/>
      <c r="FD3" s="997"/>
      <c r="FE3" s="997"/>
      <c r="FF3" s="997"/>
      <c r="FG3" s="997"/>
      <c r="FH3" s="997"/>
      <c r="FI3" s="997"/>
      <c r="FJ3" s="997"/>
      <c r="FK3" s="997"/>
      <c r="FL3" s="997"/>
      <c r="FM3" s="997"/>
      <c r="FN3" s="997"/>
      <c r="FO3" s="997"/>
      <c r="FP3" s="997"/>
      <c r="FQ3" s="997"/>
      <c r="FR3" s="997"/>
      <c r="FS3" s="997"/>
      <c r="FT3" s="997"/>
      <c r="FU3" s="997"/>
      <c r="FV3" s="997"/>
      <c r="FW3" s="997"/>
      <c r="FX3" s="997"/>
      <c r="FY3" s="997"/>
      <c r="FZ3" s="997"/>
      <c r="GA3" s="997"/>
      <c r="GB3" s="997"/>
      <c r="GC3" s="997"/>
      <c r="GD3" s="997"/>
      <c r="GE3" s="997"/>
      <c r="GF3" s="997"/>
      <c r="GG3" s="997"/>
      <c r="GH3" s="997"/>
      <c r="GI3" s="997"/>
      <c r="GJ3" s="997"/>
      <c r="GK3" s="997"/>
      <c r="GL3" s="997"/>
      <c r="GM3" s="997"/>
      <c r="GN3" s="997"/>
      <c r="GO3" s="997"/>
      <c r="GP3" s="997"/>
      <c r="GQ3" s="997"/>
      <c r="GR3" s="997"/>
      <c r="GS3" s="997"/>
      <c r="GT3" s="997"/>
      <c r="GU3" s="997"/>
      <c r="GV3" s="997"/>
      <c r="GW3" s="997"/>
      <c r="GX3" s="997"/>
      <c r="GY3" s="997"/>
      <c r="GZ3" s="997"/>
      <c r="HA3" s="997"/>
      <c r="HB3" s="997"/>
      <c r="HC3" s="997"/>
      <c r="HD3" s="997"/>
      <c r="HE3" s="997"/>
      <c r="HF3" s="997"/>
      <c r="HG3" s="997"/>
      <c r="HH3" s="997"/>
      <c r="HI3" s="997"/>
      <c r="HJ3" s="997"/>
      <c r="HK3" s="997"/>
      <c r="HL3" s="997"/>
      <c r="HM3" s="997"/>
      <c r="HN3" s="997"/>
      <c r="HO3" s="997"/>
      <c r="HP3" s="997"/>
      <c r="HQ3" s="997"/>
      <c r="HR3" s="997"/>
      <c r="HS3" s="997"/>
      <c r="HT3" s="997"/>
      <c r="HU3" s="997"/>
      <c r="HV3" s="997"/>
      <c r="HW3" s="997"/>
      <c r="HX3" s="997"/>
      <c r="HY3" s="997"/>
      <c r="HZ3" s="997"/>
      <c r="IA3" s="997"/>
      <c r="IB3" s="997"/>
      <c r="IC3" s="997"/>
      <c r="ID3" s="997"/>
      <c r="IE3" s="997"/>
      <c r="IF3" s="997"/>
      <c r="IG3" s="997"/>
      <c r="IH3" s="997"/>
      <c r="II3" s="997"/>
      <c r="IJ3" s="997"/>
      <c r="IK3" s="997"/>
      <c r="IL3" s="997"/>
      <c r="IM3" s="997"/>
      <c r="IN3" s="997"/>
      <c r="IO3" s="997"/>
      <c r="IP3" s="997"/>
      <c r="IQ3" s="997"/>
      <c r="IR3" s="997"/>
      <c r="IS3" s="997"/>
      <c r="IT3" s="997"/>
      <c r="IU3" s="997"/>
      <c r="IV3" s="997"/>
      <c r="IW3" s="997"/>
    </row>
    <row r="4" customFormat="false" ht="15" hidden="false" customHeight="false" outlineLevel="0" collapsed="false">
      <c r="B4" s="996"/>
      <c r="C4" s="999" t="s">
        <v>1568</v>
      </c>
      <c r="D4" s="998" t="s">
        <v>1569</v>
      </c>
      <c r="E4" s="998" t="s">
        <v>1569</v>
      </c>
      <c r="F4" s="998" t="s">
        <v>1570</v>
      </c>
    </row>
    <row r="5" customFormat="false" ht="15" hidden="false" customHeight="false" outlineLevel="0" collapsed="false">
      <c r="B5" s="996"/>
      <c r="C5" s="999" t="s">
        <v>1571</v>
      </c>
      <c r="D5" s="998" t="s">
        <v>1349</v>
      </c>
      <c r="E5" s="998" t="s">
        <v>1349</v>
      </c>
      <c r="F5" s="998" t="s">
        <v>1572</v>
      </c>
    </row>
    <row r="6" customFormat="false" ht="15.75" hidden="false" customHeight="false" outlineLevel="0" collapsed="false">
      <c r="B6" s="997" t="s">
        <v>1329</v>
      </c>
    </row>
    <row r="7" customFormat="false" ht="15.75" hidden="false" customHeight="false" outlineLevel="0" collapsed="false">
      <c r="C7" s="996" t="s">
        <v>1524</v>
      </c>
      <c r="D7" s="1002" t="n">
        <v>12612174</v>
      </c>
      <c r="E7" s="1002" t="n">
        <f aca="false">'RMPM-Whole'!AQ10</f>
        <v>7456606.4808598</v>
      </c>
      <c r="F7" s="1002" t="n">
        <f aca="false">'Financial summ-EES'!B57</f>
        <v>5096302.96193024</v>
      </c>
      <c r="H7" s="1003"/>
    </row>
    <row r="8" customFormat="false" ht="15.75" hidden="false" customHeight="false" outlineLevel="0" collapsed="false">
      <c r="C8" s="996" t="s">
        <v>1525</v>
      </c>
      <c r="D8" s="1002" t="n">
        <v>1259662</v>
      </c>
      <c r="E8" s="1002" t="n">
        <f aca="false">'RMPM-Whole'!AS10</f>
        <v>-1095700.68790454</v>
      </c>
      <c r="F8" s="1002" t="n">
        <v>-487715.56190173</v>
      </c>
      <c r="H8" s="1003"/>
    </row>
    <row r="9" customFormat="false" ht="15.75" hidden="false" customHeight="false" outlineLevel="0" collapsed="false">
      <c r="D9" s="1002"/>
      <c r="E9" s="1002"/>
      <c r="F9" s="1002"/>
      <c r="H9" s="1004"/>
    </row>
    <row r="10" customFormat="false" ht="15.75" hidden="false" customHeight="false" outlineLevel="0" collapsed="false">
      <c r="B10" s="997" t="s">
        <v>2</v>
      </c>
      <c r="D10" s="1002"/>
      <c r="E10" s="1002"/>
      <c r="F10" s="1002"/>
      <c r="H10" s="1004"/>
    </row>
    <row r="11" customFormat="false" ht="15.75" hidden="false" customHeight="false" outlineLevel="0" collapsed="false">
      <c r="C11" s="996" t="s">
        <v>1524</v>
      </c>
      <c r="D11" s="1002" t="n">
        <v>13821880</v>
      </c>
      <c r="E11" s="1002" t="n">
        <f aca="false">'RMPM-Redis'!W9</f>
        <v>10689639.8912192</v>
      </c>
      <c r="F11" s="1002" t="n">
        <f aca="false">'Financial summ-EES'!B58</f>
        <v>10256443.0447698</v>
      </c>
      <c r="H11" s="1003"/>
    </row>
    <row r="12" customFormat="false" ht="15.75" hidden="false" customHeight="false" outlineLevel="0" collapsed="false">
      <c r="C12" s="996" t="s">
        <v>1525</v>
      </c>
      <c r="D12" s="1002" t="n">
        <v>13727903</v>
      </c>
      <c r="E12" s="1002" t="n">
        <f aca="false">'RMPM-Redis'!Y9</f>
        <v>10562523.3973491</v>
      </c>
      <c r="F12" s="1002" t="n">
        <v>17430427.1161771</v>
      </c>
      <c r="H12" s="1003"/>
    </row>
    <row r="13" customFormat="false" ht="15.75" hidden="false" customHeight="false" outlineLevel="0" collapsed="false">
      <c r="D13" s="1002"/>
      <c r="E13" s="1002"/>
      <c r="F13" s="1002"/>
    </row>
    <row r="14" customFormat="false" ht="15.75" hidden="false" customHeight="false" outlineLevel="0" collapsed="false">
      <c r="B14" s="997" t="s">
        <v>1428</v>
      </c>
      <c r="D14" s="1002"/>
      <c r="E14" s="1002"/>
      <c r="F14" s="1002"/>
    </row>
    <row r="15" customFormat="false" ht="15.75" hidden="false" customHeight="false" outlineLevel="0" collapsed="false">
      <c r="C15" s="996" t="s">
        <v>1524</v>
      </c>
      <c r="D15" s="1002" t="n">
        <v>1263503</v>
      </c>
      <c r="E15" s="1002" t="n">
        <f aca="false">'RMPM-FM'!N9</f>
        <v>-267009.741197242</v>
      </c>
      <c r="F15" s="1002" t="n">
        <f aca="false">'FM Summary'!B102-'RMPM-FM'!S10</f>
        <v>-61585.7231101627</v>
      </c>
    </row>
    <row r="16" customFormat="false" ht="15.75" hidden="false" customHeight="false" outlineLevel="0" collapsed="false">
      <c r="C16" s="996" t="s">
        <v>1525</v>
      </c>
      <c r="D16" s="1002" t="n">
        <v>1263503</v>
      </c>
      <c r="E16" s="1002" t="n">
        <f aca="false">'RMPM-FM'!P9</f>
        <v>-267009.741197242</v>
      </c>
      <c r="F16" s="1002" t="n">
        <v>1758780.71028135</v>
      </c>
    </row>
    <row r="17" customFormat="false" ht="15.75" hidden="false" customHeight="false" outlineLevel="0" collapsed="false">
      <c r="D17" s="1002"/>
      <c r="E17" s="1002"/>
      <c r="F17" s="1002"/>
    </row>
    <row r="18" customFormat="false" ht="15.75" hidden="false" customHeight="false" outlineLevel="0" collapsed="false">
      <c r="B18" s="997" t="s">
        <v>1373</v>
      </c>
      <c r="D18" s="1002"/>
      <c r="E18" s="1002"/>
      <c r="F18" s="1002"/>
    </row>
    <row r="19" customFormat="false" ht="15.75" hidden="false" customHeight="false" outlineLevel="0" collapsed="false">
      <c r="C19" s="996" t="s">
        <v>1524</v>
      </c>
      <c r="D19" s="1002" t="n">
        <f aca="false">'account mgt'!$C$25</f>
        <v>-3390987.23626865</v>
      </c>
      <c r="E19" s="1002" t="n">
        <f aca="false">'RMPM-Whole'!$CL$10</f>
        <v>-3519085.25564549</v>
      </c>
      <c r="F19" s="1002" t="n">
        <f aca="false">'account mgt'!$C$25</f>
        <v>-3390987.23626865</v>
      </c>
    </row>
    <row r="20" customFormat="false" ht="15.75" hidden="false" customHeight="false" outlineLevel="0" collapsed="false">
      <c r="C20" s="996" t="s">
        <v>1525</v>
      </c>
      <c r="D20" s="1002" t="n">
        <f aca="false">'account mgt'!$C$25</f>
        <v>-3390987.23626865</v>
      </c>
      <c r="E20" s="1002" t="n">
        <f aca="false">'RMPM-Whole'!$CL$10</f>
        <v>-3519085.25564549</v>
      </c>
      <c r="F20" s="1002" t="n">
        <v>-4736819.1926952</v>
      </c>
    </row>
    <row r="21" customFormat="false" ht="15.75" hidden="false" customHeight="false" outlineLevel="0" collapsed="false">
      <c r="D21" s="1002"/>
      <c r="E21" s="1002"/>
      <c r="F21" s="1002"/>
    </row>
    <row r="22" customFormat="false" ht="15.75" hidden="false" customHeight="false" outlineLevel="0" collapsed="false">
      <c r="B22" s="997" t="s">
        <v>798</v>
      </c>
      <c r="D22" s="1002"/>
      <c r="E22" s="1002"/>
      <c r="F22" s="1002"/>
    </row>
    <row r="23" customFormat="false" ht="15.75" hidden="false" customHeight="false" outlineLevel="0" collapsed="false">
      <c r="C23" s="996" t="s">
        <v>1524</v>
      </c>
      <c r="D23" s="1002" t="n">
        <f aca="false">D7+D11+D15+D19</f>
        <v>24306569.7637313</v>
      </c>
      <c r="E23" s="1002" t="n">
        <f aca="false">E7+E11+E15+E19</f>
        <v>14360151.3752363</v>
      </c>
      <c r="F23" s="1002" t="n">
        <f aca="false">F7+F11+F15+F19</f>
        <v>11900173.0473212</v>
      </c>
    </row>
    <row r="24" customFormat="false" ht="15.75" hidden="false" customHeight="false" outlineLevel="0" collapsed="false">
      <c r="C24" s="996" t="s">
        <v>1525</v>
      </c>
      <c r="D24" s="1002" t="n">
        <f aca="false">D8+D12+D16+D20</f>
        <v>12860080.7637313</v>
      </c>
      <c r="E24" s="1002" t="n">
        <f aca="false">E8+E12+E16+E20</f>
        <v>5680727.7126018</v>
      </c>
      <c r="F24" s="1002" t="n">
        <f aca="false">F8+F12+F16+F20</f>
        <v>13964673.0718615</v>
      </c>
    </row>
    <row r="25" customFormat="false" ht="15.75" hidden="false" customHeight="false" outlineLevel="0" collapsed="false">
      <c r="D25" s="1002"/>
      <c r="E25" s="1002"/>
      <c r="F25" s="1002"/>
    </row>
    <row r="26" customFormat="false" ht="15" hidden="false" customHeight="false" outlineLevel="0" collapsed="false">
      <c r="B26" s="1005" t="s">
        <v>1416</v>
      </c>
      <c r="D26" s="1002"/>
      <c r="E26" s="1002"/>
      <c r="F26" s="1002"/>
    </row>
    <row r="27" customFormat="false" ht="15.75" hidden="false" customHeight="false" outlineLevel="0" collapsed="false">
      <c r="B27" s="997" t="s">
        <v>1329</v>
      </c>
      <c r="D27" s="1002" t="n">
        <v>593810019</v>
      </c>
      <c r="E27" s="1002" t="n">
        <f aca="false">'RMPM-Whole'!$AK$4</f>
        <v>593834011.527118</v>
      </c>
      <c r="F27" s="1002" t="n">
        <f aca="false">'RMPM-Whole'!$AK$4</f>
        <v>593834011.527118</v>
      </c>
    </row>
    <row r="28" customFormat="false" ht="15.75" hidden="false" customHeight="false" outlineLevel="0" collapsed="false">
      <c r="B28" s="997" t="s">
        <v>2</v>
      </c>
      <c r="D28" s="1002" t="n">
        <v>786623916</v>
      </c>
      <c r="E28" s="1002" t="n">
        <f aca="false">'RMPM-Redis'!$T$5</f>
        <v>792789348.900143</v>
      </c>
      <c r="F28" s="1002" t="n">
        <f aca="false">'RMPM-Redis'!$T$5</f>
        <v>792789348.900143</v>
      </c>
    </row>
    <row r="29" customFormat="false" ht="15.75" hidden="false" customHeight="false" outlineLevel="0" collapsed="false">
      <c r="B29" s="997" t="s">
        <v>1428</v>
      </c>
      <c r="D29" s="1006" t="n">
        <v>8750040</v>
      </c>
      <c r="E29" s="1006" t="n">
        <f aca="false">'RMPM-FM'!$K$5</f>
        <v>8750000</v>
      </c>
      <c r="F29" s="1006" t="n">
        <f aca="false">'RMPM-FM'!$K$5</f>
        <v>8750000</v>
      </c>
    </row>
    <row r="30" customFormat="false" ht="15.75" hidden="false" customHeight="false" outlineLevel="0" collapsed="false">
      <c r="B30" s="997" t="s">
        <v>798</v>
      </c>
      <c r="D30" s="1002" t="n">
        <f aca="false">SUM(D27:D29)</f>
        <v>1389183975</v>
      </c>
      <c r="E30" s="1002" t="n">
        <f aca="false">SUM(E27:E29)</f>
        <v>1395373360.42726</v>
      </c>
      <c r="F30" s="1002" t="n">
        <f aca="false">SUM(F27:F29)</f>
        <v>1395373360.42726</v>
      </c>
    </row>
    <row r="31" customFormat="false" ht="15.75" hidden="false" customHeight="false" outlineLevel="0" collapsed="false">
      <c r="D31" s="1007"/>
      <c r="E31" s="1007"/>
      <c r="F31" s="1007"/>
    </row>
    <row r="32" customFormat="false" ht="15" hidden="false" customHeight="true" outlineLevel="0" collapsed="false"/>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0">
              <controlPr defaultSize="0" print="false" autoFill="0" autoPict="0" macro="Module4.Button20_Click">
                <anchor moveWithCells="true" sizeWithCells="false">
                  <from>
                    <xdr:col>7</xdr:col>
                    <xdr:colOff>915840</xdr:colOff>
                    <xdr:row>19</xdr:row>
                    <xdr:rowOff>76680</xdr:rowOff>
                  </from>
                  <to>
                    <xdr:col>9</xdr:col>
                    <xdr:colOff>161640</xdr:colOff>
                    <xdr:row>21</xdr:row>
                    <xdr:rowOff>9360</xdr:rowOff>
                  </to>
                </anchor>
              </controlPr>
            </control>
          </mc:Choice>
        </mc:AlternateContent>
      </controls>
    </mc:Choice>
  </mc:AlternateConten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2:J56"/>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I17" activeCellId="0" sqref="I17"/>
    </sheetView>
  </sheetViews>
  <sheetFormatPr defaultColWidth="9.0546875" defaultRowHeight="12.75" customHeight="true" zeroHeight="false" outlineLevelRow="0" outlineLevelCol="0"/>
  <cols>
    <col collapsed="false" customWidth="true" hidden="false" outlineLevel="0" max="1" min="1" style="0" width="4.85"/>
    <col collapsed="false" customWidth="true" hidden="false" outlineLevel="0" max="2" min="2" style="0" width="3.42"/>
    <col collapsed="false" customWidth="true" hidden="false" outlineLevel="0" max="3" min="3" style="0" width="19.14"/>
    <col collapsed="false" customWidth="true" hidden="false" outlineLevel="0" max="4" min="4" style="1008" width="15.7"/>
    <col collapsed="false" customWidth="true" hidden="false" outlineLevel="0" max="5" min="5" style="0" width="16.13"/>
    <col collapsed="false" customWidth="true" hidden="false" outlineLevel="0" max="6" min="6" style="1009" width="21.13"/>
    <col collapsed="false" customWidth="true" hidden="false" outlineLevel="0" max="7" min="7" style="0" width="16.42"/>
    <col collapsed="false" customWidth="true" hidden="false" outlineLevel="0" max="10" min="10" style="0" width="13.28"/>
  </cols>
  <sheetData>
    <row r="2" customFormat="false" ht="18" hidden="false" customHeight="false" outlineLevel="0" collapsed="false">
      <c r="E2" s="1010" t="s">
        <v>1476</v>
      </c>
    </row>
    <row r="3" customFormat="false" ht="18" hidden="false" customHeight="false" outlineLevel="0" collapsed="false">
      <c r="E3" s="1010" t="s">
        <v>1573</v>
      </c>
    </row>
    <row r="4" customFormat="false" ht="13.5" hidden="false" customHeight="false" outlineLevel="0" collapsed="false"/>
    <row r="5" customFormat="false" ht="13.5" hidden="false" customHeight="false" outlineLevel="0" collapsed="false">
      <c r="E5" s="1011"/>
      <c r="G5" s="1012"/>
    </row>
    <row r="6" customFormat="false" ht="12.75" hidden="false" customHeight="false" outlineLevel="0" collapsed="false">
      <c r="C6" s="1013"/>
      <c r="D6" s="1009" t="s">
        <v>1574</v>
      </c>
      <c r="E6" s="1014"/>
      <c r="G6" s="1015"/>
    </row>
    <row r="7" customFormat="false" ht="12.75" hidden="false" customHeight="false" outlineLevel="0" collapsed="false">
      <c r="C7" s="1016" t="s">
        <v>1575</v>
      </c>
      <c r="E7" s="1014"/>
      <c r="G7" s="1015"/>
      <c r="I7" s="781"/>
      <c r="J7" s="1017"/>
    </row>
    <row r="8" customFormat="false" ht="13.5" hidden="false" customHeight="false" outlineLevel="0" collapsed="false">
      <c r="C8" s="1018"/>
      <c r="D8" s="1009" t="s">
        <v>1576</v>
      </c>
      <c r="E8" s="1019"/>
      <c r="G8" s="1020"/>
      <c r="I8" s="781"/>
      <c r="J8" s="646"/>
    </row>
    <row r="9" customFormat="false" ht="12.75" hidden="false" customHeight="false" outlineLevel="0" collapsed="false">
      <c r="E9" s="1014"/>
      <c r="F9" s="1009" t="s">
        <v>1577</v>
      </c>
      <c r="G9" s="1015"/>
      <c r="I9" s="781"/>
      <c r="J9" s="646"/>
    </row>
    <row r="10" customFormat="false" ht="13.5" hidden="false" customHeight="false" outlineLevel="0" collapsed="false">
      <c r="E10" s="1014"/>
      <c r="G10" s="1015"/>
    </row>
    <row r="11" customFormat="false" ht="12.75" hidden="false" customHeight="false" outlineLevel="0" collapsed="false">
      <c r="C11" s="1021"/>
      <c r="D11" s="1009" t="s">
        <v>1328</v>
      </c>
      <c r="E11" s="1019"/>
      <c r="F11" s="1009" t="s">
        <v>1446</v>
      </c>
      <c r="G11" s="1020"/>
    </row>
    <row r="12" customFormat="false" ht="12.75" hidden="false" customHeight="false" outlineLevel="0" collapsed="false">
      <c r="C12" s="1022" t="s">
        <v>1016</v>
      </c>
      <c r="E12" s="1014"/>
      <c r="G12" s="1015"/>
    </row>
    <row r="13" customFormat="false" ht="13.5" hidden="false" customHeight="false" outlineLevel="0" collapsed="false">
      <c r="C13" s="1023"/>
      <c r="D13" s="1009" t="s">
        <v>1578</v>
      </c>
      <c r="E13" s="1014"/>
      <c r="F13" s="1009" t="s">
        <v>1579</v>
      </c>
      <c r="G13" s="1015"/>
    </row>
    <row r="14" customFormat="false" ht="12.75" hidden="false" customHeight="false" outlineLevel="0" collapsed="false">
      <c r="E14" s="1019"/>
      <c r="G14" s="1020"/>
    </row>
    <row r="15" customFormat="false" ht="13.5" hidden="false" customHeight="false" outlineLevel="0" collapsed="false">
      <c r="E15" s="1014"/>
      <c r="F15" s="1009" t="s">
        <v>1580</v>
      </c>
      <c r="G15" s="1015"/>
    </row>
    <row r="16" customFormat="false" ht="12.75" hidden="false" customHeight="false" outlineLevel="0" collapsed="false">
      <c r="C16" s="1012"/>
      <c r="D16" s="1009" t="s">
        <v>1580</v>
      </c>
      <c r="E16" s="1014"/>
      <c r="G16" s="1015"/>
    </row>
    <row r="17" customFormat="false" ht="12.75" hidden="false" customHeight="false" outlineLevel="0" collapsed="false">
      <c r="C17" s="1024" t="s">
        <v>1581</v>
      </c>
      <c r="E17" s="1019"/>
      <c r="F17" s="1009" t="s">
        <v>894</v>
      </c>
      <c r="G17" s="1020"/>
    </row>
    <row r="18" customFormat="false" ht="13.5" hidden="false" customHeight="false" outlineLevel="0" collapsed="false">
      <c r="C18" s="1025"/>
      <c r="D18" s="1009" t="s">
        <v>1328</v>
      </c>
      <c r="E18" s="1014"/>
      <c r="G18" s="1026" t="s">
        <v>1582</v>
      </c>
    </row>
    <row r="19" customFormat="false" ht="15.75" hidden="false" customHeight="false" outlineLevel="0" collapsed="false">
      <c r="A19" s="552"/>
      <c r="E19" s="1014"/>
      <c r="F19" s="1009" t="s">
        <v>1358</v>
      </c>
      <c r="G19" s="1026" t="s">
        <v>1583</v>
      </c>
    </row>
    <row r="20" customFormat="false" ht="13.5" hidden="false" customHeight="false" outlineLevel="0" collapsed="false">
      <c r="E20" s="1019"/>
      <c r="G20" s="1020"/>
    </row>
    <row r="21" customFormat="false" ht="12.75" hidden="false" customHeight="false" outlineLevel="0" collapsed="false">
      <c r="C21" s="1027"/>
      <c r="D21" s="1009" t="s">
        <v>1584</v>
      </c>
      <c r="E21" s="1014"/>
      <c r="F21" s="1009" t="s">
        <v>1359</v>
      </c>
      <c r="G21" s="1015"/>
    </row>
    <row r="22" customFormat="false" ht="12.75" hidden="false" customHeight="false" outlineLevel="0" collapsed="false">
      <c r="C22" s="1028" t="s">
        <v>776</v>
      </c>
      <c r="E22" s="1029"/>
      <c r="G22" s="1020"/>
    </row>
    <row r="23" customFormat="false" ht="13.5" hidden="false" customHeight="false" outlineLevel="0" collapsed="false">
      <c r="C23" s="1030" t="s">
        <v>1585</v>
      </c>
      <c r="D23" s="1009" t="s">
        <v>1586</v>
      </c>
      <c r="E23" s="1029"/>
      <c r="F23" s="1009" t="s">
        <v>1587</v>
      </c>
      <c r="G23" s="1020"/>
    </row>
    <row r="24" customFormat="false" ht="12.75" hidden="false" customHeight="false" outlineLevel="0" collapsed="false">
      <c r="E24" s="1014"/>
      <c r="G24" s="1015"/>
    </row>
    <row r="25" customFormat="false" ht="13.5" hidden="false" customHeight="false" outlineLevel="0" collapsed="false">
      <c r="E25" s="1019"/>
      <c r="G25" s="1015"/>
    </row>
    <row r="26" customFormat="false" ht="12.75" hidden="false" customHeight="false" outlineLevel="0" collapsed="false">
      <c r="C26" s="1031" t="s">
        <v>1588</v>
      </c>
      <c r="D26" s="1009" t="s">
        <v>1589</v>
      </c>
      <c r="E26" s="1029"/>
      <c r="F26" s="1009" t="s">
        <v>1590</v>
      </c>
      <c r="G26" s="1020"/>
    </row>
    <row r="27" customFormat="false" ht="12.75" hidden="false" customHeight="false" outlineLevel="0" collapsed="false">
      <c r="C27" s="1032" t="s">
        <v>1591</v>
      </c>
      <c r="E27" s="1029"/>
      <c r="G27" s="1020"/>
    </row>
    <row r="28" customFormat="false" ht="13.5" hidden="false" customHeight="false" outlineLevel="0" collapsed="false">
      <c r="C28" s="1033" t="s">
        <v>1592</v>
      </c>
      <c r="D28" s="1009" t="s">
        <v>1586</v>
      </c>
      <c r="E28" s="1014"/>
      <c r="F28" s="1009" t="s">
        <v>1593</v>
      </c>
      <c r="G28" s="1015"/>
    </row>
    <row r="29" customFormat="false" ht="12.75" hidden="false" customHeight="false" outlineLevel="0" collapsed="false">
      <c r="E29" s="1019"/>
      <c r="G29" s="1020"/>
    </row>
    <row r="30" customFormat="false" ht="13.5" hidden="false" customHeight="false" outlineLevel="0" collapsed="false">
      <c r="E30" s="1014" t="s">
        <v>1594</v>
      </c>
      <c r="G30" s="1015"/>
    </row>
    <row r="31" customFormat="false" ht="12.75" hidden="false" customHeight="false" outlineLevel="0" collapsed="false">
      <c r="C31" s="1034"/>
      <c r="D31" s="1009" t="s">
        <v>1361</v>
      </c>
      <c r="E31" s="1014" t="s">
        <v>1595</v>
      </c>
      <c r="G31" s="1020"/>
    </row>
    <row r="32" customFormat="false" ht="12.75" hidden="false" customHeight="false" outlineLevel="0" collapsed="false">
      <c r="C32" s="1035" t="s">
        <v>1361</v>
      </c>
      <c r="E32" s="1014" t="s">
        <v>1596</v>
      </c>
      <c r="G32" s="1020"/>
    </row>
    <row r="33" customFormat="false" ht="13.5" hidden="false" customHeight="false" outlineLevel="0" collapsed="false">
      <c r="C33" s="1036"/>
      <c r="D33" s="1009" t="s">
        <v>1586</v>
      </c>
      <c r="E33" s="1014"/>
      <c r="G33" s="1015"/>
    </row>
    <row r="34" customFormat="false" ht="12.75" hidden="false" customHeight="false" outlineLevel="0" collapsed="false">
      <c r="E34" s="1014"/>
      <c r="G34" s="1015"/>
    </row>
    <row r="35" customFormat="false" ht="13.5" hidden="false" customHeight="false" outlineLevel="0" collapsed="false">
      <c r="C35" s="1037"/>
      <c r="D35" s="1038"/>
      <c r="E35" s="1039"/>
      <c r="F35" s="1040"/>
      <c r="G35" s="1020"/>
    </row>
    <row r="36" customFormat="false" ht="13.5" hidden="false" customHeight="false" outlineLevel="0" collapsed="false">
      <c r="E36" s="1014"/>
      <c r="G36" s="1041"/>
    </row>
    <row r="37" customFormat="false" ht="12.75" hidden="false" customHeight="false" outlineLevel="0" collapsed="false">
      <c r="C37" s="1027"/>
      <c r="D37" s="1009" t="s">
        <v>1584</v>
      </c>
      <c r="E37" s="1014"/>
      <c r="F37" s="1009" t="s">
        <v>1597</v>
      </c>
      <c r="G37" s="1026"/>
    </row>
    <row r="38" customFormat="false" ht="12.75" hidden="false" customHeight="false" outlineLevel="0" collapsed="false">
      <c r="C38" s="1028" t="s">
        <v>776</v>
      </c>
      <c r="E38" s="1019"/>
      <c r="G38" s="1026"/>
    </row>
    <row r="39" customFormat="false" ht="13.5" hidden="false" customHeight="false" outlineLevel="0" collapsed="false">
      <c r="C39" s="1030" t="s">
        <v>1598</v>
      </c>
      <c r="D39" s="1009" t="s">
        <v>1586</v>
      </c>
      <c r="E39" s="1014"/>
      <c r="F39" s="1009" t="s">
        <v>1599</v>
      </c>
      <c r="G39" s="1015"/>
    </row>
    <row r="40" customFormat="false" ht="12.75" hidden="false" customHeight="false" outlineLevel="0" collapsed="false">
      <c r="E40" s="1029"/>
      <c r="G40" s="1026" t="s">
        <v>1582</v>
      </c>
    </row>
    <row r="41" customFormat="false" ht="13.5" hidden="false" customHeight="false" outlineLevel="0" collapsed="false">
      <c r="E41" s="1029"/>
      <c r="F41" s="1009" t="s">
        <v>1584</v>
      </c>
      <c r="G41" s="1026" t="s">
        <v>1583</v>
      </c>
    </row>
    <row r="42" customFormat="false" ht="12.75" hidden="false" customHeight="false" outlineLevel="0" collapsed="false">
      <c r="C42" s="1013"/>
      <c r="D42" s="1009" t="s">
        <v>1574</v>
      </c>
      <c r="E42" s="1029"/>
      <c r="G42" s="1020"/>
    </row>
    <row r="43" customFormat="false" ht="12.75" hidden="false" customHeight="false" outlineLevel="0" collapsed="false">
      <c r="C43" s="1016" t="s">
        <v>1575</v>
      </c>
      <c r="E43" s="1029"/>
      <c r="G43" s="1026"/>
    </row>
    <row r="44" customFormat="false" ht="13.5" hidden="false" customHeight="false" outlineLevel="0" collapsed="false">
      <c r="C44" s="1018"/>
      <c r="D44" s="1009" t="s">
        <v>1576</v>
      </c>
      <c r="E44" s="1029"/>
      <c r="G44" s="1026"/>
    </row>
    <row r="45" customFormat="false" ht="12.75" hidden="false" customHeight="false" outlineLevel="0" collapsed="false">
      <c r="E45" s="1029"/>
      <c r="F45" s="1009" t="s">
        <v>1600</v>
      </c>
      <c r="G45" s="1026"/>
    </row>
    <row r="46" customFormat="false" ht="13.5" hidden="false" customHeight="false" outlineLevel="0" collapsed="false">
      <c r="C46" s="1037"/>
      <c r="D46" s="1038"/>
      <c r="E46" s="1042"/>
      <c r="F46" s="1040"/>
      <c r="G46" s="1043"/>
    </row>
    <row r="47" customFormat="false" ht="13.5" hidden="false" customHeight="false" outlineLevel="0" collapsed="false">
      <c r="E47" s="1029"/>
      <c r="G47" s="1012"/>
    </row>
    <row r="48" customFormat="false" ht="12.75" hidden="false" customHeight="false" outlineLevel="0" collapsed="false">
      <c r="C48" s="1044" t="s">
        <v>1588</v>
      </c>
      <c r="D48" s="1009" t="s">
        <v>1601</v>
      </c>
      <c r="E48" s="1029"/>
      <c r="F48" s="1009" t="s">
        <v>1601</v>
      </c>
      <c r="G48" s="1026"/>
    </row>
    <row r="49" customFormat="false" ht="12.75" hidden="false" customHeight="false" outlineLevel="0" collapsed="false">
      <c r="C49" s="1045" t="s">
        <v>1591</v>
      </c>
      <c r="E49" s="1029"/>
      <c r="G49" s="1026"/>
    </row>
    <row r="50" customFormat="false" ht="13.5" hidden="false" customHeight="false" outlineLevel="0" collapsed="false">
      <c r="C50" s="1046" t="s">
        <v>1592</v>
      </c>
      <c r="E50" s="1029"/>
      <c r="G50" s="1026"/>
    </row>
    <row r="51" customFormat="false" ht="12.75" hidden="false" customHeight="false" outlineLevel="0" collapsed="false">
      <c r="D51" s="1009" t="s">
        <v>1602</v>
      </c>
      <c r="E51" s="1029"/>
      <c r="F51" s="1009" t="s">
        <v>1603</v>
      </c>
      <c r="G51" s="1026" t="s">
        <v>1582</v>
      </c>
    </row>
    <row r="52" customFormat="false" ht="13.5" hidden="false" customHeight="false" outlineLevel="0" collapsed="false">
      <c r="E52" s="1029"/>
      <c r="G52" s="1026" t="s">
        <v>1583</v>
      </c>
    </row>
    <row r="53" customFormat="false" ht="12.75" hidden="false" customHeight="false" outlineLevel="0" collapsed="false">
      <c r="C53" s="1047"/>
      <c r="D53" s="1009" t="s">
        <v>1604</v>
      </c>
      <c r="E53" s="1029"/>
      <c r="G53" s="1020"/>
    </row>
    <row r="54" customFormat="false" ht="12.75" hidden="false" customHeight="false" outlineLevel="0" collapsed="false">
      <c r="C54" s="1048" t="s">
        <v>1420</v>
      </c>
      <c r="E54" s="1029"/>
      <c r="F54" s="1009" t="s">
        <v>1605</v>
      </c>
      <c r="G54" s="1026"/>
    </row>
    <row r="55" customFormat="false" ht="13.5" hidden="false" customHeight="false" outlineLevel="0" collapsed="false">
      <c r="C55" s="1049"/>
      <c r="D55" s="1009" t="s">
        <v>1471</v>
      </c>
      <c r="E55" s="1029"/>
      <c r="G55" s="1020"/>
    </row>
    <row r="56" customFormat="false" ht="13.5" hidden="false" customHeight="false" outlineLevel="0" collapsed="false">
      <c r="E56" s="1050"/>
      <c r="G56" s="1043"/>
    </row>
  </sheetData>
  <printOptions headings="false" gridLines="false" gridLinesSet="true" horizontalCentered="false" verticalCentered="false"/>
  <pageMargins left="0.470138888888889" right="0.420138888888889" top="0.470138888888889" bottom="0.309722222222222" header="0.511811023622047" footer="0.2"/>
  <pageSetup paperSize="1" scale="100" fitToWidth="1" fitToHeight="1" pageOrder="downThenOver" orientation="portrait" blackAndWhite="false" draft="false" cellComments="none" horizontalDpi="300" verticalDpi="300" copies="1"/>
  <headerFooter differentFirst="false" differentOddEven="false">
    <oddHeader/>
    <oddFooter>&amp;L&amp;D &amp;T</oddFooter>
  </headerFooter>
  <drawing r:id="rId1"/>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2:A3"/>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K16" activeCellId="0" sqref="K16"/>
    </sheetView>
  </sheetViews>
  <sheetFormatPr defaultColWidth="9.0546875" defaultRowHeight="12.75" customHeight="true" zeroHeight="false" outlineLevelRow="0" outlineLevelCol="0"/>
  <sheetData>
    <row r="2" customFormat="false" ht="12.75" hidden="false" customHeight="false" outlineLevel="0" collapsed="false">
      <c r="A2" s="0" t="s">
        <v>1606</v>
      </c>
    </row>
    <row r="3" customFormat="false" ht="12.75" hidden="false" customHeight="false" outlineLevel="0" collapsed="false">
      <c r="A3" s="0" t="s">
        <v>1607</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84"/>
  <sheetViews>
    <sheetView showFormulas="false" showGridLines="true" showRowColHeaders="true" showZeros="true" rightToLeft="false" tabSelected="false" showOutlineSymbols="true" defaultGridColor="true" view="normal" topLeftCell="A34" colorId="64" zoomScale="100" zoomScaleNormal="100" zoomScalePageLayoutView="100" workbookViewId="0">
      <selection pane="topLeft" activeCell="B36" activeCellId="0" sqref="B36"/>
    </sheetView>
  </sheetViews>
  <sheetFormatPr defaultColWidth="9.13671875" defaultRowHeight="12.75" customHeight="true" zeroHeight="false" outlineLevelRow="0" outlineLevelCol="0"/>
  <cols>
    <col collapsed="false" customWidth="true" hidden="false" outlineLevel="0" max="1" min="1" style="209" width="23.14"/>
    <col collapsed="false" customWidth="true" hidden="false" outlineLevel="0" max="5" min="2" style="209" width="12.7"/>
    <col collapsed="false" customWidth="true" hidden="false" outlineLevel="0" max="6" min="6" style="209" width="12.85"/>
    <col collapsed="false" customWidth="true" hidden="false" outlineLevel="0" max="7" min="7" style="210" width="12.28"/>
    <col collapsed="false" customWidth="true" hidden="false" outlineLevel="0" max="8" min="8" style="210" width="2.42"/>
    <col collapsed="false" customWidth="false" hidden="false" outlineLevel="0" max="257" min="9" style="209" width="9.14"/>
  </cols>
  <sheetData>
    <row r="1" customFormat="false" ht="12.75" hidden="false" customHeight="false" outlineLevel="0" collapsed="false">
      <c r="A1" s="118" t="s">
        <v>770</v>
      </c>
    </row>
    <row r="2" customFormat="false" ht="12.75" hidden="false" customHeight="false" outlineLevel="0" collapsed="false">
      <c r="A2" s="118" t="s">
        <v>771</v>
      </c>
    </row>
    <row r="3" customFormat="false" ht="12.75" hidden="false" customHeight="false" outlineLevel="0" collapsed="false">
      <c r="A3" s="211" t="s">
        <v>772</v>
      </c>
    </row>
    <row r="4" customFormat="false" ht="12.75" hidden="false" customHeight="false" outlineLevel="0" collapsed="false">
      <c r="A4" s="211" t="s">
        <v>773</v>
      </c>
    </row>
    <row r="5" customFormat="false" ht="12.75" hidden="false" customHeight="false" outlineLevel="0" collapsed="false">
      <c r="A5" s="211"/>
    </row>
    <row r="6" customFormat="false" ht="12.75" hidden="false" customHeight="false" outlineLevel="0" collapsed="false">
      <c r="A6" s="211"/>
    </row>
    <row r="7" customFormat="false" ht="12.75" hidden="false" customHeight="false" outlineLevel="0" collapsed="false">
      <c r="A7" s="211"/>
    </row>
    <row r="8" customFormat="false" ht="18" hidden="false" customHeight="false" outlineLevel="0" collapsed="false">
      <c r="A8" s="212" t="s">
        <v>774</v>
      </c>
    </row>
    <row r="9" customFormat="false" ht="12.75" hidden="false" customHeight="false" outlineLevel="0" collapsed="false">
      <c r="A9" s="213"/>
      <c r="B9" s="213" t="s">
        <v>775</v>
      </c>
      <c r="C9" s="213" t="s">
        <v>776</v>
      </c>
      <c r="D9" s="213"/>
      <c r="E9" s="213"/>
      <c r="F9" s="213"/>
      <c r="G9" s="214" t="s">
        <v>777</v>
      </c>
      <c r="H9" s="214"/>
      <c r="I9" s="213"/>
      <c r="J9" s="213"/>
      <c r="K9" s="213"/>
      <c r="L9" s="213"/>
      <c r="M9" s="213"/>
      <c r="N9" s="213"/>
      <c r="O9" s="213"/>
      <c r="P9" s="213"/>
      <c r="Q9" s="213"/>
      <c r="R9" s="213"/>
      <c r="S9" s="213"/>
      <c r="T9" s="213"/>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213"/>
      <c r="AT9" s="213"/>
      <c r="AU9" s="213"/>
      <c r="AV9" s="213"/>
      <c r="AW9" s="213"/>
      <c r="AX9" s="213"/>
      <c r="AY9" s="213"/>
      <c r="AZ9" s="213"/>
      <c r="BA9" s="213"/>
      <c r="BB9" s="213"/>
      <c r="BC9" s="213"/>
      <c r="BD9" s="213"/>
      <c r="BE9" s="213"/>
      <c r="BF9" s="213"/>
      <c r="BG9" s="213"/>
      <c r="BH9" s="213"/>
      <c r="BI9" s="213"/>
      <c r="BJ9" s="213"/>
      <c r="BK9" s="213"/>
      <c r="BL9" s="213"/>
      <c r="BM9" s="213"/>
      <c r="BN9" s="213"/>
      <c r="BO9" s="213"/>
      <c r="BP9" s="213"/>
      <c r="BQ9" s="213"/>
      <c r="BR9" s="213"/>
      <c r="BS9" s="213"/>
      <c r="BT9" s="213"/>
      <c r="BU9" s="213"/>
      <c r="BV9" s="213"/>
      <c r="BW9" s="213"/>
      <c r="BX9" s="213"/>
      <c r="BY9" s="213"/>
      <c r="BZ9" s="213"/>
      <c r="CA9" s="213"/>
      <c r="CB9" s="213"/>
      <c r="CC9" s="213"/>
      <c r="CD9" s="213"/>
      <c r="CE9" s="213"/>
      <c r="CF9" s="213"/>
      <c r="CG9" s="213"/>
      <c r="CH9" s="213"/>
      <c r="CI9" s="213"/>
      <c r="CJ9" s="213"/>
      <c r="CK9" s="213"/>
      <c r="CL9" s="213"/>
      <c r="CM9" s="213"/>
      <c r="CN9" s="213"/>
      <c r="CO9" s="213"/>
      <c r="CP9" s="213"/>
      <c r="CQ9" s="213"/>
      <c r="CR9" s="213"/>
      <c r="CS9" s="213"/>
      <c r="CT9" s="213"/>
      <c r="CU9" s="213"/>
      <c r="CV9" s="213"/>
      <c r="CW9" s="213"/>
      <c r="CX9" s="213"/>
      <c r="CY9" s="213"/>
      <c r="CZ9" s="213"/>
      <c r="DA9" s="213"/>
      <c r="DB9" s="213"/>
      <c r="DC9" s="213"/>
      <c r="DD9" s="213"/>
      <c r="DE9" s="213"/>
      <c r="DF9" s="213"/>
      <c r="DG9" s="213"/>
      <c r="DH9" s="213"/>
      <c r="DI9" s="213"/>
      <c r="DJ9" s="213"/>
      <c r="DK9" s="213"/>
      <c r="DL9" s="213"/>
      <c r="DM9" s="213"/>
      <c r="DN9" s="213"/>
      <c r="DO9" s="213"/>
      <c r="DP9" s="213"/>
      <c r="DQ9" s="213"/>
      <c r="DR9" s="213"/>
      <c r="DS9" s="213"/>
      <c r="DT9" s="213"/>
      <c r="DU9" s="213"/>
      <c r="DV9" s="213"/>
      <c r="DW9" s="213"/>
      <c r="DX9" s="213"/>
      <c r="DY9" s="213"/>
      <c r="DZ9" s="213"/>
      <c r="EA9" s="213"/>
      <c r="EB9" s="213"/>
      <c r="EC9" s="213"/>
      <c r="ED9" s="213"/>
      <c r="EE9" s="213"/>
      <c r="EF9" s="213"/>
      <c r="EG9" s="213"/>
      <c r="EH9" s="213"/>
      <c r="EI9" s="213"/>
      <c r="EJ9" s="213"/>
      <c r="EK9" s="213"/>
      <c r="EL9" s="213"/>
      <c r="EM9" s="213"/>
      <c r="EN9" s="213"/>
      <c r="EO9" s="213"/>
      <c r="EP9" s="213"/>
      <c r="EQ9" s="213"/>
      <c r="ER9" s="213"/>
      <c r="ES9" s="213"/>
      <c r="ET9" s="213"/>
      <c r="EU9" s="213"/>
      <c r="EV9" s="213"/>
      <c r="EW9" s="213"/>
      <c r="EX9" s="213"/>
      <c r="EY9" s="213"/>
      <c r="EZ9" s="213"/>
      <c r="FA9" s="213"/>
      <c r="FB9" s="213"/>
      <c r="FC9" s="213"/>
      <c r="FD9" s="213"/>
      <c r="FE9" s="213"/>
      <c r="FF9" s="213"/>
      <c r="FG9" s="213"/>
      <c r="FH9" s="213"/>
      <c r="FI9" s="213"/>
      <c r="FJ9" s="213"/>
      <c r="FK9" s="213"/>
      <c r="FL9" s="213"/>
      <c r="FM9" s="213"/>
      <c r="FN9" s="213"/>
      <c r="FO9" s="213"/>
      <c r="FP9" s="213"/>
      <c r="FQ9" s="213"/>
      <c r="FR9" s="213"/>
      <c r="FS9" s="213"/>
      <c r="FT9" s="213"/>
      <c r="FU9" s="213"/>
      <c r="FV9" s="213"/>
      <c r="FW9" s="213"/>
      <c r="FX9" s="213"/>
      <c r="FY9" s="213"/>
      <c r="FZ9" s="213"/>
      <c r="GA9" s="213"/>
      <c r="GB9" s="213"/>
      <c r="GC9" s="213"/>
      <c r="GD9" s="213"/>
      <c r="GE9" s="213"/>
      <c r="GF9" s="213"/>
      <c r="GG9" s="213"/>
      <c r="GH9" s="213"/>
      <c r="GI9" s="213"/>
      <c r="GJ9" s="213"/>
      <c r="GK9" s="213"/>
      <c r="GL9" s="213"/>
      <c r="GM9" s="213"/>
      <c r="GN9" s="213"/>
      <c r="GO9" s="213"/>
      <c r="GP9" s="213"/>
      <c r="GQ9" s="213"/>
      <c r="GR9" s="213"/>
      <c r="GS9" s="213"/>
      <c r="GT9" s="213"/>
      <c r="GU9" s="213"/>
      <c r="GV9" s="213"/>
      <c r="GW9" s="213"/>
      <c r="GX9" s="213"/>
      <c r="GY9" s="213"/>
      <c r="GZ9" s="213"/>
      <c r="HA9" s="213"/>
      <c r="HB9" s="213"/>
      <c r="HC9" s="213"/>
      <c r="HD9" s="213"/>
      <c r="HE9" s="213"/>
      <c r="HF9" s="213"/>
      <c r="HG9" s="213"/>
      <c r="HH9" s="213"/>
      <c r="HI9" s="213"/>
      <c r="HJ9" s="213"/>
      <c r="HK9" s="213"/>
      <c r="HL9" s="213"/>
      <c r="HM9" s="213"/>
      <c r="HN9" s="213"/>
      <c r="HO9" s="213"/>
      <c r="HP9" s="213"/>
      <c r="HQ9" s="213"/>
      <c r="HR9" s="213"/>
      <c r="HS9" s="213"/>
      <c r="HT9" s="213"/>
      <c r="HU9" s="213"/>
      <c r="HV9" s="213"/>
      <c r="HW9" s="213"/>
      <c r="HX9" s="213"/>
      <c r="HY9" s="213"/>
      <c r="HZ9" s="213"/>
      <c r="IA9" s="213"/>
      <c r="IB9" s="213"/>
      <c r="IC9" s="213"/>
      <c r="ID9" s="213"/>
      <c r="IE9" s="213"/>
      <c r="IF9" s="213"/>
      <c r="IG9" s="213"/>
      <c r="IH9" s="213"/>
      <c r="II9" s="213"/>
      <c r="IJ9" s="213"/>
      <c r="IK9" s="213"/>
      <c r="IL9" s="213"/>
      <c r="IM9" s="213"/>
      <c r="IN9" s="213"/>
      <c r="IO9" s="213"/>
      <c r="IP9" s="213"/>
      <c r="IQ9" s="213"/>
      <c r="IR9" s="213"/>
      <c r="IS9" s="213"/>
      <c r="IT9" s="213"/>
      <c r="IU9" s="213"/>
      <c r="IV9" s="213"/>
      <c r="IW9" s="213"/>
    </row>
    <row r="10" customFormat="false" ht="12.75" hidden="false" customHeight="false" outlineLevel="0" collapsed="false">
      <c r="A10" s="215"/>
      <c r="B10" s="215" t="s">
        <v>778</v>
      </c>
      <c r="C10" s="215" t="s">
        <v>779</v>
      </c>
      <c r="D10" s="215" t="s">
        <v>780</v>
      </c>
      <c r="E10" s="215" t="s">
        <v>781</v>
      </c>
      <c r="F10" s="215" t="s">
        <v>782</v>
      </c>
      <c r="G10" s="216" t="s">
        <v>776</v>
      </c>
      <c r="H10" s="216"/>
      <c r="I10" s="215"/>
      <c r="J10" s="215"/>
      <c r="K10" s="215"/>
      <c r="L10" s="215"/>
      <c r="M10" s="215"/>
      <c r="N10" s="215"/>
      <c r="O10" s="215"/>
      <c r="P10" s="215"/>
      <c r="Q10" s="215"/>
      <c r="R10" s="215"/>
      <c r="S10" s="215"/>
      <c r="T10" s="215"/>
      <c r="U10" s="215"/>
      <c r="V10" s="215"/>
      <c r="W10" s="215"/>
      <c r="X10" s="215"/>
      <c r="Y10" s="215"/>
      <c r="Z10" s="215"/>
      <c r="AA10" s="215"/>
      <c r="AB10" s="215"/>
      <c r="AC10" s="215"/>
      <c r="AD10" s="215"/>
      <c r="AE10" s="215"/>
      <c r="AF10" s="215"/>
      <c r="AG10" s="215"/>
      <c r="AH10" s="215"/>
      <c r="AI10" s="215"/>
      <c r="AJ10" s="215"/>
      <c r="AK10" s="215"/>
      <c r="AL10" s="215"/>
      <c r="AM10" s="215"/>
      <c r="AN10" s="215"/>
      <c r="AO10" s="215"/>
      <c r="AP10" s="215"/>
      <c r="AQ10" s="215"/>
      <c r="AR10" s="215"/>
      <c r="AS10" s="215"/>
      <c r="AT10" s="215"/>
      <c r="AU10" s="215"/>
      <c r="AV10" s="215"/>
      <c r="AW10" s="215"/>
      <c r="AX10" s="215"/>
      <c r="AY10" s="215"/>
      <c r="AZ10" s="215"/>
      <c r="BA10" s="215"/>
      <c r="BB10" s="215"/>
      <c r="BC10" s="215"/>
      <c r="BD10" s="215"/>
      <c r="BE10" s="215"/>
      <c r="BF10" s="215"/>
      <c r="BG10" s="215"/>
      <c r="BH10" s="215"/>
      <c r="BI10" s="215"/>
      <c r="BJ10" s="215"/>
      <c r="BK10" s="215"/>
      <c r="BL10" s="215"/>
      <c r="BM10" s="215"/>
      <c r="BN10" s="215"/>
      <c r="BO10" s="215"/>
      <c r="BP10" s="215"/>
      <c r="BQ10" s="215"/>
      <c r="BR10" s="215"/>
      <c r="BS10" s="215"/>
      <c r="BT10" s="215"/>
      <c r="BU10" s="215"/>
      <c r="BV10" s="215"/>
      <c r="BW10" s="215"/>
      <c r="BX10" s="215"/>
      <c r="BY10" s="215"/>
      <c r="BZ10" s="215"/>
      <c r="CA10" s="215"/>
      <c r="CB10" s="215"/>
      <c r="CC10" s="215"/>
      <c r="CD10" s="215"/>
      <c r="CE10" s="215"/>
      <c r="CF10" s="215"/>
      <c r="CG10" s="215"/>
      <c r="CH10" s="215"/>
      <c r="CI10" s="215"/>
      <c r="CJ10" s="215"/>
      <c r="CK10" s="215"/>
      <c r="CL10" s="215"/>
      <c r="CM10" s="215"/>
      <c r="CN10" s="215"/>
      <c r="CO10" s="215"/>
      <c r="CP10" s="215"/>
      <c r="CQ10" s="215"/>
      <c r="CR10" s="215"/>
      <c r="CS10" s="215"/>
      <c r="CT10" s="215"/>
      <c r="CU10" s="215"/>
      <c r="CV10" s="215"/>
      <c r="CW10" s="215"/>
      <c r="CX10" s="215"/>
      <c r="CY10" s="215"/>
      <c r="CZ10" s="215"/>
      <c r="DA10" s="215"/>
      <c r="DB10" s="215"/>
      <c r="DC10" s="215"/>
      <c r="DD10" s="215"/>
      <c r="DE10" s="215"/>
      <c r="DF10" s="215"/>
      <c r="DG10" s="215"/>
      <c r="DH10" s="215"/>
      <c r="DI10" s="215"/>
      <c r="DJ10" s="215"/>
      <c r="DK10" s="215"/>
      <c r="DL10" s="215"/>
      <c r="DM10" s="215"/>
      <c r="DN10" s="215"/>
      <c r="DO10" s="215"/>
      <c r="DP10" s="215"/>
      <c r="DQ10" s="215"/>
      <c r="DR10" s="215"/>
      <c r="DS10" s="215"/>
      <c r="DT10" s="215"/>
      <c r="DU10" s="215"/>
      <c r="DV10" s="215"/>
      <c r="DW10" s="215"/>
      <c r="DX10" s="215"/>
      <c r="DY10" s="215"/>
      <c r="DZ10" s="215"/>
      <c r="EA10" s="215"/>
      <c r="EB10" s="215"/>
      <c r="EC10" s="215"/>
      <c r="ED10" s="215"/>
      <c r="EE10" s="215"/>
      <c r="EF10" s="215"/>
      <c r="EG10" s="215"/>
      <c r="EH10" s="215"/>
      <c r="EI10" s="215"/>
      <c r="EJ10" s="215"/>
      <c r="EK10" s="215"/>
      <c r="EL10" s="215"/>
      <c r="EM10" s="215"/>
      <c r="EN10" s="215"/>
      <c r="EO10" s="215"/>
      <c r="EP10" s="215"/>
      <c r="EQ10" s="215"/>
      <c r="ER10" s="215"/>
      <c r="ES10" s="215"/>
      <c r="ET10" s="215"/>
      <c r="EU10" s="215"/>
      <c r="EV10" s="215"/>
      <c r="EW10" s="215"/>
      <c r="EX10" s="215"/>
      <c r="EY10" s="215"/>
      <c r="EZ10" s="215"/>
      <c r="FA10" s="215"/>
      <c r="FB10" s="215"/>
      <c r="FC10" s="215"/>
      <c r="FD10" s="215"/>
      <c r="FE10" s="215"/>
      <c r="FF10" s="215"/>
      <c r="FG10" s="215"/>
      <c r="FH10" s="215"/>
      <c r="FI10" s="215"/>
      <c r="FJ10" s="215"/>
      <c r="FK10" s="215"/>
      <c r="FL10" s="215"/>
      <c r="FM10" s="215"/>
      <c r="FN10" s="215"/>
      <c r="FO10" s="215"/>
      <c r="FP10" s="215"/>
      <c r="FQ10" s="215"/>
      <c r="FR10" s="215"/>
      <c r="FS10" s="215"/>
      <c r="FT10" s="215"/>
      <c r="FU10" s="215"/>
      <c r="FV10" s="215"/>
      <c r="FW10" s="215"/>
      <c r="FX10" s="215"/>
      <c r="FY10" s="215"/>
      <c r="FZ10" s="215"/>
      <c r="GA10" s="215"/>
      <c r="GB10" s="215"/>
      <c r="GC10" s="215"/>
      <c r="GD10" s="215"/>
      <c r="GE10" s="215"/>
      <c r="GF10" s="215"/>
      <c r="GG10" s="215"/>
      <c r="GH10" s="215"/>
      <c r="GI10" s="215"/>
      <c r="GJ10" s="215"/>
      <c r="GK10" s="215"/>
      <c r="GL10" s="215"/>
      <c r="GM10" s="215"/>
      <c r="GN10" s="215"/>
      <c r="GO10" s="215"/>
      <c r="GP10" s="215"/>
      <c r="GQ10" s="215"/>
      <c r="GR10" s="215"/>
      <c r="GS10" s="215"/>
      <c r="GT10" s="215"/>
      <c r="GU10" s="215"/>
      <c r="GV10" s="215"/>
      <c r="GW10" s="215"/>
      <c r="GX10" s="215"/>
      <c r="GY10" s="215"/>
      <c r="GZ10" s="215"/>
      <c r="HA10" s="215"/>
      <c r="HB10" s="215"/>
      <c r="HC10" s="215"/>
      <c r="HD10" s="215"/>
      <c r="HE10" s="215"/>
      <c r="HF10" s="215"/>
      <c r="HG10" s="215"/>
      <c r="HH10" s="215"/>
      <c r="HI10" s="215"/>
      <c r="HJ10" s="215"/>
      <c r="HK10" s="215"/>
      <c r="HL10" s="215"/>
      <c r="HM10" s="215"/>
      <c r="HN10" s="215"/>
      <c r="HO10" s="215"/>
      <c r="HP10" s="215"/>
      <c r="HQ10" s="215"/>
      <c r="HR10" s="215"/>
      <c r="HS10" s="215"/>
      <c r="HT10" s="215"/>
      <c r="HU10" s="215"/>
      <c r="HV10" s="215"/>
      <c r="HW10" s="215"/>
      <c r="HX10" s="215"/>
      <c r="HY10" s="215"/>
      <c r="HZ10" s="215"/>
      <c r="IA10" s="215"/>
      <c r="IB10" s="215"/>
      <c r="IC10" s="215"/>
      <c r="ID10" s="215"/>
      <c r="IE10" s="215"/>
      <c r="IF10" s="215"/>
      <c r="IG10" s="215"/>
      <c r="IH10" s="215"/>
      <c r="II10" s="215"/>
      <c r="IJ10" s="215"/>
      <c r="IK10" s="215"/>
      <c r="IL10" s="215"/>
      <c r="IM10" s="215"/>
      <c r="IN10" s="215"/>
      <c r="IO10" s="215"/>
      <c r="IP10" s="215"/>
      <c r="IQ10" s="215"/>
      <c r="IR10" s="215"/>
      <c r="IS10" s="215"/>
      <c r="IT10" s="215"/>
      <c r="IU10" s="215"/>
      <c r="IV10" s="215"/>
      <c r="IW10" s="215"/>
    </row>
    <row r="11" customFormat="false" ht="12.75" hidden="false" customHeight="false" outlineLevel="0" collapsed="false">
      <c r="A11" s="215"/>
      <c r="B11" s="215"/>
      <c r="C11" s="215"/>
      <c r="D11" s="215"/>
      <c r="E11" s="215"/>
      <c r="F11" s="215"/>
      <c r="G11" s="216"/>
      <c r="H11" s="216"/>
      <c r="I11" s="215"/>
      <c r="J11" s="215"/>
      <c r="K11" s="215"/>
      <c r="L11" s="215"/>
      <c r="M11" s="215"/>
      <c r="N11" s="215"/>
      <c r="O11" s="215"/>
      <c r="P11" s="215"/>
      <c r="Q11" s="215"/>
      <c r="R11" s="215"/>
      <c r="S11" s="215"/>
      <c r="T11" s="215"/>
      <c r="U11" s="215"/>
      <c r="V11" s="215"/>
      <c r="W11" s="215"/>
      <c r="X11" s="215"/>
      <c r="Y11" s="215"/>
      <c r="Z11" s="215"/>
      <c r="AA11" s="215"/>
      <c r="AB11" s="215"/>
      <c r="AC11" s="215"/>
      <c r="AD11" s="215"/>
      <c r="AE11" s="215"/>
      <c r="AF11" s="215"/>
      <c r="AG11" s="215"/>
      <c r="AH11" s="215"/>
      <c r="AI11" s="215"/>
      <c r="AJ11" s="215"/>
      <c r="AK11" s="215"/>
      <c r="AL11" s="215"/>
      <c r="AM11" s="215"/>
      <c r="AN11" s="215"/>
      <c r="AO11" s="215"/>
      <c r="AP11" s="215"/>
      <c r="AQ11" s="215"/>
      <c r="AR11" s="215"/>
      <c r="AS11" s="215"/>
      <c r="AT11" s="215"/>
      <c r="AU11" s="215"/>
      <c r="AV11" s="215"/>
      <c r="AW11" s="215"/>
      <c r="AX11" s="215"/>
      <c r="AY11" s="215"/>
      <c r="AZ11" s="215"/>
      <c r="BA11" s="215"/>
      <c r="BB11" s="215"/>
      <c r="BC11" s="215"/>
      <c r="BD11" s="215"/>
      <c r="BE11" s="215"/>
      <c r="BF11" s="215"/>
      <c r="BG11" s="215"/>
      <c r="BH11" s="215"/>
      <c r="BI11" s="215"/>
      <c r="BJ11" s="215"/>
      <c r="BK11" s="215"/>
      <c r="BL11" s="215"/>
      <c r="BM11" s="215"/>
      <c r="BN11" s="215"/>
      <c r="BO11" s="215"/>
      <c r="BP11" s="215"/>
      <c r="BQ11" s="215"/>
      <c r="BR11" s="215"/>
      <c r="BS11" s="215"/>
      <c r="BT11" s="215"/>
      <c r="BU11" s="215"/>
      <c r="BV11" s="215"/>
      <c r="BW11" s="215"/>
      <c r="BX11" s="215"/>
      <c r="BY11" s="215"/>
      <c r="BZ11" s="215"/>
      <c r="CA11" s="215"/>
      <c r="CB11" s="215"/>
      <c r="CC11" s="215"/>
      <c r="CD11" s="215"/>
      <c r="CE11" s="215"/>
      <c r="CF11" s="215"/>
      <c r="CG11" s="215"/>
      <c r="CH11" s="215"/>
      <c r="CI11" s="215"/>
      <c r="CJ11" s="215"/>
      <c r="CK11" s="215"/>
      <c r="CL11" s="215"/>
      <c r="CM11" s="215"/>
      <c r="CN11" s="215"/>
      <c r="CO11" s="215"/>
      <c r="CP11" s="215"/>
      <c r="CQ11" s="215"/>
      <c r="CR11" s="215"/>
      <c r="CS11" s="215"/>
      <c r="CT11" s="215"/>
      <c r="CU11" s="215"/>
      <c r="CV11" s="215"/>
      <c r="CW11" s="215"/>
      <c r="CX11" s="215"/>
      <c r="CY11" s="215"/>
      <c r="CZ11" s="215"/>
      <c r="DA11" s="215"/>
      <c r="DB11" s="215"/>
      <c r="DC11" s="215"/>
      <c r="DD11" s="215"/>
      <c r="DE11" s="215"/>
      <c r="DF11" s="215"/>
      <c r="DG11" s="215"/>
      <c r="DH11" s="215"/>
      <c r="DI11" s="215"/>
      <c r="DJ11" s="215"/>
      <c r="DK11" s="215"/>
      <c r="DL11" s="215"/>
      <c r="DM11" s="215"/>
      <c r="DN11" s="215"/>
      <c r="DO11" s="215"/>
      <c r="DP11" s="215"/>
      <c r="DQ11" s="215"/>
      <c r="DR11" s="215"/>
      <c r="DS11" s="215"/>
      <c r="DT11" s="215"/>
      <c r="DU11" s="215"/>
      <c r="DV11" s="215"/>
      <c r="DW11" s="215"/>
      <c r="DX11" s="215"/>
      <c r="DY11" s="215"/>
      <c r="DZ11" s="215"/>
      <c r="EA11" s="215"/>
      <c r="EB11" s="215"/>
      <c r="EC11" s="215"/>
      <c r="ED11" s="215"/>
      <c r="EE11" s="215"/>
      <c r="EF11" s="215"/>
      <c r="EG11" s="215"/>
      <c r="EH11" s="215"/>
      <c r="EI11" s="215"/>
      <c r="EJ11" s="215"/>
      <c r="EK11" s="215"/>
      <c r="EL11" s="215"/>
      <c r="EM11" s="215"/>
      <c r="EN11" s="215"/>
      <c r="EO11" s="215"/>
      <c r="EP11" s="215"/>
      <c r="EQ11" s="215"/>
      <c r="ER11" s="215"/>
      <c r="ES11" s="215"/>
      <c r="ET11" s="215"/>
      <c r="EU11" s="215"/>
      <c r="EV11" s="215"/>
      <c r="EW11" s="215"/>
      <c r="EX11" s="215"/>
      <c r="EY11" s="215"/>
      <c r="EZ11" s="215"/>
      <c r="FA11" s="215"/>
      <c r="FB11" s="215"/>
      <c r="FC11" s="215"/>
      <c r="FD11" s="215"/>
      <c r="FE11" s="215"/>
      <c r="FF11" s="215"/>
      <c r="FG11" s="215"/>
      <c r="FH11" s="215"/>
      <c r="FI11" s="215"/>
      <c r="FJ11" s="215"/>
      <c r="FK11" s="215"/>
      <c r="FL11" s="215"/>
      <c r="FM11" s="215"/>
      <c r="FN11" s="215"/>
      <c r="FO11" s="215"/>
      <c r="FP11" s="215"/>
      <c r="FQ11" s="215"/>
      <c r="FR11" s="215"/>
      <c r="FS11" s="215"/>
      <c r="FT11" s="215"/>
      <c r="FU11" s="215"/>
      <c r="FV11" s="215"/>
      <c r="FW11" s="215"/>
      <c r="FX11" s="215"/>
      <c r="FY11" s="215"/>
      <c r="FZ11" s="215"/>
      <c r="GA11" s="215"/>
      <c r="GB11" s="215"/>
      <c r="GC11" s="215"/>
      <c r="GD11" s="215"/>
      <c r="GE11" s="215"/>
      <c r="GF11" s="215"/>
      <c r="GG11" s="215"/>
      <c r="GH11" s="215"/>
      <c r="GI11" s="215"/>
      <c r="GJ11" s="215"/>
      <c r="GK11" s="215"/>
      <c r="GL11" s="215"/>
      <c r="GM11" s="215"/>
      <c r="GN11" s="215"/>
      <c r="GO11" s="215"/>
      <c r="GP11" s="215"/>
      <c r="GQ11" s="215"/>
      <c r="GR11" s="215"/>
      <c r="GS11" s="215"/>
      <c r="GT11" s="215"/>
      <c r="GU11" s="215"/>
      <c r="GV11" s="215"/>
      <c r="GW11" s="215"/>
      <c r="GX11" s="215"/>
      <c r="GY11" s="215"/>
      <c r="GZ11" s="215"/>
      <c r="HA11" s="215"/>
      <c r="HB11" s="215"/>
      <c r="HC11" s="215"/>
      <c r="HD11" s="215"/>
      <c r="HE11" s="215"/>
      <c r="HF11" s="215"/>
      <c r="HG11" s="215"/>
      <c r="HH11" s="215"/>
      <c r="HI11" s="215"/>
      <c r="HJ11" s="215"/>
      <c r="HK11" s="215"/>
      <c r="HL11" s="215"/>
      <c r="HM11" s="215"/>
      <c r="HN11" s="215"/>
      <c r="HO11" s="215"/>
      <c r="HP11" s="215"/>
      <c r="HQ11" s="215"/>
      <c r="HR11" s="215"/>
      <c r="HS11" s="215"/>
      <c r="HT11" s="215"/>
      <c r="HU11" s="215"/>
      <c r="HV11" s="215"/>
      <c r="HW11" s="215"/>
      <c r="HX11" s="215"/>
      <c r="HY11" s="215"/>
      <c r="HZ11" s="215"/>
      <c r="IA11" s="215"/>
      <c r="IB11" s="215"/>
      <c r="IC11" s="215"/>
      <c r="ID11" s="215"/>
      <c r="IE11" s="215"/>
      <c r="IF11" s="215"/>
      <c r="IG11" s="215"/>
      <c r="IH11" s="215"/>
      <c r="II11" s="215"/>
      <c r="IJ11" s="215"/>
      <c r="IK11" s="215"/>
      <c r="IL11" s="215"/>
      <c r="IM11" s="215"/>
      <c r="IN11" s="215"/>
      <c r="IO11" s="215"/>
      <c r="IP11" s="215"/>
      <c r="IQ11" s="215"/>
      <c r="IR11" s="215"/>
      <c r="IS11" s="215"/>
      <c r="IT11" s="215"/>
      <c r="IU11" s="215"/>
      <c r="IV11" s="215"/>
      <c r="IW11" s="215"/>
    </row>
    <row r="12" customFormat="false" ht="12.75" hidden="false" customHeight="false" outlineLevel="0" collapsed="false">
      <c r="A12" s="209" t="s">
        <v>783</v>
      </c>
      <c r="B12" s="217" t="n">
        <f aca="false">'Updated Final List'!AR254</f>
        <v>22774</v>
      </c>
      <c r="C12" s="217" t="n">
        <f aca="false">'Updated Final List'!AS254</f>
        <v>50239</v>
      </c>
      <c r="D12" s="217" t="n">
        <f aca="false">'Updated Final List'!AT254</f>
        <v>32961</v>
      </c>
      <c r="E12" s="217" t="n">
        <f aca="false">'Updated Final List'!AU254</f>
        <v>2359</v>
      </c>
      <c r="F12" s="218" t="n">
        <f aca="false">SUM(B12:E12)</f>
        <v>108333</v>
      </c>
      <c r="G12" s="210" t="n">
        <f aca="false">F12/$F$16</f>
        <v>0.871474539457807</v>
      </c>
    </row>
    <row r="13" customFormat="false" ht="12.75" hidden="false" customHeight="false" outlineLevel="0" collapsed="false">
      <c r="A13" s="209" t="s">
        <v>784</v>
      </c>
      <c r="B13" s="217" t="n">
        <f aca="false">'Updated Final List'!AV254</f>
        <v>871</v>
      </c>
      <c r="C13" s="219" t="n">
        <f aca="false">'Updated Final List'!AW254</f>
        <v>928</v>
      </c>
      <c r="D13" s="217" t="n">
        <f aca="false">'Updated Final List'!AX254</f>
        <v>1052</v>
      </c>
      <c r="E13" s="217" t="n">
        <f aca="false">'Updated Final List'!AY254</f>
        <v>207</v>
      </c>
      <c r="F13" s="218" t="n">
        <f aca="false">SUM(B13:E13)</f>
        <v>3058</v>
      </c>
      <c r="G13" s="210" t="n">
        <f aca="false">F13/$F$16</f>
        <v>0.024599790845467</v>
      </c>
    </row>
    <row r="14" customFormat="false" ht="12.75" hidden="false" customHeight="false" outlineLevel="0" collapsed="false">
      <c r="A14" s="209" t="s">
        <v>785</v>
      </c>
      <c r="B14" s="217" t="n">
        <f aca="false">'Updated Final List'!AZ254</f>
        <v>2064</v>
      </c>
      <c r="C14" s="217" t="n">
        <f aca="false">'Updated Final List'!BA254</f>
        <v>3952</v>
      </c>
      <c r="D14" s="217" t="n">
        <f aca="false">'Updated Final List'!BB254</f>
        <v>6439</v>
      </c>
      <c r="E14" s="217" t="n">
        <f aca="false">'Updated Final List'!BC254</f>
        <v>464</v>
      </c>
      <c r="F14" s="218" t="n">
        <f aca="false">SUM(B14:E14)</f>
        <v>12919</v>
      </c>
      <c r="G14" s="210" t="n">
        <f aca="false">F14/$F$16</f>
        <v>0.103925669696726</v>
      </c>
    </row>
    <row r="15" customFormat="false" ht="12.75" hidden="false" customHeight="false" outlineLevel="0" collapsed="false">
      <c r="B15" s="220"/>
      <c r="C15" s="220"/>
      <c r="D15" s="220"/>
      <c r="E15" s="220"/>
      <c r="F15" s="221"/>
    </row>
    <row r="16" customFormat="false" ht="12.75" hidden="false" customHeight="false" outlineLevel="0" collapsed="false">
      <c r="A16" s="209" t="s">
        <v>786</v>
      </c>
      <c r="B16" s="217" t="n">
        <f aca="false">SUM(B12:B14)</f>
        <v>25709</v>
      </c>
      <c r="C16" s="217" t="n">
        <f aca="false">SUM(C12:C14)</f>
        <v>55119</v>
      </c>
      <c r="D16" s="217" t="n">
        <f aca="false">SUM(D12:D14)</f>
        <v>40452</v>
      </c>
      <c r="E16" s="217" t="n">
        <f aca="false">SUM(E12:E14)</f>
        <v>3030</v>
      </c>
      <c r="F16" s="218" t="n">
        <f aca="false">SUM(B16:E16)</f>
        <v>124310</v>
      </c>
    </row>
    <row r="17" customFormat="false" ht="12.75" hidden="false" customHeight="false" outlineLevel="0" collapsed="false">
      <c r="B17" s="217"/>
      <c r="C17" s="217"/>
      <c r="D17" s="217"/>
      <c r="E17" s="217"/>
    </row>
    <row r="18" customFormat="false" ht="12.75" hidden="false" customHeight="false" outlineLevel="0" collapsed="false">
      <c r="A18" s="222" t="s">
        <v>787</v>
      </c>
      <c r="B18" s="217"/>
      <c r="C18" s="217"/>
      <c r="D18" s="217"/>
      <c r="E18" s="217"/>
    </row>
    <row r="19" customFormat="false" ht="12.75" hidden="false" customHeight="false" outlineLevel="0" collapsed="false">
      <c r="A19" s="209" t="s">
        <v>788</v>
      </c>
      <c r="B19" s="217" t="n">
        <f aca="false">'Updated Final List'!BD254</f>
        <v>2694</v>
      </c>
      <c r="C19" s="217" t="n">
        <f aca="false">'Updated Final List'!BE254</f>
        <v>24</v>
      </c>
      <c r="D19" s="217" t="n">
        <f aca="false">'Updated Final List'!BF254</f>
        <v>0</v>
      </c>
      <c r="E19" s="217" t="n">
        <f aca="false">'Updated Final List'!BG254</f>
        <v>0</v>
      </c>
      <c r="F19" s="218" t="n">
        <f aca="false">SUM(B19:E19)</f>
        <v>2718</v>
      </c>
    </row>
    <row r="20" customFormat="false" ht="12.75" hidden="false" customHeight="false" outlineLevel="0" collapsed="false">
      <c r="A20" s="209" t="s">
        <v>789</v>
      </c>
      <c r="B20" s="217" t="n">
        <f aca="false">'Updated Final List'!BH254</f>
        <v>5047</v>
      </c>
      <c r="C20" s="217" t="n">
        <f aca="false">'Updated Final List'!BI254</f>
        <v>82</v>
      </c>
      <c r="D20" s="217" t="n">
        <f aca="false">'Updated Final List'!BJ254</f>
        <v>0</v>
      </c>
      <c r="E20" s="217" t="n">
        <f aca="false">'Updated Final List'!BK254</f>
        <v>0</v>
      </c>
      <c r="F20" s="218" t="n">
        <f aca="false">SUM(B20:E20)</f>
        <v>5129</v>
      </c>
      <c r="G20" s="223"/>
    </row>
    <row r="21" customFormat="false" ht="12.75" hidden="false" customHeight="false" outlineLevel="0" collapsed="false">
      <c r="A21" s="209" t="s">
        <v>790</v>
      </c>
      <c r="B21" s="217"/>
      <c r="C21" s="217"/>
      <c r="D21" s="217"/>
      <c r="E21" s="217"/>
      <c r="F21" s="218"/>
      <c r="G21" s="224"/>
      <c r="H21" s="224"/>
    </row>
    <row r="22" customFormat="false" ht="12.75" hidden="false" customHeight="false" outlineLevel="0" collapsed="false">
      <c r="B22" s="217"/>
      <c r="C22" s="217"/>
      <c r="D22" s="217"/>
      <c r="E22" s="217"/>
      <c r="F22" s="218"/>
    </row>
    <row r="23" customFormat="false" ht="12.75" hidden="false" customHeight="false" outlineLevel="0" collapsed="false">
      <c r="A23" s="118" t="s">
        <v>791</v>
      </c>
      <c r="B23" s="225"/>
      <c r="C23" s="225"/>
      <c r="D23" s="225"/>
      <c r="E23" s="225"/>
      <c r="F23" s="226" t="n">
        <f aca="false">'Updated Final List'!BO254</f>
        <v>66841.65233</v>
      </c>
      <c r="G23" s="227"/>
      <c r="H23" s="227"/>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118"/>
      <c r="AL23" s="118"/>
      <c r="AM23" s="118"/>
      <c r="AN23" s="118"/>
      <c r="AO23" s="118"/>
      <c r="AP23" s="118"/>
      <c r="AQ23" s="118"/>
      <c r="AR23" s="118"/>
      <c r="AS23" s="118"/>
      <c r="AT23" s="118"/>
      <c r="AU23" s="118"/>
      <c r="AV23" s="118"/>
      <c r="AW23" s="118"/>
      <c r="AX23" s="118"/>
      <c r="AY23" s="118"/>
      <c r="AZ23" s="118"/>
      <c r="BA23" s="118"/>
      <c r="BB23" s="118"/>
      <c r="BC23" s="118"/>
      <c r="BD23" s="118"/>
      <c r="BE23" s="118"/>
      <c r="BF23" s="118"/>
      <c r="BG23" s="118"/>
      <c r="BH23" s="118"/>
      <c r="BI23" s="118"/>
      <c r="BJ23" s="118"/>
      <c r="BK23" s="118"/>
      <c r="BL23" s="118"/>
      <c r="BM23" s="118"/>
      <c r="BN23" s="118"/>
      <c r="BO23" s="118"/>
      <c r="BP23" s="118"/>
      <c r="BQ23" s="118"/>
      <c r="BR23" s="118"/>
      <c r="BS23" s="118"/>
      <c r="BT23" s="118"/>
      <c r="BU23" s="118"/>
      <c r="BV23" s="118"/>
      <c r="BW23" s="118"/>
      <c r="BX23" s="118"/>
      <c r="BY23" s="118"/>
      <c r="BZ23" s="118"/>
      <c r="CA23" s="118"/>
      <c r="CB23" s="118"/>
      <c r="CC23" s="118"/>
      <c r="CD23" s="118"/>
      <c r="CE23" s="118"/>
      <c r="CF23" s="118"/>
      <c r="CG23" s="118"/>
      <c r="CH23" s="118"/>
      <c r="CI23" s="118"/>
      <c r="CJ23" s="118"/>
      <c r="CK23" s="118"/>
      <c r="CL23" s="118"/>
      <c r="CM23" s="118"/>
      <c r="CN23" s="118"/>
      <c r="CO23" s="118"/>
      <c r="CP23" s="118"/>
      <c r="CQ23" s="118"/>
      <c r="CR23" s="118"/>
      <c r="CS23" s="118"/>
      <c r="CT23" s="118"/>
      <c r="CU23" s="118"/>
      <c r="CV23" s="118"/>
      <c r="CW23" s="118"/>
      <c r="CX23" s="118"/>
      <c r="CY23" s="118"/>
      <c r="CZ23" s="118"/>
      <c r="DA23" s="118"/>
      <c r="DB23" s="118"/>
      <c r="DC23" s="118"/>
      <c r="DD23" s="118"/>
      <c r="DE23" s="118"/>
      <c r="DF23" s="118"/>
      <c r="DG23" s="118"/>
      <c r="DH23" s="118"/>
      <c r="DI23" s="118"/>
      <c r="DJ23" s="118"/>
      <c r="DK23" s="118"/>
      <c r="DL23" s="118"/>
      <c r="DM23" s="118"/>
      <c r="DN23" s="118"/>
      <c r="DO23" s="118"/>
      <c r="DP23" s="118"/>
      <c r="DQ23" s="118"/>
      <c r="DR23" s="118"/>
      <c r="DS23" s="118"/>
      <c r="DT23" s="118"/>
      <c r="DU23" s="118"/>
      <c r="DV23" s="118"/>
      <c r="DW23" s="118"/>
      <c r="DX23" s="118"/>
      <c r="DY23" s="118"/>
      <c r="DZ23" s="118"/>
      <c r="EA23" s="118"/>
      <c r="EB23" s="118"/>
      <c r="EC23" s="118"/>
      <c r="ED23" s="118"/>
      <c r="EE23" s="118"/>
      <c r="EF23" s="118"/>
      <c r="EG23" s="118"/>
      <c r="EH23" s="118"/>
      <c r="EI23" s="118"/>
      <c r="EJ23" s="118"/>
      <c r="EK23" s="118"/>
      <c r="EL23" s="118"/>
      <c r="EM23" s="118"/>
      <c r="EN23" s="118"/>
      <c r="EO23" s="118"/>
      <c r="EP23" s="118"/>
      <c r="EQ23" s="118"/>
      <c r="ER23" s="118"/>
      <c r="ES23" s="118"/>
      <c r="ET23" s="118"/>
      <c r="EU23" s="118"/>
      <c r="EV23" s="118"/>
      <c r="EW23" s="118"/>
      <c r="EX23" s="118"/>
      <c r="EY23" s="118"/>
      <c r="EZ23" s="118"/>
      <c r="FA23" s="118"/>
      <c r="FB23" s="118"/>
      <c r="FC23" s="118"/>
      <c r="FD23" s="118"/>
      <c r="FE23" s="118"/>
      <c r="FF23" s="118"/>
      <c r="FG23" s="118"/>
      <c r="FH23" s="118"/>
      <c r="FI23" s="118"/>
      <c r="FJ23" s="118"/>
      <c r="FK23" s="118"/>
      <c r="FL23" s="118"/>
      <c r="FM23" s="118"/>
      <c r="FN23" s="118"/>
      <c r="FO23" s="118"/>
      <c r="FP23" s="118"/>
      <c r="FQ23" s="118"/>
      <c r="FR23" s="118"/>
      <c r="FS23" s="118"/>
      <c r="FT23" s="118"/>
      <c r="FU23" s="118"/>
      <c r="FV23" s="118"/>
      <c r="FW23" s="118"/>
      <c r="FX23" s="118"/>
      <c r="FY23" s="118"/>
      <c r="FZ23" s="118"/>
      <c r="GA23" s="118"/>
      <c r="GB23" s="118"/>
      <c r="GC23" s="118"/>
      <c r="GD23" s="118"/>
      <c r="GE23" s="118"/>
      <c r="GF23" s="118"/>
      <c r="GG23" s="118"/>
      <c r="GH23" s="118"/>
      <c r="GI23" s="118"/>
      <c r="GJ23" s="118"/>
      <c r="GK23" s="118"/>
      <c r="GL23" s="118"/>
      <c r="GM23" s="118"/>
      <c r="GN23" s="118"/>
      <c r="GO23" s="118"/>
      <c r="GP23" s="118"/>
      <c r="GQ23" s="118"/>
      <c r="GR23" s="118"/>
      <c r="GS23" s="118"/>
      <c r="GT23" s="118"/>
      <c r="GU23" s="118"/>
      <c r="GV23" s="118"/>
      <c r="GW23" s="118"/>
      <c r="GX23" s="118"/>
      <c r="GY23" s="118"/>
      <c r="GZ23" s="118"/>
      <c r="HA23" s="118"/>
      <c r="HB23" s="118"/>
      <c r="HC23" s="118"/>
      <c r="HD23" s="118"/>
      <c r="HE23" s="118"/>
      <c r="HF23" s="118"/>
      <c r="HG23" s="118"/>
      <c r="HH23" s="118"/>
      <c r="HI23" s="118"/>
      <c r="HJ23" s="118"/>
      <c r="HK23" s="118"/>
      <c r="HL23" s="118"/>
      <c r="HM23" s="118"/>
      <c r="HN23" s="118"/>
      <c r="HO23" s="118"/>
      <c r="HP23" s="118"/>
      <c r="HQ23" s="118"/>
      <c r="HR23" s="118"/>
      <c r="HS23" s="118"/>
      <c r="HT23" s="118"/>
      <c r="HU23" s="118"/>
      <c r="HV23" s="118"/>
      <c r="HW23" s="118"/>
      <c r="HX23" s="118"/>
      <c r="HY23" s="118"/>
      <c r="HZ23" s="118"/>
      <c r="IA23" s="118"/>
      <c r="IB23" s="118"/>
      <c r="IC23" s="118"/>
      <c r="ID23" s="118"/>
      <c r="IE23" s="118"/>
      <c r="IF23" s="118"/>
      <c r="IG23" s="118"/>
      <c r="IH23" s="118"/>
      <c r="II23" s="118"/>
      <c r="IJ23" s="118"/>
      <c r="IK23" s="118"/>
      <c r="IL23" s="118"/>
      <c r="IM23" s="118"/>
      <c r="IN23" s="118"/>
      <c r="IO23" s="118"/>
      <c r="IP23" s="118"/>
      <c r="IQ23" s="118"/>
      <c r="IR23" s="118"/>
      <c r="IS23" s="118"/>
      <c r="IT23" s="118"/>
      <c r="IU23" s="118"/>
      <c r="IV23" s="118"/>
      <c r="IW23" s="118"/>
    </row>
    <row r="24" customFormat="false" ht="12.75" hidden="false" customHeight="false" outlineLevel="0" collapsed="false">
      <c r="A24" s="118" t="s">
        <v>792</v>
      </c>
      <c r="B24" s="225"/>
      <c r="C24" s="225"/>
      <c r="D24" s="225"/>
      <c r="E24" s="225"/>
      <c r="F24" s="228" t="n">
        <v>0.1</v>
      </c>
      <c r="G24" s="227"/>
      <c r="H24" s="227"/>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118"/>
      <c r="AL24" s="118"/>
      <c r="AM24" s="118"/>
      <c r="AN24" s="118"/>
      <c r="AO24" s="118"/>
      <c r="AP24" s="118"/>
      <c r="AQ24" s="118"/>
      <c r="AR24" s="118"/>
      <c r="AS24" s="118"/>
      <c r="AT24" s="118"/>
      <c r="AU24" s="118"/>
      <c r="AV24" s="118"/>
      <c r="AW24" s="118"/>
      <c r="AX24" s="118"/>
      <c r="AY24" s="118"/>
      <c r="AZ24" s="118"/>
      <c r="BA24" s="118"/>
      <c r="BB24" s="118"/>
      <c r="BC24" s="118"/>
      <c r="BD24" s="118"/>
      <c r="BE24" s="118"/>
      <c r="BF24" s="118"/>
      <c r="BG24" s="118"/>
      <c r="BH24" s="118"/>
      <c r="BI24" s="118"/>
      <c r="BJ24" s="118"/>
      <c r="BK24" s="118"/>
      <c r="BL24" s="118"/>
      <c r="BM24" s="118"/>
      <c r="BN24" s="118"/>
      <c r="BO24" s="118"/>
      <c r="BP24" s="118"/>
      <c r="BQ24" s="118"/>
      <c r="BR24" s="118"/>
      <c r="BS24" s="118"/>
      <c r="BT24" s="118"/>
      <c r="BU24" s="118"/>
      <c r="BV24" s="118"/>
      <c r="BW24" s="118"/>
      <c r="BX24" s="118"/>
      <c r="BY24" s="118"/>
      <c r="BZ24" s="118"/>
      <c r="CA24" s="118"/>
      <c r="CB24" s="118"/>
      <c r="CC24" s="118"/>
      <c r="CD24" s="118"/>
      <c r="CE24" s="118"/>
      <c r="CF24" s="118"/>
      <c r="CG24" s="118"/>
      <c r="CH24" s="118"/>
      <c r="CI24" s="118"/>
      <c r="CJ24" s="118"/>
      <c r="CK24" s="118"/>
      <c r="CL24" s="118"/>
      <c r="CM24" s="118"/>
      <c r="CN24" s="118"/>
      <c r="CO24" s="118"/>
      <c r="CP24" s="118"/>
      <c r="CQ24" s="118"/>
      <c r="CR24" s="118"/>
      <c r="CS24" s="118"/>
      <c r="CT24" s="118"/>
      <c r="CU24" s="118"/>
      <c r="CV24" s="118"/>
      <c r="CW24" s="118"/>
      <c r="CX24" s="118"/>
      <c r="CY24" s="118"/>
      <c r="CZ24" s="118"/>
      <c r="DA24" s="118"/>
      <c r="DB24" s="118"/>
      <c r="DC24" s="118"/>
      <c r="DD24" s="118"/>
      <c r="DE24" s="118"/>
      <c r="DF24" s="118"/>
      <c r="DG24" s="118"/>
      <c r="DH24" s="118"/>
      <c r="DI24" s="118"/>
      <c r="DJ24" s="118"/>
      <c r="DK24" s="118"/>
      <c r="DL24" s="118"/>
      <c r="DM24" s="118"/>
      <c r="DN24" s="118"/>
      <c r="DO24" s="118"/>
      <c r="DP24" s="118"/>
      <c r="DQ24" s="118"/>
      <c r="DR24" s="118"/>
      <c r="DS24" s="118"/>
      <c r="DT24" s="118"/>
      <c r="DU24" s="118"/>
      <c r="DV24" s="118"/>
      <c r="DW24" s="118"/>
      <c r="DX24" s="118"/>
      <c r="DY24" s="118"/>
      <c r="DZ24" s="118"/>
      <c r="EA24" s="118"/>
      <c r="EB24" s="118"/>
      <c r="EC24" s="118"/>
      <c r="ED24" s="118"/>
      <c r="EE24" s="118"/>
      <c r="EF24" s="118"/>
      <c r="EG24" s="118"/>
      <c r="EH24" s="118"/>
      <c r="EI24" s="118"/>
      <c r="EJ24" s="118"/>
      <c r="EK24" s="118"/>
      <c r="EL24" s="118"/>
      <c r="EM24" s="118"/>
      <c r="EN24" s="118"/>
      <c r="EO24" s="118"/>
      <c r="EP24" s="118"/>
      <c r="EQ24" s="118"/>
      <c r="ER24" s="118"/>
      <c r="ES24" s="118"/>
      <c r="ET24" s="118"/>
      <c r="EU24" s="118"/>
      <c r="EV24" s="118"/>
      <c r="EW24" s="118"/>
      <c r="EX24" s="118"/>
      <c r="EY24" s="118"/>
      <c r="EZ24" s="118"/>
      <c r="FA24" s="118"/>
      <c r="FB24" s="118"/>
      <c r="FC24" s="118"/>
      <c r="FD24" s="118"/>
      <c r="FE24" s="118"/>
      <c r="FF24" s="118"/>
      <c r="FG24" s="118"/>
      <c r="FH24" s="118"/>
      <c r="FI24" s="118"/>
      <c r="FJ24" s="118"/>
      <c r="FK24" s="118"/>
      <c r="FL24" s="118"/>
      <c r="FM24" s="118"/>
      <c r="FN24" s="118"/>
      <c r="FO24" s="118"/>
      <c r="FP24" s="118"/>
      <c r="FQ24" s="118"/>
      <c r="FR24" s="118"/>
      <c r="FS24" s="118"/>
      <c r="FT24" s="118"/>
      <c r="FU24" s="118"/>
      <c r="FV24" s="118"/>
      <c r="FW24" s="118"/>
      <c r="FX24" s="118"/>
      <c r="FY24" s="118"/>
      <c r="FZ24" s="118"/>
      <c r="GA24" s="118"/>
      <c r="GB24" s="118"/>
      <c r="GC24" s="118"/>
      <c r="GD24" s="118"/>
      <c r="GE24" s="118"/>
      <c r="GF24" s="118"/>
      <c r="GG24" s="118"/>
      <c r="GH24" s="118"/>
      <c r="GI24" s="118"/>
      <c r="GJ24" s="118"/>
      <c r="GK24" s="118"/>
      <c r="GL24" s="118"/>
      <c r="GM24" s="118"/>
      <c r="GN24" s="118"/>
      <c r="GO24" s="118"/>
      <c r="GP24" s="118"/>
      <c r="GQ24" s="118"/>
      <c r="GR24" s="118"/>
      <c r="GS24" s="118"/>
      <c r="GT24" s="118"/>
      <c r="GU24" s="118"/>
      <c r="GV24" s="118"/>
      <c r="GW24" s="118"/>
      <c r="GX24" s="118"/>
      <c r="GY24" s="118"/>
      <c r="GZ24" s="118"/>
      <c r="HA24" s="118"/>
      <c r="HB24" s="118"/>
      <c r="HC24" s="118"/>
      <c r="HD24" s="118"/>
      <c r="HE24" s="118"/>
      <c r="HF24" s="118"/>
      <c r="HG24" s="118"/>
      <c r="HH24" s="118"/>
      <c r="HI24" s="118"/>
      <c r="HJ24" s="118"/>
      <c r="HK24" s="118"/>
      <c r="HL24" s="118"/>
      <c r="HM24" s="118"/>
      <c r="HN24" s="118"/>
      <c r="HO24" s="118"/>
      <c r="HP24" s="118"/>
      <c r="HQ24" s="118"/>
      <c r="HR24" s="118"/>
      <c r="HS24" s="118"/>
      <c r="HT24" s="118"/>
      <c r="HU24" s="118"/>
      <c r="HV24" s="118"/>
      <c r="HW24" s="118"/>
      <c r="HX24" s="118"/>
      <c r="HY24" s="118"/>
      <c r="HZ24" s="118"/>
      <c r="IA24" s="118"/>
      <c r="IB24" s="118"/>
      <c r="IC24" s="118"/>
      <c r="ID24" s="118"/>
      <c r="IE24" s="118"/>
      <c r="IF24" s="118"/>
      <c r="IG24" s="118"/>
      <c r="IH24" s="118"/>
      <c r="II24" s="118"/>
      <c r="IJ24" s="118"/>
      <c r="IK24" s="118"/>
      <c r="IL24" s="118"/>
      <c r="IM24" s="118"/>
      <c r="IN24" s="118"/>
      <c r="IO24" s="118"/>
      <c r="IP24" s="118"/>
      <c r="IQ24" s="118"/>
      <c r="IR24" s="118"/>
      <c r="IS24" s="118"/>
      <c r="IT24" s="118"/>
      <c r="IU24" s="118"/>
      <c r="IV24" s="118"/>
      <c r="IW24" s="118"/>
    </row>
    <row r="25" customFormat="false" ht="12.75" hidden="false" customHeight="false" outlineLevel="0" collapsed="false">
      <c r="A25" s="118" t="s">
        <v>793</v>
      </c>
      <c r="B25" s="225"/>
      <c r="C25" s="225"/>
      <c r="D25" s="225"/>
      <c r="E25" s="225"/>
      <c r="F25" s="225" t="n">
        <f aca="false">F23*F24</f>
        <v>6684.165233</v>
      </c>
      <c r="G25" s="227"/>
      <c r="H25" s="227"/>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118"/>
      <c r="AL25" s="118"/>
      <c r="AM25" s="118"/>
      <c r="AN25" s="118"/>
      <c r="AO25" s="118"/>
      <c r="AP25" s="118"/>
      <c r="AQ25" s="118"/>
      <c r="AR25" s="118"/>
      <c r="AS25" s="118"/>
      <c r="AT25" s="118"/>
      <c r="AU25" s="118"/>
      <c r="AV25" s="118"/>
      <c r="AW25" s="118"/>
      <c r="AX25" s="118"/>
      <c r="AY25" s="118"/>
      <c r="AZ25" s="118"/>
      <c r="BA25" s="118"/>
      <c r="BB25" s="118"/>
      <c r="BC25" s="118"/>
      <c r="BD25" s="118"/>
      <c r="BE25" s="118"/>
      <c r="BF25" s="118"/>
      <c r="BG25" s="118"/>
      <c r="BH25" s="118"/>
      <c r="BI25" s="118"/>
      <c r="BJ25" s="118"/>
      <c r="BK25" s="118"/>
      <c r="BL25" s="118"/>
      <c r="BM25" s="118"/>
      <c r="BN25" s="118"/>
      <c r="BO25" s="118"/>
      <c r="BP25" s="118"/>
      <c r="BQ25" s="118"/>
      <c r="BR25" s="118"/>
      <c r="BS25" s="118"/>
      <c r="BT25" s="118"/>
      <c r="BU25" s="118"/>
      <c r="BV25" s="118"/>
      <c r="BW25" s="118"/>
      <c r="BX25" s="118"/>
      <c r="BY25" s="118"/>
      <c r="BZ25" s="118"/>
      <c r="CA25" s="118"/>
      <c r="CB25" s="118"/>
      <c r="CC25" s="118"/>
      <c r="CD25" s="118"/>
      <c r="CE25" s="118"/>
      <c r="CF25" s="118"/>
      <c r="CG25" s="118"/>
      <c r="CH25" s="118"/>
      <c r="CI25" s="118"/>
      <c r="CJ25" s="118"/>
      <c r="CK25" s="118"/>
      <c r="CL25" s="118"/>
      <c r="CM25" s="118"/>
      <c r="CN25" s="118"/>
      <c r="CO25" s="118"/>
      <c r="CP25" s="118"/>
      <c r="CQ25" s="118"/>
      <c r="CR25" s="118"/>
      <c r="CS25" s="118"/>
      <c r="CT25" s="118"/>
      <c r="CU25" s="118"/>
      <c r="CV25" s="118"/>
      <c r="CW25" s="118"/>
      <c r="CX25" s="118"/>
      <c r="CY25" s="118"/>
      <c r="CZ25" s="118"/>
      <c r="DA25" s="118"/>
      <c r="DB25" s="118"/>
      <c r="DC25" s="118"/>
      <c r="DD25" s="118"/>
      <c r="DE25" s="118"/>
      <c r="DF25" s="118"/>
      <c r="DG25" s="118"/>
      <c r="DH25" s="118"/>
      <c r="DI25" s="118"/>
      <c r="DJ25" s="118"/>
      <c r="DK25" s="118"/>
      <c r="DL25" s="118"/>
      <c r="DM25" s="118"/>
      <c r="DN25" s="118"/>
      <c r="DO25" s="118"/>
      <c r="DP25" s="118"/>
      <c r="DQ25" s="118"/>
      <c r="DR25" s="118"/>
      <c r="DS25" s="118"/>
      <c r="DT25" s="118"/>
      <c r="DU25" s="118"/>
      <c r="DV25" s="118"/>
      <c r="DW25" s="118"/>
      <c r="DX25" s="118"/>
      <c r="DY25" s="118"/>
      <c r="DZ25" s="118"/>
      <c r="EA25" s="118"/>
      <c r="EB25" s="118"/>
      <c r="EC25" s="118"/>
      <c r="ED25" s="118"/>
      <c r="EE25" s="118"/>
      <c r="EF25" s="118"/>
      <c r="EG25" s="118"/>
      <c r="EH25" s="118"/>
      <c r="EI25" s="118"/>
      <c r="EJ25" s="118"/>
      <c r="EK25" s="118"/>
      <c r="EL25" s="118"/>
      <c r="EM25" s="118"/>
      <c r="EN25" s="118"/>
      <c r="EO25" s="118"/>
      <c r="EP25" s="118"/>
      <c r="EQ25" s="118"/>
      <c r="ER25" s="118"/>
      <c r="ES25" s="118"/>
      <c r="ET25" s="118"/>
      <c r="EU25" s="118"/>
      <c r="EV25" s="118"/>
      <c r="EW25" s="118"/>
      <c r="EX25" s="118"/>
      <c r="EY25" s="118"/>
      <c r="EZ25" s="118"/>
      <c r="FA25" s="118"/>
      <c r="FB25" s="118"/>
      <c r="FC25" s="118"/>
      <c r="FD25" s="118"/>
      <c r="FE25" s="118"/>
      <c r="FF25" s="118"/>
      <c r="FG25" s="118"/>
      <c r="FH25" s="118"/>
      <c r="FI25" s="118"/>
      <c r="FJ25" s="118"/>
      <c r="FK25" s="118"/>
      <c r="FL25" s="118"/>
      <c r="FM25" s="118"/>
      <c r="FN25" s="118"/>
      <c r="FO25" s="118"/>
      <c r="FP25" s="118"/>
      <c r="FQ25" s="118"/>
      <c r="FR25" s="118"/>
      <c r="FS25" s="118"/>
      <c r="FT25" s="118"/>
      <c r="FU25" s="118"/>
      <c r="FV25" s="118"/>
      <c r="FW25" s="118"/>
      <c r="FX25" s="118"/>
      <c r="FY25" s="118"/>
      <c r="FZ25" s="118"/>
      <c r="GA25" s="118"/>
      <c r="GB25" s="118"/>
      <c r="GC25" s="118"/>
      <c r="GD25" s="118"/>
      <c r="GE25" s="118"/>
      <c r="GF25" s="118"/>
      <c r="GG25" s="118"/>
      <c r="GH25" s="118"/>
      <c r="GI25" s="118"/>
      <c r="GJ25" s="118"/>
      <c r="GK25" s="118"/>
      <c r="GL25" s="118"/>
      <c r="GM25" s="118"/>
      <c r="GN25" s="118"/>
      <c r="GO25" s="118"/>
      <c r="GP25" s="118"/>
      <c r="GQ25" s="118"/>
      <c r="GR25" s="118"/>
      <c r="GS25" s="118"/>
      <c r="GT25" s="118"/>
      <c r="GU25" s="118"/>
      <c r="GV25" s="118"/>
      <c r="GW25" s="118"/>
      <c r="GX25" s="118"/>
      <c r="GY25" s="118"/>
      <c r="GZ25" s="118"/>
      <c r="HA25" s="118"/>
      <c r="HB25" s="118"/>
      <c r="HC25" s="118"/>
      <c r="HD25" s="118"/>
      <c r="HE25" s="118"/>
      <c r="HF25" s="118"/>
      <c r="HG25" s="118"/>
      <c r="HH25" s="118"/>
      <c r="HI25" s="118"/>
      <c r="HJ25" s="118"/>
      <c r="HK25" s="118"/>
      <c r="HL25" s="118"/>
      <c r="HM25" s="118"/>
      <c r="HN25" s="118"/>
      <c r="HO25" s="118"/>
      <c r="HP25" s="118"/>
      <c r="HQ25" s="118"/>
      <c r="HR25" s="118"/>
      <c r="HS25" s="118"/>
      <c r="HT25" s="118"/>
      <c r="HU25" s="118"/>
      <c r="HV25" s="118"/>
      <c r="HW25" s="118"/>
      <c r="HX25" s="118"/>
      <c r="HY25" s="118"/>
      <c r="HZ25" s="118"/>
      <c r="IA25" s="118"/>
      <c r="IB25" s="118"/>
      <c r="IC25" s="118"/>
      <c r="ID25" s="118"/>
      <c r="IE25" s="118"/>
      <c r="IF25" s="118"/>
      <c r="IG25" s="118"/>
      <c r="IH25" s="118"/>
      <c r="II25" s="118"/>
      <c r="IJ25" s="118"/>
      <c r="IK25" s="118"/>
      <c r="IL25" s="118"/>
      <c r="IM25" s="118"/>
      <c r="IN25" s="118"/>
      <c r="IO25" s="118"/>
      <c r="IP25" s="118"/>
      <c r="IQ25" s="118"/>
      <c r="IR25" s="118"/>
      <c r="IS25" s="118"/>
      <c r="IT25" s="118"/>
      <c r="IU25" s="118"/>
      <c r="IV25" s="118"/>
      <c r="IW25" s="118"/>
    </row>
    <row r="27" customFormat="false" ht="12.75" hidden="false" customHeight="false" outlineLevel="0" collapsed="false">
      <c r="A27" s="209" t="s">
        <v>794</v>
      </c>
      <c r="F27" s="218" t="n">
        <f aca="false">('Updated Final List'!BL254+'Updated Final List'!BM254+'Updated Final List'!BN254)/1000</f>
        <v>5276.199</v>
      </c>
    </row>
    <row r="29" customFormat="false" ht="12.75" hidden="false" customHeight="false" outlineLevel="0" collapsed="false">
      <c r="A29" s="209" t="s">
        <v>795</v>
      </c>
      <c r="B29" s="229" t="n">
        <f aca="false">SUM(B16:B20)</f>
        <v>33450</v>
      </c>
      <c r="C29" s="229" t="n">
        <f aca="false">SUM(C16:C20)</f>
        <v>55225</v>
      </c>
      <c r="D29" s="229" t="n">
        <f aca="false">SUM(D16:D20)</f>
        <v>40452</v>
      </c>
      <c r="E29" s="229" t="n">
        <f aca="false">SUM(E16:E20)</f>
        <v>3030</v>
      </c>
      <c r="F29" s="229" t="n">
        <f aca="false">SUM(F19:F20)+F16+F25+F27</f>
        <v>144117.364233</v>
      </c>
    </row>
    <row r="30" customFormat="false" ht="12.75" hidden="false" customHeight="false" outlineLevel="0" collapsed="false">
      <c r="B30" s="230"/>
      <c r="C30" s="230"/>
      <c r="D30" s="230"/>
      <c r="E30" s="230"/>
      <c r="F30" s="230"/>
    </row>
    <row r="31" customFormat="false" ht="18" hidden="false" customHeight="false" outlineLevel="0" collapsed="false">
      <c r="A31" s="212" t="s">
        <v>796</v>
      </c>
      <c r="B31" s="230"/>
      <c r="C31" s="230"/>
      <c r="D31" s="230"/>
      <c r="E31" s="230"/>
      <c r="F31" s="230"/>
    </row>
    <row r="32" customFormat="false" ht="12.75" hidden="false" customHeight="false" outlineLevel="0" collapsed="false">
      <c r="A32" s="118"/>
      <c r="B32" s="230"/>
      <c r="C32" s="230"/>
      <c r="D32" s="230"/>
      <c r="E32" s="230"/>
      <c r="F32" s="230"/>
    </row>
    <row r="33" customFormat="false" ht="12.75" hidden="false" customHeight="false" outlineLevel="0" collapsed="false">
      <c r="A33" s="118"/>
      <c r="B33" s="213" t="s">
        <v>775</v>
      </c>
      <c r="C33" s="213" t="s">
        <v>776</v>
      </c>
      <c r="D33" s="213"/>
      <c r="E33" s="213"/>
      <c r="F33" s="213"/>
      <c r="G33" s="214" t="s">
        <v>777</v>
      </c>
      <c r="H33" s="227"/>
      <c r="I33" s="118"/>
      <c r="J33" s="118"/>
      <c r="K33" s="118"/>
      <c r="L33" s="118"/>
      <c r="M33" s="118"/>
      <c r="N33" s="118"/>
      <c r="O33" s="118"/>
      <c r="P33" s="118"/>
      <c r="Q33" s="118"/>
      <c r="R33" s="118"/>
      <c r="S33" s="118"/>
      <c r="T33" s="118"/>
      <c r="U33" s="118"/>
      <c r="V33" s="118"/>
      <c r="W33" s="118"/>
      <c r="X33" s="118"/>
      <c r="Y33" s="118"/>
      <c r="Z33" s="118"/>
      <c r="AA33" s="118"/>
      <c r="AB33" s="118"/>
      <c r="AC33" s="118"/>
      <c r="AD33" s="118"/>
      <c r="AE33" s="118"/>
      <c r="AF33" s="118"/>
      <c r="AG33" s="118"/>
      <c r="AH33" s="118"/>
      <c r="AI33" s="118"/>
      <c r="AJ33" s="118"/>
      <c r="AK33" s="118"/>
      <c r="AL33" s="118"/>
      <c r="AM33" s="118"/>
      <c r="AN33" s="118"/>
      <c r="AO33" s="118"/>
      <c r="AP33" s="118"/>
      <c r="AQ33" s="118"/>
      <c r="AR33" s="118"/>
      <c r="AS33" s="118"/>
      <c r="AT33" s="118"/>
      <c r="AU33" s="118"/>
      <c r="AV33" s="118"/>
      <c r="AW33" s="118"/>
      <c r="AX33" s="118"/>
      <c r="AY33" s="118"/>
      <c r="AZ33" s="118"/>
      <c r="BA33" s="118"/>
      <c r="BB33" s="118"/>
      <c r="BC33" s="118"/>
      <c r="BD33" s="118"/>
      <c r="BE33" s="118"/>
      <c r="BF33" s="118"/>
      <c r="BG33" s="118"/>
      <c r="BH33" s="118"/>
      <c r="BI33" s="118"/>
      <c r="BJ33" s="118"/>
      <c r="BK33" s="118"/>
      <c r="BL33" s="118"/>
      <c r="BM33" s="118"/>
      <c r="BN33" s="118"/>
      <c r="BO33" s="118"/>
      <c r="BP33" s="118"/>
      <c r="BQ33" s="118"/>
      <c r="BR33" s="118"/>
      <c r="BS33" s="118"/>
      <c r="BT33" s="118"/>
      <c r="BU33" s="118"/>
      <c r="BV33" s="118"/>
      <c r="BW33" s="118"/>
      <c r="BX33" s="118"/>
      <c r="BY33" s="118"/>
      <c r="BZ33" s="118"/>
      <c r="CA33" s="118"/>
      <c r="CB33" s="118"/>
      <c r="CC33" s="118"/>
      <c r="CD33" s="118"/>
      <c r="CE33" s="118"/>
      <c r="CF33" s="118"/>
      <c r="CG33" s="118"/>
      <c r="CH33" s="118"/>
      <c r="CI33" s="118"/>
      <c r="CJ33" s="118"/>
      <c r="CK33" s="118"/>
      <c r="CL33" s="118"/>
      <c r="CM33" s="118"/>
      <c r="CN33" s="118"/>
      <c r="CO33" s="118"/>
      <c r="CP33" s="118"/>
      <c r="CQ33" s="118"/>
      <c r="CR33" s="118"/>
      <c r="CS33" s="118"/>
      <c r="CT33" s="118"/>
      <c r="CU33" s="118"/>
      <c r="CV33" s="118"/>
      <c r="CW33" s="118"/>
      <c r="CX33" s="118"/>
      <c r="CY33" s="118"/>
      <c r="CZ33" s="118"/>
      <c r="DA33" s="118"/>
      <c r="DB33" s="118"/>
      <c r="DC33" s="118"/>
      <c r="DD33" s="118"/>
      <c r="DE33" s="118"/>
      <c r="DF33" s="118"/>
      <c r="DG33" s="118"/>
      <c r="DH33" s="118"/>
      <c r="DI33" s="118"/>
      <c r="DJ33" s="118"/>
      <c r="DK33" s="118"/>
      <c r="DL33" s="118"/>
      <c r="DM33" s="118"/>
      <c r="DN33" s="118"/>
      <c r="DO33" s="118"/>
      <c r="DP33" s="118"/>
      <c r="DQ33" s="118"/>
      <c r="DR33" s="118"/>
      <c r="DS33" s="118"/>
      <c r="DT33" s="118"/>
      <c r="DU33" s="118"/>
      <c r="DV33" s="118"/>
      <c r="DW33" s="118"/>
      <c r="DX33" s="118"/>
      <c r="DY33" s="118"/>
      <c r="DZ33" s="118"/>
      <c r="EA33" s="118"/>
      <c r="EB33" s="118"/>
      <c r="EC33" s="118"/>
      <c r="ED33" s="118"/>
      <c r="EE33" s="118"/>
      <c r="EF33" s="118"/>
      <c r="EG33" s="118"/>
      <c r="EH33" s="118"/>
      <c r="EI33" s="118"/>
      <c r="EJ33" s="118"/>
      <c r="EK33" s="118"/>
      <c r="EL33" s="118"/>
      <c r="EM33" s="118"/>
      <c r="EN33" s="118"/>
      <c r="EO33" s="118"/>
      <c r="EP33" s="118"/>
      <c r="EQ33" s="118"/>
      <c r="ER33" s="118"/>
      <c r="ES33" s="118"/>
      <c r="ET33" s="118"/>
      <c r="EU33" s="118"/>
      <c r="EV33" s="118"/>
      <c r="EW33" s="118"/>
      <c r="EX33" s="118"/>
      <c r="EY33" s="118"/>
      <c r="EZ33" s="118"/>
      <c r="FA33" s="118"/>
      <c r="FB33" s="118"/>
      <c r="FC33" s="118"/>
      <c r="FD33" s="118"/>
      <c r="FE33" s="118"/>
      <c r="FF33" s="118"/>
      <c r="FG33" s="118"/>
      <c r="FH33" s="118"/>
      <c r="FI33" s="118"/>
      <c r="FJ33" s="118"/>
      <c r="FK33" s="118"/>
      <c r="FL33" s="118"/>
      <c r="FM33" s="118"/>
      <c r="FN33" s="118"/>
      <c r="FO33" s="118"/>
      <c r="FP33" s="118"/>
      <c r="FQ33" s="118"/>
      <c r="FR33" s="118"/>
      <c r="FS33" s="118"/>
      <c r="FT33" s="118"/>
      <c r="FU33" s="118"/>
      <c r="FV33" s="118"/>
      <c r="FW33" s="118"/>
      <c r="FX33" s="118"/>
      <c r="FY33" s="118"/>
      <c r="FZ33" s="118"/>
      <c r="GA33" s="118"/>
      <c r="GB33" s="118"/>
      <c r="GC33" s="118"/>
      <c r="GD33" s="118"/>
      <c r="GE33" s="118"/>
      <c r="GF33" s="118"/>
      <c r="GG33" s="118"/>
      <c r="GH33" s="118"/>
      <c r="GI33" s="118"/>
      <c r="GJ33" s="118"/>
      <c r="GK33" s="118"/>
      <c r="GL33" s="118"/>
      <c r="GM33" s="118"/>
      <c r="GN33" s="118"/>
      <c r="GO33" s="118"/>
      <c r="GP33" s="118"/>
      <c r="GQ33" s="118"/>
      <c r="GR33" s="118"/>
      <c r="GS33" s="118"/>
      <c r="GT33" s="118"/>
      <c r="GU33" s="118"/>
      <c r="GV33" s="118"/>
      <c r="GW33" s="118"/>
      <c r="GX33" s="118"/>
      <c r="GY33" s="118"/>
      <c r="GZ33" s="118"/>
      <c r="HA33" s="118"/>
      <c r="HB33" s="118"/>
      <c r="HC33" s="118"/>
      <c r="HD33" s="118"/>
      <c r="HE33" s="118"/>
      <c r="HF33" s="118"/>
      <c r="HG33" s="118"/>
      <c r="HH33" s="118"/>
      <c r="HI33" s="118"/>
      <c r="HJ33" s="118"/>
      <c r="HK33" s="118"/>
      <c r="HL33" s="118"/>
      <c r="HM33" s="118"/>
      <c r="HN33" s="118"/>
      <c r="HO33" s="118"/>
      <c r="HP33" s="118"/>
      <c r="HQ33" s="118"/>
      <c r="HR33" s="118"/>
      <c r="HS33" s="118"/>
      <c r="HT33" s="118"/>
      <c r="HU33" s="118"/>
      <c r="HV33" s="118"/>
      <c r="HW33" s="118"/>
      <c r="HX33" s="118"/>
      <c r="HY33" s="118"/>
      <c r="HZ33" s="118"/>
      <c r="IA33" s="118"/>
      <c r="IB33" s="118"/>
      <c r="IC33" s="118"/>
      <c r="ID33" s="118"/>
      <c r="IE33" s="118"/>
      <c r="IF33" s="118"/>
      <c r="IG33" s="118"/>
      <c r="IH33" s="118"/>
      <c r="II33" s="118"/>
      <c r="IJ33" s="118"/>
      <c r="IK33" s="118"/>
      <c r="IL33" s="118"/>
      <c r="IM33" s="118"/>
      <c r="IN33" s="118"/>
      <c r="IO33" s="118"/>
      <c r="IP33" s="118"/>
      <c r="IQ33" s="118"/>
      <c r="IR33" s="118"/>
      <c r="IS33" s="118"/>
      <c r="IT33" s="118"/>
      <c r="IU33" s="118"/>
      <c r="IV33" s="118"/>
      <c r="IW33" s="118"/>
    </row>
    <row r="34" customFormat="false" ht="12.75" hidden="false" customHeight="false" outlineLevel="0" collapsed="false">
      <c r="A34" s="118"/>
      <c r="B34" s="215" t="s">
        <v>778</v>
      </c>
      <c r="C34" s="215" t="s">
        <v>779</v>
      </c>
      <c r="D34" s="215" t="s">
        <v>780</v>
      </c>
      <c r="E34" s="215" t="s">
        <v>781</v>
      </c>
      <c r="F34" s="215" t="s">
        <v>782</v>
      </c>
      <c r="G34" s="216" t="s">
        <v>776</v>
      </c>
      <c r="H34" s="227"/>
      <c r="I34" s="118"/>
      <c r="J34" s="118"/>
      <c r="K34" s="118"/>
      <c r="L34" s="118"/>
      <c r="M34" s="118"/>
      <c r="N34" s="118"/>
      <c r="O34" s="118"/>
      <c r="P34" s="118"/>
      <c r="Q34" s="118"/>
      <c r="R34" s="118"/>
      <c r="S34" s="118"/>
      <c r="T34" s="118"/>
      <c r="U34" s="118"/>
      <c r="V34" s="118"/>
      <c r="W34" s="118"/>
      <c r="X34" s="118"/>
      <c r="Y34" s="118"/>
      <c r="Z34" s="118"/>
      <c r="AA34" s="118"/>
      <c r="AB34" s="118"/>
      <c r="AC34" s="118"/>
      <c r="AD34" s="118"/>
      <c r="AE34" s="118"/>
      <c r="AF34" s="118"/>
      <c r="AG34" s="118"/>
      <c r="AH34" s="118"/>
      <c r="AI34" s="118"/>
      <c r="AJ34" s="118"/>
      <c r="AK34" s="118"/>
      <c r="AL34" s="118"/>
      <c r="AM34" s="118"/>
      <c r="AN34" s="118"/>
      <c r="AO34" s="118"/>
      <c r="AP34" s="118"/>
      <c r="AQ34" s="118"/>
      <c r="AR34" s="118"/>
      <c r="AS34" s="118"/>
      <c r="AT34" s="118"/>
      <c r="AU34" s="118"/>
      <c r="AV34" s="118"/>
      <c r="AW34" s="118"/>
      <c r="AX34" s="118"/>
      <c r="AY34" s="118"/>
      <c r="AZ34" s="118"/>
      <c r="BA34" s="118"/>
      <c r="BB34" s="118"/>
      <c r="BC34" s="118"/>
      <c r="BD34" s="118"/>
      <c r="BE34" s="118"/>
      <c r="BF34" s="118"/>
      <c r="BG34" s="118"/>
      <c r="BH34" s="118"/>
      <c r="BI34" s="118"/>
      <c r="BJ34" s="118"/>
      <c r="BK34" s="118"/>
      <c r="BL34" s="118"/>
      <c r="BM34" s="118"/>
      <c r="BN34" s="118"/>
      <c r="BO34" s="118"/>
      <c r="BP34" s="118"/>
      <c r="BQ34" s="118"/>
      <c r="BR34" s="118"/>
      <c r="BS34" s="118"/>
      <c r="BT34" s="118"/>
      <c r="BU34" s="118"/>
      <c r="BV34" s="118"/>
      <c r="BW34" s="118"/>
      <c r="BX34" s="118"/>
      <c r="BY34" s="118"/>
      <c r="BZ34" s="118"/>
      <c r="CA34" s="118"/>
      <c r="CB34" s="118"/>
      <c r="CC34" s="118"/>
      <c r="CD34" s="118"/>
      <c r="CE34" s="118"/>
      <c r="CF34" s="118"/>
      <c r="CG34" s="118"/>
      <c r="CH34" s="118"/>
      <c r="CI34" s="118"/>
      <c r="CJ34" s="118"/>
      <c r="CK34" s="118"/>
      <c r="CL34" s="118"/>
      <c r="CM34" s="118"/>
      <c r="CN34" s="118"/>
      <c r="CO34" s="118"/>
      <c r="CP34" s="118"/>
      <c r="CQ34" s="118"/>
      <c r="CR34" s="118"/>
      <c r="CS34" s="118"/>
      <c r="CT34" s="118"/>
      <c r="CU34" s="118"/>
      <c r="CV34" s="118"/>
      <c r="CW34" s="118"/>
      <c r="CX34" s="118"/>
      <c r="CY34" s="118"/>
      <c r="CZ34" s="118"/>
      <c r="DA34" s="118"/>
      <c r="DB34" s="118"/>
      <c r="DC34" s="118"/>
      <c r="DD34" s="118"/>
      <c r="DE34" s="118"/>
      <c r="DF34" s="118"/>
      <c r="DG34" s="118"/>
      <c r="DH34" s="118"/>
      <c r="DI34" s="118"/>
      <c r="DJ34" s="118"/>
      <c r="DK34" s="118"/>
      <c r="DL34" s="118"/>
      <c r="DM34" s="118"/>
      <c r="DN34" s="118"/>
      <c r="DO34" s="118"/>
      <c r="DP34" s="118"/>
      <c r="DQ34" s="118"/>
      <c r="DR34" s="118"/>
      <c r="DS34" s="118"/>
      <c r="DT34" s="118"/>
      <c r="DU34" s="118"/>
      <c r="DV34" s="118"/>
      <c r="DW34" s="118"/>
      <c r="DX34" s="118"/>
      <c r="DY34" s="118"/>
      <c r="DZ34" s="118"/>
      <c r="EA34" s="118"/>
      <c r="EB34" s="118"/>
      <c r="EC34" s="118"/>
      <c r="ED34" s="118"/>
      <c r="EE34" s="118"/>
      <c r="EF34" s="118"/>
      <c r="EG34" s="118"/>
      <c r="EH34" s="118"/>
      <c r="EI34" s="118"/>
      <c r="EJ34" s="118"/>
      <c r="EK34" s="118"/>
      <c r="EL34" s="118"/>
      <c r="EM34" s="118"/>
      <c r="EN34" s="118"/>
      <c r="EO34" s="118"/>
      <c r="EP34" s="118"/>
      <c r="EQ34" s="118"/>
      <c r="ER34" s="118"/>
      <c r="ES34" s="118"/>
      <c r="ET34" s="118"/>
      <c r="EU34" s="118"/>
      <c r="EV34" s="118"/>
      <c r="EW34" s="118"/>
      <c r="EX34" s="118"/>
      <c r="EY34" s="118"/>
      <c r="EZ34" s="118"/>
      <c r="FA34" s="118"/>
      <c r="FB34" s="118"/>
      <c r="FC34" s="118"/>
      <c r="FD34" s="118"/>
      <c r="FE34" s="118"/>
      <c r="FF34" s="118"/>
      <c r="FG34" s="118"/>
      <c r="FH34" s="118"/>
      <c r="FI34" s="118"/>
      <c r="FJ34" s="118"/>
      <c r="FK34" s="118"/>
      <c r="FL34" s="118"/>
      <c r="FM34" s="118"/>
      <c r="FN34" s="118"/>
      <c r="FO34" s="118"/>
      <c r="FP34" s="118"/>
      <c r="FQ34" s="118"/>
      <c r="FR34" s="118"/>
      <c r="FS34" s="118"/>
      <c r="FT34" s="118"/>
      <c r="FU34" s="118"/>
      <c r="FV34" s="118"/>
      <c r="FW34" s="118"/>
      <c r="FX34" s="118"/>
      <c r="FY34" s="118"/>
      <c r="FZ34" s="118"/>
      <c r="GA34" s="118"/>
      <c r="GB34" s="118"/>
      <c r="GC34" s="118"/>
      <c r="GD34" s="118"/>
      <c r="GE34" s="118"/>
      <c r="GF34" s="118"/>
      <c r="GG34" s="118"/>
      <c r="GH34" s="118"/>
      <c r="GI34" s="118"/>
      <c r="GJ34" s="118"/>
      <c r="GK34" s="118"/>
      <c r="GL34" s="118"/>
      <c r="GM34" s="118"/>
      <c r="GN34" s="118"/>
      <c r="GO34" s="118"/>
      <c r="GP34" s="118"/>
      <c r="GQ34" s="118"/>
      <c r="GR34" s="118"/>
      <c r="GS34" s="118"/>
      <c r="GT34" s="118"/>
      <c r="GU34" s="118"/>
      <c r="GV34" s="118"/>
      <c r="GW34" s="118"/>
      <c r="GX34" s="118"/>
      <c r="GY34" s="118"/>
      <c r="GZ34" s="118"/>
      <c r="HA34" s="118"/>
      <c r="HB34" s="118"/>
      <c r="HC34" s="118"/>
      <c r="HD34" s="118"/>
      <c r="HE34" s="118"/>
      <c r="HF34" s="118"/>
      <c r="HG34" s="118"/>
      <c r="HH34" s="118"/>
      <c r="HI34" s="118"/>
      <c r="HJ34" s="118"/>
      <c r="HK34" s="118"/>
      <c r="HL34" s="118"/>
      <c r="HM34" s="118"/>
      <c r="HN34" s="118"/>
      <c r="HO34" s="118"/>
      <c r="HP34" s="118"/>
      <c r="HQ34" s="118"/>
      <c r="HR34" s="118"/>
      <c r="HS34" s="118"/>
      <c r="HT34" s="118"/>
      <c r="HU34" s="118"/>
      <c r="HV34" s="118"/>
      <c r="HW34" s="118"/>
      <c r="HX34" s="118"/>
      <c r="HY34" s="118"/>
      <c r="HZ34" s="118"/>
      <c r="IA34" s="118"/>
      <c r="IB34" s="118"/>
      <c r="IC34" s="118"/>
      <c r="ID34" s="118"/>
      <c r="IE34" s="118"/>
      <c r="IF34" s="118"/>
      <c r="IG34" s="118"/>
      <c r="IH34" s="118"/>
      <c r="II34" s="118"/>
      <c r="IJ34" s="118"/>
      <c r="IK34" s="118"/>
      <c r="IL34" s="118"/>
      <c r="IM34" s="118"/>
      <c r="IN34" s="118"/>
      <c r="IO34" s="118"/>
      <c r="IP34" s="118"/>
      <c r="IQ34" s="118"/>
      <c r="IR34" s="118"/>
      <c r="IS34" s="118"/>
      <c r="IT34" s="118"/>
      <c r="IU34" s="118"/>
      <c r="IV34" s="118"/>
      <c r="IW34" s="118"/>
    </row>
    <row r="35" customFormat="false" ht="12.75" hidden="false" customHeight="false" outlineLevel="0" collapsed="false">
      <c r="A35" s="209" t="s">
        <v>783</v>
      </c>
      <c r="B35" s="231" t="n">
        <f aca="false">'Updated Final List'!AR255</f>
        <v>16777</v>
      </c>
      <c r="C35" s="217" t="n">
        <f aca="false">'Updated Final List'!AS255</f>
        <v>34563</v>
      </c>
      <c r="D35" s="231" t="n">
        <f aca="false">'Updated Final List'!AT255</f>
        <v>23212</v>
      </c>
      <c r="E35" s="231" t="n">
        <f aca="false">'Updated Final List'!AU255</f>
        <v>1954</v>
      </c>
      <c r="F35" s="218" t="n">
        <f aca="false">SUM(B35:E35)</f>
        <v>76506</v>
      </c>
    </row>
    <row r="36" customFormat="false" ht="12.75" hidden="false" customHeight="false" outlineLevel="0" collapsed="false">
      <c r="A36" s="209" t="s">
        <v>784</v>
      </c>
      <c r="B36" s="231" t="n">
        <f aca="false">'Updated Final List'!AV255</f>
        <v>466</v>
      </c>
      <c r="C36" s="217" t="n">
        <f aca="false">'Updated Final List'!AW255</f>
        <v>523</v>
      </c>
      <c r="D36" s="231" t="n">
        <f aca="false">'Updated Final List'!AX255</f>
        <v>845</v>
      </c>
      <c r="E36" s="231" t="n">
        <f aca="false">'Updated Final List'!AY255</f>
        <v>175</v>
      </c>
      <c r="F36" s="218" t="n">
        <f aca="false">SUM(B36:E36)</f>
        <v>2009</v>
      </c>
    </row>
    <row r="37" customFormat="false" ht="12.75" hidden="false" customHeight="false" outlineLevel="0" collapsed="false">
      <c r="A37" s="209" t="s">
        <v>785</v>
      </c>
      <c r="B37" s="231" t="n">
        <f aca="false">'Updated Final List'!AZ255</f>
        <v>748</v>
      </c>
      <c r="C37" s="217" t="n">
        <f aca="false">'Updated Final List'!BA255</f>
        <v>2348</v>
      </c>
      <c r="D37" s="217" t="n">
        <f aca="false">'Updated Final List'!BB255</f>
        <v>4762</v>
      </c>
      <c r="E37" s="217" t="n">
        <f aca="false">'Updated Final List'!BC255</f>
        <v>421</v>
      </c>
      <c r="F37" s="218" t="n">
        <f aca="false">SUM(B37:E37)</f>
        <v>8279</v>
      </c>
    </row>
    <row r="38" customFormat="false" ht="12.75" hidden="false" customHeight="false" outlineLevel="0" collapsed="false">
      <c r="B38" s="230"/>
      <c r="C38" s="230"/>
      <c r="D38" s="230"/>
      <c r="E38" s="230"/>
      <c r="F38" s="232"/>
    </row>
    <row r="39" customFormat="false" ht="12.75" hidden="false" customHeight="false" outlineLevel="0" collapsed="false">
      <c r="A39" s="209" t="s">
        <v>786</v>
      </c>
      <c r="B39" s="217" t="n">
        <f aca="false">SUM(B35:B37)</f>
        <v>17991</v>
      </c>
      <c r="C39" s="217" t="n">
        <f aca="false">SUM(C35:C37)</f>
        <v>37434</v>
      </c>
      <c r="D39" s="217" t="n">
        <f aca="false">SUM(D35:D37)</f>
        <v>28819</v>
      </c>
      <c r="E39" s="217" t="n">
        <f aca="false">SUM(E35:E37)</f>
        <v>2550</v>
      </c>
      <c r="F39" s="218" t="n">
        <f aca="false">SUM(B39:E39)</f>
        <v>86794</v>
      </c>
    </row>
    <row r="40" customFormat="false" ht="12.75" hidden="false" customHeight="false" outlineLevel="0" collapsed="false">
      <c r="B40" s="230"/>
      <c r="C40" s="230"/>
      <c r="D40" s="230"/>
      <c r="E40" s="230"/>
    </row>
    <row r="41" customFormat="false" ht="12.75" hidden="false" customHeight="false" outlineLevel="0" collapsed="false">
      <c r="A41" s="233" t="s">
        <v>787</v>
      </c>
      <c r="B41" s="230"/>
      <c r="C41" s="230"/>
      <c r="D41" s="230"/>
      <c r="E41" s="230"/>
    </row>
    <row r="42" customFormat="false" ht="12.75" hidden="false" customHeight="false" outlineLevel="0" collapsed="false">
      <c r="A42" s="209" t="s">
        <v>788</v>
      </c>
      <c r="B42" s="231" t="n">
        <f aca="false">'Updated Final List'!BD255</f>
        <v>1915</v>
      </c>
      <c r="C42" s="217" t="n">
        <f aca="false">'Updated Final List'!BE255</f>
        <v>23</v>
      </c>
      <c r="D42" s="217" t="n">
        <f aca="false">'Updated Final List'!BF255</f>
        <v>0</v>
      </c>
      <c r="E42" s="217" t="n">
        <f aca="false">'Updated Final List'!BG255</f>
        <v>0</v>
      </c>
      <c r="F42" s="218" t="n">
        <f aca="false">SUM(B42:E42)</f>
        <v>1938</v>
      </c>
    </row>
    <row r="43" customFormat="false" ht="12.75" hidden="false" customHeight="false" outlineLevel="0" collapsed="false">
      <c r="A43" s="209" t="s">
        <v>789</v>
      </c>
      <c r="B43" s="231" t="n">
        <f aca="false">'Updated Final List'!BH255</f>
        <v>3526</v>
      </c>
      <c r="C43" s="217" t="n">
        <f aca="false">'Updated Final List'!BI255</f>
        <v>43</v>
      </c>
      <c r="D43" s="217" t="n">
        <f aca="false">'Updated Final List'!BJ255</f>
        <v>0</v>
      </c>
      <c r="E43" s="217" t="n">
        <f aca="false">'Updated Final List'!BK255</f>
        <v>0</v>
      </c>
      <c r="F43" s="218" t="n">
        <f aca="false">SUM(B43:E43)</f>
        <v>3569</v>
      </c>
    </row>
    <row r="44" customFormat="false" ht="12.75" hidden="false" customHeight="false" outlineLevel="0" collapsed="false">
      <c r="A44" s="209" t="s">
        <v>790</v>
      </c>
      <c r="B44" s="230"/>
      <c r="C44" s="230"/>
      <c r="D44" s="230"/>
      <c r="E44" s="230"/>
      <c r="F44" s="230"/>
    </row>
    <row r="45" customFormat="false" ht="12.75" hidden="false" customHeight="false" outlineLevel="0" collapsed="false">
      <c r="B45" s="230"/>
      <c r="C45" s="230"/>
      <c r="D45" s="230"/>
      <c r="E45" s="230"/>
      <c r="F45" s="230"/>
    </row>
    <row r="46" customFormat="false" ht="12.75" hidden="false" customHeight="false" outlineLevel="0" collapsed="false">
      <c r="A46" s="118" t="s">
        <v>665</v>
      </c>
      <c r="B46" s="230"/>
      <c r="C46" s="230"/>
      <c r="D46" s="230"/>
      <c r="E46" s="230"/>
      <c r="F46" s="234" t="n">
        <f aca="false">'Updated Final List'!BO255</f>
        <v>50061.32356</v>
      </c>
    </row>
    <row r="47" customFormat="false" ht="12.75" hidden="false" customHeight="false" outlineLevel="0" collapsed="false">
      <c r="A47" s="118" t="s">
        <v>792</v>
      </c>
      <c r="B47" s="230"/>
      <c r="C47" s="230"/>
      <c r="D47" s="230"/>
      <c r="E47" s="230"/>
      <c r="F47" s="235" t="n">
        <v>0.1</v>
      </c>
    </row>
    <row r="48" customFormat="false" ht="12.75" hidden="false" customHeight="false" outlineLevel="0" collapsed="false">
      <c r="A48" s="118" t="s">
        <v>793</v>
      </c>
      <c r="B48" s="230"/>
      <c r="C48" s="230"/>
      <c r="D48" s="230"/>
      <c r="E48" s="230"/>
      <c r="F48" s="236" t="n">
        <f aca="false">F46*F47</f>
        <v>5006.132356</v>
      </c>
    </row>
    <row r="49" customFormat="false" ht="12.75" hidden="false" customHeight="false" outlineLevel="0" collapsed="false">
      <c r="B49" s="230"/>
      <c r="C49" s="230"/>
      <c r="D49" s="230"/>
      <c r="E49" s="230"/>
      <c r="F49" s="230"/>
    </row>
    <row r="50" customFormat="false" ht="12.75" hidden="false" customHeight="false" outlineLevel="0" collapsed="false">
      <c r="A50" s="209" t="s">
        <v>794</v>
      </c>
      <c r="B50" s="230"/>
      <c r="C50" s="230"/>
      <c r="D50" s="230"/>
      <c r="E50" s="230"/>
      <c r="F50" s="234" t="n">
        <f aca="false">('Updated Final List'!BL255+'Updated Final List'!BM255+'Updated Final List'!BN255)/1000</f>
        <v>3798.248</v>
      </c>
    </row>
    <row r="51" customFormat="false" ht="12.75" hidden="false" customHeight="false" outlineLevel="0" collapsed="false">
      <c r="F51" s="237"/>
    </row>
    <row r="52" customFormat="false" ht="12.75" hidden="false" customHeight="false" outlineLevel="0" collapsed="false">
      <c r="A52" s="209" t="s">
        <v>795</v>
      </c>
      <c r="B52" s="229" t="n">
        <f aca="false">SUM(B39:B43)</f>
        <v>23432</v>
      </c>
      <c r="C52" s="229" t="n">
        <f aca="false">SUM(C39:C43)</f>
        <v>37500</v>
      </c>
      <c r="D52" s="229" t="n">
        <f aca="false">SUM(D39:D43)</f>
        <v>28819</v>
      </c>
      <c r="E52" s="229" t="n">
        <f aca="false">SUM(E39:E43)</f>
        <v>2550</v>
      </c>
      <c r="F52" s="229" t="n">
        <f aca="false">F50+F48+SUM(F39:F43)</f>
        <v>101105.380356</v>
      </c>
    </row>
    <row r="53" customFormat="false" ht="12.75" hidden="false" customHeight="false" outlineLevel="0" collapsed="false">
      <c r="B53" s="230"/>
      <c r="C53" s="230"/>
      <c r="D53" s="230"/>
      <c r="E53" s="230"/>
      <c r="F53" s="230"/>
    </row>
    <row r="55" customFormat="false" ht="12.75" hidden="false" customHeight="false" outlineLevel="0" collapsed="false">
      <c r="I55" s="218"/>
    </row>
    <row r="73" customFormat="false" ht="12.75" hidden="false" customHeight="false" outlineLevel="0" collapsed="false">
      <c r="B73" s="238"/>
    </row>
    <row r="84" customFormat="false" ht="12.75" hidden="false" customHeight="false" outlineLevel="0" collapsed="false">
      <c r="B84" s="238"/>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2:E84"/>
  <sheetViews>
    <sheetView showFormulas="false" showGridLines="true" showRowColHeaders="true" showZeros="true" rightToLeft="false" tabSelected="false" showOutlineSymbols="true" defaultGridColor="true" view="normal" topLeftCell="A34" colorId="64" zoomScale="100" zoomScaleNormal="100" zoomScalePageLayoutView="100" workbookViewId="0">
      <selection pane="topLeft" activeCell="B46" activeCellId="0" sqref="B46"/>
    </sheetView>
  </sheetViews>
  <sheetFormatPr defaultColWidth="7.9921875" defaultRowHeight="12.75" customHeight="true" zeroHeight="false" outlineLevelRow="0" outlineLevelCol="0"/>
  <cols>
    <col collapsed="false" customWidth="true" hidden="false" outlineLevel="0" max="1" min="1" style="1" width="41.42"/>
    <col collapsed="false" customWidth="true" hidden="false" outlineLevel="0" max="2" min="2" style="1" width="16.28"/>
    <col collapsed="false" customWidth="true" hidden="false" outlineLevel="0" max="3" min="3" style="1" width="17.85"/>
    <col collapsed="false" customWidth="true" hidden="false" outlineLevel="0" max="4" min="4" style="1" width="18.85"/>
    <col collapsed="false" customWidth="true" hidden="false" outlineLevel="0" max="5" min="5" style="1" width="15.85"/>
    <col collapsed="false" customWidth="true" hidden="false" outlineLevel="0" max="6" min="6" style="1" width="17.14"/>
    <col collapsed="false" customWidth="false" hidden="false" outlineLevel="0" max="257" min="7" style="1" width="7.99"/>
  </cols>
  <sheetData>
    <row r="2" customFormat="false" ht="20.25" hidden="false" customHeight="false" outlineLevel="0" collapsed="false">
      <c r="A2" s="239" t="s">
        <v>797</v>
      </c>
    </row>
    <row r="3" customFormat="false" ht="12.75" hidden="false" customHeight="false" outlineLevel="0" collapsed="false">
      <c r="A3" s="240"/>
      <c r="B3" s="241" t="s">
        <v>641</v>
      </c>
      <c r="C3" s="241"/>
      <c r="D3" s="242" t="s">
        <v>798</v>
      </c>
    </row>
    <row r="4" customFormat="false" ht="12.75" hidden="false" customHeight="false" outlineLevel="0" collapsed="false">
      <c r="A4" s="243" t="s">
        <v>799</v>
      </c>
      <c r="B4" s="244"/>
      <c r="C4" s="244"/>
      <c r="D4" s="245"/>
    </row>
    <row r="5" customFormat="false" ht="12.75" hidden="false" customHeight="false" outlineLevel="0" collapsed="false">
      <c r="A5" s="246" t="s">
        <v>800</v>
      </c>
      <c r="B5" s="1" t="n">
        <f aca="false">D5-C5</f>
        <v>187</v>
      </c>
      <c r="C5" s="246" t="n">
        <f aca="false">COUNTIF('Updated Final List'!AM2:AM253,"n")</f>
        <v>64</v>
      </c>
      <c r="D5" s="247" t="n">
        <v>251</v>
      </c>
    </row>
    <row r="6" customFormat="false" ht="12.75" hidden="false" customHeight="false" outlineLevel="0" collapsed="false">
      <c r="A6" s="246"/>
      <c r="B6" s="248"/>
      <c r="C6" s="246"/>
      <c r="D6" s="247"/>
    </row>
    <row r="7" customFormat="false" ht="12.75" hidden="false" customHeight="false" outlineLevel="0" collapsed="false">
      <c r="A7" s="246" t="s">
        <v>801</v>
      </c>
      <c r="B7" s="249" t="n">
        <f aca="false">SUMIF('form A info'!$G$7:$G$256,"y",'form A info'!S$7:S$256)</f>
        <v>113684977</v>
      </c>
      <c r="C7" s="249" t="n">
        <f aca="false">SUMIF('form A info'!$G$7:$G$256,"n",'form A info'!S$7:S$256)</f>
        <v>41420271</v>
      </c>
      <c r="D7" s="250" t="n">
        <f aca="false">B7+C7</f>
        <v>155105248</v>
      </c>
    </row>
    <row r="8" customFormat="false" ht="12.75" hidden="false" customHeight="false" outlineLevel="0" collapsed="false">
      <c r="A8" s="247" t="s">
        <v>802</v>
      </c>
      <c r="B8" s="103" t="n">
        <f aca="false">SUMIF('form A info'!$G$7:$G$256,"y",'form A info'!T$7:T$256)</f>
        <v>35645316.3222</v>
      </c>
      <c r="C8" s="250" t="n">
        <f aca="false">SUMIF('form A info'!$G$7:$G$256,"n",'form A info'!T$7:T$256)</f>
        <v>13155216.1058</v>
      </c>
      <c r="D8" s="251" t="n">
        <f aca="false">B8+C8</f>
        <v>48800532.428</v>
      </c>
    </row>
    <row r="9" customFormat="false" ht="12.75" hidden="false" customHeight="false" outlineLevel="0" collapsed="false">
      <c r="A9" s="246" t="s">
        <v>803</v>
      </c>
      <c r="B9" s="249" t="n">
        <f aca="false">SUMIF('form A info'!$G$7:$G$256,"y",'form A info'!$M$7:$M$256)</f>
        <v>13612</v>
      </c>
      <c r="C9" s="249" t="n">
        <f aca="false">SUMIF('form A info'!$G$7:$G$256,"n",'form A info'!$M$7:$M$256)</f>
        <v>5049</v>
      </c>
      <c r="D9" s="250" t="n">
        <f aca="false">B9+C9</f>
        <v>18661</v>
      </c>
    </row>
    <row r="10" customFormat="false" ht="12.75" hidden="false" customHeight="false" outlineLevel="0" collapsed="false">
      <c r="A10" s="246" t="s">
        <v>804</v>
      </c>
      <c r="D10" s="252" t="n">
        <f aca="false">'form A info'!N260</f>
        <v>0.861102222222222</v>
      </c>
    </row>
    <row r="11" customFormat="false" ht="12.75" hidden="false" customHeight="false" outlineLevel="0" collapsed="false">
      <c r="A11" s="246" t="s">
        <v>805</v>
      </c>
      <c r="B11" s="249" t="n">
        <f aca="false">B7*D10</f>
        <v>97894386.3279822</v>
      </c>
      <c r="C11" s="249" t="n">
        <f aca="false">C7*D10</f>
        <v>35667087.4031467</v>
      </c>
      <c r="D11" s="250" t="n">
        <f aca="false">D7*D10</f>
        <v>133561473.731129</v>
      </c>
    </row>
    <row r="12" customFormat="false" ht="12.75" hidden="false" customHeight="false" outlineLevel="0" collapsed="false">
      <c r="A12" s="246"/>
      <c r="B12" s="249"/>
      <c r="C12" s="249"/>
      <c r="D12" s="250"/>
    </row>
    <row r="13" customFormat="false" ht="12.75" hidden="false" customHeight="false" outlineLevel="0" collapsed="false">
      <c r="A13" s="253" t="s">
        <v>806</v>
      </c>
      <c r="B13" s="249"/>
      <c r="C13" s="249"/>
      <c r="D13" s="250"/>
    </row>
    <row r="14" customFormat="false" ht="12.75" hidden="false" customHeight="false" outlineLevel="0" collapsed="false">
      <c r="A14" s="246" t="s">
        <v>807</v>
      </c>
      <c r="B14" s="249" t="n">
        <f aca="false">D14*$B$11/$D$11</f>
        <v>19378447.577136</v>
      </c>
      <c r="C14" s="249" t="n">
        <f aca="false">$D$14*C7/$D$7</f>
        <v>7060392.42286399</v>
      </c>
      <c r="D14" s="250" t="n">
        <f aca="false">SUMIF('form A info'!$K$7:$K$256,"y",'form A info'!$V$7:$V$256)</f>
        <v>26438840</v>
      </c>
      <c r="E14" s="254" t="s">
        <v>808</v>
      </c>
    </row>
    <row r="15" customFormat="false" ht="12.75" hidden="false" customHeight="false" outlineLevel="0" collapsed="false">
      <c r="A15" s="246" t="s">
        <v>809</v>
      </c>
      <c r="B15" s="249" t="n">
        <f aca="false">D15*$B$11/$D$11</f>
        <v>16686824.2718887</v>
      </c>
      <c r="C15" s="250" t="n">
        <f aca="false">D15*C7/D7</f>
        <v>6079719.60508912</v>
      </c>
      <c r="D15" s="250" t="n">
        <f aca="false">D14*D10</f>
        <v>22766543.8769778</v>
      </c>
      <c r="E15" s="1" t="s">
        <v>810</v>
      </c>
    </row>
    <row r="16" customFormat="false" ht="12.75" hidden="false" customHeight="false" outlineLevel="0" collapsed="false">
      <c r="A16" s="246"/>
      <c r="B16" s="249"/>
      <c r="C16" s="250"/>
      <c r="D16" s="250"/>
    </row>
    <row r="17" customFormat="false" ht="12.75" hidden="false" customHeight="false" outlineLevel="0" collapsed="false">
      <c r="A17" s="246" t="s">
        <v>811</v>
      </c>
      <c r="B17" s="249" t="n">
        <f aca="false">D17*$B$11/$D$11</f>
        <v>94306529.422864</v>
      </c>
      <c r="C17" s="250" t="n">
        <f aca="false">D17*C7/D7</f>
        <v>34359878.577136</v>
      </c>
      <c r="D17" s="250" t="n">
        <f aca="false">'form A info'!U257+SUMIF('form A info'!$K$7:$K$256,"",'form A info'!$V$7:$V$256)+SUMIF('form A info'!$K$7:$K$256,"n",'form A info'!$V$7:$V$256)</f>
        <v>128666408</v>
      </c>
      <c r="E17" s="254" t="s">
        <v>812</v>
      </c>
    </row>
    <row r="18" customFormat="false" ht="12.75" hidden="false" customHeight="false" outlineLevel="0" collapsed="false">
      <c r="A18" s="246" t="s">
        <v>813</v>
      </c>
      <c r="B18" s="249" t="n">
        <f aca="false">D18*$B$11/$D$11</f>
        <v>81207562.0560936</v>
      </c>
      <c r="C18" s="249" t="n">
        <f aca="false">D18*C7/D7</f>
        <v>29587367.7980576</v>
      </c>
      <c r="D18" s="250" t="n">
        <f aca="false">D17*D10</f>
        <v>110794929.854151</v>
      </c>
      <c r="E18" s="1" t="s">
        <v>810</v>
      </c>
    </row>
    <row r="19" customFormat="false" ht="12.75" hidden="false" customHeight="false" outlineLevel="0" collapsed="false">
      <c r="A19" s="246"/>
      <c r="B19" s="255"/>
      <c r="C19" s="249"/>
      <c r="D19" s="250"/>
    </row>
    <row r="20" customFormat="false" ht="12.75" hidden="false" customHeight="false" outlineLevel="0" collapsed="false">
      <c r="A20" s="246" t="s">
        <v>814</v>
      </c>
      <c r="B20" s="249" t="n">
        <f aca="false">SUMIF('form A info'!$G$7:$G$256,"y",'form A info'!$Z$7:$Z$256)</f>
        <v>18622539</v>
      </c>
      <c r="C20" s="249" t="n">
        <f aca="false">SUMIF('form A info'!$G$7:$G$256,"n",'form A info'!$Z$7:$Z$256)</f>
        <v>6008119</v>
      </c>
      <c r="D20" s="250" t="n">
        <f aca="false">'form A info'!Z257</f>
        <v>24630658</v>
      </c>
    </row>
    <row r="21" customFormat="false" ht="12.75" hidden="false" customHeight="false" outlineLevel="0" collapsed="false">
      <c r="A21" s="246" t="s">
        <v>815</v>
      </c>
      <c r="B21" s="249" t="n">
        <f aca="false">SUMIF('form A info'!$G$7:$G$256,"y",'form A info'!$AC$7:$AC$256)</f>
        <v>95062438</v>
      </c>
      <c r="C21" s="249" t="n">
        <f aca="false">SUMIF('form A info'!$G$7:$G$256,"n",'form A info'!$AC$7:$AC$256)</f>
        <v>32837627</v>
      </c>
      <c r="D21" s="250" t="n">
        <f aca="false">'form A info'!AC257</f>
        <v>127900065</v>
      </c>
    </row>
    <row r="22" customFormat="false" ht="12.75" hidden="false" customHeight="false" outlineLevel="0" collapsed="false">
      <c r="A22" s="246"/>
      <c r="B22" s="249"/>
      <c r="C22" s="249"/>
      <c r="D22" s="250"/>
    </row>
    <row r="23" customFormat="false" ht="12.75" hidden="false" customHeight="false" outlineLevel="0" collapsed="false">
      <c r="A23" s="246" t="s">
        <v>816</v>
      </c>
      <c r="B23" s="249" t="n">
        <f aca="false">SUMIF('form A info'!$G$7:$G$256,"y",'form A info'!$U$7:$U$256)</f>
        <v>75243159</v>
      </c>
      <c r="C23" s="249" t="n">
        <f aca="false">SUMIF('form A info'!$G$7:$G$256,"n",'form A info'!$U$7:$U$256)</f>
        <v>25545415</v>
      </c>
      <c r="D23" s="250" t="n">
        <f aca="false">'form A info'!U257</f>
        <v>100788574</v>
      </c>
    </row>
    <row r="24" customFormat="false" ht="12.75" hidden="false" customHeight="false" outlineLevel="0" collapsed="false">
      <c r="A24" s="246" t="s">
        <v>817</v>
      </c>
      <c r="B24" s="249" t="n">
        <f aca="false">SUMIF('form A info'!$G$7:$G$256,"y",'form A info'!$V$7:$V$256)</f>
        <v>38441818</v>
      </c>
      <c r="C24" s="249" t="n">
        <f aca="false">SUMIF('form A info'!$G$7:$G$256,"n",'form A info'!$V$7:$V$256)</f>
        <v>15874856</v>
      </c>
      <c r="D24" s="250" t="n">
        <f aca="false">'form A info'!V257</f>
        <v>54316674</v>
      </c>
    </row>
    <row r="25" customFormat="false" ht="12.75" hidden="false" customHeight="false" outlineLevel="0" collapsed="false">
      <c r="A25" s="246"/>
      <c r="B25" s="249"/>
      <c r="C25" s="249"/>
      <c r="D25" s="250"/>
    </row>
    <row r="26" customFormat="false" ht="12.75" hidden="false" customHeight="false" outlineLevel="0" collapsed="false">
      <c r="A26" s="253" t="s">
        <v>818</v>
      </c>
      <c r="B26" s="249"/>
      <c r="C26" s="249"/>
      <c r="D26" s="250"/>
    </row>
    <row r="27" customFormat="false" ht="12.75" hidden="false" customHeight="false" outlineLevel="0" collapsed="false">
      <c r="A27" s="246" t="s">
        <v>819</v>
      </c>
      <c r="B27" s="249" t="n">
        <f aca="false">SUMIF('form A info'!$G$7:$G$256,"y",'form A info'!$Y$7:$Y$256)</f>
        <v>10923010.6624</v>
      </c>
      <c r="C27" s="249" t="n">
        <f aca="false">SUMIF('form A info'!$G$7:$G$256,"n",'form A info'!$Y$7:$Y$256)</f>
        <v>3214059.4822</v>
      </c>
      <c r="D27" s="250" t="n">
        <f aca="false">'form A info'!Y257</f>
        <v>14137070.1446</v>
      </c>
    </row>
    <row r="28" customFormat="false" ht="12.75" hidden="false" customHeight="false" outlineLevel="0" collapsed="false">
      <c r="A28" s="256" t="s">
        <v>820</v>
      </c>
      <c r="B28" s="257" t="n">
        <f aca="false">SUMIF('form A info'!$G$7:$G$256,"y",'form A info'!$AB$7:$AB$256)</f>
        <v>24722305.6598</v>
      </c>
      <c r="C28" s="258" t="n">
        <f aca="false">SUMIF('form A info'!$G$7:$G$256,"n",'form A info'!$AB$7:$AB$256)</f>
        <v>9044192.1136</v>
      </c>
      <c r="D28" s="258" t="n">
        <f aca="false">'form A info'!AB257</f>
        <v>33766497.7734</v>
      </c>
    </row>
    <row r="29" customFormat="false" ht="12.75" hidden="false" customHeight="false" outlineLevel="0" collapsed="false">
      <c r="A29" s="259" t="s">
        <v>821</v>
      </c>
      <c r="B29" s="259"/>
      <c r="C29" s="259"/>
    </row>
    <row r="30" customFormat="false" ht="12.75" hidden="false" customHeight="false" outlineLevel="0" collapsed="false">
      <c r="B30" s="260"/>
    </row>
    <row r="31" customFormat="false" ht="63.75" hidden="false" customHeight="true" outlineLevel="0" collapsed="false">
      <c r="A31" s="261"/>
      <c r="B31" s="262" t="s">
        <v>822</v>
      </c>
      <c r="C31" s="263" t="s">
        <v>823</v>
      </c>
      <c r="D31" s="242" t="s">
        <v>782</v>
      </c>
    </row>
    <row r="32" customFormat="false" ht="12.75" hidden="false" customHeight="true" outlineLevel="0" collapsed="false">
      <c r="A32" s="264" t="s">
        <v>824</v>
      </c>
      <c r="B32" s="265" t="n">
        <f aca="false">IF($B$46="y",SUMIF('form A info'!$G$7:$G$256,"y",'form A info'!AG7:AG256),'form A info'!AG257)</f>
        <v>58519984</v>
      </c>
      <c r="C32" s="265" t="n">
        <f aca="false">IF($B$46="y",SUMIF('form A info'!$G$7:$G$256,"y",'form A info'!AE7:AE256),'form A info'!AE257)</f>
        <v>5320735</v>
      </c>
      <c r="D32" s="247"/>
    </row>
    <row r="33" customFormat="false" ht="12.75" hidden="false" customHeight="false" outlineLevel="0" collapsed="false">
      <c r="A33" s="264"/>
      <c r="B33" s="265"/>
      <c r="C33" s="265"/>
      <c r="D33" s="266" t="n">
        <f aca="false">SUM(B32:C33)</f>
        <v>63840719</v>
      </c>
    </row>
    <row r="34" customFormat="false" ht="12.75" hidden="false" customHeight="false" outlineLevel="0" collapsed="false">
      <c r="A34" s="267" t="s">
        <v>825</v>
      </c>
      <c r="B34" s="268" t="n">
        <f aca="false">IF($B$46="y",SUMIF('form A info'!$G$7:$G$256,"y",'form A info'!AF$7:AF$256),'form A info'!AF$257)</f>
        <v>36542454</v>
      </c>
      <c r="C34" s="268" t="n">
        <f aca="false">IF($B$46="y",SUMIF('form A info'!$G$7:$G$256,"y",'form A info'!AD7:AD256),'form A info'!AD257)</f>
        <v>13301804</v>
      </c>
      <c r="D34" s="247"/>
    </row>
    <row r="35" customFormat="false" ht="12.75" hidden="false" customHeight="false" outlineLevel="0" collapsed="false">
      <c r="A35" s="267"/>
      <c r="B35" s="268"/>
      <c r="C35" s="268"/>
      <c r="D35" s="266" t="n">
        <f aca="false">SUM(B34:C35)</f>
        <v>49844258</v>
      </c>
    </row>
    <row r="36" customFormat="false" ht="12.75" hidden="false" customHeight="false" outlineLevel="0" collapsed="false">
      <c r="A36" s="261" t="s">
        <v>782</v>
      </c>
      <c r="B36" s="269" t="n">
        <f aca="false">SUM(B32+B34)</f>
        <v>95062438</v>
      </c>
      <c r="C36" s="269" t="n">
        <f aca="false">SUM(C32+C34)</f>
        <v>18622539</v>
      </c>
      <c r="D36" s="266" t="n">
        <f aca="false">SUM(B36:C36)</f>
        <v>113684977</v>
      </c>
    </row>
    <row r="37" customFormat="false" ht="12.75" hidden="false" customHeight="false" outlineLevel="0" collapsed="false">
      <c r="A37" s="101"/>
      <c r="B37" s="270"/>
      <c r="C37" s="270"/>
      <c r="D37" s="101"/>
      <c r="E37" s="271"/>
    </row>
    <row r="38" customFormat="false" ht="12.75" hidden="false" customHeight="false" outlineLevel="0" collapsed="false">
      <c r="A38" s="101"/>
      <c r="B38" s="270"/>
      <c r="C38" s="270"/>
      <c r="D38" s="101"/>
      <c r="E38" s="271"/>
    </row>
    <row r="39" customFormat="false" ht="12.75" hidden="false" customHeight="false" outlineLevel="0" collapsed="false">
      <c r="A39" s="272" t="s">
        <v>818</v>
      </c>
      <c r="B39" s="273"/>
      <c r="C39" s="260"/>
    </row>
    <row r="40" customFormat="false" ht="12.75" hidden="false" customHeight="false" outlineLevel="0" collapsed="false">
      <c r="A40" s="272"/>
      <c r="B40" s="273"/>
      <c r="C40" s="260"/>
    </row>
    <row r="41" customFormat="false" ht="12.75" hidden="false" customHeight="false" outlineLevel="0" collapsed="false">
      <c r="A41" s="101" t="s">
        <v>826</v>
      </c>
      <c r="B41" s="103" t="n">
        <f aca="false">IF($B$46="y",SUMIF('form A info'!$G$7:$G$256,"y",'form A info'!Y$7:Y$256),'form A info'!Y$257)</f>
        <v>10923010.6624</v>
      </c>
      <c r="C41" s="101"/>
    </row>
    <row r="42" customFormat="false" ht="12.75" hidden="false" customHeight="false" outlineLevel="0" collapsed="false">
      <c r="A42" s="101" t="s">
        <v>827</v>
      </c>
      <c r="B42" s="103" t="n">
        <f aca="false">IF($B$46="y",SUMIF('form A info'!$G$7:$G$256,"y",'form A info'!AB$7:AB$256),'form A info'!AB$257)</f>
        <v>24722305.6598</v>
      </c>
      <c r="C42" s="101"/>
    </row>
    <row r="43" customFormat="false" ht="12.75" hidden="false" customHeight="false" outlineLevel="0" collapsed="false">
      <c r="A43" s="274" t="s">
        <v>828</v>
      </c>
      <c r="B43" s="275"/>
      <c r="C43" s="260"/>
    </row>
    <row r="44" customFormat="false" ht="12.75" hidden="false" customHeight="false" outlineLevel="0" collapsed="false">
      <c r="A44" s="101"/>
      <c r="B44" s="273"/>
      <c r="C44" s="260"/>
    </row>
    <row r="45" customFormat="false" ht="12.75" hidden="false" customHeight="false" outlineLevel="0" collapsed="false">
      <c r="A45" s="101" t="s">
        <v>829</v>
      </c>
      <c r="B45" s="276" t="n">
        <v>0.135</v>
      </c>
      <c r="C45" s="101"/>
    </row>
    <row r="46" customFormat="false" ht="12.75" hidden="false" customHeight="false" outlineLevel="0" collapsed="false">
      <c r="A46" s="277" t="s">
        <v>830</v>
      </c>
      <c r="B46" s="278" t="s">
        <v>44</v>
      </c>
      <c r="C46" s="101"/>
    </row>
    <row r="47" customFormat="false" ht="12.75" hidden="false" customHeight="false" outlineLevel="0" collapsed="false">
      <c r="A47" s="277" t="s">
        <v>831</v>
      </c>
      <c r="B47" s="279" t="s">
        <v>49</v>
      </c>
      <c r="C47" s="101"/>
    </row>
    <row r="73" customFormat="false" ht="12.75" hidden="false" customHeight="false" outlineLevel="0" collapsed="false">
      <c r="B73" s="280"/>
    </row>
    <row r="84" customFormat="false" ht="12.75" hidden="false" customHeight="false" outlineLevel="0" collapsed="false">
      <c r="B84" s="280"/>
    </row>
  </sheetData>
  <mergeCells count="7">
    <mergeCell ref="A29:C29"/>
    <mergeCell ref="A32:A33"/>
    <mergeCell ref="B32:B33"/>
    <mergeCell ref="C32:C33"/>
    <mergeCell ref="A34:A35"/>
    <mergeCell ref="B34:B35"/>
    <mergeCell ref="C34:C35"/>
  </mergeCells>
  <printOptions headings="false" gridLines="false" gridLinesSet="true" horizontalCentered="false" verticalCentered="false"/>
  <pageMargins left="0.747916666666667" right="0.747916666666667" top="0.984027777777778" bottom="0.984027777777778" header="0.511811023622047" footer="0.5"/>
  <pageSetup paperSize="1" scale="100" fitToWidth="1" fitToHeight="1" pageOrder="downThenOver" orientation="landscape" blackAndWhite="false" draft="false" cellComments="none" horizontalDpi="300" verticalDpi="300" copies="1"/>
  <headerFooter differentFirst="false" differentOddEven="false">
    <oddHeader/>
    <oddFooter>&amp;L&amp;A&amp;C&amp;D &amp;T</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P256"/>
  <sheetViews>
    <sheetView showFormulas="false" showGridLines="true" showRowColHeaders="true" showZeros="true" rightToLeft="false" tabSelected="false" showOutlineSymbols="true" defaultGridColor="true" view="normal" topLeftCell="A232" colorId="64" zoomScale="100" zoomScaleNormal="100" zoomScalePageLayoutView="100" workbookViewId="0">
      <selection pane="topLeft" activeCell="F257" activeCellId="0" sqref="F257"/>
    </sheetView>
  </sheetViews>
  <sheetFormatPr defaultColWidth="9.0546875" defaultRowHeight="12.75" customHeight="true" zeroHeight="false" outlineLevelRow="0" outlineLevelCol="0"/>
  <cols>
    <col collapsed="false" customWidth="true" hidden="false" outlineLevel="0" max="2" min="1" style="281" width="6.41"/>
    <col collapsed="false" customWidth="true" hidden="false" outlineLevel="0" max="3" min="3" style="281" width="30.28"/>
    <col collapsed="false" customWidth="true" hidden="true" outlineLevel="0" max="4" min="4" style="281" width="24.41"/>
    <col collapsed="false" customWidth="true" hidden="false" outlineLevel="0" max="5" min="5" style="281" width="11.13"/>
    <col collapsed="false" customWidth="true" hidden="false" outlineLevel="0" max="6" min="6" style="281" width="10.28"/>
    <col collapsed="false" customWidth="true" hidden="false" outlineLevel="0" max="7" min="7" style="281" width="14.14"/>
    <col collapsed="false" customWidth="true" hidden="false" outlineLevel="0" max="8" min="8" style="281" width="5.99"/>
    <col collapsed="false" customWidth="true" hidden="false" outlineLevel="0" max="9" min="9" style="281" width="10.85"/>
    <col collapsed="false" customWidth="true" hidden="true" outlineLevel="0" max="10" min="10" style="281" width="17.28"/>
    <col collapsed="false" customWidth="true" hidden="false" outlineLevel="0" max="11" min="11" style="281" width="22.42"/>
    <col collapsed="false" customWidth="true" hidden="false" outlineLevel="0" max="12" min="12" style="282" width="9.14"/>
    <col collapsed="false" customWidth="true" hidden="false" outlineLevel="0" max="14" min="13" style="281" width="10.71"/>
    <col collapsed="false" customWidth="true" hidden="false" outlineLevel="0" max="15" min="15" style="281" width="9.85"/>
    <col collapsed="false" customWidth="true" hidden="false" outlineLevel="0" max="16" min="16" style="0" width="12.28"/>
  </cols>
  <sheetData>
    <row r="1" customFormat="false" ht="96" hidden="false" customHeight="false" outlineLevel="0" collapsed="false">
      <c r="A1" s="283" t="s">
        <v>687</v>
      </c>
      <c r="B1" s="283" t="s">
        <v>688</v>
      </c>
      <c r="C1" s="283" t="s">
        <v>9</v>
      </c>
      <c r="D1" s="283" t="s">
        <v>9</v>
      </c>
      <c r="E1" s="283" t="s">
        <v>689</v>
      </c>
      <c r="F1" s="283" t="s">
        <v>690</v>
      </c>
      <c r="G1" s="283" t="s">
        <v>691</v>
      </c>
      <c r="H1" s="283" t="s">
        <v>12</v>
      </c>
      <c r="I1" s="283" t="s">
        <v>692</v>
      </c>
      <c r="J1" s="283" t="s">
        <v>693</v>
      </c>
      <c r="K1" s="283" t="s">
        <v>17</v>
      </c>
      <c r="L1" s="284" t="s">
        <v>832</v>
      </c>
      <c r="M1" s="283" t="s">
        <v>642</v>
      </c>
      <c r="N1" s="283" t="s">
        <v>644</v>
      </c>
      <c r="O1" s="283" t="s">
        <v>645</v>
      </c>
      <c r="P1" s="283" t="s">
        <v>833</v>
      </c>
    </row>
    <row r="2" customFormat="false" ht="12.75" hidden="false" customHeight="false" outlineLevel="0" collapsed="false">
      <c r="A2" s="285" t="n">
        <v>110</v>
      </c>
      <c r="B2" s="285"/>
      <c r="C2" s="286" t="s">
        <v>45</v>
      </c>
      <c r="D2" s="287" t="s">
        <v>45</v>
      </c>
      <c r="E2" s="288" t="n">
        <f aca="false">IF(I2="regional",IF(R2*0.2975,S2*0.3484),S2*0.1939)</f>
        <v>0</v>
      </c>
      <c r="F2" s="288" t="n">
        <v>0</v>
      </c>
      <c r="G2" s="289" t="n">
        <f aca="false">E2+F2</f>
        <v>0</v>
      </c>
      <c r="H2" s="286"/>
      <c r="I2" s="287" t="s">
        <v>48</v>
      </c>
      <c r="J2" s="287" t="s">
        <v>49</v>
      </c>
      <c r="K2" s="287" t="s">
        <v>50</v>
      </c>
      <c r="M2" s="290" t="n">
        <v>583333.333333333</v>
      </c>
      <c r="N2" s="290" t="n">
        <v>361111.111111111</v>
      </c>
      <c r="O2" s="290" t="n">
        <v>458333.333333333</v>
      </c>
      <c r="P2" s="290" t="n">
        <f aca="false">SUM(M2:O2)</f>
        <v>1402777.77777778</v>
      </c>
    </row>
    <row r="3" customFormat="false" ht="12.75" hidden="false" customHeight="false" outlineLevel="0" collapsed="false">
      <c r="A3" s="285" t="n">
        <v>328</v>
      </c>
      <c r="B3" s="285" t="s">
        <v>44</v>
      </c>
      <c r="C3" s="286" t="s">
        <v>52</v>
      </c>
      <c r="D3" s="287" t="s">
        <v>52</v>
      </c>
      <c r="E3" s="288" t="n">
        <f aca="false">IF(I3="regional",IF(R3*0.2975,S3*0.3484),S3*0.1939)</f>
        <v>0</v>
      </c>
      <c r="F3" s="288" t="n">
        <v>276843</v>
      </c>
      <c r="G3" s="289" t="n">
        <f aca="false">E3+F3</f>
        <v>276843</v>
      </c>
      <c r="H3" s="286"/>
      <c r="I3" s="287" t="s">
        <v>48</v>
      </c>
      <c r="J3" s="287" t="s">
        <v>44</v>
      </c>
      <c r="K3" s="287" t="s">
        <v>55</v>
      </c>
      <c r="M3" s="290" t="n">
        <v>2513888.88888889</v>
      </c>
      <c r="N3" s="290" t="n">
        <v>611111.111111111</v>
      </c>
      <c r="O3" s="290" t="n">
        <v>263888.888888889</v>
      </c>
      <c r="P3" s="290" t="n">
        <f aca="false">SUM(M3:O3)</f>
        <v>3388888.88888889</v>
      </c>
    </row>
    <row r="4" customFormat="false" ht="12.75" hidden="false" customHeight="false" outlineLevel="0" collapsed="false">
      <c r="A4" s="291" t="n">
        <v>115</v>
      </c>
      <c r="B4" s="291"/>
      <c r="C4" s="292" t="s">
        <v>709</v>
      </c>
      <c r="D4" s="293" t="s">
        <v>709</v>
      </c>
      <c r="E4" s="288" t="n">
        <f aca="false">IF(I4="regional",IF(R4*0.2975,S4*0.3484),S4*0.1939)</f>
        <v>0</v>
      </c>
      <c r="F4" s="294"/>
      <c r="G4" s="289" t="n">
        <f aca="false">E4+F4</f>
        <v>0</v>
      </c>
      <c r="H4" s="292" t="s">
        <v>49</v>
      </c>
      <c r="I4" s="293" t="s">
        <v>48</v>
      </c>
      <c r="J4" s="293"/>
      <c r="K4" s="293"/>
      <c r="M4" s="290" t="n">
        <v>0</v>
      </c>
      <c r="N4" s="290" t="n">
        <v>0</v>
      </c>
      <c r="O4" s="290" t="n">
        <v>0</v>
      </c>
      <c r="P4" s="290" t="n">
        <f aca="false">SUM(M4:O4)</f>
        <v>0</v>
      </c>
    </row>
    <row r="5" customFormat="false" ht="12.75" hidden="false" customHeight="false" outlineLevel="0" collapsed="false">
      <c r="A5" s="285" t="n">
        <v>124</v>
      </c>
      <c r="B5" s="285" t="s">
        <v>44</v>
      </c>
      <c r="C5" s="286" t="s">
        <v>56</v>
      </c>
      <c r="D5" s="287" t="s">
        <v>56</v>
      </c>
      <c r="E5" s="288" t="n">
        <f aca="false">IF(I5="regional",IF(R5*0.2975,S5*0.3484),S5*0.1939)</f>
        <v>0</v>
      </c>
      <c r="F5" s="288" t="n">
        <v>342809</v>
      </c>
      <c r="G5" s="289" t="n">
        <f aca="false">E5+F5</f>
        <v>342809</v>
      </c>
      <c r="H5" s="286"/>
      <c r="I5" s="287" t="s">
        <v>48</v>
      </c>
      <c r="J5" s="287" t="s">
        <v>44</v>
      </c>
      <c r="K5" s="287" t="s">
        <v>59</v>
      </c>
      <c r="M5" s="290" t="n">
        <v>2000000</v>
      </c>
      <c r="N5" s="290" t="n">
        <v>819444.444444445</v>
      </c>
      <c r="O5" s="290" t="n">
        <v>111111.111111111</v>
      </c>
      <c r="P5" s="290" t="n">
        <f aca="false">SUM(M5:O5)</f>
        <v>2930555.55555556</v>
      </c>
    </row>
    <row r="6" customFormat="false" ht="12.75" hidden="false" customHeight="false" outlineLevel="0" collapsed="false">
      <c r="A6" s="285" t="n">
        <v>140</v>
      </c>
      <c r="B6" s="285"/>
      <c r="C6" s="286" t="s">
        <v>64</v>
      </c>
      <c r="D6" s="287" t="s">
        <v>64</v>
      </c>
      <c r="E6" s="288" t="n">
        <f aca="false">IF(I6="regional",IF(R6*0.2975,S6*0.3484),S6*0.1939)</f>
        <v>0</v>
      </c>
      <c r="F6" s="288" t="n">
        <v>0</v>
      </c>
      <c r="G6" s="289" t="n">
        <f aca="false">E6+F6</f>
        <v>0</v>
      </c>
      <c r="H6" s="286"/>
      <c r="I6" s="287" t="s">
        <v>62</v>
      </c>
      <c r="J6" s="287" t="s">
        <v>49</v>
      </c>
      <c r="K6" s="287" t="s">
        <v>67</v>
      </c>
      <c r="M6" s="290" t="n">
        <v>0</v>
      </c>
      <c r="N6" s="290" t="n">
        <v>69444.4444444445</v>
      </c>
      <c r="O6" s="290" t="n">
        <v>0</v>
      </c>
      <c r="P6" s="290" t="n">
        <f aca="false">SUM(M6:O6)</f>
        <v>69444.4444444445</v>
      </c>
    </row>
    <row r="7" customFormat="false" ht="12.75" hidden="false" customHeight="false" outlineLevel="0" collapsed="false">
      <c r="A7" s="285" t="n">
        <v>4820</v>
      </c>
      <c r="B7" s="285"/>
      <c r="C7" s="286" t="s">
        <v>68</v>
      </c>
      <c r="D7" s="287" t="s">
        <v>68</v>
      </c>
      <c r="E7" s="288" t="n">
        <f aca="false">IF(I7="regional",IF(R7*0.2975,S7*0.3484),S7*0.1939)</f>
        <v>0</v>
      </c>
      <c r="F7" s="288" t="n">
        <v>0</v>
      </c>
      <c r="G7" s="289" t="n">
        <f aca="false">E7+F7</f>
        <v>0</v>
      </c>
      <c r="H7" s="286"/>
      <c r="I7" s="287" t="s">
        <v>48</v>
      </c>
      <c r="J7" s="287" t="s">
        <v>49</v>
      </c>
      <c r="K7" s="287" t="s">
        <v>67</v>
      </c>
      <c r="M7" s="290" t="n">
        <v>0</v>
      </c>
      <c r="N7" s="290" t="n">
        <v>2222222.22222222</v>
      </c>
      <c r="O7" s="290" t="n">
        <v>680555.555555556</v>
      </c>
      <c r="P7" s="290" t="n">
        <f aca="false">SUM(M7:O7)</f>
        <v>2902777.77777778</v>
      </c>
    </row>
    <row r="8" customFormat="false" ht="12.75" hidden="false" customHeight="false" outlineLevel="0" collapsed="false">
      <c r="A8" s="285" t="n">
        <v>3116</v>
      </c>
      <c r="B8" s="285"/>
      <c r="C8" s="286" t="s">
        <v>71</v>
      </c>
      <c r="D8" s="287" t="s">
        <v>71</v>
      </c>
      <c r="E8" s="288" t="n">
        <f aca="false">IF(I8="regional",IF(R8*0.2975,S8*0.3484),S8*0.1939)</f>
        <v>0</v>
      </c>
      <c r="F8" s="288" t="n">
        <v>0</v>
      </c>
      <c r="G8" s="289" t="n">
        <f aca="false">E8+F8</f>
        <v>0</v>
      </c>
      <c r="H8" s="286"/>
      <c r="I8" s="287" t="s">
        <v>62</v>
      </c>
      <c r="J8" s="287" t="s">
        <v>49</v>
      </c>
      <c r="K8" s="287" t="s">
        <v>67</v>
      </c>
      <c r="M8" s="290" t="n">
        <v>0</v>
      </c>
      <c r="N8" s="290" t="n">
        <v>69444.4444444445</v>
      </c>
      <c r="O8" s="290" t="n">
        <v>152777.777777778</v>
      </c>
      <c r="P8" s="290" t="n">
        <f aca="false">SUM(M8:O8)</f>
        <v>222222.222222222</v>
      </c>
    </row>
    <row r="9" customFormat="false" ht="12.75" hidden="false" customHeight="false" outlineLevel="0" collapsed="false">
      <c r="A9" s="285" t="n">
        <v>9087</v>
      </c>
      <c r="B9" s="285" t="s">
        <v>44</v>
      </c>
      <c r="C9" s="286" t="s">
        <v>73</v>
      </c>
      <c r="D9" s="287" t="s">
        <v>73</v>
      </c>
      <c r="E9" s="288" t="n">
        <f aca="false">IF(I9="regional",IF(R9*0.2975,S9*0.3484),S9*0.1939)</f>
        <v>0</v>
      </c>
      <c r="F9" s="288" t="n">
        <v>488036</v>
      </c>
      <c r="G9" s="289" t="n">
        <f aca="false">E9+F9</f>
        <v>488036</v>
      </c>
      <c r="H9" s="286" t="s">
        <v>49</v>
      </c>
      <c r="I9" s="287" t="s">
        <v>48</v>
      </c>
      <c r="J9" s="287" t="s">
        <v>44</v>
      </c>
      <c r="K9" s="287" t="s">
        <v>76</v>
      </c>
      <c r="M9" s="290" t="n">
        <v>0</v>
      </c>
      <c r="N9" s="290" t="n">
        <v>0</v>
      </c>
      <c r="O9" s="290" t="n">
        <v>0</v>
      </c>
      <c r="P9" s="290" t="n">
        <f aca="false">SUM(M9:O9)</f>
        <v>0</v>
      </c>
    </row>
    <row r="10" customFormat="false" ht="12.75" hidden="false" customHeight="false" outlineLevel="0" collapsed="false">
      <c r="A10" s="285" t="n">
        <v>145</v>
      </c>
      <c r="B10" s="285" t="s">
        <v>44</v>
      </c>
      <c r="C10" s="286" t="s">
        <v>77</v>
      </c>
      <c r="D10" s="287" t="s">
        <v>77</v>
      </c>
      <c r="E10" s="288" t="n">
        <f aca="false">IF(I10="regional",IF(R10*0.2975,S10*0.3484),S10*0.1939)</f>
        <v>0</v>
      </c>
      <c r="F10" s="288" t="n">
        <v>638586</v>
      </c>
      <c r="G10" s="289" t="n">
        <f aca="false">E10+F10</f>
        <v>638586</v>
      </c>
      <c r="H10" s="286"/>
      <c r="I10" s="287" t="s">
        <v>48</v>
      </c>
      <c r="J10" s="287" t="s">
        <v>44</v>
      </c>
      <c r="K10" s="287" t="s">
        <v>78</v>
      </c>
      <c r="M10" s="290" t="n">
        <v>6013888.88888889</v>
      </c>
      <c r="N10" s="290" t="n">
        <v>1944444.44444444</v>
      </c>
      <c r="O10" s="290" t="n">
        <v>0</v>
      </c>
      <c r="P10" s="290" t="n">
        <f aca="false">SUM(M10:O10)</f>
        <v>7958333.33333333</v>
      </c>
    </row>
    <row r="11" customFormat="false" ht="12.75" hidden="false" customHeight="false" outlineLevel="0" collapsed="false">
      <c r="A11" s="285" t="n">
        <v>302</v>
      </c>
      <c r="B11" s="285" t="s">
        <v>44</v>
      </c>
      <c r="C11" s="286" t="s">
        <v>79</v>
      </c>
      <c r="D11" s="287" t="s">
        <v>79</v>
      </c>
      <c r="E11" s="288" t="n">
        <f aca="false">IF(I11="regional",IF(R11*0.2975,S11*0.3484),S11*0.1939)</f>
        <v>0</v>
      </c>
      <c r="F11" s="288" t="n">
        <v>0</v>
      </c>
      <c r="G11" s="289" t="n">
        <f aca="false">E11+F11</f>
        <v>0</v>
      </c>
      <c r="H11" s="286"/>
      <c r="I11" s="287" t="s">
        <v>48</v>
      </c>
      <c r="J11" s="287" t="s">
        <v>44</v>
      </c>
      <c r="K11" s="287" t="s">
        <v>82</v>
      </c>
      <c r="M11" s="290" t="n">
        <v>652777.777777778</v>
      </c>
      <c r="N11" s="290" t="n">
        <v>1125000</v>
      </c>
      <c r="O11" s="290" t="n">
        <v>152777.777777778</v>
      </c>
      <c r="P11" s="290" t="n">
        <f aca="false">SUM(M11:O11)</f>
        <v>1930555.55555556</v>
      </c>
    </row>
    <row r="12" customFormat="false" ht="12.75" hidden="false" customHeight="false" outlineLevel="0" collapsed="false">
      <c r="A12" s="285" t="n">
        <v>8099</v>
      </c>
      <c r="B12" s="285"/>
      <c r="C12" s="286" t="s">
        <v>83</v>
      </c>
      <c r="D12" s="287" t="s">
        <v>83</v>
      </c>
      <c r="E12" s="288" t="n">
        <f aca="false">IF(I12="regional",IF(R12*0.2975,S12*0.3484),S12*0.1939)</f>
        <v>0</v>
      </c>
      <c r="F12" s="288" t="n">
        <v>0</v>
      </c>
      <c r="G12" s="289" t="n">
        <f aca="false">E12+F12</f>
        <v>0</v>
      </c>
      <c r="H12" s="286"/>
      <c r="I12" s="287" t="s">
        <v>48</v>
      </c>
      <c r="J12" s="287" t="s">
        <v>49</v>
      </c>
      <c r="K12" s="287" t="s">
        <v>86</v>
      </c>
      <c r="M12" s="290" t="n">
        <v>0</v>
      </c>
      <c r="N12" s="290" t="n">
        <v>27777.7777777778</v>
      </c>
      <c r="O12" s="290" t="n">
        <v>27777.7777777778</v>
      </c>
      <c r="P12" s="290" t="n">
        <f aca="false">SUM(M12:O12)</f>
        <v>55555.5555555556</v>
      </c>
    </row>
    <row r="13" customFormat="false" ht="22.5" hidden="false" customHeight="false" outlineLevel="0" collapsed="false">
      <c r="A13" s="285" t="n">
        <v>8115</v>
      </c>
      <c r="B13" s="285" t="s">
        <v>44</v>
      </c>
      <c r="C13" s="286" t="s">
        <v>87</v>
      </c>
      <c r="D13" s="287" t="s">
        <v>87</v>
      </c>
      <c r="E13" s="288" t="n">
        <f aca="false">IF(I13="regional",IF(R13*0.2975,S13*0.3484),S13*0.1939)</f>
        <v>0</v>
      </c>
      <c r="F13" s="288" t="n">
        <v>0</v>
      </c>
      <c r="G13" s="289" t="n">
        <f aca="false">E13+F13</f>
        <v>0</v>
      </c>
      <c r="H13" s="286"/>
      <c r="I13" s="287" t="s">
        <v>48</v>
      </c>
      <c r="J13" s="287" t="s">
        <v>44</v>
      </c>
      <c r="K13" s="287" t="s">
        <v>90</v>
      </c>
      <c r="M13" s="290" t="n">
        <v>0</v>
      </c>
      <c r="N13" s="290" t="n">
        <v>4805555.55555556</v>
      </c>
      <c r="O13" s="290" t="n">
        <v>-277777.777777778</v>
      </c>
      <c r="P13" s="290" t="n">
        <f aca="false">SUM(M13:O13)</f>
        <v>4527777.77777778</v>
      </c>
    </row>
    <row r="14" customFormat="false" ht="12.75" hidden="false" customHeight="false" outlineLevel="0" collapsed="false">
      <c r="A14" s="285" t="n">
        <v>8120</v>
      </c>
      <c r="B14" s="285"/>
      <c r="C14" s="286" t="s">
        <v>92</v>
      </c>
      <c r="D14" s="287" t="s">
        <v>92</v>
      </c>
      <c r="E14" s="288" t="n">
        <f aca="false">IF(I14="regional",IF(R14*0.2975,S14*0.3484),S14*0.1939)</f>
        <v>0</v>
      </c>
      <c r="F14" s="288" t="n">
        <v>0</v>
      </c>
      <c r="G14" s="289" t="n">
        <f aca="false">E14+F14</f>
        <v>0</v>
      </c>
      <c r="H14" s="286" t="s">
        <v>49</v>
      </c>
      <c r="I14" s="287" t="s">
        <v>48</v>
      </c>
      <c r="J14" s="287" t="s">
        <v>49</v>
      </c>
      <c r="K14" s="287" t="s">
        <v>95</v>
      </c>
      <c r="M14" s="290" t="n">
        <v>0</v>
      </c>
      <c r="N14" s="290" t="n">
        <v>0</v>
      </c>
      <c r="O14" s="290" t="n">
        <v>0</v>
      </c>
      <c r="P14" s="290" t="n">
        <f aca="false">SUM(M14:O14)</f>
        <v>0</v>
      </c>
    </row>
    <row r="15" customFormat="false" ht="12.75" hidden="false" customHeight="false" outlineLevel="0" collapsed="false">
      <c r="A15" s="295" t="n">
        <v>572</v>
      </c>
      <c r="B15" s="295"/>
      <c r="C15" s="295" t="s">
        <v>717</v>
      </c>
      <c r="D15" s="296" t="s">
        <v>717</v>
      </c>
      <c r="E15" s="288" t="n">
        <f aca="false">IF(I15="regional",IF(R15*0.2975,S15*0.3484),S15*0.1939)</f>
        <v>0</v>
      </c>
      <c r="F15" s="297"/>
      <c r="G15" s="289" t="n">
        <f aca="false">E15+F15</f>
        <v>0</v>
      </c>
      <c r="H15" s="295"/>
      <c r="I15" s="296" t="s">
        <v>718</v>
      </c>
      <c r="J15" s="296"/>
      <c r="K15" s="296"/>
      <c r="M15" s="290" t="n">
        <v>0</v>
      </c>
      <c r="N15" s="290" t="n">
        <v>0</v>
      </c>
      <c r="O15" s="290" t="n">
        <v>0</v>
      </c>
      <c r="P15" s="290" t="n">
        <f aca="false">SUM(M15:O15)</f>
        <v>0</v>
      </c>
    </row>
    <row r="16" customFormat="false" ht="12.75" hidden="false" customHeight="false" outlineLevel="0" collapsed="false">
      <c r="A16" s="298" t="n">
        <v>315</v>
      </c>
      <c r="B16" s="298"/>
      <c r="C16" s="299" t="s">
        <v>719</v>
      </c>
      <c r="D16" s="293" t="s">
        <v>719</v>
      </c>
      <c r="E16" s="288" t="n">
        <f aca="false">IF(I16="regional",IF(R16*0.2975,S16*0.3484),S16*0.1939)</f>
        <v>0</v>
      </c>
      <c r="F16" s="294"/>
      <c r="G16" s="289" t="n">
        <f aca="false">E16+F16</f>
        <v>0</v>
      </c>
      <c r="H16" s="292" t="s">
        <v>49</v>
      </c>
      <c r="I16" s="293" t="s">
        <v>718</v>
      </c>
      <c r="J16" s="293"/>
      <c r="K16" s="293"/>
      <c r="M16" s="290" t="n">
        <v>0</v>
      </c>
      <c r="N16" s="290" t="n">
        <v>0</v>
      </c>
      <c r="O16" s="290" t="n">
        <v>0</v>
      </c>
      <c r="P16" s="290" t="n">
        <f aca="false">SUM(M16:O16)</f>
        <v>0</v>
      </c>
    </row>
    <row r="17" customFormat="false" ht="12.75" hidden="false" customHeight="false" outlineLevel="0" collapsed="false">
      <c r="A17" s="285" t="n">
        <v>313</v>
      </c>
      <c r="B17" s="285"/>
      <c r="C17" s="286" t="s">
        <v>96</v>
      </c>
      <c r="D17" s="287" t="s">
        <v>96</v>
      </c>
      <c r="E17" s="288" t="n">
        <f aca="false">IF(I17="regional",IF(R17*0.2975,S17*0.3484),S17*0.1939)</f>
        <v>0</v>
      </c>
      <c r="F17" s="288" t="n">
        <v>0</v>
      </c>
      <c r="G17" s="289" t="n">
        <f aca="false">E17+F17</f>
        <v>0</v>
      </c>
      <c r="H17" s="286"/>
      <c r="I17" s="287" t="s">
        <v>62</v>
      </c>
      <c r="J17" s="287"/>
      <c r="K17" s="287" t="s">
        <v>98</v>
      </c>
      <c r="M17" s="290" t="n">
        <v>0</v>
      </c>
      <c r="N17" s="290" t="n">
        <v>319444.444444445</v>
      </c>
      <c r="O17" s="290" t="n">
        <v>69444.4444444445</v>
      </c>
      <c r="P17" s="290" t="n">
        <f aca="false">SUM(M17:O17)</f>
        <v>388888.888888889</v>
      </c>
    </row>
    <row r="18" customFormat="false" ht="12.75" hidden="false" customHeight="false" outlineLevel="0" collapsed="false">
      <c r="A18" s="285" t="n">
        <v>8680</v>
      </c>
      <c r="B18" s="285"/>
      <c r="C18" s="286" t="s">
        <v>99</v>
      </c>
      <c r="D18" s="287" t="s">
        <v>99</v>
      </c>
      <c r="E18" s="288" t="n">
        <f aca="false">IF(I18="regional",IF(R18*0.2975,S18*0.3484),S18*0.1939)</f>
        <v>0</v>
      </c>
      <c r="F18" s="288" t="n">
        <v>0</v>
      </c>
      <c r="G18" s="289" t="n">
        <f aca="false">E18+F18</f>
        <v>0</v>
      </c>
      <c r="H18" s="286"/>
      <c r="I18" s="287" t="s">
        <v>62</v>
      </c>
      <c r="J18" s="287" t="s">
        <v>49</v>
      </c>
      <c r="K18" s="287" t="s">
        <v>102</v>
      </c>
      <c r="M18" s="290" t="n">
        <v>0</v>
      </c>
      <c r="N18" s="290" t="n">
        <v>583333.333333333</v>
      </c>
      <c r="O18" s="290" t="n">
        <v>291666.666666667</v>
      </c>
      <c r="P18" s="290" t="n">
        <f aca="false">SUM(M18:O18)</f>
        <v>875000</v>
      </c>
    </row>
    <row r="19" customFormat="false" ht="12.75" hidden="false" customHeight="false" outlineLevel="0" collapsed="false">
      <c r="A19" s="285" t="n">
        <v>8142</v>
      </c>
      <c r="B19" s="285"/>
      <c r="C19" s="286" t="s">
        <v>103</v>
      </c>
      <c r="D19" s="287" t="s">
        <v>103</v>
      </c>
      <c r="E19" s="288" t="n">
        <f aca="false">IF(I19="regional",IF(R19*0.2975,S19*0.3484),S19*0.1939)</f>
        <v>0</v>
      </c>
      <c r="F19" s="288" t="n">
        <v>0</v>
      </c>
      <c r="G19" s="289" t="n">
        <f aca="false">E19+F19</f>
        <v>0</v>
      </c>
      <c r="H19" s="286"/>
      <c r="I19" s="287" t="s">
        <v>48</v>
      </c>
      <c r="J19" s="287" t="s">
        <v>49</v>
      </c>
      <c r="K19" s="287" t="s">
        <v>105</v>
      </c>
      <c r="M19" s="290" t="n">
        <v>0</v>
      </c>
      <c r="N19" s="290" t="n">
        <v>2277777.77777778</v>
      </c>
      <c r="O19" s="290" t="n">
        <v>-13888.8888888889</v>
      </c>
      <c r="P19" s="290" t="n">
        <f aca="false">SUM(M19:O19)</f>
        <v>2263888.88888889</v>
      </c>
    </row>
    <row r="20" customFormat="false" ht="12.75" hidden="false" customHeight="false" outlineLevel="0" collapsed="false">
      <c r="A20" s="285" t="n">
        <v>4821</v>
      </c>
      <c r="B20" s="285" t="s">
        <v>44</v>
      </c>
      <c r="C20" s="286" t="s">
        <v>106</v>
      </c>
      <c r="D20" s="287" t="s">
        <v>106</v>
      </c>
      <c r="E20" s="288" t="n">
        <f aca="false">IF(I20="regional",IF(R20*0.2975,S20*0.3484),S20*0.1939)</f>
        <v>0</v>
      </c>
      <c r="F20" s="288" t="n">
        <v>0</v>
      </c>
      <c r="G20" s="289" t="n">
        <f aca="false">E20+F20</f>
        <v>0</v>
      </c>
      <c r="H20" s="286"/>
      <c r="I20" s="287" t="s">
        <v>48</v>
      </c>
      <c r="J20" s="287" t="s">
        <v>44</v>
      </c>
      <c r="K20" s="287" t="s">
        <v>109</v>
      </c>
      <c r="M20" s="290" t="n">
        <v>236111.111111111</v>
      </c>
      <c r="N20" s="290" t="n">
        <v>4041666.66666667</v>
      </c>
      <c r="O20" s="290" t="n">
        <v>0</v>
      </c>
      <c r="P20" s="290" t="n">
        <f aca="false">SUM(M20:O20)</f>
        <v>4277777.77777778</v>
      </c>
    </row>
    <row r="21" customFormat="false" ht="12.75" hidden="false" customHeight="false" outlineLevel="0" collapsed="false">
      <c r="A21" s="285" t="n">
        <v>323</v>
      </c>
      <c r="B21" s="285"/>
      <c r="C21" s="286" t="s">
        <v>110</v>
      </c>
      <c r="D21" s="287" t="s">
        <v>110</v>
      </c>
      <c r="E21" s="288" t="n">
        <f aca="false">IF(I21="regional",IF(R21*0.2975,S21*0.3484),S21*0.1939)</f>
        <v>0</v>
      </c>
      <c r="F21" s="288" t="n">
        <v>0</v>
      </c>
      <c r="G21" s="289" t="n">
        <f aca="false">E21+F21</f>
        <v>0</v>
      </c>
      <c r="H21" s="286"/>
      <c r="I21" s="287" t="s">
        <v>62</v>
      </c>
      <c r="J21" s="287" t="s">
        <v>49</v>
      </c>
      <c r="K21" s="287" t="s">
        <v>98</v>
      </c>
      <c r="M21" s="290" t="n">
        <v>0</v>
      </c>
      <c r="N21" s="290" t="n">
        <v>291666.666666667</v>
      </c>
      <c r="O21" s="290" t="n">
        <v>97222.2222222222</v>
      </c>
      <c r="P21" s="290" t="n">
        <f aca="false">SUM(M21:O21)</f>
        <v>388888.888888889</v>
      </c>
    </row>
    <row r="22" customFormat="false" ht="12.75" hidden="false" customHeight="false" outlineLevel="0" collapsed="false">
      <c r="A22" s="285" t="n">
        <v>324</v>
      </c>
      <c r="B22" s="285"/>
      <c r="C22" s="286" t="s">
        <v>112</v>
      </c>
      <c r="D22" s="287" t="s">
        <v>112</v>
      </c>
      <c r="E22" s="288" t="n">
        <f aca="false">IF(I22="regional",IF(R22*0.2975,S22*0.3484),S22*0.1939)</f>
        <v>0</v>
      </c>
      <c r="F22" s="288" t="n">
        <v>0</v>
      </c>
      <c r="G22" s="289" t="n">
        <f aca="false">E22+F22</f>
        <v>0</v>
      </c>
      <c r="H22" s="286"/>
      <c r="I22" s="287" t="s">
        <v>62</v>
      </c>
      <c r="J22" s="287"/>
      <c r="K22" s="287" t="s">
        <v>115</v>
      </c>
      <c r="M22" s="290" t="n">
        <v>0</v>
      </c>
      <c r="N22" s="290" t="n">
        <v>111111.111111111</v>
      </c>
      <c r="O22" s="290" t="n">
        <v>0</v>
      </c>
      <c r="P22" s="290" t="n">
        <f aca="false">SUM(M22:O22)</f>
        <v>111111.111111111</v>
      </c>
    </row>
    <row r="23" customFormat="false" ht="12.75" hidden="false" customHeight="false" outlineLevel="0" collapsed="false">
      <c r="A23" s="285" t="n">
        <v>344</v>
      </c>
      <c r="B23" s="285" t="s">
        <v>44</v>
      </c>
      <c r="C23" s="286" t="s">
        <v>116</v>
      </c>
      <c r="D23" s="287" t="s">
        <v>116</v>
      </c>
      <c r="E23" s="288" t="n">
        <f aca="false">IF(I23="regional",IF(R23*0.2975,S23*0.3484),S23*0.1939)</f>
        <v>0</v>
      </c>
      <c r="F23" s="288" t="n">
        <v>0</v>
      </c>
      <c r="G23" s="289" t="n">
        <f aca="false">E23+F23</f>
        <v>0</v>
      </c>
      <c r="H23" s="286"/>
      <c r="I23" s="287" t="s">
        <v>48</v>
      </c>
      <c r="J23" s="287" t="s">
        <v>44</v>
      </c>
      <c r="K23" s="287" t="s">
        <v>118</v>
      </c>
      <c r="M23" s="290" t="n">
        <v>0</v>
      </c>
      <c r="N23" s="290" t="n">
        <v>1666666.66666667</v>
      </c>
      <c r="O23" s="290" t="n">
        <v>0</v>
      </c>
      <c r="P23" s="290" t="n">
        <f aca="false">SUM(M23:O23)</f>
        <v>1666666.66666667</v>
      </c>
    </row>
    <row r="24" customFormat="false" ht="22.5" hidden="false" customHeight="false" outlineLevel="0" collapsed="false">
      <c r="A24" s="285" t="n">
        <v>8178</v>
      </c>
      <c r="B24" s="285"/>
      <c r="C24" s="286" t="s">
        <v>119</v>
      </c>
      <c r="D24" s="287" t="s">
        <v>119</v>
      </c>
      <c r="E24" s="288" t="n">
        <f aca="false">IF(I24="regional",IF(R24*0.2975,S24*0.3484),S24*0.1939)</f>
        <v>0</v>
      </c>
      <c r="F24" s="288" t="n">
        <v>0</v>
      </c>
      <c r="G24" s="289" t="n">
        <f aca="false">E24+F24</f>
        <v>0</v>
      </c>
      <c r="H24" s="286"/>
      <c r="I24" s="287" t="s">
        <v>48</v>
      </c>
      <c r="J24" s="287" t="s">
        <v>49</v>
      </c>
      <c r="K24" s="287" t="s">
        <v>90</v>
      </c>
      <c r="M24" s="290" t="n">
        <v>0</v>
      </c>
      <c r="N24" s="290" t="n">
        <v>875000</v>
      </c>
      <c r="O24" s="290" t="n">
        <v>138888.888888889</v>
      </c>
      <c r="P24" s="290" t="n">
        <f aca="false">SUM(M24:O24)</f>
        <v>1013888.88888889</v>
      </c>
    </row>
    <row r="25" customFormat="false" ht="12.75" hidden="false" customHeight="false" outlineLevel="0" collapsed="false">
      <c r="A25" s="285" t="n">
        <v>339</v>
      </c>
      <c r="B25" s="285"/>
      <c r="C25" s="286" t="s">
        <v>121</v>
      </c>
      <c r="D25" s="287" t="s">
        <v>121</v>
      </c>
      <c r="E25" s="288" t="n">
        <f aca="false">IF(I25="regional",IF(R25*0.2975,S25*0.3484),S25*0.1939)</f>
        <v>0</v>
      </c>
      <c r="F25" s="288" t="n">
        <v>0</v>
      </c>
      <c r="G25" s="289" t="n">
        <f aca="false">E25+F25</f>
        <v>0</v>
      </c>
      <c r="H25" s="286"/>
      <c r="I25" s="287" t="s">
        <v>62</v>
      </c>
      <c r="J25" s="287" t="s">
        <v>49</v>
      </c>
      <c r="K25" s="287" t="s">
        <v>98</v>
      </c>
      <c r="M25" s="290" t="n">
        <v>0</v>
      </c>
      <c r="N25" s="290" t="n">
        <v>416666.666666667</v>
      </c>
      <c r="O25" s="290" t="n">
        <v>361111.111111111</v>
      </c>
      <c r="P25" s="290" t="n">
        <f aca="false">SUM(M25:O25)</f>
        <v>777777.777777778</v>
      </c>
    </row>
    <row r="26" customFormat="false" ht="12.75" hidden="false" customHeight="false" outlineLevel="0" collapsed="false">
      <c r="A26" s="285" t="n">
        <v>4822</v>
      </c>
      <c r="B26" s="285"/>
      <c r="C26" s="286" t="s">
        <v>125</v>
      </c>
      <c r="D26" s="287" t="s">
        <v>125</v>
      </c>
      <c r="E26" s="288" t="n">
        <f aca="false">IF(I26="regional",IF(R26*0.2975,S26*0.3484),S26*0.1939)</f>
        <v>0</v>
      </c>
      <c r="F26" s="288" t="n">
        <v>0</v>
      </c>
      <c r="G26" s="289" t="n">
        <f aca="false">E26+F26</f>
        <v>0</v>
      </c>
      <c r="H26" s="286"/>
      <c r="I26" s="287" t="s">
        <v>128</v>
      </c>
      <c r="J26" s="287"/>
      <c r="K26" s="287" t="s">
        <v>129</v>
      </c>
      <c r="M26" s="290" t="n">
        <v>0</v>
      </c>
      <c r="N26" s="290" t="n">
        <v>5986111.11111111</v>
      </c>
      <c r="O26" s="290" t="n">
        <v>13888.8888888889</v>
      </c>
      <c r="P26" s="290" t="n">
        <f aca="false">SUM(M26:O26)</f>
        <v>6000000</v>
      </c>
    </row>
    <row r="27" customFormat="false" ht="12.75" hidden="false" customHeight="false" outlineLevel="0" collapsed="false">
      <c r="A27" s="285" t="n">
        <v>8700</v>
      </c>
      <c r="B27" s="285" t="s">
        <v>44</v>
      </c>
      <c r="C27" s="286" t="s">
        <v>131</v>
      </c>
      <c r="D27" s="287" t="s">
        <v>131</v>
      </c>
      <c r="E27" s="288" t="n">
        <f aca="false">IF(I27="regional",IF(R27*0.2975,S27*0.3484),S27*0.1939)</f>
        <v>0</v>
      </c>
      <c r="F27" s="288" t="n">
        <v>0</v>
      </c>
      <c r="G27" s="289" t="n">
        <f aca="false">E27+F27</f>
        <v>0</v>
      </c>
      <c r="H27" s="286"/>
      <c r="I27" s="287" t="s">
        <v>48</v>
      </c>
      <c r="J27" s="287" t="s">
        <v>44</v>
      </c>
      <c r="K27" s="287" t="s">
        <v>115</v>
      </c>
      <c r="M27" s="290" t="n">
        <v>263888.888888889</v>
      </c>
      <c r="N27" s="290" t="n">
        <v>680555.555555556</v>
      </c>
      <c r="O27" s="290" t="n">
        <v>416666.666666667</v>
      </c>
      <c r="P27" s="290" t="n">
        <f aca="false">SUM(M27:O27)</f>
        <v>1361111.11111111</v>
      </c>
    </row>
    <row r="28" customFormat="false" ht="12.75" hidden="false" customHeight="false" outlineLevel="0" collapsed="false">
      <c r="A28" s="285" t="n">
        <v>512</v>
      </c>
      <c r="B28" s="285"/>
      <c r="C28" s="286" t="s">
        <v>132</v>
      </c>
      <c r="D28" s="287" t="s">
        <v>132</v>
      </c>
      <c r="E28" s="288" t="n">
        <f aca="false">IF(I28="regional",IF(R28*0.2975,S28*0.3484),S28*0.1939)</f>
        <v>0</v>
      </c>
      <c r="F28" s="288" t="n">
        <v>0</v>
      </c>
      <c r="G28" s="289" t="n">
        <f aca="false">E28+F28</f>
        <v>0</v>
      </c>
      <c r="H28" s="286"/>
      <c r="I28" s="287" t="s">
        <v>62</v>
      </c>
      <c r="J28" s="287"/>
      <c r="K28" s="287" t="s">
        <v>134</v>
      </c>
      <c r="M28" s="290" t="n">
        <v>0</v>
      </c>
      <c r="N28" s="290" t="n">
        <v>97222.2222222222</v>
      </c>
      <c r="O28" s="290" t="n">
        <v>0</v>
      </c>
      <c r="P28" s="290" t="n">
        <f aca="false">SUM(M28:O28)</f>
        <v>97222.2222222222</v>
      </c>
    </row>
    <row r="29" customFormat="false" ht="12.75" hidden="false" customHeight="false" outlineLevel="0" collapsed="false">
      <c r="A29" s="285" t="n">
        <v>8245</v>
      </c>
      <c r="B29" s="285"/>
      <c r="C29" s="286" t="s">
        <v>135</v>
      </c>
      <c r="D29" s="287" t="s">
        <v>135</v>
      </c>
      <c r="E29" s="288" t="n">
        <f aca="false">IF(I29="regional",IF(R29*0.2975,S29*0.3484),S29*0.1939)</f>
        <v>0</v>
      </c>
      <c r="F29" s="288" t="n">
        <v>0</v>
      </c>
      <c r="G29" s="289" t="n">
        <f aca="false">E29+F29</f>
        <v>0</v>
      </c>
      <c r="H29" s="286" t="s">
        <v>44</v>
      </c>
      <c r="I29" s="287" t="s">
        <v>48</v>
      </c>
      <c r="J29" s="287" t="s">
        <v>49</v>
      </c>
      <c r="K29" s="287" t="s">
        <v>138</v>
      </c>
      <c r="M29" s="290" t="n">
        <v>0</v>
      </c>
      <c r="N29" s="290" t="n">
        <v>6152777.77777778</v>
      </c>
      <c r="O29" s="290" t="n">
        <v>1611111.11111111</v>
      </c>
      <c r="P29" s="290" t="n">
        <f aca="false">SUM(M29:O29)</f>
        <v>7763888.88888889</v>
      </c>
    </row>
    <row r="30" customFormat="false" ht="12.75" hidden="false" customHeight="false" outlineLevel="0" collapsed="false">
      <c r="A30" s="285" t="n">
        <v>513</v>
      </c>
      <c r="B30" s="285"/>
      <c r="C30" s="286" t="s">
        <v>139</v>
      </c>
      <c r="D30" s="287" t="s">
        <v>139</v>
      </c>
      <c r="E30" s="288" t="n">
        <f aca="false">IF(I30="regional",IF(R30*0.2975,S30*0.3484),S30*0.1939)</f>
        <v>0</v>
      </c>
      <c r="F30" s="288" t="n">
        <v>0</v>
      </c>
      <c r="G30" s="289" t="n">
        <f aca="false">E30+F30</f>
        <v>0</v>
      </c>
      <c r="H30" s="286"/>
      <c r="I30" s="287" t="s">
        <v>48</v>
      </c>
      <c r="J30" s="287" t="s">
        <v>49</v>
      </c>
      <c r="K30" s="287" t="s">
        <v>141</v>
      </c>
      <c r="M30" s="290" t="n">
        <v>569444.444444445</v>
      </c>
      <c r="N30" s="290" t="n">
        <v>1513888.88888889</v>
      </c>
      <c r="O30" s="290" t="n">
        <v>180555.555555556</v>
      </c>
      <c r="P30" s="290" t="n">
        <f aca="false">SUM(M30:O30)</f>
        <v>2263888.88888889</v>
      </c>
    </row>
    <row r="31" customFormat="false" ht="12.75" hidden="false" customHeight="false" outlineLevel="0" collapsed="false">
      <c r="A31" s="285" t="n">
        <v>516</v>
      </c>
      <c r="B31" s="285"/>
      <c r="C31" s="286" t="s">
        <v>142</v>
      </c>
      <c r="D31" s="287" t="s">
        <v>142</v>
      </c>
      <c r="E31" s="288" t="n">
        <f aca="false">IF(I31="regional",IF(R31*0.2975,S31*0.3484),S31*0.1939)</f>
        <v>0</v>
      </c>
      <c r="F31" s="288" t="n">
        <v>0</v>
      </c>
      <c r="G31" s="289" t="n">
        <f aca="false">E31+F31</f>
        <v>0</v>
      </c>
      <c r="H31" s="286"/>
      <c r="I31" s="287" t="s">
        <v>62</v>
      </c>
      <c r="J31" s="287" t="s">
        <v>49</v>
      </c>
      <c r="K31" s="287" t="s">
        <v>144</v>
      </c>
      <c r="M31" s="290" t="n">
        <v>0</v>
      </c>
      <c r="N31" s="290" t="n">
        <v>13888.8888888889</v>
      </c>
      <c r="O31" s="290" t="n">
        <v>0</v>
      </c>
      <c r="P31" s="290" t="n">
        <f aca="false">SUM(M31:O31)</f>
        <v>13888.8888888889</v>
      </c>
    </row>
    <row r="32" customFormat="false" ht="12.75" hidden="false" customHeight="false" outlineLevel="0" collapsed="false">
      <c r="A32" s="285" t="n">
        <v>4661</v>
      </c>
      <c r="B32" s="285" t="s">
        <v>44</v>
      </c>
      <c r="C32" s="286" t="s">
        <v>145</v>
      </c>
      <c r="D32" s="287" t="s">
        <v>145</v>
      </c>
      <c r="E32" s="288" t="n">
        <f aca="false">IF(I32="regional",IF(R32*0.2975,S32*0.3484),S32*0.1939)</f>
        <v>0</v>
      </c>
      <c r="F32" s="288" t="n">
        <v>0</v>
      </c>
      <c r="G32" s="289" t="n">
        <f aca="false">E32+F32</f>
        <v>0</v>
      </c>
      <c r="H32" s="286"/>
      <c r="I32" s="287" t="s">
        <v>48</v>
      </c>
      <c r="J32" s="287" t="s">
        <v>44</v>
      </c>
      <c r="K32" s="287" t="s">
        <v>148</v>
      </c>
      <c r="M32" s="290" t="n">
        <v>0</v>
      </c>
      <c r="N32" s="290" t="n">
        <v>1569444.44444444</v>
      </c>
      <c r="O32" s="290" t="n">
        <v>0</v>
      </c>
      <c r="P32" s="290" t="n">
        <f aca="false">SUM(M32:O32)</f>
        <v>1569444.44444444</v>
      </c>
    </row>
    <row r="33" customFormat="false" ht="12.75" hidden="false" customHeight="false" outlineLevel="0" collapsed="false">
      <c r="A33" s="285" t="n">
        <v>8250</v>
      </c>
      <c r="B33" s="285"/>
      <c r="C33" s="286" t="s">
        <v>149</v>
      </c>
      <c r="D33" s="287" t="s">
        <v>149</v>
      </c>
      <c r="E33" s="288" t="n">
        <f aca="false">IF(I33="regional",IF(R33*0.2975,S33*0.3484),S33*0.1939)</f>
        <v>0</v>
      </c>
      <c r="F33" s="288" t="n">
        <v>0</v>
      </c>
      <c r="G33" s="289" t="n">
        <f aca="false">E33+F33</f>
        <v>0</v>
      </c>
      <c r="H33" s="286"/>
      <c r="I33" s="287" t="s">
        <v>48</v>
      </c>
      <c r="J33" s="287" t="s">
        <v>49</v>
      </c>
      <c r="K33" s="287" t="s">
        <v>152</v>
      </c>
      <c r="M33" s="290" t="n">
        <v>0</v>
      </c>
      <c r="N33" s="290" t="n">
        <v>2305555.55555556</v>
      </c>
      <c r="O33" s="290" t="n">
        <v>388888.888888889</v>
      </c>
      <c r="P33" s="290" t="n">
        <f aca="false">SUM(M33:O33)</f>
        <v>2694444.44444444</v>
      </c>
    </row>
    <row r="34" customFormat="false" ht="12.75" hidden="false" customHeight="false" outlineLevel="0" collapsed="false">
      <c r="A34" s="285" t="n">
        <v>8253</v>
      </c>
      <c r="B34" s="285" t="s">
        <v>44</v>
      </c>
      <c r="C34" s="286" t="s">
        <v>153</v>
      </c>
      <c r="D34" s="287" t="s">
        <v>153</v>
      </c>
      <c r="E34" s="288" t="n">
        <f aca="false">IF(I34="regional",IF(R34*0.2975,S34*0.3484),S34*0.1939)</f>
        <v>0</v>
      </c>
      <c r="F34" s="288" t="n">
        <v>0</v>
      </c>
      <c r="G34" s="289" t="n">
        <f aca="false">E34+F34</f>
        <v>0</v>
      </c>
      <c r="H34" s="286"/>
      <c r="I34" s="287" t="s">
        <v>48</v>
      </c>
      <c r="J34" s="287" t="s">
        <v>44</v>
      </c>
      <c r="K34" s="287" t="s">
        <v>155</v>
      </c>
      <c r="M34" s="290" t="n">
        <v>0</v>
      </c>
      <c r="N34" s="290" t="n">
        <v>2958333.33333333</v>
      </c>
      <c r="O34" s="290" t="n">
        <v>-416666.666666667</v>
      </c>
      <c r="P34" s="290" t="n">
        <f aca="false">SUM(M34:O34)</f>
        <v>2541666.66666667</v>
      </c>
    </row>
    <row r="35" customFormat="false" ht="12.75" hidden="false" customHeight="false" outlineLevel="0" collapsed="false">
      <c r="A35" s="285" t="n">
        <v>8266</v>
      </c>
      <c r="B35" s="285"/>
      <c r="C35" s="286" t="s">
        <v>156</v>
      </c>
      <c r="D35" s="287" t="s">
        <v>156</v>
      </c>
      <c r="E35" s="288" t="n">
        <f aca="false">IF(I35="regional",IF(R35*0.2975,S35*0.3484),S35*0.1939)</f>
        <v>0</v>
      </c>
      <c r="F35" s="288" t="n">
        <v>0</v>
      </c>
      <c r="G35" s="289" t="n">
        <f aca="false">E35+F35</f>
        <v>0</v>
      </c>
      <c r="H35" s="286"/>
      <c r="I35" s="287" t="s">
        <v>62</v>
      </c>
      <c r="J35" s="287" t="s">
        <v>49</v>
      </c>
      <c r="K35" s="287" t="s">
        <v>148</v>
      </c>
      <c r="M35" s="290" t="n">
        <v>0</v>
      </c>
      <c r="N35" s="290" t="n">
        <v>291666.666666667</v>
      </c>
      <c r="O35" s="290" t="n">
        <v>0</v>
      </c>
      <c r="P35" s="290" t="n">
        <f aca="false">SUM(M35:O35)</f>
        <v>291666.666666667</v>
      </c>
    </row>
    <row r="36" customFormat="false" ht="12.75" hidden="false" customHeight="false" outlineLevel="0" collapsed="false">
      <c r="A36" s="285" t="n">
        <v>9888</v>
      </c>
      <c r="B36" s="285" t="s">
        <v>44</v>
      </c>
      <c r="C36" s="286" t="s">
        <v>158</v>
      </c>
      <c r="D36" s="287" t="s">
        <v>158</v>
      </c>
      <c r="E36" s="288" t="n">
        <f aca="false">IF(I36="regional",IF(R36*0.2975,S36*0.3484),S36*0.1939)</f>
        <v>0</v>
      </c>
      <c r="F36" s="288" t="n">
        <v>0</v>
      </c>
      <c r="G36" s="289" t="n">
        <f aca="false">E36+F36</f>
        <v>0</v>
      </c>
      <c r="H36" s="286" t="s">
        <v>49</v>
      </c>
      <c r="I36" s="287" t="s">
        <v>48</v>
      </c>
      <c r="J36" s="287" t="s">
        <v>44</v>
      </c>
      <c r="K36" s="287" t="s">
        <v>148</v>
      </c>
      <c r="M36" s="290" t="n">
        <v>0</v>
      </c>
      <c r="N36" s="290" t="n">
        <v>0</v>
      </c>
      <c r="O36" s="290" t="n">
        <v>0</v>
      </c>
      <c r="P36" s="290" t="n">
        <f aca="false">SUM(M36:O36)</f>
        <v>0</v>
      </c>
    </row>
    <row r="37" customFormat="false" ht="12.75" hidden="false" customHeight="false" outlineLevel="0" collapsed="false">
      <c r="A37" s="285" t="n">
        <v>511</v>
      </c>
      <c r="B37" s="285" t="s">
        <v>44</v>
      </c>
      <c r="C37" s="286" t="s">
        <v>159</v>
      </c>
      <c r="D37" s="287" t="s">
        <v>159</v>
      </c>
      <c r="E37" s="288" t="n">
        <f aca="false">IF(I37="regional",IF(R37*0.2975,S37*0.3484),S37*0.1939)</f>
        <v>0</v>
      </c>
      <c r="F37" s="288" t="n">
        <v>561163</v>
      </c>
      <c r="G37" s="289" t="n">
        <f aca="false">E37+F37</f>
        <v>561163</v>
      </c>
      <c r="H37" s="286"/>
      <c r="I37" s="287" t="s">
        <v>48</v>
      </c>
      <c r="J37" s="287" t="s">
        <v>44</v>
      </c>
      <c r="K37" s="287" t="s">
        <v>160</v>
      </c>
      <c r="M37" s="290" t="n">
        <v>6555555.55555556</v>
      </c>
      <c r="N37" s="290" t="n">
        <v>2444444.44444444</v>
      </c>
      <c r="O37" s="290" t="n">
        <v>0</v>
      </c>
      <c r="P37" s="290" t="n">
        <f aca="false">SUM(M37:O37)</f>
        <v>9000000</v>
      </c>
    </row>
    <row r="38" customFormat="false" ht="12.75" hidden="false" customHeight="false" outlineLevel="0" collapsed="false">
      <c r="A38" s="285" t="n">
        <v>564</v>
      </c>
      <c r="B38" s="285" t="s">
        <v>44</v>
      </c>
      <c r="C38" s="286" t="s">
        <v>161</v>
      </c>
      <c r="D38" s="287" t="s">
        <v>161</v>
      </c>
      <c r="E38" s="288" t="n">
        <f aca="false">IF(I38="regional",IF(R38*0.2975,S38*0.3484),S38*0.1939)</f>
        <v>0</v>
      </c>
      <c r="F38" s="288" t="n">
        <v>0</v>
      </c>
      <c r="G38" s="289" t="n">
        <f aca="false">E38+F38</f>
        <v>0</v>
      </c>
      <c r="H38" s="286" t="s">
        <v>49</v>
      </c>
      <c r="I38" s="287" t="s">
        <v>48</v>
      </c>
      <c r="J38" s="287" t="s">
        <v>44</v>
      </c>
      <c r="K38" s="287" t="s">
        <v>115</v>
      </c>
      <c r="M38" s="290" t="n">
        <v>0</v>
      </c>
      <c r="N38" s="290" t="n">
        <v>0</v>
      </c>
      <c r="O38" s="290" t="n">
        <v>0</v>
      </c>
      <c r="P38" s="290" t="n">
        <f aca="false">SUM(M38:O38)</f>
        <v>0</v>
      </c>
    </row>
    <row r="39" customFormat="false" ht="12.75" hidden="false" customHeight="false" outlineLevel="0" collapsed="false">
      <c r="A39" s="298" t="n">
        <v>566</v>
      </c>
      <c r="B39" s="298"/>
      <c r="C39" s="299" t="s">
        <v>161</v>
      </c>
      <c r="D39" s="293" t="s">
        <v>161</v>
      </c>
      <c r="E39" s="288" t="n">
        <f aca="false">IF(I39="regional",IF(R39*0.2975,S39*0.3484),S39*0.1939)</f>
        <v>0</v>
      </c>
      <c r="F39" s="294"/>
      <c r="G39" s="289" t="n">
        <f aca="false">E39+F39</f>
        <v>0</v>
      </c>
      <c r="H39" s="292" t="s">
        <v>49</v>
      </c>
      <c r="I39" s="293" t="s">
        <v>718</v>
      </c>
      <c r="J39" s="293"/>
      <c r="K39" s="293"/>
      <c r="M39" s="290" t="n">
        <v>0</v>
      </c>
      <c r="N39" s="290" t="n">
        <v>0</v>
      </c>
      <c r="O39" s="290" t="n">
        <v>0</v>
      </c>
      <c r="P39" s="290" t="n">
        <f aca="false">SUM(M39:O39)</f>
        <v>0</v>
      </c>
    </row>
    <row r="40" customFormat="false" ht="12.75" hidden="false" customHeight="false" outlineLevel="0" collapsed="false">
      <c r="A40" s="285" t="n">
        <v>526</v>
      </c>
      <c r="B40" s="285" t="s">
        <v>44</v>
      </c>
      <c r="C40" s="286" t="s">
        <v>726</v>
      </c>
      <c r="D40" s="287" t="s">
        <v>162</v>
      </c>
      <c r="E40" s="288" t="n">
        <f aca="false">IF(I40="regional",IF(R40*0.2975,S40*0.3484),S40*0.1939)</f>
        <v>0</v>
      </c>
      <c r="F40" s="288" t="n">
        <v>137606</v>
      </c>
      <c r="G40" s="289" t="n">
        <f aca="false">E40+F40</f>
        <v>137606</v>
      </c>
      <c r="H40" s="286" t="s">
        <v>49</v>
      </c>
      <c r="I40" s="287" t="s">
        <v>48</v>
      </c>
      <c r="J40" s="287" t="s">
        <v>44</v>
      </c>
      <c r="K40" s="287" t="s">
        <v>115</v>
      </c>
      <c r="M40" s="290" t="n">
        <v>0</v>
      </c>
      <c r="N40" s="290" t="n">
        <v>0</v>
      </c>
      <c r="O40" s="290" t="n">
        <v>0</v>
      </c>
      <c r="P40" s="290" t="n">
        <f aca="false">SUM(M40:O40)</f>
        <v>0</v>
      </c>
    </row>
    <row r="41" customFormat="false" ht="12.75" hidden="false" customHeight="false" outlineLevel="0" collapsed="false">
      <c r="A41" s="285" t="n">
        <v>548</v>
      </c>
      <c r="B41" s="285"/>
      <c r="C41" s="286" t="s">
        <v>163</v>
      </c>
      <c r="D41" s="287" t="s">
        <v>163</v>
      </c>
      <c r="E41" s="288" t="n">
        <f aca="false">IF(I41="regional",IF(R41*0.2975,S41*0.3484),S41*0.1939)</f>
        <v>0</v>
      </c>
      <c r="F41" s="288" t="n">
        <v>0</v>
      </c>
      <c r="G41" s="289" t="n">
        <f aca="false">E41+F41</f>
        <v>0</v>
      </c>
      <c r="H41" s="286" t="s">
        <v>49</v>
      </c>
      <c r="I41" s="287" t="s">
        <v>62</v>
      </c>
      <c r="J41" s="287"/>
      <c r="K41" s="287" t="s">
        <v>165</v>
      </c>
      <c r="M41" s="290" t="n">
        <v>0</v>
      </c>
      <c r="N41" s="290" t="n">
        <v>0</v>
      </c>
      <c r="O41" s="290" t="n">
        <v>0</v>
      </c>
      <c r="P41" s="290" t="n">
        <f aca="false">SUM(M41:O41)</f>
        <v>0</v>
      </c>
    </row>
    <row r="42" customFormat="false" ht="12.75" hidden="false" customHeight="false" outlineLevel="0" collapsed="false">
      <c r="A42" s="285" t="n">
        <v>540</v>
      </c>
      <c r="B42" s="285" t="s">
        <v>44</v>
      </c>
      <c r="C42" s="286" t="s">
        <v>168</v>
      </c>
      <c r="D42" s="287" t="s">
        <v>168</v>
      </c>
      <c r="E42" s="288" t="n">
        <f aca="false">IF(I42="regional",IF(R42*0.2975,S42*0.3484),S42*0.1939)</f>
        <v>0</v>
      </c>
      <c r="F42" s="288" t="n">
        <v>0</v>
      </c>
      <c r="G42" s="289" t="n">
        <f aca="false">E42+F42</f>
        <v>0</v>
      </c>
      <c r="H42" s="286"/>
      <c r="I42" s="287" t="s">
        <v>48</v>
      </c>
      <c r="J42" s="287" t="s">
        <v>44</v>
      </c>
      <c r="K42" s="287" t="s">
        <v>170</v>
      </c>
      <c r="M42" s="290" t="n">
        <v>402777.777777778</v>
      </c>
      <c r="N42" s="290" t="n">
        <v>875000</v>
      </c>
      <c r="O42" s="290" t="n">
        <v>180555.555555556</v>
      </c>
      <c r="P42" s="290" t="n">
        <f aca="false">SUM(M42:O42)</f>
        <v>1458333.33333333</v>
      </c>
    </row>
    <row r="43" customFormat="false" ht="12.75" hidden="false" customHeight="false" outlineLevel="0" collapsed="false">
      <c r="A43" s="285" t="n">
        <v>8262</v>
      </c>
      <c r="B43" s="285"/>
      <c r="C43" s="286" t="s">
        <v>171</v>
      </c>
      <c r="D43" s="287" t="s">
        <v>171</v>
      </c>
      <c r="E43" s="288" t="n">
        <f aca="false">IF(I43="regional",IF(R43*0.2975,S43*0.3484),S43*0.1939)</f>
        <v>0</v>
      </c>
      <c r="F43" s="288" t="n">
        <v>0</v>
      </c>
      <c r="G43" s="289" t="n">
        <f aca="false">E43+F43</f>
        <v>0</v>
      </c>
      <c r="H43" s="286"/>
      <c r="I43" s="287" t="s">
        <v>48</v>
      </c>
      <c r="J43" s="287" t="s">
        <v>49</v>
      </c>
      <c r="K43" s="287" t="s">
        <v>174</v>
      </c>
      <c r="M43" s="290" t="n">
        <v>0</v>
      </c>
      <c r="N43" s="290" t="n">
        <v>1166666.66666667</v>
      </c>
      <c r="O43" s="290" t="n">
        <v>-41666.6666666667</v>
      </c>
      <c r="P43" s="290" t="n">
        <f aca="false">SUM(M43:O43)</f>
        <v>1125000</v>
      </c>
    </row>
    <row r="44" customFormat="false" ht="12.75" hidden="false" customHeight="false" outlineLevel="0" collapsed="false">
      <c r="A44" s="285" t="n">
        <v>9862</v>
      </c>
      <c r="B44" s="285"/>
      <c r="C44" s="286" t="s">
        <v>175</v>
      </c>
      <c r="D44" s="287" t="s">
        <v>175</v>
      </c>
      <c r="E44" s="288" t="n">
        <f aca="false">IF(I44="regional",IF(R44*0.2975,S44*0.3484),S44*0.1939)</f>
        <v>0</v>
      </c>
      <c r="F44" s="288" t="n">
        <v>0</v>
      </c>
      <c r="G44" s="289" t="n">
        <f aca="false">E44+F44</f>
        <v>0</v>
      </c>
      <c r="H44" s="286" t="s">
        <v>49</v>
      </c>
      <c r="I44" s="287" t="s">
        <v>48</v>
      </c>
      <c r="J44" s="287" t="s">
        <v>49</v>
      </c>
      <c r="K44" s="287" t="s">
        <v>105</v>
      </c>
      <c r="M44" s="290" t="n">
        <v>0</v>
      </c>
      <c r="N44" s="290" t="n">
        <v>0</v>
      </c>
      <c r="O44" s="290" t="n">
        <v>0</v>
      </c>
      <c r="P44" s="290" t="n">
        <f aca="false">SUM(M44:O44)</f>
        <v>0</v>
      </c>
    </row>
    <row r="45" customFormat="false" ht="12.75" hidden="false" customHeight="false" outlineLevel="0" collapsed="false">
      <c r="A45" s="285" t="n">
        <v>552</v>
      </c>
      <c r="B45" s="285"/>
      <c r="C45" s="286" t="s">
        <v>177</v>
      </c>
      <c r="D45" s="287" t="s">
        <v>177</v>
      </c>
      <c r="E45" s="288" t="n">
        <f aca="false">IF(I45="regional",IF(R45*0.2975,S45*0.3484),S45*0.1939)</f>
        <v>0</v>
      </c>
      <c r="F45" s="288" t="n">
        <v>0</v>
      </c>
      <c r="G45" s="289" t="n">
        <f aca="false">E45+F45</f>
        <v>0</v>
      </c>
      <c r="H45" s="286"/>
      <c r="I45" s="287" t="s">
        <v>48</v>
      </c>
      <c r="J45" s="287"/>
      <c r="K45" s="287" t="s">
        <v>179</v>
      </c>
      <c r="M45" s="290" t="n">
        <v>0</v>
      </c>
      <c r="N45" s="290" t="n">
        <v>2583333.33333333</v>
      </c>
      <c r="O45" s="290" t="n">
        <v>27777.7777777778</v>
      </c>
      <c r="P45" s="290" t="n">
        <f aca="false">SUM(M45:O45)</f>
        <v>2611111.11111111</v>
      </c>
    </row>
    <row r="46" customFormat="false" ht="12.75" hidden="false" customHeight="false" outlineLevel="0" collapsed="false">
      <c r="A46" s="285" t="n">
        <v>549</v>
      </c>
      <c r="B46" s="285" t="s">
        <v>44</v>
      </c>
      <c r="C46" s="286" t="s">
        <v>180</v>
      </c>
      <c r="D46" s="287" t="s">
        <v>180</v>
      </c>
      <c r="E46" s="288" t="n">
        <f aca="false">IF(I46="regional",IF(R46*0.2975,S46*0.3484),S46*0.1939)</f>
        <v>0</v>
      </c>
      <c r="F46" s="288" t="n">
        <v>392500</v>
      </c>
      <c r="G46" s="289" t="n">
        <f aca="false">E46+F46</f>
        <v>392500</v>
      </c>
      <c r="H46" s="286"/>
      <c r="I46" s="287" t="s">
        <v>48</v>
      </c>
      <c r="J46" s="287" t="s">
        <v>44</v>
      </c>
      <c r="K46" s="287" t="s">
        <v>183</v>
      </c>
      <c r="M46" s="290" t="n">
        <v>3791666.66666667</v>
      </c>
      <c r="N46" s="290" t="n">
        <v>1652777.77777778</v>
      </c>
      <c r="O46" s="290" t="n">
        <v>0</v>
      </c>
      <c r="P46" s="290" t="n">
        <f aca="false">SUM(M46:O46)</f>
        <v>5444444.44444445</v>
      </c>
    </row>
    <row r="47" customFormat="false" ht="12.75" hidden="false" customHeight="false" outlineLevel="0" collapsed="false">
      <c r="A47" s="285" t="n">
        <v>2315</v>
      </c>
      <c r="B47" s="285"/>
      <c r="C47" s="286" t="s">
        <v>185</v>
      </c>
      <c r="D47" s="287" t="s">
        <v>185</v>
      </c>
      <c r="E47" s="288" t="n">
        <f aca="false">IF(I47="regional",IF(R47*0.2975,S47*0.3484),S47*0.1939)</f>
        <v>0</v>
      </c>
      <c r="F47" s="288" t="n">
        <v>525332</v>
      </c>
      <c r="G47" s="289" t="n">
        <f aca="false">E47+F47</f>
        <v>525332</v>
      </c>
      <c r="H47" s="286"/>
      <c r="I47" s="287" t="s">
        <v>62</v>
      </c>
      <c r="J47" s="287"/>
      <c r="K47" s="287" t="s">
        <v>187</v>
      </c>
      <c r="M47" s="290" t="n">
        <v>0</v>
      </c>
      <c r="N47" s="290" t="n">
        <v>277777.777777778</v>
      </c>
      <c r="O47" s="290" t="n">
        <v>125000</v>
      </c>
      <c r="P47" s="290" t="n">
        <f aca="false">SUM(M47:O47)</f>
        <v>402777.777777778</v>
      </c>
    </row>
    <row r="48" customFormat="false" ht="12.75" hidden="false" customHeight="false" outlineLevel="0" collapsed="false">
      <c r="A48" s="285" t="n">
        <v>582</v>
      </c>
      <c r="B48" s="285" t="s">
        <v>44</v>
      </c>
      <c r="C48" s="286" t="s">
        <v>188</v>
      </c>
      <c r="D48" s="287" t="s">
        <v>188</v>
      </c>
      <c r="E48" s="288" t="n">
        <f aca="false">IF(I48="regional",IF(R48*0.2975,S48*0.3484),S48*0.1939)</f>
        <v>0</v>
      </c>
      <c r="F48" s="288" t="n">
        <v>570437</v>
      </c>
      <c r="G48" s="289" t="n">
        <f aca="false">E48+F48</f>
        <v>570437</v>
      </c>
      <c r="H48" s="286"/>
      <c r="I48" s="287" t="s">
        <v>48</v>
      </c>
      <c r="J48" s="287" t="s">
        <v>44</v>
      </c>
      <c r="K48" s="287" t="s">
        <v>191</v>
      </c>
      <c r="M48" s="290" t="n">
        <v>2333333.33333333</v>
      </c>
      <c r="N48" s="290" t="n">
        <v>1430555.55555556</v>
      </c>
      <c r="O48" s="290" t="n">
        <v>0</v>
      </c>
      <c r="P48" s="290" t="n">
        <f aca="false">SUM(M48:O48)</f>
        <v>3763888.88888889</v>
      </c>
    </row>
    <row r="49" customFormat="false" ht="12.75" hidden="false" customHeight="false" outlineLevel="0" collapsed="false">
      <c r="A49" s="285" t="n">
        <v>584</v>
      </c>
      <c r="B49" s="285"/>
      <c r="C49" s="286" t="s">
        <v>675</v>
      </c>
      <c r="D49" s="287" t="s">
        <v>675</v>
      </c>
      <c r="E49" s="288" t="n">
        <f aca="false">IF(I49="regional",IF(R49*0.2975,S49*0.3484),S49*0.1939)</f>
        <v>0</v>
      </c>
      <c r="F49" s="288" t="n">
        <v>0</v>
      </c>
      <c r="G49" s="289" t="n">
        <f aca="false">E49+F49</f>
        <v>0</v>
      </c>
      <c r="H49" s="286" t="s">
        <v>49</v>
      </c>
      <c r="I49" s="287" t="s">
        <v>62</v>
      </c>
      <c r="J49" s="287"/>
      <c r="K49" s="287" t="s">
        <v>98</v>
      </c>
      <c r="M49" s="290" t="n">
        <v>0</v>
      </c>
      <c r="N49" s="290" t="n">
        <v>0</v>
      </c>
      <c r="O49" s="290" t="n">
        <v>0</v>
      </c>
      <c r="P49" s="290" t="n">
        <f aca="false">SUM(M49:O49)</f>
        <v>0</v>
      </c>
    </row>
    <row r="50" customFormat="false" ht="12.75" hidden="false" customHeight="false" outlineLevel="0" collapsed="false">
      <c r="A50" s="285" t="n">
        <v>8287</v>
      </c>
      <c r="B50" s="285"/>
      <c r="C50" s="286" t="s">
        <v>194</v>
      </c>
      <c r="D50" s="287" t="s">
        <v>194</v>
      </c>
      <c r="E50" s="288" t="n">
        <f aca="false">IF(I50="regional",IF(R50*0.2975,S50*0.3484),S50*0.1939)</f>
        <v>0</v>
      </c>
      <c r="F50" s="288" t="n">
        <v>172758</v>
      </c>
      <c r="G50" s="289" t="n">
        <f aca="false">E50+F50</f>
        <v>172758</v>
      </c>
      <c r="H50" s="286"/>
      <c r="I50" s="287" t="s">
        <v>48</v>
      </c>
      <c r="J50" s="287" t="s">
        <v>49</v>
      </c>
      <c r="K50" s="287" t="s">
        <v>196</v>
      </c>
      <c r="M50" s="290" t="n">
        <v>2041666.66666667</v>
      </c>
      <c r="N50" s="290" t="n">
        <v>486111.111111111</v>
      </c>
      <c r="O50" s="290" t="n">
        <v>55555.5555555556</v>
      </c>
      <c r="P50" s="290" t="n">
        <f aca="false">SUM(M50:O50)</f>
        <v>2583333.33333333</v>
      </c>
    </row>
    <row r="51" customFormat="false" ht="12.75" hidden="false" customHeight="false" outlineLevel="0" collapsed="false">
      <c r="A51" s="285" t="n">
        <v>735</v>
      </c>
      <c r="B51" s="285" t="s">
        <v>44</v>
      </c>
      <c r="C51" s="286" t="s">
        <v>197</v>
      </c>
      <c r="D51" s="287" t="s">
        <v>197</v>
      </c>
      <c r="E51" s="288" t="n">
        <f aca="false">IF(I51="regional",IF(R51*0.2975,S51*0.3484),S51*0.1939)</f>
        <v>0</v>
      </c>
      <c r="F51" s="288" t="n">
        <v>0</v>
      </c>
      <c r="G51" s="289" t="n">
        <f aca="false">E51+F51</f>
        <v>0</v>
      </c>
      <c r="H51" s="286" t="s">
        <v>49</v>
      </c>
      <c r="I51" s="287" t="s">
        <v>48</v>
      </c>
      <c r="J51" s="287" t="s">
        <v>49</v>
      </c>
      <c r="K51" s="287" t="s">
        <v>105</v>
      </c>
      <c r="M51" s="290" t="n">
        <v>0</v>
      </c>
      <c r="N51" s="290" t="n">
        <v>0</v>
      </c>
      <c r="O51" s="290" t="n">
        <v>0</v>
      </c>
      <c r="P51" s="290" t="n">
        <f aca="false">SUM(M51:O51)</f>
        <v>0</v>
      </c>
    </row>
    <row r="52" customFormat="false" ht="12.75" hidden="false" customHeight="false" outlineLevel="0" collapsed="false">
      <c r="A52" s="285" t="n">
        <v>8158</v>
      </c>
      <c r="B52" s="285"/>
      <c r="C52" s="286" t="s">
        <v>199</v>
      </c>
      <c r="D52" s="287" t="s">
        <v>199</v>
      </c>
      <c r="E52" s="288" t="n">
        <f aca="false">IF(I52="regional",IF(R52*0.2975,S52*0.3484),S52*0.1939)</f>
        <v>0</v>
      </c>
      <c r="F52" s="288" t="n">
        <v>0</v>
      </c>
      <c r="G52" s="289" t="n">
        <f aca="false">E52+F52</f>
        <v>0</v>
      </c>
      <c r="H52" s="286"/>
      <c r="I52" s="287" t="s">
        <v>48</v>
      </c>
      <c r="J52" s="287" t="s">
        <v>49</v>
      </c>
      <c r="K52" s="287" t="s">
        <v>105</v>
      </c>
      <c r="M52" s="290" t="n">
        <v>0</v>
      </c>
      <c r="N52" s="290" t="n">
        <v>2305555.55555556</v>
      </c>
      <c r="O52" s="290" t="n">
        <v>83333.3333333333</v>
      </c>
      <c r="P52" s="290" t="n">
        <f aca="false">SUM(M52:O52)</f>
        <v>2388888.88888889</v>
      </c>
    </row>
    <row r="53" customFormat="false" ht="12.75" hidden="false" customHeight="false" outlineLevel="0" collapsed="false">
      <c r="A53" s="285" t="n">
        <v>8185</v>
      </c>
      <c r="B53" s="285"/>
      <c r="C53" s="286" t="s">
        <v>201</v>
      </c>
      <c r="D53" s="287" t="s">
        <v>201</v>
      </c>
      <c r="E53" s="288" t="n">
        <f aca="false">IF(I53="regional",IF(R53*0.2975,S53*0.3484),S53*0.1939)</f>
        <v>0</v>
      </c>
      <c r="F53" s="288" t="n">
        <v>0</v>
      </c>
      <c r="G53" s="289" t="n">
        <f aca="false">E53+F53</f>
        <v>0</v>
      </c>
      <c r="H53" s="286"/>
      <c r="I53" s="287" t="s">
        <v>48</v>
      </c>
      <c r="J53" s="287" t="s">
        <v>49</v>
      </c>
      <c r="K53" s="287" t="s">
        <v>203</v>
      </c>
      <c r="M53" s="290" t="n">
        <v>0</v>
      </c>
      <c r="N53" s="290" t="n">
        <v>4097222.22222222</v>
      </c>
      <c r="O53" s="290" t="n">
        <v>41666.6666666667</v>
      </c>
      <c r="P53" s="290" t="n">
        <f aca="false">SUM(M53:O53)</f>
        <v>4138888.88888889</v>
      </c>
    </row>
    <row r="54" customFormat="false" ht="12.75" hidden="false" customHeight="false" outlineLevel="0" collapsed="false">
      <c r="A54" s="285" t="n">
        <v>914</v>
      </c>
      <c r="B54" s="285"/>
      <c r="C54" s="286" t="s">
        <v>204</v>
      </c>
      <c r="D54" s="287" t="s">
        <v>204</v>
      </c>
      <c r="E54" s="288" t="n">
        <f aca="false">IF(I54="regional",IF(R54*0.2975,S54*0.3484),S54*0.1939)</f>
        <v>0</v>
      </c>
      <c r="F54" s="288" t="n">
        <v>411697</v>
      </c>
      <c r="G54" s="289" t="n">
        <f aca="false">E54+F54</f>
        <v>411697</v>
      </c>
      <c r="H54" s="286"/>
      <c r="I54" s="287" t="s">
        <v>48</v>
      </c>
      <c r="J54" s="287" t="s">
        <v>49</v>
      </c>
      <c r="K54" s="287" t="s">
        <v>205</v>
      </c>
      <c r="M54" s="290" t="n">
        <v>1666666.66666667</v>
      </c>
      <c r="N54" s="290" t="n">
        <v>652777.777777778</v>
      </c>
      <c r="O54" s="290" t="n">
        <v>361111.111111111</v>
      </c>
      <c r="P54" s="290" t="n">
        <f aca="false">SUM(M54:O54)</f>
        <v>2680555.55555556</v>
      </c>
    </row>
    <row r="55" customFormat="false" ht="12.75" hidden="false" customHeight="false" outlineLevel="0" collapsed="false">
      <c r="A55" s="285" t="n">
        <v>3937</v>
      </c>
      <c r="B55" s="285" t="s">
        <v>44</v>
      </c>
      <c r="C55" s="286" t="s">
        <v>206</v>
      </c>
      <c r="D55" s="287" t="s">
        <v>206</v>
      </c>
      <c r="E55" s="288" t="n">
        <f aca="false">IF(I55="regional",IF(R55*0.2975,S55*0.3484),S55*0.1939)</f>
        <v>0</v>
      </c>
      <c r="F55" s="288" t="n">
        <v>488909</v>
      </c>
      <c r="G55" s="289" t="n">
        <f aca="false">E55+F55</f>
        <v>488909</v>
      </c>
      <c r="H55" s="286"/>
      <c r="I55" s="287" t="s">
        <v>48</v>
      </c>
      <c r="J55" s="287" t="s">
        <v>44</v>
      </c>
      <c r="K55" s="287" t="s">
        <v>209</v>
      </c>
      <c r="M55" s="290" t="n">
        <v>1680555.55555556</v>
      </c>
      <c r="N55" s="290" t="n">
        <v>1125000</v>
      </c>
      <c r="O55" s="290" t="n">
        <v>83333.3333333333</v>
      </c>
      <c r="P55" s="290" t="n">
        <f aca="false">SUM(M55:O55)</f>
        <v>2888888.88888889</v>
      </c>
    </row>
    <row r="56" customFormat="false" ht="12.75" hidden="false" customHeight="false" outlineLevel="0" collapsed="false">
      <c r="A56" s="285" t="n">
        <v>4773</v>
      </c>
      <c r="B56" s="285" t="s">
        <v>44</v>
      </c>
      <c r="C56" s="286" t="s">
        <v>210</v>
      </c>
      <c r="D56" s="287" t="s">
        <v>210</v>
      </c>
      <c r="E56" s="288" t="n">
        <f aca="false">IF(I56="regional",IF(R56*0.2975,S56*0.3484),S56*0.1939)</f>
        <v>0</v>
      </c>
      <c r="F56" s="288" t="n">
        <v>0</v>
      </c>
      <c r="G56" s="289" t="n">
        <f aca="false">E56+F56</f>
        <v>0</v>
      </c>
      <c r="H56" s="286" t="s">
        <v>49</v>
      </c>
      <c r="I56" s="287" t="s">
        <v>48</v>
      </c>
      <c r="J56" s="287" t="s">
        <v>44</v>
      </c>
      <c r="K56" s="287" t="s">
        <v>212</v>
      </c>
      <c r="M56" s="290" t="n">
        <v>0</v>
      </c>
      <c r="N56" s="290" t="n">
        <v>0</v>
      </c>
      <c r="O56" s="290" t="n">
        <v>0</v>
      </c>
      <c r="P56" s="290" t="n">
        <f aca="false">SUM(M56:O56)</f>
        <v>0</v>
      </c>
    </row>
    <row r="57" customFormat="false" ht="12.75" hidden="false" customHeight="false" outlineLevel="0" collapsed="false">
      <c r="A57" s="285" t="n">
        <v>918</v>
      </c>
      <c r="B57" s="285"/>
      <c r="C57" s="286" t="s">
        <v>213</v>
      </c>
      <c r="D57" s="287" t="s">
        <v>213</v>
      </c>
      <c r="E57" s="288" t="n">
        <f aca="false">IF(I57="regional",IF(R57*0.2975,S57*0.3484),S57*0.1939)</f>
        <v>0</v>
      </c>
      <c r="F57" s="288" t="n">
        <v>0</v>
      </c>
      <c r="G57" s="289" t="n">
        <f aca="false">E57+F57</f>
        <v>0</v>
      </c>
      <c r="H57" s="286"/>
      <c r="I57" s="287" t="s">
        <v>62</v>
      </c>
      <c r="J57" s="287"/>
      <c r="K57" s="287" t="s">
        <v>214</v>
      </c>
      <c r="M57" s="290" t="n">
        <v>0</v>
      </c>
      <c r="N57" s="290" t="n">
        <v>83333.3333333333</v>
      </c>
      <c r="O57" s="290" t="n">
        <v>0</v>
      </c>
      <c r="P57" s="290" t="n">
        <f aca="false">SUM(M57:O57)</f>
        <v>83333.3333333333</v>
      </c>
    </row>
    <row r="58" customFormat="false" ht="12.75" hidden="false" customHeight="false" outlineLevel="0" collapsed="false">
      <c r="A58" s="285" t="n">
        <v>4662</v>
      </c>
      <c r="B58" s="285"/>
      <c r="C58" s="286" t="s">
        <v>215</v>
      </c>
      <c r="D58" s="287" t="s">
        <v>215</v>
      </c>
      <c r="E58" s="288" t="n">
        <f aca="false">IF(I58="regional",IF(R58*0.2975,S58*0.3484),S58*0.1939)</f>
        <v>0</v>
      </c>
      <c r="F58" s="288" t="n">
        <v>0</v>
      </c>
      <c r="G58" s="289" t="n">
        <f aca="false">E58+F58</f>
        <v>0</v>
      </c>
      <c r="H58" s="286"/>
      <c r="I58" s="287" t="s">
        <v>48</v>
      </c>
      <c r="J58" s="287" t="s">
        <v>49</v>
      </c>
      <c r="K58" s="287" t="s">
        <v>105</v>
      </c>
      <c r="M58" s="290" t="n">
        <v>0</v>
      </c>
      <c r="N58" s="290" t="n">
        <v>2152777.77777778</v>
      </c>
      <c r="O58" s="290" t="n">
        <v>13888.8888888889</v>
      </c>
      <c r="P58" s="290" t="n">
        <f aca="false">SUM(M58:O58)</f>
        <v>2166666.66666667</v>
      </c>
    </row>
    <row r="59" customFormat="false" ht="12.75" hidden="false" customHeight="false" outlineLevel="0" collapsed="false">
      <c r="A59" s="285" t="n">
        <v>1101</v>
      </c>
      <c r="B59" s="285"/>
      <c r="C59" s="286" t="s">
        <v>676</v>
      </c>
      <c r="D59" s="287" t="s">
        <v>676</v>
      </c>
      <c r="E59" s="288" t="n">
        <f aca="false">IF(I59="regional",IF(R59*0.2975,S59*0.3484),S59*0.1939)</f>
        <v>0</v>
      </c>
      <c r="F59" s="288" t="n">
        <v>0</v>
      </c>
      <c r="G59" s="289" t="n">
        <f aca="false">E59+F59</f>
        <v>0</v>
      </c>
      <c r="H59" s="286" t="s">
        <v>49</v>
      </c>
      <c r="I59" s="287" t="s">
        <v>62</v>
      </c>
      <c r="J59" s="287"/>
      <c r="K59" s="287" t="s">
        <v>148</v>
      </c>
      <c r="M59" s="290" t="n">
        <v>0</v>
      </c>
      <c r="N59" s="290" t="n">
        <v>0</v>
      </c>
      <c r="O59" s="290" t="n">
        <v>0</v>
      </c>
      <c r="P59" s="290" t="n">
        <f aca="false">SUM(M59:O59)</f>
        <v>0</v>
      </c>
    </row>
    <row r="60" customFormat="false" ht="22.5" hidden="false" customHeight="false" outlineLevel="0" collapsed="false">
      <c r="A60" s="285" t="n">
        <v>1116</v>
      </c>
      <c r="B60" s="285" t="s">
        <v>44</v>
      </c>
      <c r="C60" s="286" t="s">
        <v>221</v>
      </c>
      <c r="D60" s="287" t="s">
        <v>221</v>
      </c>
      <c r="E60" s="288" t="n">
        <f aca="false">IF(I60="regional",IF(R60*0.2975,S60*0.3484),S60*0.1939)</f>
        <v>0</v>
      </c>
      <c r="F60" s="288" t="n">
        <v>647222</v>
      </c>
      <c r="G60" s="289" t="n">
        <f aca="false">E60+F60</f>
        <v>647222</v>
      </c>
      <c r="H60" s="286" t="s">
        <v>49</v>
      </c>
      <c r="I60" s="287" t="s">
        <v>48</v>
      </c>
      <c r="J60" s="287" t="s">
        <v>44</v>
      </c>
      <c r="K60" s="287" t="s">
        <v>223</v>
      </c>
      <c r="M60" s="290" t="n">
        <v>0</v>
      </c>
      <c r="N60" s="290" t="n">
        <v>0</v>
      </c>
      <c r="O60" s="290" t="n">
        <v>0</v>
      </c>
      <c r="P60" s="290" t="n">
        <f aca="false">SUM(M60:O60)</f>
        <v>0</v>
      </c>
    </row>
    <row r="61" customFormat="false" ht="22.5" hidden="false" customHeight="false" outlineLevel="0" collapsed="false">
      <c r="A61" s="285" t="n">
        <v>2110</v>
      </c>
      <c r="B61" s="285"/>
      <c r="C61" s="286" t="s">
        <v>226</v>
      </c>
      <c r="D61" s="287" t="s">
        <v>226</v>
      </c>
      <c r="E61" s="288" t="n">
        <f aca="false">IF(I61="regional",IF(R61*0.2975,S61*0.3484),S61*0.1939)</f>
        <v>0</v>
      </c>
      <c r="F61" s="288" t="n">
        <v>0</v>
      </c>
      <c r="G61" s="289" t="n">
        <f aca="false">E61+F61</f>
        <v>0</v>
      </c>
      <c r="H61" s="286"/>
      <c r="I61" s="287" t="s">
        <v>48</v>
      </c>
      <c r="J61" s="287"/>
      <c r="K61" s="287"/>
      <c r="M61" s="290" t="n">
        <v>0</v>
      </c>
      <c r="N61" s="290" t="n">
        <v>1486111.11111111</v>
      </c>
      <c r="O61" s="290" t="n">
        <v>97222.2222222222</v>
      </c>
      <c r="P61" s="290" t="n">
        <f aca="false">SUM(M61:O61)</f>
        <v>1583333.33333333</v>
      </c>
    </row>
    <row r="62" customFormat="false" ht="12.75" hidden="false" customHeight="false" outlineLevel="0" collapsed="false">
      <c r="A62" s="285" t="n">
        <v>8544</v>
      </c>
      <c r="B62" s="285"/>
      <c r="C62" s="286" t="s">
        <v>227</v>
      </c>
      <c r="D62" s="287" t="s">
        <v>227</v>
      </c>
      <c r="E62" s="288" t="n">
        <f aca="false">IF(I62="regional",IF(R62*0.2975,S62*0.3484),S62*0.1939)</f>
        <v>0</v>
      </c>
      <c r="F62" s="288" t="n">
        <v>0</v>
      </c>
      <c r="G62" s="289" t="n">
        <f aca="false">E62+F62</f>
        <v>0</v>
      </c>
      <c r="H62" s="286" t="s">
        <v>49</v>
      </c>
      <c r="I62" s="287" t="s">
        <v>48</v>
      </c>
      <c r="J62" s="287"/>
      <c r="K62" s="287" t="s">
        <v>229</v>
      </c>
      <c r="M62" s="290" t="n">
        <v>0</v>
      </c>
      <c r="N62" s="290" t="n">
        <v>0</v>
      </c>
      <c r="O62" s="290" t="n">
        <v>0</v>
      </c>
      <c r="P62" s="290" t="n">
        <f aca="false">SUM(M62:O62)</f>
        <v>0</v>
      </c>
    </row>
    <row r="63" customFormat="false" ht="12.75" hidden="false" customHeight="false" outlineLevel="0" collapsed="false">
      <c r="A63" s="285" t="n">
        <v>1118</v>
      </c>
      <c r="B63" s="285"/>
      <c r="C63" s="286" t="s">
        <v>230</v>
      </c>
      <c r="D63" s="287" t="s">
        <v>230</v>
      </c>
      <c r="E63" s="288" t="n">
        <f aca="false">IF(I63="regional",IF(R63*0.2975,S63*0.3484),S63*0.1939)</f>
        <v>0</v>
      </c>
      <c r="F63" s="288" t="n">
        <v>0</v>
      </c>
      <c r="G63" s="289" t="n">
        <f aca="false">E63+F63</f>
        <v>0</v>
      </c>
      <c r="H63" s="286"/>
      <c r="I63" s="287" t="s">
        <v>48</v>
      </c>
      <c r="J63" s="287" t="s">
        <v>49</v>
      </c>
      <c r="K63" s="287" t="s">
        <v>232</v>
      </c>
      <c r="M63" s="290" t="n">
        <v>361111.111111111</v>
      </c>
      <c r="N63" s="290" t="n">
        <v>319444.444444445</v>
      </c>
      <c r="O63" s="290" t="n">
        <v>69444.4444444445</v>
      </c>
      <c r="P63" s="290" t="n">
        <f aca="false">SUM(M63:O63)</f>
        <v>750000</v>
      </c>
    </row>
    <row r="64" customFormat="false" ht="12.75" hidden="false" customHeight="false" outlineLevel="0" collapsed="false">
      <c r="A64" s="285" t="n">
        <v>3555</v>
      </c>
      <c r="B64" s="285"/>
      <c r="C64" s="286" t="s">
        <v>233</v>
      </c>
      <c r="D64" s="287" t="s">
        <v>233</v>
      </c>
      <c r="E64" s="288" t="n">
        <f aca="false">IF(I64="regional",IF(R64*0.2975,S64*0.3484),S64*0.1939)</f>
        <v>0</v>
      </c>
      <c r="F64" s="288" t="n">
        <v>0</v>
      </c>
      <c r="G64" s="289" t="n">
        <f aca="false">E64+F64</f>
        <v>0</v>
      </c>
      <c r="H64" s="286"/>
      <c r="I64" s="287" t="s">
        <v>62</v>
      </c>
      <c r="J64" s="287"/>
      <c r="K64" s="287" t="s">
        <v>98</v>
      </c>
      <c r="M64" s="290" t="n">
        <v>0</v>
      </c>
      <c r="N64" s="290" t="n">
        <v>277777.777777778</v>
      </c>
      <c r="O64" s="290" t="n">
        <v>0</v>
      </c>
      <c r="P64" s="290" t="n">
        <f aca="false">SUM(M64:O64)</f>
        <v>277777.777777778</v>
      </c>
    </row>
    <row r="65" customFormat="false" ht="12.75" hidden="false" customHeight="false" outlineLevel="0" collapsed="false">
      <c r="A65" s="285" t="n">
        <v>1125</v>
      </c>
      <c r="B65" s="285" t="s">
        <v>44</v>
      </c>
      <c r="C65" s="286" t="s">
        <v>235</v>
      </c>
      <c r="D65" s="287" t="s">
        <v>235</v>
      </c>
      <c r="E65" s="288" t="n">
        <f aca="false">IF(I65="regional",IF(R65*0.2975,S65*0.3484),S65*0.1939)</f>
        <v>0</v>
      </c>
      <c r="F65" s="288" t="n">
        <v>0</v>
      </c>
      <c r="G65" s="289" t="n">
        <f aca="false">E65+F65</f>
        <v>0</v>
      </c>
      <c r="H65" s="286"/>
      <c r="I65" s="287" t="s">
        <v>48</v>
      </c>
      <c r="J65" s="287" t="s">
        <v>44</v>
      </c>
      <c r="K65" s="287" t="s">
        <v>238</v>
      </c>
      <c r="M65" s="290" t="n">
        <v>236111.111111111</v>
      </c>
      <c r="N65" s="290" t="n">
        <v>513888.888888889</v>
      </c>
      <c r="O65" s="290" t="n">
        <v>0</v>
      </c>
      <c r="P65" s="290" t="n">
        <f aca="false">SUM(M65:O65)</f>
        <v>750000</v>
      </c>
    </row>
    <row r="66" customFormat="false" ht="12.75" hidden="false" customHeight="false" outlineLevel="0" collapsed="false">
      <c r="A66" s="285" t="n">
        <v>1145</v>
      </c>
      <c r="B66" s="285" t="s">
        <v>44</v>
      </c>
      <c r="C66" s="286" t="s">
        <v>239</v>
      </c>
      <c r="D66" s="287" t="s">
        <v>239</v>
      </c>
      <c r="E66" s="288" t="n">
        <f aca="false">IF(I66="regional",IF(R66*0.2975,S66*0.3484),S66*0.1939)</f>
        <v>0</v>
      </c>
      <c r="F66" s="288" t="n">
        <v>0</v>
      </c>
      <c r="G66" s="289" t="n">
        <f aca="false">E66+F66</f>
        <v>0</v>
      </c>
      <c r="H66" s="286" t="s">
        <v>49</v>
      </c>
      <c r="I66" s="287" t="s">
        <v>48</v>
      </c>
      <c r="J66" s="287" t="s">
        <v>44</v>
      </c>
      <c r="K66" s="287" t="s">
        <v>242</v>
      </c>
      <c r="M66" s="290" t="n">
        <v>0</v>
      </c>
      <c r="N66" s="290" t="n">
        <v>0</v>
      </c>
      <c r="O66" s="290" t="n">
        <v>0</v>
      </c>
      <c r="P66" s="290" t="n">
        <f aca="false">SUM(M66:O66)</f>
        <v>0</v>
      </c>
    </row>
    <row r="67" customFormat="false" ht="12.75" hidden="false" customHeight="false" outlineLevel="0" collapsed="false">
      <c r="A67" s="298" t="n">
        <v>1148</v>
      </c>
      <c r="B67" s="298" t="s">
        <v>44</v>
      </c>
      <c r="C67" s="299" t="s">
        <v>730</v>
      </c>
      <c r="D67" s="293" t="s">
        <v>730</v>
      </c>
      <c r="E67" s="288" t="n">
        <f aca="false">IF(I67="regional",IF(R67*0.2975,S67*0.3484),S67*0.1939)</f>
        <v>0</v>
      </c>
      <c r="F67" s="294"/>
      <c r="G67" s="289" t="n">
        <f aca="false">E67+F67</f>
        <v>0</v>
      </c>
      <c r="H67" s="292" t="s">
        <v>49</v>
      </c>
      <c r="I67" s="293" t="s">
        <v>48</v>
      </c>
      <c r="J67" s="293"/>
      <c r="K67" s="293"/>
      <c r="M67" s="290" t="n">
        <v>0</v>
      </c>
      <c r="N67" s="290" t="n">
        <v>0</v>
      </c>
      <c r="O67" s="290" t="n">
        <v>0</v>
      </c>
      <c r="P67" s="290" t="n">
        <f aca="false">SUM(M67:O67)</f>
        <v>0</v>
      </c>
    </row>
    <row r="68" customFormat="false" ht="12.75" hidden="false" customHeight="false" outlineLevel="0" collapsed="false">
      <c r="A68" s="285" t="n">
        <v>941</v>
      </c>
      <c r="B68" s="285"/>
      <c r="C68" s="286" t="s">
        <v>243</v>
      </c>
      <c r="D68" s="287" t="s">
        <v>243</v>
      </c>
      <c r="E68" s="288" t="n">
        <f aca="false">IF(I68="regional",IF(R68*0.2975,S68*0.3484),S68*0.1939)</f>
        <v>0</v>
      </c>
      <c r="F68" s="288" t="n">
        <v>0</v>
      </c>
      <c r="G68" s="289" t="n">
        <f aca="false">E68+F68</f>
        <v>0</v>
      </c>
      <c r="H68" s="286"/>
      <c r="I68" s="287" t="s">
        <v>62</v>
      </c>
      <c r="J68" s="287"/>
      <c r="K68" s="287" t="s">
        <v>98</v>
      </c>
      <c r="M68" s="290" t="n">
        <v>0</v>
      </c>
      <c r="N68" s="290" t="n">
        <v>222222.222222222</v>
      </c>
      <c r="O68" s="290" t="n">
        <v>472222.222222222</v>
      </c>
      <c r="P68" s="290" t="n">
        <f aca="false">SUM(M68:O68)</f>
        <v>694444.444444445</v>
      </c>
    </row>
    <row r="69" customFormat="false" ht="12.75" hidden="false" customHeight="false" outlineLevel="0" collapsed="false">
      <c r="A69" s="285" t="n">
        <v>1504</v>
      </c>
      <c r="B69" s="285"/>
      <c r="C69" s="286" t="s">
        <v>245</v>
      </c>
      <c r="D69" s="287" t="s">
        <v>245</v>
      </c>
      <c r="E69" s="288" t="n">
        <f aca="false">IF(I69="regional",IF(R69*0.2975,S69*0.3484),S69*0.1939)</f>
        <v>0</v>
      </c>
      <c r="F69" s="288" t="n">
        <v>0</v>
      </c>
      <c r="G69" s="289" t="n">
        <f aca="false">E69+F69</f>
        <v>0</v>
      </c>
      <c r="H69" s="286"/>
      <c r="I69" s="287" t="s">
        <v>48</v>
      </c>
      <c r="J69" s="287" t="s">
        <v>49</v>
      </c>
      <c r="K69" s="287" t="s">
        <v>247</v>
      </c>
      <c r="M69" s="290" t="n">
        <v>0</v>
      </c>
      <c r="N69" s="290" t="n">
        <v>222222.222222222</v>
      </c>
      <c r="O69" s="290" t="n">
        <v>83333.3333333333</v>
      </c>
      <c r="P69" s="290" t="n">
        <f aca="false">SUM(M69:O69)</f>
        <v>305555.555555556</v>
      </c>
    </row>
    <row r="70" customFormat="false" ht="12.75" hidden="false" customHeight="false" outlineLevel="0" collapsed="false">
      <c r="A70" s="285" t="n">
        <v>509</v>
      </c>
      <c r="B70" s="285"/>
      <c r="C70" s="286" t="s">
        <v>248</v>
      </c>
      <c r="D70" s="287" t="s">
        <v>248</v>
      </c>
      <c r="E70" s="288" t="n">
        <f aca="false">IF(I70="regional",IF(R70*0.2975,S70*0.3484),S70*0.1939)</f>
        <v>0</v>
      </c>
      <c r="F70" s="288" t="n">
        <v>0</v>
      </c>
      <c r="G70" s="289" t="n">
        <f aca="false">E70+F70</f>
        <v>0</v>
      </c>
      <c r="H70" s="286" t="s">
        <v>49</v>
      </c>
      <c r="I70" s="287" t="s">
        <v>62</v>
      </c>
      <c r="J70" s="287"/>
      <c r="K70" s="287" t="s">
        <v>250</v>
      </c>
      <c r="M70" s="290" t="n">
        <v>0</v>
      </c>
      <c r="N70" s="290" t="n">
        <v>0</v>
      </c>
      <c r="O70" s="290" t="n">
        <v>0</v>
      </c>
      <c r="P70" s="290" t="n">
        <f aca="false">SUM(M70:O70)</f>
        <v>0</v>
      </c>
    </row>
    <row r="71" customFormat="false" ht="12.75" hidden="false" customHeight="false" outlineLevel="0" collapsed="false">
      <c r="A71" s="285" t="n">
        <v>8638</v>
      </c>
      <c r="B71" s="285"/>
      <c r="C71" s="286" t="s">
        <v>251</v>
      </c>
      <c r="D71" s="287" t="s">
        <v>251</v>
      </c>
      <c r="E71" s="288" t="n">
        <f aca="false">IF(I71="regional",IF(R71*0.2975,S71*0.3484),S71*0.1939)</f>
        <v>0</v>
      </c>
      <c r="F71" s="288" t="n">
        <v>0</v>
      </c>
      <c r="G71" s="289" t="n">
        <f aca="false">E71+F71</f>
        <v>0</v>
      </c>
      <c r="H71" s="286"/>
      <c r="I71" s="287" t="s">
        <v>48</v>
      </c>
      <c r="J71" s="287" t="s">
        <v>49</v>
      </c>
      <c r="K71" s="287" t="s">
        <v>253</v>
      </c>
      <c r="M71" s="290" t="n">
        <v>0</v>
      </c>
      <c r="N71" s="290" t="n">
        <v>1347222.22222222</v>
      </c>
      <c r="O71" s="290" t="n">
        <v>250000</v>
      </c>
      <c r="P71" s="290" t="n">
        <f aca="false">SUM(M71:O71)</f>
        <v>1597222.22222222</v>
      </c>
    </row>
    <row r="72" customFormat="false" ht="12.75" hidden="false" customHeight="false" outlineLevel="0" collapsed="false">
      <c r="A72" s="285" t="n">
        <v>1313</v>
      </c>
      <c r="B72" s="285" t="s">
        <v>44</v>
      </c>
      <c r="C72" s="286" t="s">
        <v>254</v>
      </c>
      <c r="D72" s="287" t="s">
        <v>254</v>
      </c>
      <c r="E72" s="288" t="n">
        <f aca="false">IF(I72="regional",IF(R72*0.2975,S72*0.3484),S72*0.1939)</f>
        <v>0</v>
      </c>
      <c r="F72" s="288" t="n">
        <v>357362</v>
      </c>
      <c r="G72" s="289" t="n">
        <f aca="false">E72+F72</f>
        <v>357362</v>
      </c>
      <c r="H72" s="286"/>
      <c r="I72" s="287" t="s">
        <v>48</v>
      </c>
      <c r="J72" s="287" t="s">
        <v>44</v>
      </c>
      <c r="K72" s="287" t="s">
        <v>253</v>
      </c>
      <c r="M72" s="290" t="n">
        <v>2777777.77777778</v>
      </c>
      <c r="N72" s="290" t="n">
        <v>1611111.11111111</v>
      </c>
      <c r="O72" s="290" t="n">
        <v>13888.8888888889</v>
      </c>
      <c r="P72" s="290" t="n">
        <f aca="false">SUM(M72:O72)</f>
        <v>4402777.77777778</v>
      </c>
    </row>
    <row r="73" customFormat="false" ht="12.75" hidden="false" customHeight="false" outlineLevel="0" collapsed="false">
      <c r="A73" s="298" t="n">
        <v>705</v>
      </c>
      <c r="B73" s="298" t="s">
        <v>44</v>
      </c>
      <c r="C73" s="299" t="s">
        <v>731</v>
      </c>
      <c r="D73" s="287" t="s">
        <v>732</v>
      </c>
      <c r="E73" s="288" t="n">
        <f aca="false">IF(I73="regional",IF(R73*0.2975,S73*0.3484),S73*0.1939)</f>
        <v>0</v>
      </c>
      <c r="F73" s="288" t="n">
        <v>0</v>
      </c>
      <c r="G73" s="289" t="n">
        <f aca="false">E73+F73</f>
        <v>0</v>
      </c>
      <c r="H73" s="292" t="s">
        <v>49</v>
      </c>
      <c r="I73" s="287" t="s">
        <v>48</v>
      </c>
      <c r="J73" s="287"/>
      <c r="K73" s="287"/>
      <c r="M73" s="290" t="n">
        <v>0</v>
      </c>
      <c r="N73" s="290" t="n">
        <v>0</v>
      </c>
      <c r="O73" s="290" t="n">
        <v>0</v>
      </c>
      <c r="P73" s="290" t="n">
        <f aca="false">SUM(M73:O73)</f>
        <v>0</v>
      </c>
    </row>
    <row r="74" customFormat="false" ht="12.75" hidden="false" customHeight="false" outlineLevel="0" collapsed="false">
      <c r="A74" s="298" t="n">
        <v>4776</v>
      </c>
      <c r="B74" s="298" t="s">
        <v>44</v>
      </c>
      <c r="C74" s="299" t="s">
        <v>257</v>
      </c>
      <c r="D74" s="287" t="s">
        <v>257</v>
      </c>
      <c r="E74" s="288" t="n">
        <f aca="false">IF(I74="regional",IF(R74*0.2975,S74*0.3484),S74*0.1939)</f>
        <v>0</v>
      </c>
      <c r="F74" s="288" t="n">
        <v>0</v>
      </c>
      <c r="G74" s="289" t="n">
        <f aca="false">E74+F74</f>
        <v>0</v>
      </c>
      <c r="H74" s="292" t="s">
        <v>49</v>
      </c>
      <c r="I74" s="287" t="s">
        <v>48</v>
      </c>
      <c r="J74" s="287"/>
      <c r="K74" s="287"/>
      <c r="M74" s="290" t="n">
        <v>0</v>
      </c>
      <c r="N74" s="290" t="n">
        <v>0</v>
      </c>
      <c r="O74" s="290" t="n">
        <v>0</v>
      </c>
      <c r="P74" s="290" t="n">
        <f aca="false">SUM(M74:O74)</f>
        <v>0</v>
      </c>
    </row>
    <row r="75" customFormat="false" ht="12.75" hidden="false" customHeight="false" outlineLevel="0" collapsed="false">
      <c r="A75" s="285" t="n">
        <v>8675</v>
      </c>
      <c r="B75" s="285"/>
      <c r="C75" s="286" t="s">
        <v>258</v>
      </c>
      <c r="D75" s="287" t="s">
        <v>258</v>
      </c>
      <c r="E75" s="288" t="n">
        <f aca="false">IF(I75="regional",IF(R75*0.2975,S75*0.3484),S75*0.1939)</f>
        <v>0</v>
      </c>
      <c r="F75" s="288" t="n">
        <v>0</v>
      </c>
      <c r="G75" s="289" t="n">
        <f aca="false">E75+F75</f>
        <v>0</v>
      </c>
      <c r="H75" s="286"/>
      <c r="I75" s="287" t="s">
        <v>48</v>
      </c>
      <c r="J75" s="287" t="s">
        <v>49</v>
      </c>
      <c r="K75" s="287" t="s">
        <v>260</v>
      </c>
      <c r="M75" s="290" t="n">
        <v>0</v>
      </c>
      <c r="N75" s="290" t="n">
        <v>4763888.88888889</v>
      </c>
      <c r="O75" s="290" t="n">
        <v>347222.222222222</v>
      </c>
      <c r="P75" s="290" t="n">
        <f aca="false">SUM(M75:O75)</f>
        <v>5111111.11111111</v>
      </c>
    </row>
    <row r="76" customFormat="false" ht="12.75" hidden="false" customHeight="false" outlineLevel="0" collapsed="false">
      <c r="A76" s="285" t="n">
        <v>8678</v>
      </c>
      <c r="B76" s="285"/>
      <c r="C76" s="286" t="s">
        <v>261</v>
      </c>
      <c r="D76" s="287" t="s">
        <v>261</v>
      </c>
      <c r="E76" s="288" t="n">
        <f aca="false">IF(I76="regional",IF(R76*0.2975,S76*0.3484),S76*0.1939)</f>
        <v>0</v>
      </c>
      <c r="F76" s="288" t="n">
        <v>0</v>
      </c>
      <c r="G76" s="289" t="n">
        <f aca="false">E76+F76</f>
        <v>0</v>
      </c>
      <c r="H76" s="286"/>
      <c r="I76" s="287" t="s">
        <v>62</v>
      </c>
      <c r="J76" s="287"/>
      <c r="K76" s="287" t="s">
        <v>260</v>
      </c>
      <c r="M76" s="290" t="n">
        <v>0</v>
      </c>
      <c r="N76" s="290" t="n">
        <v>180555.555555556</v>
      </c>
      <c r="O76" s="290" t="n">
        <v>0</v>
      </c>
      <c r="P76" s="290" t="n">
        <f aca="false">SUM(M76:O76)</f>
        <v>180555.555555556</v>
      </c>
    </row>
    <row r="77" customFormat="false" ht="12.75" hidden="false" customHeight="false" outlineLevel="0" collapsed="false">
      <c r="A77" s="300" t="n">
        <v>9375</v>
      </c>
      <c r="B77" s="300" t="s">
        <v>44</v>
      </c>
      <c r="C77" s="299" t="s">
        <v>262</v>
      </c>
      <c r="D77" s="287" t="s">
        <v>262</v>
      </c>
      <c r="E77" s="288" t="n">
        <f aca="false">IF(I77="regional",IF(R77*0.2975,S77*0.3484),S77*0.1939)</f>
        <v>0</v>
      </c>
      <c r="F77" s="288" t="n">
        <v>0</v>
      </c>
      <c r="G77" s="289" t="n">
        <f aca="false">E77+F77</f>
        <v>0</v>
      </c>
      <c r="H77" s="286" t="s">
        <v>49</v>
      </c>
      <c r="I77" s="287" t="s">
        <v>62</v>
      </c>
      <c r="J77" s="287"/>
      <c r="K77" s="287" t="s">
        <v>155</v>
      </c>
      <c r="M77" s="290" t="n">
        <v>0</v>
      </c>
      <c r="N77" s="290" t="n">
        <v>0</v>
      </c>
      <c r="O77" s="290" t="n">
        <v>0</v>
      </c>
      <c r="P77" s="290" t="n">
        <f aca="false">SUM(M77:O77)</f>
        <v>0</v>
      </c>
    </row>
    <row r="78" customFormat="false" ht="12.75" hidden="false" customHeight="false" outlineLevel="0" collapsed="false">
      <c r="A78" s="285" t="n">
        <v>1325</v>
      </c>
      <c r="B78" s="285" t="s">
        <v>44</v>
      </c>
      <c r="C78" s="286" t="s">
        <v>264</v>
      </c>
      <c r="D78" s="287" t="s">
        <v>264</v>
      </c>
      <c r="E78" s="288" t="n">
        <f aca="false">IF(I78="regional",IF(R78*0.2975,S78*0.3484),S78*0.1939)</f>
        <v>0</v>
      </c>
      <c r="F78" s="288" t="n">
        <v>0</v>
      </c>
      <c r="G78" s="289" t="n">
        <f aca="false">E78+F78</f>
        <v>0</v>
      </c>
      <c r="H78" s="286"/>
      <c r="I78" s="287" t="s">
        <v>48</v>
      </c>
      <c r="J78" s="287" t="s">
        <v>44</v>
      </c>
      <c r="K78" s="287" t="s">
        <v>170</v>
      </c>
      <c r="M78" s="290" t="n">
        <v>1000000</v>
      </c>
      <c r="N78" s="290" t="n">
        <v>1402777.77777778</v>
      </c>
      <c r="O78" s="290" t="n">
        <v>41666.6666666667</v>
      </c>
      <c r="P78" s="290" t="n">
        <f aca="false">SUM(M78:O78)</f>
        <v>2444444.44444444</v>
      </c>
    </row>
    <row r="79" customFormat="false" ht="12.75" hidden="false" customHeight="false" outlineLevel="0" collapsed="false">
      <c r="A79" s="285" t="n">
        <v>1329</v>
      </c>
      <c r="B79" s="285"/>
      <c r="C79" s="286" t="s">
        <v>266</v>
      </c>
      <c r="D79" s="287" t="s">
        <v>266</v>
      </c>
      <c r="E79" s="288" t="n">
        <f aca="false">IF(I79="regional",IF(R79*0.2975,S79*0.3484),S79*0.1939)</f>
        <v>0</v>
      </c>
      <c r="F79" s="288" t="n">
        <v>0</v>
      </c>
      <c r="G79" s="289" t="n">
        <f aca="false">E79+F79</f>
        <v>0</v>
      </c>
      <c r="H79" s="286"/>
      <c r="I79" s="287" t="s">
        <v>62</v>
      </c>
      <c r="J79" s="287"/>
      <c r="K79" s="287" t="s">
        <v>170</v>
      </c>
      <c r="M79" s="290" t="n">
        <v>0</v>
      </c>
      <c r="N79" s="290" t="n">
        <v>0</v>
      </c>
      <c r="O79" s="290" t="n">
        <v>0</v>
      </c>
      <c r="P79" s="290" t="n">
        <f aca="false">SUM(M79:O79)</f>
        <v>0</v>
      </c>
    </row>
    <row r="80" customFormat="false" ht="12.75" hidden="false" customHeight="false" outlineLevel="0" collapsed="false">
      <c r="A80" s="285" t="n">
        <v>1331</v>
      </c>
      <c r="B80" s="285"/>
      <c r="C80" s="286" t="s">
        <v>267</v>
      </c>
      <c r="D80" s="287" t="s">
        <v>267</v>
      </c>
      <c r="E80" s="288" t="n">
        <f aca="false">IF(I80="regional",IF(R80*0.2975,S80*0.3484),S80*0.1939)</f>
        <v>0</v>
      </c>
      <c r="F80" s="288" t="n">
        <v>0</v>
      </c>
      <c r="G80" s="289" t="n">
        <f aca="false">E80+F80</f>
        <v>0</v>
      </c>
      <c r="H80" s="286"/>
      <c r="I80" s="287" t="s">
        <v>62</v>
      </c>
      <c r="J80" s="287"/>
      <c r="K80" s="287" t="s">
        <v>141</v>
      </c>
      <c r="M80" s="290" t="n">
        <v>0</v>
      </c>
      <c r="N80" s="290" t="n">
        <v>166666.666666667</v>
      </c>
      <c r="O80" s="290" t="n">
        <v>27777.7777777778</v>
      </c>
      <c r="P80" s="290" t="n">
        <f aca="false">SUM(M80:O80)</f>
        <v>194444.444444444</v>
      </c>
    </row>
    <row r="81" customFormat="false" ht="12.75" hidden="false" customHeight="false" outlineLevel="0" collapsed="false">
      <c r="A81" s="285" t="n">
        <v>8682</v>
      </c>
      <c r="B81" s="285"/>
      <c r="C81" s="286" t="s">
        <v>269</v>
      </c>
      <c r="D81" s="287" t="s">
        <v>269</v>
      </c>
      <c r="E81" s="288" t="n">
        <f aca="false">IF(I81="regional",IF(R81*0.2975,S81*0.3484),S81*0.1939)</f>
        <v>0</v>
      </c>
      <c r="F81" s="288" t="n">
        <v>0</v>
      </c>
      <c r="G81" s="289" t="n">
        <f aca="false">E81+F81</f>
        <v>0</v>
      </c>
      <c r="H81" s="286"/>
      <c r="I81" s="287" t="s">
        <v>62</v>
      </c>
      <c r="J81" s="287"/>
      <c r="K81" s="287" t="s">
        <v>271</v>
      </c>
      <c r="M81" s="290" t="n">
        <v>0</v>
      </c>
      <c r="N81" s="290" t="n">
        <v>69444.4444444445</v>
      </c>
      <c r="O81" s="290" t="n">
        <v>0</v>
      </c>
      <c r="P81" s="290" t="n">
        <f aca="false">SUM(M81:O81)</f>
        <v>69444.4444444445</v>
      </c>
    </row>
    <row r="82" customFormat="false" ht="12.75" hidden="false" customHeight="false" outlineLevel="0" collapsed="false">
      <c r="A82" s="285" t="n">
        <v>8688</v>
      </c>
      <c r="B82" s="285"/>
      <c r="C82" s="286" t="s">
        <v>272</v>
      </c>
      <c r="D82" s="287" t="s">
        <v>272</v>
      </c>
      <c r="E82" s="288" t="n">
        <f aca="false">IF(I82="regional",IF(R82*0.2975,S82*0.3484),S82*0.1939)</f>
        <v>0</v>
      </c>
      <c r="F82" s="288" t="n">
        <v>0</v>
      </c>
      <c r="G82" s="289" t="n">
        <f aca="false">E82+F82</f>
        <v>0</v>
      </c>
      <c r="H82" s="286"/>
      <c r="I82" s="287" t="s">
        <v>48</v>
      </c>
      <c r="J82" s="287"/>
      <c r="K82" s="287" t="s">
        <v>229</v>
      </c>
      <c r="M82" s="290" t="n">
        <v>0</v>
      </c>
      <c r="N82" s="290" t="n">
        <v>1819444.44444444</v>
      </c>
      <c r="O82" s="290" t="n">
        <v>41666.6666666667</v>
      </c>
      <c r="P82" s="290" t="n">
        <f aca="false">SUM(M82:O82)</f>
        <v>1861111.11111111</v>
      </c>
    </row>
    <row r="83" customFormat="false" ht="12.75" hidden="false" customHeight="false" outlineLevel="0" collapsed="false">
      <c r="A83" s="285" t="n">
        <v>4824</v>
      </c>
      <c r="B83" s="285" t="s">
        <v>44</v>
      </c>
      <c r="C83" s="286" t="s">
        <v>274</v>
      </c>
      <c r="D83" s="287" t="s">
        <v>274</v>
      </c>
      <c r="E83" s="288" t="n">
        <f aca="false">IF(I83="regional",IF(R83*0.2975,S83*0.3484),S83*0.1939)</f>
        <v>0</v>
      </c>
      <c r="F83" s="288" t="n">
        <v>0</v>
      </c>
      <c r="G83" s="289" t="n">
        <f aca="false">E83+F83</f>
        <v>0</v>
      </c>
      <c r="H83" s="286" t="s">
        <v>49</v>
      </c>
      <c r="I83" s="287" t="s">
        <v>48</v>
      </c>
      <c r="J83" s="287" t="s">
        <v>44</v>
      </c>
      <c r="K83" s="287" t="s">
        <v>277</v>
      </c>
      <c r="M83" s="290" t="n">
        <v>0</v>
      </c>
      <c r="N83" s="290" t="n">
        <v>0</v>
      </c>
      <c r="O83" s="290" t="n">
        <v>0</v>
      </c>
      <c r="P83" s="290" t="n">
        <f aca="false">SUM(M83:O83)</f>
        <v>0</v>
      </c>
    </row>
    <row r="84" customFormat="false" ht="12.75" hidden="false" customHeight="false" outlineLevel="0" collapsed="false">
      <c r="A84" s="285" t="n">
        <v>4825</v>
      </c>
      <c r="B84" s="285" t="s">
        <v>44</v>
      </c>
      <c r="C84" s="286" t="s">
        <v>734</v>
      </c>
      <c r="D84" s="287" t="s">
        <v>278</v>
      </c>
      <c r="E84" s="288" t="n">
        <f aca="false">IF(I84="regional",IF(R84*0.2975,S84*0.3484),S84*0.1939)</f>
        <v>0</v>
      </c>
      <c r="F84" s="288" t="n">
        <v>460000</v>
      </c>
      <c r="G84" s="289" t="n">
        <f aca="false">E84+F84</f>
        <v>460000</v>
      </c>
      <c r="H84" s="286"/>
      <c r="I84" s="287" t="s">
        <v>48</v>
      </c>
      <c r="J84" s="287" t="s">
        <v>44</v>
      </c>
      <c r="K84" s="287" t="s">
        <v>280</v>
      </c>
      <c r="M84" s="290" t="n">
        <v>3444444.44444444</v>
      </c>
      <c r="N84" s="290" t="n">
        <v>2097222.22222222</v>
      </c>
      <c r="O84" s="290" t="n">
        <v>0</v>
      </c>
      <c r="P84" s="290" t="n">
        <f aca="false">SUM(M84:O84)</f>
        <v>5541666.66666667</v>
      </c>
    </row>
    <row r="85" customFormat="false" ht="12.75" hidden="false" customHeight="false" outlineLevel="0" collapsed="false">
      <c r="A85" s="285" t="n">
        <v>1518</v>
      </c>
      <c r="B85" s="285" t="s">
        <v>44</v>
      </c>
      <c r="C85" s="286" t="s">
        <v>281</v>
      </c>
      <c r="D85" s="287" t="s">
        <v>281</v>
      </c>
      <c r="E85" s="288" t="n">
        <f aca="false">IF(I85="regional",IF(R85*0.2975,S85*0.3484),S85*0.1939)</f>
        <v>0</v>
      </c>
      <c r="F85" s="288" t="n">
        <v>0</v>
      </c>
      <c r="G85" s="289" t="n">
        <f aca="false">E85+F85</f>
        <v>0</v>
      </c>
      <c r="H85" s="286"/>
      <c r="I85" s="287" t="s">
        <v>48</v>
      </c>
      <c r="J85" s="287" t="s">
        <v>44</v>
      </c>
      <c r="K85" s="287" t="s">
        <v>283</v>
      </c>
      <c r="M85" s="290" t="n">
        <v>916666.666666667</v>
      </c>
      <c r="N85" s="290" t="n">
        <v>444444.444444445</v>
      </c>
      <c r="O85" s="290" t="n">
        <v>13888.8888888889</v>
      </c>
      <c r="P85" s="290" t="n">
        <f aca="false">SUM(M85:O85)</f>
        <v>1375000</v>
      </c>
    </row>
    <row r="86" customFormat="false" ht="12.75" hidden="false" customHeight="false" outlineLevel="0" collapsed="false">
      <c r="A86" s="285" t="n">
        <v>8735</v>
      </c>
      <c r="B86" s="285"/>
      <c r="C86" s="286" t="s">
        <v>284</v>
      </c>
      <c r="D86" s="287" t="s">
        <v>284</v>
      </c>
      <c r="E86" s="288" t="n">
        <f aca="false">IF(I86="regional",IF(R86*0.2975,S86*0.3484),S86*0.1939)</f>
        <v>0</v>
      </c>
      <c r="F86" s="288" t="n">
        <v>0</v>
      </c>
      <c r="G86" s="289" t="n">
        <f aca="false">E86+F86</f>
        <v>0</v>
      </c>
      <c r="H86" s="286"/>
      <c r="I86" s="287" t="s">
        <v>62</v>
      </c>
      <c r="J86" s="287" t="s">
        <v>49</v>
      </c>
      <c r="K86" s="287" t="s">
        <v>229</v>
      </c>
      <c r="M86" s="290" t="n">
        <v>0</v>
      </c>
      <c r="N86" s="290" t="n">
        <v>458333.333333333</v>
      </c>
      <c r="O86" s="290" t="n">
        <v>13888.8888888889</v>
      </c>
      <c r="P86" s="290" t="n">
        <f aca="false">SUM(M86:O86)</f>
        <v>472222.222222222</v>
      </c>
    </row>
    <row r="87" customFormat="false" ht="12.75" hidden="false" customHeight="false" outlineLevel="0" collapsed="false">
      <c r="A87" s="285" t="n">
        <v>1552</v>
      </c>
      <c r="B87" s="285" t="s">
        <v>44</v>
      </c>
      <c r="C87" s="286" t="s">
        <v>286</v>
      </c>
      <c r="D87" s="287" t="s">
        <v>286</v>
      </c>
      <c r="E87" s="288" t="n">
        <f aca="false">IF(I87="regional",IF(R87*0.2975,S87*0.3484),S87*0.1939)</f>
        <v>0</v>
      </c>
      <c r="F87" s="288" t="n">
        <v>0</v>
      </c>
      <c r="G87" s="289" t="n">
        <f aca="false">E87+F87</f>
        <v>0</v>
      </c>
      <c r="H87" s="286"/>
      <c r="I87" s="287" t="s">
        <v>48</v>
      </c>
      <c r="J87" s="287" t="s">
        <v>44</v>
      </c>
      <c r="K87" s="287" t="s">
        <v>289</v>
      </c>
      <c r="M87" s="290" t="n">
        <v>777777.777777778</v>
      </c>
      <c r="N87" s="290" t="n">
        <v>597222.222222222</v>
      </c>
      <c r="O87" s="290" t="n">
        <v>0</v>
      </c>
      <c r="P87" s="290" t="n">
        <f aca="false">SUM(M87:O87)</f>
        <v>1375000</v>
      </c>
    </row>
    <row r="88" customFormat="false" ht="12.75" hidden="false" customHeight="false" outlineLevel="0" collapsed="false">
      <c r="A88" s="285" t="n">
        <v>1704</v>
      </c>
      <c r="B88" s="285" t="s">
        <v>44</v>
      </c>
      <c r="C88" s="286" t="s">
        <v>290</v>
      </c>
      <c r="D88" s="287" t="s">
        <v>290</v>
      </c>
      <c r="E88" s="288" t="n">
        <f aca="false">IF(I88="regional",IF(R88*0.2975,S88*0.3484),S88*0.1939)</f>
        <v>0</v>
      </c>
      <c r="F88" s="288" t="n">
        <v>787736</v>
      </c>
      <c r="G88" s="289" t="n">
        <f aca="false">E88+F88</f>
        <v>787736</v>
      </c>
      <c r="H88" s="286"/>
      <c r="I88" s="287" t="s">
        <v>48</v>
      </c>
      <c r="J88" s="287" t="s">
        <v>44</v>
      </c>
      <c r="K88" s="287" t="s">
        <v>292</v>
      </c>
      <c r="M88" s="290" t="n">
        <v>3027777.77777778</v>
      </c>
      <c r="N88" s="290" t="n">
        <v>2055555.55555556</v>
      </c>
      <c r="O88" s="290" t="n">
        <v>333333.333333333</v>
      </c>
      <c r="P88" s="290" t="n">
        <f aca="false">SUM(M88:O88)</f>
        <v>5416666.66666667</v>
      </c>
    </row>
    <row r="89" customFormat="false" ht="12.75" hidden="false" customHeight="false" outlineLevel="0" collapsed="false">
      <c r="A89" s="285" t="n">
        <v>8807</v>
      </c>
      <c r="B89" s="285"/>
      <c r="C89" s="286" t="s">
        <v>293</v>
      </c>
      <c r="D89" s="287" t="s">
        <v>293</v>
      </c>
      <c r="E89" s="288" t="n">
        <f aca="false">IF(I89="regional",IF(R89*0.2975,S89*0.3484),S89*0.1939)</f>
        <v>0</v>
      </c>
      <c r="F89" s="288" t="n">
        <v>0</v>
      </c>
      <c r="G89" s="289" t="n">
        <f aca="false">E89+F89</f>
        <v>0</v>
      </c>
      <c r="H89" s="286" t="s">
        <v>49</v>
      </c>
      <c r="I89" s="287" t="s">
        <v>62</v>
      </c>
      <c r="J89" s="287"/>
      <c r="K89" s="287" t="s">
        <v>295</v>
      </c>
      <c r="M89" s="290" t="n">
        <v>0</v>
      </c>
      <c r="N89" s="290" t="n">
        <v>0</v>
      </c>
      <c r="O89" s="290" t="n">
        <v>0</v>
      </c>
      <c r="P89" s="290" t="n">
        <f aca="false">SUM(M89:O89)</f>
        <v>0</v>
      </c>
    </row>
    <row r="90" customFormat="false" ht="12.75" hidden="false" customHeight="false" outlineLevel="0" collapsed="false">
      <c r="A90" s="285" t="n">
        <v>8808</v>
      </c>
      <c r="B90" s="285" t="s">
        <v>44</v>
      </c>
      <c r="C90" s="286" t="s">
        <v>296</v>
      </c>
      <c r="D90" s="287" t="s">
        <v>296</v>
      </c>
      <c r="E90" s="288" t="n">
        <f aca="false">IF(I90="regional",IF(R90*0.2975,S90*0.3484),S90*0.1939)</f>
        <v>0</v>
      </c>
      <c r="F90" s="288" t="n">
        <v>0</v>
      </c>
      <c r="G90" s="289" t="n">
        <f aca="false">E90+F90</f>
        <v>0</v>
      </c>
      <c r="H90" s="286" t="s">
        <v>49</v>
      </c>
      <c r="I90" s="287" t="s">
        <v>48</v>
      </c>
      <c r="J90" s="287" t="s">
        <v>44</v>
      </c>
      <c r="K90" s="287" t="s">
        <v>295</v>
      </c>
      <c r="M90" s="290" t="n">
        <v>0</v>
      </c>
      <c r="N90" s="290" t="n">
        <v>0</v>
      </c>
      <c r="O90" s="290" t="n">
        <v>0</v>
      </c>
      <c r="P90" s="290" t="n">
        <f aca="false">SUM(M90:O90)</f>
        <v>0</v>
      </c>
    </row>
    <row r="91" customFormat="false" ht="12.75" hidden="false" customHeight="false" outlineLevel="0" collapsed="false">
      <c r="A91" s="285" t="n">
        <v>1711</v>
      </c>
      <c r="B91" s="285" t="s">
        <v>44</v>
      </c>
      <c r="C91" s="286" t="s">
        <v>297</v>
      </c>
      <c r="D91" s="287" t="s">
        <v>297</v>
      </c>
      <c r="E91" s="288" t="n">
        <f aca="false">IF(I91="regional",IF(R91*0.2975,S91*0.3484),S91*0.1939)</f>
        <v>0</v>
      </c>
      <c r="F91" s="288" t="n">
        <v>546597</v>
      </c>
      <c r="G91" s="289" t="n">
        <f aca="false">E91+F91</f>
        <v>546597</v>
      </c>
      <c r="H91" s="286"/>
      <c r="I91" s="287" t="s">
        <v>48</v>
      </c>
      <c r="J91" s="287" t="s">
        <v>44</v>
      </c>
      <c r="K91" s="287" t="s">
        <v>299</v>
      </c>
      <c r="M91" s="290" t="n">
        <v>3097222.22222222</v>
      </c>
      <c r="N91" s="290" t="n">
        <v>875000</v>
      </c>
      <c r="O91" s="290" t="n">
        <v>0</v>
      </c>
      <c r="P91" s="290" t="n">
        <f aca="false">SUM(M91:O91)</f>
        <v>3972222.22222222</v>
      </c>
    </row>
    <row r="92" customFormat="false" ht="12.75" hidden="false" customHeight="false" outlineLevel="0" collapsed="false">
      <c r="A92" s="285" t="n">
        <v>1712</v>
      </c>
      <c r="B92" s="285"/>
      <c r="C92" s="286" t="s">
        <v>300</v>
      </c>
      <c r="D92" s="287" t="s">
        <v>300</v>
      </c>
      <c r="E92" s="288" t="n">
        <f aca="false">IF(I92="regional",IF(R92*0.2975,S92*0.3484),S92*0.1939)</f>
        <v>0</v>
      </c>
      <c r="F92" s="288" t="n">
        <v>0</v>
      </c>
      <c r="G92" s="289" t="n">
        <f aca="false">E92+F92</f>
        <v>0</v>
      </c>
      <c r="H92" s="286"/>
      <c r="I92" s="287" t="s">
        <v>62</v>
      </c>
      <c r="J92" s="287"/>
      <c r="K92" s="287" t="s">
        <v>299</v>
      </c>
      <c r="M92" s="290" t="n">
        <v>0</v>
      </c>
      <c r="N92" s="290" t="n">
        <v>27777.7777777778</v>
      </c>
      <c r="O92" s="290" t="n">
        <v>0</v>
      </c>
      <c r="P92" s="290" t="n">
        <f aca="false">SUM(M92:O92)</f>
        <v>27777.7777777778</v>
      </c>
    </row>
    <row r="93" customFormat="false" ht="12.75" hidden="false" customHeight="false" outlineLevel="0" collapsed="false">
      <c r="A93" s="285" t="n">
        <v>1731</v>
      </c>
      <c r="B93" s="285" t="s">
        <v>44</v>
      </c>
      <c r="C93" s="286" t="s">
        <v>301</v>
      </c>
      <c r="D93" s="287" t="s">
        <v>301</v>
      </c>
      <c r="E93" s="288" t="n">
        <f aca="false">IF(I93="regional",IF(R93*0.2975,S93*0.3484),S93*0.1939)</f>
        <v>0</v>
      </c>
      <c r="F93" s="288" t="n">
        <v>0</v>
      </c>
      <c r="G93" s="289" t="n">
        <f aca="false">E93+F93</f>
        <v>0</v>
      </c>
      <c r="H93" s="286"/>
      <c r="I93" s="287" t="s">
        <v>48</v>
      </c>
      <c r="J93" s="287" t="s">
        <v>44</v>
      </c>
      <c r="K93" s="287" t="s">
        <v>303</v>
      </c>
      <c r="M93" s="290" t="n">
        <v>1541666.66666667</v>
      </c>
      <c r="N93" s="290" t="n">
        <v>1458333.33333333</v>
      </c>
      <c r="O93" s="290" t="n">
        <v>0</v>
      </c>
      <c r="P93" s="290" t="n">
        <f aca="false">SUM(M93:O93)</f>
        <v>3000000</v>
      </c>
    </row>
    <row r="94" customFormat="false" ht="12.75" hidden="false" customHeight="false" outlineLevel="0" collapsed="false">
      <c r="A94" s="285" t="n">
        <v>3811</v>
      </c>
      <c r="B94" s="285" t="s">
        <v>44</v>
      </c>
      <c r="C94" s="286" t="s">
        <v>304</v>
      </c>
      <c r="D94" s="287" t="s">
        <v>304</v>
      </c>
      <c r="E94" s="288" t="n">
        <f aca="false">IF(I94="regional",IF(R94*0.2975,S94*0.3484),S94*0.1939)</f>
        <v>0</v>
      </c>
      <c r="F94" s="288" t="n">
        <v>443648</v>
      </c>
      <c r="G94" s="289" t="n">
        <f aca="false">E94+F94</f>
        <v>443648</v>
      </c>
      <c r="H94" s="286"/>
      <c r="I94" s="287" t="s">
        <v>48</v>
      </c>
      <c r="J94" s="287" t="s">
        <v>44</v>
      </c>
      <c r="K94" s="287" t="s">
        <v>306</v>
      </c>
      <c r="M94" s="290" t="n">
        <v>6305555.55555556</v>
      </c>
      <c r="N94" s="290" t="n">
        <v>1486111.11111111</v>
      </c>
      <c r="O94" s="290" t="n">
        <v>138888.888888889</v>
      </c>
      <c r="P94" s="290" t="n">
        <f aca="false">SUM(M94:O94)</f>
        <v>7930555.55555556</v>
      </c>
    </row>
    <row r="95" customFormat="false" ht="12.75" hidden="false" customHeight="false" outlineLevel="0" collapsed="false">
      <c r="A95" s="298" t="n">
        <v>2114</v>
      </c>
      <c r="B95" s="298"/>
      <c r="C95" s="299" t="s">
        <v>308</v>
      </c>
      <c r="D95" s="293" t="s">
        <v>308</v>
      </c>
      <c r="E95" s="288" t="n">
        <f aca="false">IF(I95="regional",IF(R95*0.2975,S95*0.3484),S95*0.1939)</f>
        <v>0</v>
      </c>
      <c r="F95" s="294"/>
      <c r="G95" s="289" t="n">
        <f aca="false">E95+F95</f>
        <v>0</v>
      </c>
      <c r="H95" s="292"/>
      <c r="I95" s="293" t="s">
        <v>48</v>
      </c>
      <c r="J95" s="293"/>
      <c r="K95" s="293"/>
      <c r="M95" s="290" t="n">
        <v>0</v>
      </c>
      <c r="N95" s="290" t="n">
        <v>41666.6666666667</v>
      </c>
      <c r="O95" s="290" t="n">
        <v>27777.7777777778</v>
      </c>
      <c r="P95" s="290" t="n">
        <f aca="false">SUM(M95:O95)</f>
        <v>69444.4444444445</v>
      </c>
    </row>
    <row r="96" customFormat="false" ht="12.75" hidden="false" customHeight="false" outlineLevel="0" collapsed="false">
      <c r="A96" s="285" t="n">
        <v>906</v>
      </c>
      <c r="B96" s="285" t="s">
        <v>44</v>
      </c>
      <c r="C96" s="286" t="s">
        <v>309</v>
      </c>
      <c r="D96" s="287" t="s">
        <v>309</v>
      </c>
      <c r="E96" s="288" t="n">
        <f aca="false">IF(I96="regional",IF(R96*0.2975,S96*0.3484),S96*0.1939)</f>
        <v>0</v>
      </c>
      <c r="F96" s="288" t="n">
        <v>549013</v>
      </c>
      <c r="G96" s="289" t="n">
        <f aca="false">E96+F96</f>
        <v>549013</v>
      </c>
      <c r="H96" s="286"/>
      <c r="I96" s="287" t="s">
        <v>48</v>
      </c>
      <c r="J96" s="287" t="s">
        <v>44</v>
      </c>
      <c r="K96" s="287" t="s">
        <v>312</v>
      </c>
      <c r="M96" s="290" t="n">
        <v>6138888.88888889</v>
      </c>
      <c r="N96" s="290" t="n">
        <v>1611111.11111111</v>
      </c>
      <c r="O96" s="290" t="n">
        <v>0</v>
      </c>
      <c r="P96" s="290" t="n">
        <f aca="false">SUM(M96:O96)</f>
        <v>7750000</v>
      </c>
    </row>
    <row r="97" customFormat="false" ht="12.75" hidden="false" customHeight="false" outlineLevel="0" collapsed="false">
      <c r="A97" s="285" t="n">
        <v>907</v>
      </c>
      <c r="B97" s="285"/>
      <c r="C97" s="286" t="s">
        <v>313</v>
      </c>
      <c r="D97" s="287" t="s">
        <v>313</v>
      </c>
      <c r="E97" s="288" t="n">
        <f aca="false">IF(I97="regional",IF(R97*0.2975,S97*0.3484),S97*0.1939)</f>
        <v>0</v>
      </c>
      <c r="F97" s="288" t="n">
        <v>0</v>
      </c>
      <c r="G97" s="289" t="n">
        <f aca="false">E97+F97</f>
        <v>0</v>
      </c>
      <c r="H97" s="286"/>
      <c r="I97" s="287" t="s">
        <v>62</v>
      </c>
      <c r="J97" s="287"/>
      <c r="K97" s="287" t="s">
        <v>312</v>
      </c>
      <c r="M97" s="290" t="n">
        <v>0</v>
      </c>
      <c r="N97" s="290" t="n">
        <v>41666.6666666667</v>
      </c>
      <c r="O97" s="290" t="n">
        <v>138888.888888889</v>
      </c>
      <c r="P97" s="290" t="n">
        <f aca="false">SUM(M97:O97)</f>
        <v>180555.555555556</v>
      </c>
    </row>
    <row r="98" customFormat="false" ht="12.75" hidden="false" customHeight="false" outlineLevel="0" collapsed="false">
      <c r="A98" s="285" t="n">
        <v>2546</v>
      </c>
      <c r="B98" s="285" t="s">
        <v>44</v>
      </c>
      <c r="C98" s="286" t="s">
        <v>314</v>
      </c>
      <c r="D98" s="287" t="s">
        <v>314</v>
      </c>
      <c r="E98" s="288" t="n">
        <f aca="false">IF(I98="regional",IF(R98*0.2975,S98*0.3484),S98*0.1939)</f>
        <v>0</v>
      </c>
      <c r="F98" s="288" t="n">
        <v>0</v>
      </c>
      <c r="G98" s="289" t="n">
        <f aca="false">E98+F98</f>
        <v>0</v>
      </c>
      <c r="H98" s="286"/>
      <c r="I98" s="287" t="s">
        <v>48</v>
      </c>
      <c r="J98" s="287" t="s">
        <v>44</v>
      </c>
      <c r="K98" s="287" t="s">
        <v>316</v>
      </c>
      <c r="M98" s="290" t="n">
        <v>1375000</v>
      </c>
      <c r="N98" s="290" t="n">
        <v>1472222.22222222</v>
      </c>
      <c r="O98" s="290" t="n">
        <v>250000</v>
      </c>
      <c r="P98" s="290" t="n">
        <f aca="false">SUM(M98:O98)</f>
        <v>3097222.22222222</v>
      </c>
    </row>
    <row r="99" customFormat="false" ht="12.75" hidden="false" customHeight="false" outlineLevel="0" collapsed="false">
      <c r="A99" s="285" t="n">
        <v>9060</v>
      </c>
      <c r="B99" s="285" t="s">
        <v>44</v>
      </c>
      <c r="C99" s="286" t="s">
        <v>317</v>
      </c>
      <c r="D99" s="287" t="s">
        <v>317</v>
      </c>
      <c r="E99" s="288" t="n">
        <f aca="false">IF(I99="regional",IF(R99*0.2975,S99*0.3484),S99*0.1939)</f>
        <v>0</v>
      </c>
      <c r="F99" s="288" t="n">
        <v>0</v>
      </c>
      <c r="G99" s="289" t="n">
        <f aca="false">E99+F99</f>
        <v>0</v>
      </c>
      <c r="H99" s="286"/>
      <c r="I99" s="287" t="s">
        <v>48</v>
      </c>
      <c r="J99" s="287" t="s">
        <v>44</v>
      </c>
      <c r="K99" s="287" t="s">
        <v>115</v>
      </c>
      <c r="M99" s="290" t="n">
        <v>83333.3333333333</v>
      </c>
      <c r="N99" s="290" t="n">
        <v>750000</v>
      </c>
      <c r="O99" s="290" t="n">
        <v>1361111.11111111</v>
      </c>
      <c r="P99" s="290" t="n">
        <f aca="false">SUM(M99:O99)</f>
        <v>2194444.44444444</v>
      </c>
    </row>
    <row r="100" customFormat="false" ht="12.75" hidden="false" customHeight="false" outlineLevel="0" collapsed="false">
      <c r="A100" s="285" t="n">
        <v>4665</v>
      </c>
      <c r="B100" s="285" t="s">
        <v>44</v>
      </c>
      <c r="C100" s="286" t="s">
        <v>318</v>
      </c>
      <c r="D100" s="287" t="s">
        <v>318</v>
      </c>
      <c r="E100" s="288" t="n">
        <f aca="false">IF(I100="regional",IF(R100*0.2975,S100*0.3484),S100*0.1939)</f>
        <v>0</v>
      </c>
      <c r="F100" s="288" t="n">
        <v>0</v>
      </c>
      <c r="G100" s="289" t="n">
        <f aca="false">E100+F100</f>
        <v>0</v>
      </c>
      <c r="H100" s="286"/>
      <c r="I100" s="287" t="s">
        <v>48</v>
      </c>
      <c r="J100" s="287" t="s">
        <v>44</v>
      </c>
      <c r="K100" s="287" t="s">
        <v>109</v>
      </c>
      <c r="M100" s="290" t="n">
        <v>0</v>
      </c>
      <c r="N100" s="290" t="n">
        <v>2680555.55555556</v>
      </c>
      <c r="O100" s="290" t="n">
        <v>13888.8888888889</v>
      </c>
      <c r="P100" s="290" t="n">
        <f aca="false">SUM(M100:O100)</f>
        <v>2694444.44444445</v>
      </c>
    </row>
    <row r="101" customFormat="false" ht="12.75" hidden="false" customHeight="false" outlineLevel="0" collapsed="false">
      <c r="A101" s="285" t="n">
        <v>4512</v>
      </c>
      <c r="B101" s="285"/>
      <c r="C101" s="286" t="s">
        <v>320</v>
      </c>
      <c r="D101" s="287" t="s">
        <v>320</v>
      </c>
      <c r="E101" s="288" t="n">
        <f aca="false">IF(I101="regional",IF(R101*0.2975,S101*0.3484),S101*0.1939)</f>
        <v>0</v>
      </c>
      <c r="F101" s="288" t="n">
        <v>0</v>
      </c>
      <c r="G101" s="289" t="n">
        <f aca="false">E101+F101</f>
        <v>0</v>
      </c>
      <c r="H101" s="286"/>
      <c r="I101" s="287" t="s">
        <v>62</v>
      </c>
      <c r="J101" s="287"/>
      <c r="K101" s="287" t="s">
        <v>98</v>
      </c>
      <c r="M101" s="290" t="n">
        <v>0</v>
      </c>
      <c r="N101" s="290" t="n">
        <v>166666.666666667</v>
      </c>
      <c r="O101" s="290" t="n">
        <v>0</v>
      </c>
      <c r="P101" s="290" t="n">
        <f aca="false">SUM(M101:O101)</f>
        <v>166666.666666667</v>
      </c>
    </row>
    <row r="102" customFormat="false" ht="12.75" hidden="false" customHeight="false" outlineLevel="0" collapsed="false">
      <c r="A102" s="300" t="n">
        <v>4774</v>
      </c>
      <c r="B102" s="300"/>
      <c r="C102" s="301" t="s">
        <v>735</v>
      </c>
      <c r="D102" s="287" t="s">
        <v>735</v>
      </c>
      <c r="E102" s="288" t="n">
        <f aca="false">IF(I102="regional",IF(R102*0.2975,S102*0.3484),S102*0.1939)</f>
        <v>0</v>
      </c>
      <c r="F102" s="288"/>
      <c r="G102" s="289" t="n">
        <f aca="false">E102+F102</f>
        <v>0</v>
      </c>
      <c r="H102" s="286" t="s">
        <v>49</v>
      </c>
      <c r="I102" s="287" t="s">
        <v>48</v>
      </c>
      <c r="J102" s="287"/>
      <c r="K102" s="287"/>
      <c r="M102" s="290" t="n">
        <v>0</v>
      </c>
      <c r="N102" s="290" t="n">
        <v>0</v>
      </c>
      <c r="O102" s="290" t="n">
        <v>0</v>
      </c>
      <c r="P102" s="290" t="n">
        <f aca="false">SUM(M102:O102)</f>
        <v>0</v>
      </c>
    </row>
    <row r="103" customFormat="false" ht="12.75" hidden="false" customHeight="false" outlineLevel="0" collapsed="false">
      <c r="A103" s="285" t="n">
        <v>2952</v>
      </c>
      <c r="B103" s="285"/>
      <c r="C103" s="286" t="s">
        <v>322</v>
      </c>
      <c r="D103" s="287" t="s">
        <v>322</v>
      </c>
      <c r="E103" s="288" t="n">
        <f aca="false">IF(I103="regional",IF(R103*0.2975,S103*0.3484),S103*0.1939)</f>
        <v>0</v>
      </c>
      <c r="F103" s="288" t="n">
        <v>0</v>
      </c>
      <c r="G103" s="289" t="n">
        <f aca="false">E103+F103</f>
        <v>0</v>
      </c>
      <c r="H103" s="286"/>
      <c r="I103" s="287" t="s">
        <v>62</v>
      </c>
      <c r="J103" s="287" t="s">
        <v>49</v>
      </c>
      <c r="K103" s="287" t="s">
        <v>98</v>
      </c>
      <c r="M103" s="290" t="n">
        <v>0</v>
      </c>
      <c r="N103" s="290" t="n">
        <v>333333.333333333</v>
      </c>
      <c r="O103" s="290" t="n">
        <v>180555.555555556</v>
      </c>
      <c r="P103" s="290" t="n">
        <f aca="false">SUM(M103:O103)</f>
        <v>513888.888888889</v>
      </c>
    </row>
    <row r="104" customFormat="false" ht="12.75" hidden="false" customHeight="false" outlineLevel="0" collapsed="false">
      <c r="A104" s="285" t="n">
        <v>9894</v>
      </c>
      <c r="B104" s="285"/>
      <c r="C104" s="286" t="s">
        <v>324</v>
      </c>
      <c r="D104" s="287" t="s">
        <v>324</v>
      </c>
      <c r="E104" s="288" t="n">
        <f aca="false">IF(I104="regional",IF(R104*0.2975,S104*0.3484),S104*0.1939)</f>
        <v>0</v>
      </c>
      <c r="F104" s="288" t="n">
        <v>0</v>
      </c>
      <c r="G104" s="289" t="n">
        <f aca="false">E104+F104</f>
        <v>0</v>
      </c>
      <c r="H104" s="286" t="s">
        <v>49</v>
      </c>
      <c r="I104" s="287" t="s">
        <v>48</v>
      </c>
      <c r="J104" s="287" t="s">
        <v>49</v>
      </c>
      <c r="K104" s="287" t="s">
        <v>271</v>
      </c>
      <c r="M104" s="290" t="n">
        <v>0</v>
      </c>
      <c r="N104" s="290" t="n">
        <v>0</v>
      </c>
      <c r="O104" s="290" t="n">
        <v>0</v>
      </c>
      <c r="P104" s="290" t="n">
        <f aca="false">SUM(M104:O104)</f>
        <v>0</v>
      </c>
    </row>
    <row r="105" customFormat="false" ht="12.75" hidden="false" customHeight="false" outlineLevel="0" collapsed="false">
      <c r="A105" s="285" t="n">
        <v>2324</v>
      </c>
      <c r="B105" s="285" t="s">
        <v>44</v>
      </c>
      <c r="C105" s="286" t="s">
        <v>326</v>
      </c>
      <c r="D105" s="287" t="s">
        <v>326</v>
      </c>
      <c r="E105" s="288" t="n">
        <f aca="false">IF(I105="regional",IF(R105*0.2975,S105*0.3484),S105*0.1939)</f>
        <v>0</v>
      </c>
      <c r="F105" s="288" t="n">
        <v>0</v>
      </c>
      <c r="G105" s="289" t="n">
        <f aca="false">E105+F105</f>
        <v>0</v>
      </c>
      <c r="H105" s="286" t="s">
        <v>44</v>
      </c>
      <c r="I105" s="287" t="s">
        <v>48</v>
      </c>
      <c r="J105" s="287" t="s">
        <v>44</v>
      </c>
      <c r="K105" s="287" t="s">
        <v>328</v>
      </c>
      <c r="M105" s="290" t="n">
        <v>4305555.55555556</v>
      </c>
      <c r="N105" s="290" t="n">
        <v>1347222.22222222</v>
      </c>
      <c r="O105" s="290" t="n">
        <v>694444.444444445</v>
      </c>
      <c r="P105" s="290" t="n">
        <f aca="false">SUM(M105:O105)</f>
        <v>6347222.22222222</v>
      </c>
    </row>
    <row r="106" customFormat="false" ht="12.75" hidden="false" customHeight="false" outlineLevel="0" collapsed="false">
      <c r="A106" s="285" t="n">
        <v>2325</v>
      </c>
      <c r="B106" s="285"/>
      <c r="C106" s="286" t="s">
        <v>329</v>
      </c>
      <c r="D106" s="287" t="s">
        <v>329</v>
      </c>
      <c r="E106" s="288" t="n">
        <f aca="false">IF(I106="regional",IF(R106*0.2975,S106*0.3484),S106*0.1939)</f>
        <v>0</v>
      </c>
      <c r="F106" s="288" t="n">
        <v>376250</v>
      </c>
      <c r="G106" s="289" t="n">
        <f aca="false">E106+F106</f>
        <v>376250</v>
      </c>
      <c r="H106" s="286"/>
      <c r="I106" s="287" t="s">
        <v>62</v>
      </c>
      <c r="J106" s="287"/>
      <c r="K106" s="287" t="s">
        <v>328</v>
      </c>
      <c r="M106" s="290" t="n">
        <v>0</v>
      </c>
      <c r="N106" s="290" t="n">
        <v>111111.111111111</v>
      </c>
      <c r="O106" s="290" t="n">
        <v>55555.5555555556</v>
      </c>
      <c r="P106" s="290" t="n">
        <f aca="false">SUM(M106:O106)</f>
        <v>166666.666666667</v>
      </c>
    </row>
    <row r="107" customFormat="false" ht="12.75" hidden="false" customHeight="false" outlineLevel="0" collapsed="false">
      <c r="A107" s="298" t="n">
        <v>4848</v>
      </c>
      <c r="B107" s="298"/>
      <c r="C107" s="299" t="s">
        <v>736</v>
      </c>
      <c r="D107" s="293" t="s">
        <v>736</v>
      </c>
      <c r="E107" s="288" t="n">
        <f aca="false">IF(I107="regional",IF(R107*0.2975,S107*0.3484),S107*0.1939)</f>
        <v>0</v>
      </c>
      <c r="F107" s="294"/>
      <c r="G107" s="289" t="n">
        <f aca="false">E107+F107</f>
        <v>0</v>
      </c>
      <c r="H107" s="292"/>
      <c r="I107" s="293" t="s">
        <v>718</v>
      </c>
      <c r="J107" s="293"/>
      <c r="K107" s="293"/>
      <c r="M107" s="290" t="n">
        <v>0</v>
      </c>
      <c r="N107" s="290" t="n">
        <v>6972222.22222222</v>
      </c>
      <c r="O107" s="290" t="n">
        <v>0</v>
      </c>
      <c r="P107" s="290" t="n">
        <f aca="false">SUM(M107:O107)</f>
        <v>6972222.22222222</v>
      </c>
    </row>
    <row r="108" customFormat="false" ht="12.75" hidden="false" customHeight="false" outlineLevel="0" collapsed="false">
      <c r="A108" s="285" t="n">
        <v>4827</v>
      </c>
      <c r="B108" s="285"/>
      <c r="C108" s="286" t="s">
        <v>738</v>
      </c>
      <c r="D108" s="287" t="s">
        <v>666</v>
      </c>
      <c r="E108" s="288" t="n">
        <f aca="false">IF(I108="regional",IF(R108*0.2975,S108*0.3484),S108*0.1939)</f>
        <v>0</v>
      </c>
      <c r="F108" s="288" t="n">
        <v>841000</v>
      </c>
      <c r="G108" s="289" t="n">
        <f aca="false">E108+F108</f>
        <v>841000</v>
      </c>
      <c r="H108" s="286"/>
      <c r="I108" s="287" t="s">
        <v>48</v>
      </c>
      <c r="J108" s="287" t="s">
        <v>49</v>
      </c>
      <c r="K108" s="287" t="s">
        <v>277</v>
      </c>
      <c r="M108" s="290" t="n">
        <v>3777777.77777778</v>
      </c>
      <c r="N108" s="290" t="n">
        <v>6541666.66666667</v>
      </c>
      <c r="O108" s="290" t="n">
        <v>222222.222222222</v>
      </c>
      <c r="P108" s="290" t="n">
        <f aca="false">SUM(M108:O108)</f>
        <v>10541666.6666667</v>
      </c>
    </row>
    <row r="109" customFormat="false" ht="12.75" hidden="false" customHeight="false" outlineLevel="0" collapsed="false">
      <c r="A109" s="285" t="n">
        <v>9080</v>
      </c>
      <c r="B109" s="285"/>
      <c r="C109" s="286" t="s">
        <v>332</v>
      </c>
      <c r="D109" s="287" t="s">
        <v>332</v>
      </c>
      <c r="E109" s="288" t="n">
        <f aca="false">IF(I109="regional",IF(R109*0.2975,S109*0.3484),S109*0.1939)</f>
        <v>0</v>
      </c>
      <c r="F109" s="288" t="n">
        <v>0</v>
      </c>
      <c r="G109" s="289" t="n">
        <f aca="false">E109+F109</f>
        <v>0</v>
      </c>
      <c r="H109" s="286"/>
      <c r="I109" s="287" t="s">
        <v>62</v>
      </c>
      <c r="J109" s="287" t="s">
        <v>49</v>
      </c>
      <c r="K109" s="287" t="s">
        <v>334</v>
      </c>
      <c r="M109" s="290" t="n">
        <v>0</v>
      </c>
      <c r="N109" s="290" t="n">
        <v>83333.3333333333</v>
      </c>
      <c r="O109" s="290" t="n">
        <v>13888.8888888889</v>
      </c>
      <c r="P109" s="290" t="n">
        <f aca="false">SUM(M109:O109)</f>
        <v>97222.2222222222</v>
      </c>
    </row>
    <row r="110" customFormat="false" ht="12.75" hidden="false" customHeight="false" outlineLevel="0" collapsed="false">
      <c r="A110" s="285" t="n">
        <v>9075</v>
      </c>
      <c r="B110" s="285"/>
      <c r="C110" s="286" t="s">
        <v>335</v>
      </c>
      <c r="D110" s="287" t="s">
        <v>335</v>
      </c>
      <c r="E110" s="288" t="n">
        <f aca="false">IF(I110="regional",IF(R110*0.2975,S110*0.3484),S110*0.1939)</f>
        <v>0</v>
      </c>
      <c r="F110" s="288" t="n">
        <v>0</v>
      </c>
      <c r="G110" s="289" t="n">
        <f aca="false">E110+F110</f>
        <v>0</v>
      </c>
      <c r="H110" s="286"/>
      <c r="I110" s="287" t="s">
        <v>48</v>
      </c>
      <c r="J110" s="287" t="s">
        <v>49</v>
      </c>
      <c r="K110" s="287" t="s">
        <v>334</v>
      </c>
      <c r="M110" s="290" t="n">
        <v>0</v>
      </c>
      <c r="N110" s="290" t="n">
        <v>694444.444444445</v>
      </c>
      <c r="O110" s="290" t="n">
        <v>263888.888888889</v>
      </c>
      <c r="P110" s="290" t="n">
        <f aca="false">SUM(M110:O110)</f>
        <v>958333.333333334</v>
      </c>
    </row>
    <row r="111" customFormat="false" ht="12.75" hidden="false" customHeight="false" outlineLevel="0" collapsed="false">
      <c r="A111" s="285" t="n">
        <v>2912</v>
      </c>
      <c r="B111" s="285"/>
      <c r="C111" s="286" t="s">
        <v>336</v>
      </c>
      <c r="D111" s="287" t="s">
        <v>336</v>
      </c>
      <c r="E111" s="288" t="n">
        <f aca="false">IF(I111="regional",IF(R111*0.2975,S111*0.3484),S111*0.1939)</f>
        <v>0</v>
      </c>
      <c r="F111" s="288" t="n">
        <v>0</v>
      </c>
      <c r="G111" s="289" t="n">
        <f aca="false">E111+F111</f>
        <v>0</v>
      </c>
      <c r="H111" s="286"/>
      <c r="I111" s="287" t="s">
        <v>62</v>
      </c>
      <c r="J111" s="287" t="s">
        <v>49</v>
      </c>
      <c r="K111" s="287" t="s">
        <v>338</v>
      </c>
      <c r="M111" s="290" t="n">
        <v>0</v>
      </c>
      <c r="N111" s="290" t="n">
        <v>166666.666666667</v>
      </c>
      <c r="O111" s="290" t="n">
        <v>13888.8888888889</v>
      </c>
      <c r="P111" s="290" t="n">
        <f aca="false">SUM(M111:O111)</f>
        <v>180555.555555556</v>
      </c>
    </row>
    <row r="112" customFormat="false" ht="12.75" hidden="false" customHeight="false" outlineLevel="0" collapsed="false">
      <c r="A112" s="285" t="n">
        <v>2340</v>
      </c>
      <c r="B112" s="285"/>
      <c r="C112" s="286" t="s">
        <v>339</v>
      </c>
      <c r="D112" s="287" t="s">
        <v>339</v>
      </c>
      <c r="E112" s="288" t="n">
        <f aca="false">IF(I112="regional",IF(R112*0.2975,S112*0.3484),S112*0.1939)</f>
        <v>0</v>
      </c>
      <c r="F112" s="288" t="n">
        <v>548228</v>
      </c>
      <c r="G112" s="289" t="n">
        <f aca="false">E112+F112</f>
        <v>548228</v>
      </c>
      <c r="H112" s="286"/>
      <c r="I112" s="287" t="s">
        <v>48</v>
      </c>
      <c r="J112" s="287" t="s">
        <v>49</v>
      </c>
      <c r="K112" s="287" t="s">
        <v>341</v>
      </c>
      <c r="M112" s="290" t="n">
        <v>3847222.22222222</v>
      </c>
      <c r="N112" s="290" t="n">
        <v>1375000</v>
      </c>
      <c r="O112" s="290" t="n">
        <v>111111.111111111</v>
      </c>
      <c r="P112" s="290" t="n">
        <f aca="false">SUM(M112:O112)</f>
        <v>5333333.33333333</v>
      </c>
    </row>
    <row r="113" customFormat="false" ht="12.75" hidden="false" customHeight="false" outlineLevel="0" collapsed="false">
      <c r="A113" s="285" t="n">
        <v>4828</v>
      </c>
      <c r="B113" s="285" t="s">
        <v>44</v>
      </c>
      <c r="C113" s="286" t="s">
        <v>739</v>
      </c>
      <c r="D113" s="287" t="s">
        <v>667</v>
      </c>
      <c r="E113" s="288" t="n">
        <f aca="false">IF(I113="regional",IF(R113*0.2975,S113*0.3484),S113*0.1939)</f>
        <v>0</v>
      </c>
      <c r="F113" s="288" t="n">
        <v>513000</v>
      </c>
      <c r="G113" s="289" t="n">
        <f aca="false">E113+F113</f>
        <v>513000</v>
      </c>
      <c r="H113" s="286"/>
      <c r="I113" s="287" t="s">
        <v>48</v>
      </c>
      <c r="J113" s="287" t="s">
        <v>44</v>
      </c>
      <c r="K113" s="287" t="s">
        <v>345</v>
      </c>
      <c r="M113" s="290" t="n">
        <v>4569444.44444445</v>
      </c>
      <c r="N113" s="290" t="n">
        <v>5472222.22222222</v>
      </c>
      <c r="O113" s="290" t="n">
        <v>0</v>
      </c>
      <c r="P113" s="290" t="n">
        <f aca="false">SUM(M113:O113)</f>
        <v>10041666.6666667</v>
      </c>
    </row>
    <row r="114" customFormat="false" ht="12.75" hidden="false" customHeight="false" outlineLevel="0" collapsed="false">
      <c r="A114" s="285" t="n">
        <v>2356</v>
      </c>
      <c r="B114" s="285" t="s">
        <v>44</v>
      </c>
      <c r="C114" s="286" t="s">
        <v>346</v>
      </c>
      <c r="D114" s="287" t="s">
        <v>346</v>
      </c>
      <c r="E114" s="288" t="n">
        <f aca="false">IF(I114="regional",IF(R114*0.2975,S114*0.3484),S114*0.1939)</f>
        <v>0</v>
      </c>
      <c r="F114" s="288" t="n">
        <v>0</v>
      </c>
      <c r="G114" s="289" t="n">
        <f aca="false">E114+F114</f>
        <v>0</v>
      </c>
      <c r="H114" s="286"/>
      <c r="I114" s="287" t="s">
        <v>48</v>
      </c>
      <c r="J114" s="287" t="s">
        <v>44</v>
      </c>
      <c r="K114" s="287" t="s">
        <v>348</v>
      </c>
      <c r="M114" s="290" t="n">
        <v>916666.666666667</v>
      </c>
      <c r="N114" s="290" t="n">
        <v>1083333.33333333</v>
      </c>
      <c r="O114" s="290" t="n">
        <v>0</v>
      </c>
      <c r="P114" s="290" t="n">
        <f aca="false">SUM(M114:O114)</f>
        <v>2000000</v>
      </c>
    </row>
    <row r="115" customFormat="false" ht="12.75" hidden="false" customHeight="false" outlineLevel="0" collapsed="false">
      <c r="A115" s="285" t="n">
        <v>2380</v>
      </c>
      <c r="B115" s="285" t="s">
        <v>44</v>
      </c>
      <c r="C115" s="286" t="s">
        <v>740</v>
      </c>
      <c r="D115" s="287" t="s">
        <v>678</v>
      </c>
      <c r="E115" s="288" t="n">
        <f aca="false">IF(I115="regional",IF(R115*0.2975,S115*0.3484),S115*0.1939)</f>
        <v>0</v>
      </c>
      <c r="F115" s="288" t="n">
        <v>637927</v>
      </c>
      <c r="G115" s="289" t="n">
        <f aca="false">E115+F115</f>
        <v>637927</v>
      </c>
      <c r="H115" s="286" t="s">
        <v>49</v>
      </c>
      <c r="I115" s="287" t="s">
        <v>48</v>
      </c>
      <c r="J115" s="287" t="s">
        <v>44</v>
      </c>
      <c r="K115" s="287" t="s">
        <v>351</v>
      </c>
      <c r="M115" s="290" t="n">
        <v>0</v>
      </c>
      <c r="N115" s="290" t="n">
        <v>0</v>
      </c>
      <c r="O115" s="290" t="n">
        <v>0</v>
      </c>
      <c r="P115" s="290" t="n">
        <f aca="false">SUM(M115:O115)</f>
        <v>0</v>
      </c>
    </row>
    <row r="116" customFormat="false" ht="12.75" hidden="false" customHeight="false" outlineLevel="0" collapsed="false">
      <c r="A116" s="285" t="n">
        <v>2518</v>
      </c>
      <c r="B116" s="285" t="s">
        <v>44</v>
      </c>
      <c r="C116" s="286" t="s">
        <v>352</v>
      </c>
      <c r="D116" s="287" t="s">
        <v>352</v>
      </c>
      <c r="E116" s="288" t="n">
        <f aca="false">IF(I116="regional",IF(R116*0.2975,S116*0.3484),S116*0.1939)</f>
        <v>0</v>
      </c>
      <c r="F116" s="288" t="n">
        <v>0</v>
      </c>
      <c r="G116" s="289" t="n">
        <f aca="false">E116+F116</f>
        <v>0</v>
      </c>
      <c r="H116" s="286"/>
      <c r="I116" s="287" t="s">
        <v>48</v>
      </c>
      <c r="J116" s="287" t="s">
        <v>44</v>
      </c>
      <c r="K116" s="287" t="s">
        <v>98</v>
      </c>
      <c r="M116" s="290" t="n">
        <v>1166666.66666667</v>
      </c>
      <c r="N116" s="290" t="n">
        <v>1111111.11111111</v>
      </c>
      <c r="O116" s="290" t="n">
        <v>541666.666666667</v>
      </c>
      <c r="P116" s="290" t="n">
        <f aca="false">SUM(M116:O116)</f>
        <v>2819444.44444445</v>
      </c>
    </row>
    <row r="117" customFormat="false" ht="12.75" hidden="false" customHeight="false" outlineLevel="0" collapsed="false">
      <c r="A117" s="285" t="n">
        <v>9605</v>
      </c>
      <c r="B117" s="285" t="s">
        <v>44</v>
      </c>
      <c r="C117" s="286" t="s">
        <v>353</v>
      </c>
      <c r="D117" s="287" t="s">
        <v>353</v>
      </c>
      <c r="E117" s="288" t="n">
        <f aca="false">IF(I117="regional",IF(R117*0.2975,S117*0.3484),S117*0.1939)</f>
        <v>0</v>
      </c>
      <c r="F117" s="288" t="n">
        <v>0</v>
      </c>
      <c r="G117" s="289" t="n">
        <f aca="false">E117+F117</f>
        <v>0</v>
      </c>
      <c r="H117" s="286"/>
      <c r="I117" s="287" t="s">
        <v>62</v>
      </c>
      <c r="J117" s="287" t="s">
        <v>44</v>
      </c>
      <c r="K117" s="287" t="s">
        <v>355</v>
      </c>
      <c r="M117" s="290" t="n">
        <v>0</v>
      </c>
      <c r="N117" s="290" t="n">
        <v>97222.2222222222</v>
      </c>
      <c r="O117" s="290" t="n">
        <v>0</v>
      </c>
      <c r="P117" s="290" t="n">
        <f aca="false">SUM(M117:O117)</f>
        <v>97222.2222222222</v>
      </c>
    </row>
    <row r="118" customFormat="false" ht="12.75" hidden="false" customHeight="false" outlineLevel="0" collapsed="false">
      <c r="A118" s="285" t="n">
        <v>2631</v>
      </c>
      <c r="B118" s="285" t="s">
        <v>44</v>
      </c>
      <c r="C118" s="286" t="s">
        <v>741</v>
      </c>
      <c r="D118" s="287" t="s">
        <v>741</v>
      </c>
      <c r="E118" s="288" t="n">
        <f aca="false">IF(I118="regional",IF(R118*0.2975,S118*0.3484),S118*0.1939)</f>
        <v>0</v>
      </c>
      <c r="F118" s="288" t="n">
        <v>0</v>
      </c>
      <c r="G118" s="289" t="n">
        <f aca="false">E118+F118</f>
        <v>0</v>
      </c>
      <c r="H118" s="286" t="s">
        <v>49</v>
      </c>
      <c r="I118" s="287" t="s">
        <v>48</v>
      </c>
      <c r="J118" s="287" t="s">
        <v>44</v>
      </c>
      <c r="K118" s="287" t="s">
        <v>357</v>
      </c>
      <c r="M118" s="290" t="n">
        <v>0</v>
      </c>
      <c r="N118" s="290" t="n">
        <v>0</v>
      </c>
      <c r="O118" s="290" t="n">
        <v>0</v>
      </c>
      <c r="P118" s="290" t="n">
        <f aca="false">SUM(M118:O118)</f>
        <v>0</v>
      </c>
    </row>
    <row r="119" customFormat="false" ht="12.75" hidden="false" customHeight="false" outlineLevel="0" collapsed="false">
      <c r="A119" s="298" t="n">
        <v>4852</v>
      </c>
      <c r="B119" s="298"/>
      <c r="C119" s="299" t="s">
        <v>742</v>
      </c>
      <c r="D119" s="293" t="s">
        <v>742</v>
      </c>
      <c r="E119" s="288" t="n">
        <f aca="false">IF(I119="regional",IF(R119*0.2975,S119*0.3484),S119*0.1939)</f>
        <v>0</v>
      </c>
      <c r="F119" s="294"/>
      <c r="G119" s="289" t="n">
        <f aca="false">E119+F119</f>
        <v>0</v>
      </c>
      <c r="H119" s="292" t="s">
        <v>49</v>
      </c>
      <c r="I119" s="293" t="s">
        <v>48</v>
      </c>
      <c r="J119" s="293"/>
      <c r="K119" s="293"/>
      <c r="M119" s="290" t="n">
        <v>0</v>
      </c>
      <c r="N119" s="290" t="n">
        <v>0</v>
      </c>
      <c r="O119" s="290" t="n">
        <v>0</v>
      </c>
      <c r="P119" s="290" t="n">
        <f aca="false">SUM(M119:O119)</f>
        <v>0</v>
      </c>
    </row>
    <row r="120" customFormat="false" ht="12.75" hidden="false" customHeight="false" outlineLevel="0" collapsed="false">
      <c r="A120" s="291" t="n">
        <v>4855</v>
      </c>
      <c r="B120" s="291"/>
      <c r="C120" s="292" t="s">
        <v>743</v>
      </c>
      <c r="D120" s="293" t="s">
        <v>742</v>
      </c>
      <c r="E120" s="288" t="n">
        <f aca="false">IF(I120="regional",IF(R120*0.2975,S120*0.3484),S120*0.1939)</f>
        <v>0</v>
      </c>
      <c r="F120" s="294"/>
      <c r="G120" s="289" t="n">
        <f aca="false">E120+F120</f>
        <v>0</v>
      </c>
      <c r="H120" s="292" t="s">
        <v>49</v>
      </c>
      <c r="I120" s="293" t="s">
        <v>62</v>
      </c>
      <c r="J120" s="293"/>
      <c r="K120" s="293"/>
      <c r="M120" s="290" t="n">
        <v>0</v>
      </c>
      <c r="N120" s="290" t="n">
        <v>0</v>
      </c>
      <c r="O120" s="290" t="n">
        <v>0</v>
      </c>
      <c r="P120" s="290" t="n">
        <f aca="false">SUM(M120:O120)</f>
        <v>0</v>
      </c>
    </row>
    <row r="121" customFormat="false" ht="12.75" hidden="false" customHeight="false" outlineLevel="0" collapsed="false">
      <c r="A121" s="291" t="n">
        <v>3878</v>
      </c>
      <c r="B121" s="291"/>
      <c r="C121" s="292" t="s">
        <v>744</v>
      </c>
      <c r="D121" s="293"/>
      <c r="E121" s="288" t="n">
        <f aca="false">IF(I121="regional",IF(R121*0.2975,S121*0.3484),S121*0.1939)</f>
        <v>0</v>
      </c>
      <c r="F121" s="294"/>
      <c r="G121" s="289"/>
      <c r="H121" s="292"/>
      <c r="I121" s="293" t="s">
        <v>48</v>
      </c>
      <c r="J121" s="293"/>
      <c r="K121" s="293"/>
      <c r="M121" s="290" t="n">
        <v>11111111.1111111</v>
      </c>
      <c r="N121" s="290" t="n">
        <v>6388888.88888889</v>
      </c>
      <c r="O121" s="290" t="n">
        <v>694444.444444445</v>
      </c>
      <c r="P121" s="290" t="n">
        <f aca="false">SUM(M121:O121)</f>
        <v>18194444.4444444</v>
      </c>
    </row>
    <row r="122" customFormat="false" ht="12.75" hidden="false" customHeight="false" outlineLevel="0" collapsed="false">
      <c r="A122" s="291" t="n">
        <v>3621</v>
      </c>
      <c r="B122" s="291"/>
      <c r="C122" s="292" t="s">
        <v>745</v>
      </c>
      <c r="D122" s="293"/>
      <c r="E122" s="288" t="n">
        <f aca="false">IF(I122="regional",IF(R122*0.2975,S122*0.3484),S122*0.1939)</f>
        <v>0</v>
      </c>
      <c r="F122" s="294"/>
      <c r="G122" s="289"/>
      <c r="H122" s="292"/>
      <c r="I122" s="293" t="s">
        <v>718</v>
      </c>
      <c r="J122" s="293"/>
      <c r="K122" s="293"/>
      <c r="M122" s="290" t="n">
        <v>0</v>
      </c>
      <c r="N122" s="290" t="n">
        <v>0</v>
      </c>
      <c r="O122" s="290" t="n">
        <v>1805555.55555556</v>
      </c>
      <c r="P122" s="290" t="n">
        <f aca="false">SUM(M122:O122)</f>
        <v>1805555.55555556</v>
      </c>
    </row>
    <row r="123" customFormat="false" ht="12.75" hidden="false" customHeight="false" outlineLevel="0" collapsed="false">
      <c r="A123" s="285" t="n">
        <v>2530</v>
      </c>
      <c r="B123" s="285"/>
      <c r="C123" s="286" t="s">
        <v>360</v>
      </c>
      <c r="D123" s="287" t="s">
        <v>360</v>
      </c>
      <c r="E123" s="288" t="n">
        <f aca="false">IF(I123="regional",IF(R123*0.2975,S123*0.3484),S123*0.1939)</f>
        <v>0</v>
      </c>
      <c r="F123" s="288" t="n">
        <v>0</v>
      </c>
      <c r="G123" s="289" t="n">
        <f aca="false">E123+F123</f>
        <v>0</v>
      </c>
      <c r="H123" s="286"/>
      <c r="I123" s="287" t="s">
        <v>62</v>
      </c>
      <c r="J123" s="287"/>
      <c r="K123" s="287" t="s">
        <v>191</v>
      </c>
      <c r="M123" s="290" t="n">
        <v>0</v>
      </c>
      <c r="N123" s="290" t="n">
        <v>55555.5555555556</v>
      </c>
      <c r="O123" s="290" t="n">
        <v>41666.6666666667</v>
      </c>
      <c r="P123" s="290" t="n">
        <f aca="false">SUM(M123:O123)</f>
        <v>97222.2222222222</v>
      </c>
    </row>
    <row r="124" customFormat="false" ht="12.75" hidden="false" customHeight="false" outlineLevel="0" collapsed="false">
      <c r="A124" s="285" t="n">
        <v>1506</v>
      </c>
      <c r="B124" s="285"/>
      <c r="C124" s="286" t="s">
        <v>361</v>
      </c>
      <c r="D124" s="287" t="s">
        <v>361</v>
      </c>
      <c r="E124" s="288" t="n">
        <f aca="false">IF(I124="regional",IF(R124*0.2975,S124*0.3484),S124*0.1939)</f>
        <v>0</v>
      </c>
      <c r="F124" s="288" t="n">
        <v>428123</v>
      </c>
      <c r="G124" s="289" t="n">
        <f aca="false">E124+F124</f>
        <v>428123</v>
      </c>
      <c r="H124" s="286"/>
      <c r="I124" s="287" t="s">
        <v>48</v>
      </c>
      <c r="J124" s="287" t="s">
        <v>49</v>
      </c>
      <c r="K124" s="287" t="s">
        <v>170</v>
      </c>
      <c r="M124" s="290" t="n">
        <v>277777.777777778</v>
      </c>
      <c r="N124" s="290" t="n">
        <v>180555.555555556</v>
      </c>
      <c r="O124" s="290" t="n">
        <v>69444.4444444445</v>
      </c>
      <c r="P124" s="290" t="n">
        <f aca="false">SUM(M124:O124)</f>
        <v>527777.777777778</v>
      </c>
    </row>
    <row r="125" customFormat="false" ht="12.75" hidden="false" customHeight="false" outlineLevel="0" collapsed="false">
      <c r="A125" s="285" t="n">
        <v>2531</v>
      </c>
      <c r="B125" s="285"/>
      <c r="C125" s="286" t="s">
        <v>363</v>
      </c>
      <c r="D125" s="287" t="s">
        <v>363</v>
      </c>
      <c r="E125" s="288" t="n">
        <f aca="false">IF(I125="regional",IF(R125*0.2975,S125*0.3484),S125*0.1939)</f>
        <v>0</v>
      </c>
      <c r="F125" s="288" t="n">
        <v>0</v>
      </c>
      <c r="G125" s="289" t="n">
        <f aca="false">E125+F125</f>
        <v>0</v>
      </c>
      <c r="H125" s="286"/>
      <c r="I125" s="287" t="s">
        <v>62</v>
      </c>
      <c r="J125" s="287"/>
      <c r="K125" s="287" t="s">
        <v>170</v>
      </c>
      <c r="M125" s="290" t="n">
        <v>0</v>
      </c>
      <c r="N125" s="290" t="n">
        <v>55555.5555555556</v>
      </c>
      <c r="O125" s="290" t="n">
        <v>0</v>
      </c>
      <c r="P125" s="290" t="n">
        <f aca="false">SUM(M125:O125)</f>
        <v>55555.5555555556</v>
      </c>
    </row>
    <row r="126" customFormat="false" ht="12.75" hidden="false" customHeight="false" outlineLevel="0" collapsed="false">
      <c r="A126" s="285" t="n">
        <v>2544</v>
      </c>
      <c r="B126" s="285"/>
      <c r="C126" s="286" t="s">
        <v>364</v>
      </c>
      <c r="D126" s="287" t="s">
        <v>364</v>
      </c>
      <c r="E126" s="288" t="n">
        <f aca="false">IF(I126="regional",IF(R126*0.2975,S126*0.3484),S126*0.1939)</f>
        <v>0</v>
      </c>
      <c r="F126" s="288" t="n">
        <v>0</v>
      </c>
      <c r="G126" s="289" t="n">
        <f aca="false">E126+F126</f>
        <v>0</v>
      </c>
      <c r="H126" s="286"/>
      <c r="I126" s="287" t="s">
        <v>62</v>
      </c>
      <c r="J126" s="287"/>
      <c r="K126" s="287" t="s">
        <v>334</v>
      </c>
      <c r="M126" s="290" t="n">
        <v>0</v>
      </c>
      <c r="N126" s="290" t="n">
        <v>0</v>
      </c>
      <c r="O126" s="290" t="n">
        <v>0</v>
      </c>
      <c r="P126" s="290" t="n">
        <f aca="false">SUM(M126:O126)</f>
        <v>0</v>
      </c>
    </row>
    <row r="127" customFormat="false" ht="12.75" hidden="false" customHeight="false" outlineLevel="0" collapsed="false">
      <c r="A127" s="285" t="n">
        <v>1583</v>
      </c>
      <c r="B127" s="285"/>
      <c r="C127" s="286" t="s">
        <v>366</v>
      </c>
      <c r="D127" s="287" t="s">
        <v>366</v>
      </c>
      <c r="E127" s="288" t="n">
        <f aca="false">IF(I127="regional",IF(R127*0.2975,S127*0.3484),S127*0.1939)</f>
        <v>0</v>
      </c>
      <c r="F127" s="288" t="n">
        <v>0</v>
      </c>
      <c r="G127" s="289" t="n">
        <f aca="false">E127+F127</f>
        <v>0</v>
      </c>
      <c r="H127" s="286"/>
      <c r="I127" s="287" t="s">
        <v>62</v>
      </c>
      <c r="J127" s="287"/>
      <c r="K127" s="287" t="s">
        <v>115</v>
      </c>
      <c r="M127" s="290" t="n">
        <v>0</v>
      </c>
      <c r="N127" s="290" t="n">
        <v>97222.2222222222</v>
      </c>
      <c r="O127" s="290" t="n">
        <v>69444.4444444445</v>
      </c>
      <c r="P127" s="290" t="n">
        <f aca="false">SUM(M127:O127)</f>
        <v>166666.666666667</v>
      </c>
    </row>
    <row r="128" customFormat="false" ht="12.75" hidden="false" customHeight="false" outlineLevel="0" collapsed="false">
      <c r="A128" s="285" t="n">
        <v>2614</v>
      </c>
      <c r="B128" s="285"/>
      <c r="C128" s="286" t="s">
        <v>367</v>
      </c>
      <c r="D128" s="287" t="s">
        <v>367</v>
      </c>
      <c r="E128" s="288" t="n">
        <f aca="false">IF(I128="regional",IF(R128*0.2975,S128*0.3484),S128*0.1939)</f>
        <v>0</v>
      </c>
      <c r="F128" s="288" t="n">
        <v>0</v>
      </c>
      <c r="G128" s="289" t="n">
        <f aca="false">E128+F128</f>
        <v>0</v>
      </c>
      <c r="H128" s="286"/>
      <c r="I128" s="287" t="s">
        <v>62</v>
      </c>
      <c r="J128" s="287"/>
      <c r="K128" s="287" t="s">
        <v>98</v>
      </c>
      <c r="M128" s="290" t="n">
        <v>0</v>
      </c>
      <c r="N128" s="290" t="n">
        <v>166666.666666667</v>
      </c>
      <c r="O128" s="290" t="n">
        <v>55555.5555555556</v>
      </c>
      <c r="P128" s="290" t="n">
        <f aca="false">SUM(M128:O128)</f>
        <v>222222.222222222</v>
      </c>
    </row>
    <row r="129" customFormat="false" ht="12.75" hidden="false" customHeight="false" outlineLevel="0" collapsed="false">
      <c r="A129" s="285" t="n">
        <v>2547</v>
      </c>
      <c r="B129" s="285"/>
      <c r="C129" s="286" t="s">
        <v>369</v>
      </c>
      <c r="D129" s="287" t="s">
        <v>369</v>
      </c>
      <c r="E129" s="288" t="n">
        <f aca="false">IF(I129="regional",IF(R129*0.2975,S129*0.3484),S129*0.1939)</f>
        <v>0</v>
      </c>
      <c r="F129" s="288" t="n">
        <v>276347</v>
      </c>
      <c r="G129" s="289" t="n">
        <f aca="false">E129+F129</f>
        <v>276347</v>
      </c>
      <c r="H129" s="286"/>
      <c r="I129" s="287" t="s">
        <v>48</v>
      </c>
      <c r="J129" s="287" t="s">
        <v>49</v>
      </c>
      <c r="K129" s="287" t="s">
        <v>372</v>
      </c>
      <c r="M129" s="290" t="n">
        <v>2763888.88888889</v>
      </c>
      <c r="N129" s="290" t="n">
        <v>1000000</v>
      </c>
      <c r="O129" s="290" t="n">
        <v>97222.2222222222</v>
      </c>
      <c r="P129" s="290" t="n">
        <f aca="false">SUM(M129:O129)</f>
        <v>3861111.11111111</v>
      </c>
    </row>
    <row r="130" customFormat="false" ht="12.75" hidden="false" customHeight="false" outlineLevel="0" collapsed="false">
      <c r="A130" s="285" t="n">
        <v>9133</v>
      </c>
      <c r="B130" s="285"/>
      <c r="C130" s="286" t="s">
        <v>373</v>
      </c>
      <c r="D130" s="287" t="s">
        <v>373</v>
      </c>
      <c r="E130" s="288" t="n">
        <f aca="false">IF(I130="regional",IF(R130*0.2975,S130*0.3484),S130*0.1939)</f>
        <v>0</v>
      </c>
      <c r="F130" s="288" t="n">
        <v>0</v>
      </c>
      <c r="G130" s="289" t="n">
        <f aca="false">E130+F130</f>
        <v>0</v>
      </c>
      <c r="H130" s="286"/>
      <c r="I130" s="287" t="s">
        <v>48</v>
      </c>
      <c r="J130" s="287"/>
      <c r="K130" s="287" t="s">
        <v>105</v>
      </c>
      <c r="M130" s="290" t="n">
        <v>0</v>
      </c>
      <c r="N130" s="290" t="n">
        <v>1430555.55555556</v>
      </c>
      <c r="O130" s="290" t="n">
        <v>125000</v>
      </c>
      <c r="P130" s="290" t="n">
        <f aca="false">SUM(M130:O130)</f>
        <v>1555555.55555556</v>
      </c>
    </row>
    <row r="131" customFormat="false" ht="12.75" hidden="false" customHeight="false" outlineLevel="0" collapsed="false">
      <c r="A131" s="285" t="n">
        <v>1509</v>
      </c>
      <c r="B131" s="285"/>
      <c r="C131" s="286" t="s">
        <v>375</v>
      </c>
      <c r="D131" s="287" t="s">
        <v>375</v>
      </c>
      <c r="E131" s="288" t="n">
        <f aca="false">IF(I131="regional",IF(R131*0.2975,S131*0.3484),S131*0.1939)</f>
        <v>0</v>
      </c>
      <c r="F131" s="288" t="n">
        <v>0</v>
      </c>
      <c r="G131" s="289" t="n">
        <f aca="false">E131+F131</f>
        <v>0</v>
      </c>
      <c r="H131" s="286"/>
      <c r="I131" s="287" t="s">
        <v>48</v>
      </c>
      <c r="J131" s="287" t="s">
        <v>49</v>
      </c>
      <c r="K131" s="287" t="s">
        <v>232</v>
      </c>
      <c r="M131" s="290" t="n">
        <v>194444.444444444</v>
      </c>
      <c r="N131" s="290" t="n">
        <v>263888.888888889</v>
      </c>
      <c r="O131" s="290" t="n">
        <v>41666.6666666667</v>
      </c>
      <c r="P131" s="290" t="n">
        <f aca="false">SUM(M131:O131)</f>
        <v>500000</v>
      </c>
    </row>
    <row r="132" customFormat="false" ht="12.75" hidden="false" customHeight="false" outlineLevel="0" collapsed="false">
      <c r="A132" s="285" t="n">
        <v>3724</v>
      </c>
      <c r="B132" s="285"/>
      <c r="C132" s="286" t="s">
        <v>377</v>
      </c>
      <c r="D132" s="287" t="s">
        <v>377</v>
      </c>
      <c r="E132" s="288" t="n">
        <f aca="false">IF(I132="regional",IF(R132*0.2975,S132*0.3484),S132*0.1939)</f>
        <v>0</v>
      </c>
      <c r="F132" s="288" t="n">
        <v>0</v>
      </c>
      <c r="G132" s="289" t="n">
        <f aca="false">E132+F132</f>
        <v>0</v>
      </c>
      <c r="H132" s="286"/>
      <c r="I132" s="287" t="s">
        <v>62</v>
      </c>
      <c r="J132" s="287"/>
      <c r="K132" s="287" t="s">
        <v>232</v>
      </c>
      <c r="M132" s="290" t="n">
        <v>0</v>
      </c>
      <c r="N132" s="290" t="n">
        <v>13888.8888888889</v>
      </c>
      <c r="O132" s="290" t="n">
        <v>0</v>
      </c>
      <c r="P132" s="290" t="n">
        <f aca="false">SUM(M132:O132)</f>
        <v>13888.8888888889</v>
      </c>
    </row>
    <row r="133" customFormat="false" ht="12.75" hidden="false" customHeight="false" outlineLevel="0" collapsed="false">
      <c r="A133" s="300" t="n">
        <v>4666</v>
      </c>
      <c r="B133" s="300"/>
      <c r="C133" s="301" t="s">
        <v>378</v>
      </c>
      <c r="D133" s="287" t="s">
        <v>378</v>
      </c>
      <c r="E133" s="288" t="n">
        <f aca="false">IF(I133="regional",IF(R133*0.2975,S133*0.3484),S133*0.1939)</f>
        <v>0</v>
      </c>
      <c r="F133" s="288" t="n">
        <v>0</v>
      </c>
      <c r="G133" s="289" t="n">
        <f aca="false">E133+F133</f>
        <v>0</v>
      </c>
      <c r="H133" s="286"/>
      <c r="I133" s="287" t="s">
        <v>48</v>
      </c>
      <c r="J133" s="287" t="s">
        <v>49</v>
      </c>
      <c r="K133" s="287" t="s">
        <v>380</v>
      </c>
      <c r="M133" s="290" t="n">
        <v>13430555.5555556</v>
      </c>
      <c r="N133" s="290" t="n">
        <v>7680555.55555556</v>
      </c>
      <c r="O133" s="290" t="n">
        <v>0</v>
      </c>
      <c r="P133" s="290" t="n">
        <f aca="false">SUM(M133:O133)</f>
        <v>21111111.1111111</v>
      </c>
    </row>
    <row r="134" customFormat="false" ht="12.75" hidden="false" customHeight="false" outlineLevel="0" collapsed="false">
      <c r="A134" s="298" t="n">
        <v>4667</v>
      </c>
      <c r="B134" s="298" t="s">
        <v>44</v>
      </c>
      <c r="C134" s="299" t="s">
        <v>746</v>
      </c>
      <c r="D134" s="293" t="s">
        <v>746</v>
      </c>
      <c r="E134" s="288" t="n">
        <f aca="false">IF(I134="regional",IF(R134*0.2975,S134*0.3484),S134*0.1939)</f>
        <v>0</v>
      </c>
      <c r="F134" s="294"/>
      <c r="G134" s="289" t="n">
        <f aca="false">E134+F134</f>
        <v>0</v>
      </c>
      <c r="H134" s="299"/>
      <c r="I134" s="293" t="s">
        <v>718</v>
      </c>
      <c r="J134" s="293"/>
      <c r="K134" s="293"/>
      <c r="M134" s="290" t="n">
        <v>0</v>
      </c>
      <c r="N134" s="290" t="n">
        <v>1888888.88888889</v>
      </c>
      <c r="O134" s="290" t="n">
        <v>0</v>
      </c>
      <c r="P134" s="290" t="n">
        <f aca="false">SUM(M134:O134)</f>
        <v>1888888.88888889</v>
      </c>
    </row>
    <row r="135" customFormat="false" ht="12.75" hidden="false" customHeight="false" outlineLevel="0" collapsed="false">
      <c r="A135" s="291" t="n">
        <v>9780</v>
      </c>
      <c r="B135" s="291"/>
      <c r="C135" s="292" t="s">
        <v>382</v>
      </c>
      <c r="D135" s="287" t="s">
        <v>382</v>
      </c>
      <c r="E135" s="288" t="n">
        <f aca="false">IF(I135="regional",IF(R135*0.2975,S135*0.3484),S135*0.1939)</f>
        <v>0</v>
      </c>
      <c r="F135" s="288" t="n">
        <v>0</v>
      </c>
      <c r="G135" s="289" t="n">
        <f aca="false">E135+F135</f>
        <v>0</v>
      </c>
      <c r="H135" s="292" t="s">
        <v>49</v>
      </c>
      <c r="I135" s="287" t="s">
        <v>48</v>
      </c>
      <c r="J135" s="287" t="s">
        <v>49</v>
      </c>
      <c r="K135" s="287" t="s">
        <v>105</v>
      </c>
      <c r="M135" s="290" t="n">
        <v>0</v>
      </c>
      <c r="N135" s="290" t="n">
        <v>0</v>
      </c>
      <c r="O135" s="290" t="n">
        <v>0</v>
      </c>
      <c r="P135" s="290" t="n">
        <f aca="false">SUM(M135:O135)</f>
        <v>0</v>
      </c>
    </row>
    <row r="136" customFormat="false" ht="12.75" hidden="false" customHeight="false" outlineLevel="0" collapsed="false">
      <c r="A136" s="291" t="n">
        <v>2580</v>
      </c>
      <c r="B136" s="291" t="s">
        <v>44</v>
      </c>
      <c r="C136" s="292" t="s">
        <v>383</v>
      </c>
      <c r="D136" s="287" t="s">
        <v>383</v>
      </c>
      <c r="E136" s="288" t="n">
        <f aca="false">IF(I136="regional",IF(R136*0.2975,S136*0.3484),S136*0.1939)</f>
        <v>0</v>
      </c>
      <c r="F136" s="288" t="n">
        <v>0</v>
      </c>
      <c r="G136" s="289" t="n">
        <f aca="false">E136+F136</f>
        <v>0</v>
      </c>
      <c r="H136" s="292"/>
      <c r="I136" s="287" t="s">
        <v>48</v>
      </c>
      <c r="J136" s="287" t="s">
        <v>44</v>
      </c>
      <c r="K136" s="287" t="s">
        <v>118</v>
      </c>
      <c r="M136" s="290" t="n">
        <v>486111.111111111</v>
      </c>
      <c r="N136" s="290" t="n">
        <v>1180555.55555556</v>
      </c>
      <c r="O136" s="290" t="n">
        <v>555555.555555556</v>
      </c>
      <c r="P136" s="290" t="n">
        <f aca="false">SUM(M136:O136)</f>
        <v>2222222.22222222</v>
      </c>
    </row>
    <row r="137" customFormat="false" ht="12.75" hidden="false" customHeight="false" outlineLevel="0" collapsed="false">
      <c r="A137" s="298" t="n">
        <v>3854</v>
      </c>
      <c r="B137" s="298" t="s">
        <v>44</v>
      </c>
      <c r="C137" s="299" t="s">
        <v>385</v>
      </c>
      <c r="D137" s="287" t="s">
        <v>385</v>
      </c>
      <c r="E137" s="288" t="n">
        <f aca="false">IF(I137="regional",IF(R137*0.2975,S137*0.3484),S137*0.1939)</f>
        <v>0</v>
      </c>
      <c r="F137" s="288" t="n">
        <v>0</v>
      </c>
      <c r="G137" s="289" t="n">
        <f aca="false">E137+F137</f>
        <v>0</v>
      </c>
      <c r="H137" s="299" t="s">
        <v>49</v>
      </c>
      <c r="I137" s="293" t="s">
        <v>48</v>
      </c>
      <c r="J137" s="287"/>
      <c r="K137" s="287"/>
      <c r="M137" s="290" t="n">
        <v>0</v>
      </c>
      <c r="N137" s="290" t="n">
        <v>0</v>
      </c>
      <c r="O137" s="290" t="n">
        <v>0</v>
      </c>
      <c r="P137" s="290" t="n">
        <f aca="false">SUM(M137:O137)</f>
        <v>0</v>
      </c>
    </row>
    <row r="138" customFormat="false" ht="12.75" hidden="false" customHeight="false" outlineLevel="0" collapsed="false">
      <c r="A138" s="285" t="n">
        <v>732</v>
      </c>
      <c r="B138" s="285" t="s">
        <v>44</v>
      </c>
      <c r="C138" s="286" t="s">
        <v>386</v>
      </c>
      <c r="D138" s="287" t="s">
        <v>386</v>
      </c>
      <c r="E138" s="288" t="n">
        <f aca="false">IF(I138="regional",IF(R138*0.2975,S138*0.3484),S138*0.1939)</f>
        <v>0</v>
      </c>
      <c r="F138" s="288" t="n">
        <v>0</v>
      </c>
      <c r="G138" s="289" t="n">
        <f aca="false">E138+F138</f>
        <v>0</v>
      </c>
      <c r="H138" s="286"/>
      <c r="I138" s="287" t="s">
        <v>48</v>
      </c>
      <c r="J138" s="287" t="s">
        <v>44</v>
      </c>
      <c r="K138" s="287" t="s">
        <v>388</v>
      </c>
      <c r="M138" s="290" t="n">
        <v>361111.111111111</v>
      </c>
      <c r="N138" s="290" t="n">
        <v>1277777.77777778</v>
      </c>
      <c r="O138" s="290" t="n">
        <v>263888.888888889</v>
      </c>
      <c r="P138" s="290" t="n">
        <f aca="false">SUM(M138:O138)</f>
        <v>1902777.77777778</v>
      </c>
    </row>
    <row r="139" customFormat="false" ht="12.75" hidden="false" customHeight="false" outlineLevel="0" collapsed="false">
      <c r="A139" s="285" t="n">
        <v>9180</v>
      </c>
      <c r="B139" s="285"/>
      <c r="C139" s="286" t="s">
        <v>389</v>
      </c>
      <c r="D139" s="287" t="s">
        <v>389</v>
      </c>
      <c r="E139" s="288" t="n">
        <f aca="false">IF(I139="regional",IF(R139*0.2975,S139*0.3484),S139*0.1939)</f>
        <v>0</v>
      </c>
      <c r="F139" s="288" t="n">
        <v>0</v>
      </c>
      <c r="G139" s="289" t="n">
        <f aca="false">E139+F139</f>
        <v>0</v>
      </c>
      <c r="H139" s="286"/>
      <c r="I139" s="287" t="s">
        <v>48</v>
      </c>
      <c r="J139" s="287" t="s">
        <v>49</v>
      </c>
      <c r="K139" s="287" t="s">
        <v>391</v>
      </c>
      <c r="M139" s="290" t="n">
        <v>0</v>
      </c>
      <c r="N139" s="290" t="n">
        <v>2416666.66666667</v>
      </c>
      <c r="O139" s="290" t="n">
        <v>208333.333333333</v>
      </c>
      <c r="P139" s="290" t="n">
        <f aca="false">SUM(M139:O139)</f>
        <v>2625000</v>
      </c>
    </row>
    <row r="140" customFormat="false" ht="12.75" hidden="false" customHeight="false" outlineLevel="0" collapsed="false">
      <c r="A140" s="285" t="n">
        <v>2568</v>
      </c>
      <c r="B140" s="285"/>
      <c r="C140" s="286" t="s">
        <v>392</v>
      </c>
      <c r="D140" s="287" t="s">
        <v>392</v>
      </c>
      <c r="E140" s="288" t="n">
        <f aca="false">IF(I140="regional",IF(R140*0.2975,S140*0.3484),S140*0.1939)</f>
        <v>0</v>
      </c>
      <c r="F140" s="288" t="n">
        <v>0</v>
      </c>
      <c r="G140" s="289" t="n">
        <f aca="false">E140+F140</f>
        <v>0</v>
      </c>
      <c r="H140" s="286"/>
      <c r="I140" s="287" t="s">
        <v>48</v>
      </c>
      <c r="J140" s="287" t="s">
        <v>49</v>
      </c>
      <c r="K140" s="287" t="s">
        <v>393</v>
      </c>
      <c r="M140" s="290" t="n">
        <v>138888.888888889</v>
      </c>
      <c r="N140" s="290" t="n">
        <v>458333.333333333</v>
      </c>
      <c r="O140" s="290" t="n">
        <v>83333.3333333333</v>
      </c>
      <c r="P140" s="290" t="n">
        <f aca="false">SUM(M140:O140)</f>
        <v>680555.555555556</v>
      </c>
    </row>
    <row r="141" customFormat="false" ht="12.75" hidden="false" customHeight="false" outlineLevel="0" collapsed="false">
      <c r="A141" s="285" t="n">
        <v>520</v>
      </c>
      <c r="B141" s="285"/>
      <c r="C141" s="286" t="s">
        <v>747</v>
      </c>
      <c r="D141" s="287" t="s">
        <v>747</v>
      </c>
      <c r="E141" s="288" t="n">
        <f aca="false">IF(I141="regional",IF(R141*0.2975,S141*0.3484),S141*0.1939)</f>
        <v>0</v>
      </c>
      <c r="F141" s="288" t="n">
        <v>0</v>
      </c>
      <c r="G141" s="289" t="n">
        <f aca="false">E141+F141</f>
        <v>0</v>
      </c>
      <c r="H141" s="286"/>
      <c r="I141" s="287" t="s">
        <v>62</v>
      </c>
      <c r="J141" s="287"/>
      <c r="K141" s="287" t="s">
        <v>393</v>
      </c>
      <c r="M141" s="290" t="n">
        <v>0</v>
      </c>
      <c r="N141" s="290" t="n">
        <v>0</v>
      </c>
      <c r="O141" s="290" t="n">
        <v>0</v>
      </c>
      <c r="P141" s="290" t="n">
        <f aca="false">SUM(M141:O141)</f>
        <v>0</v>
      </c>
    </row>
    <row r="142" customFormat="false" ht="12.75" hidden="false" customHeight="false" outlineLevel="0" collapsed="false">
      <c r="A142" s="285" t="n">
        <v>1584</v>
      </c>
      <c r="B142" s="285"/>
      <c r="C142" s="286" t="s">
        <v>394</v>
      </c>
      <c r="D142" s="287" t="s">
        <v>394</v>
      </c>
      <c r="E142" s="288" t="n">
        <f aca="false">IF(I142="regional",IF(R142*0.2975,S142*0.3484),S142*0.1939)</f>
        <v>0</v>
      </c>
      <c r="F142" s="288" t="n">
        <v>0</v>
      </c>
      <c r="G142" s="289" t="n">
        <f aca="false">E142+F142</f>
        <v>0</v>
      </c>
      <c r="H142" s="286"/>
      <c r="I142" s="287" t="s">
        <v>48</v>
      </c>
      <c r="J142" s="287" t="s">
        <v>49</v>
      </c>
      <c r="K142" s="287" t="s">
        <v>334</v>
      </c>
      <c r="M142" s="290" t="n">
        <v>597222.222222222</v>
      </c>
      <c r="N142" s="290" t="n">
        <v>847222.222222222</v>
      </c>
      <c r="O142" s="290" t="n">
        <v>236111.111111111</v>
      </c>
      <c r="P142" s="290" t="n">
        <f aca="false">SUM(M142:O142)</f>
        <v>1680555.55555556</v>
      </c>
    </row>
    <row r="143" customFormat="false" ht="12.75" hidden="false" customHeight="false" outlineLevel="0" collapsed="false">
      <c r="A143" s="285" t="n">
        <v>2654</v>
      </c>
      <c r="B143" s="285"/>
      <c r="C143" s="286" t="s">
        <v>396</v>
      </c>
      <c r="D143" s="287" t="s">
        <v>396</v>
      </c>
      <c r="E143" s="288" t="n">
        <f aca="false">IF(I143="regional",IF(R143*0.2975,S143*0.3484),S143*0.1939)</f>
        <v>0</v>
      </c>
      <c r="F143" s="288" t="n">
        <v>0</v>
      </c>
      <c r="G143" s="289" t="n">
        <f aca="false">E143+F143</f>
        <v>0</v>
      </c>
      <c r="H143" s="286"/>
      <c r="I143" s="287" t="s">
        <v>62</v>
      </c>
      <c r="J143" s="287"/>
      <c r="K143" s="287" t="s">
        <v>334</v>
      </c>
      <c r="M143" s="290" t="n">
        <v>0</v>
      </c>
      <c r="N143" s="290" t="n">
        <v>152777.777777778</v>
      </c>
      <c r="O143" s="290" t="n">
        <v>55555.5555555556</v>
      </c>
      <c r="P143" s="290" t="n">
        <f aca="false">SUM(M143:O143)</f>
        <v>208333.333333333</v>
      </c>
    </row>
    <row r="144" customFormat="false" ht="12.75" hidden="false" customHeight="false" outlineLevel="0" collapsed="false">
      <c r="A144" s="285" t="n">
        <v>4830</v>
      </c>
      <c r="B144" s="285" t="s">
        <v>44</v>
      </c>
      <c r="C144" s="286" t="s">
        <v>748</v>
      </c>
      <c r="D144" s="287" t="s">
        <v>668</v>
      </c>
      <c r="E144" s="288" t="n">
        <f aca="false">IF(I144="regional",IF(R144*0.2975,S144*0.3484),S144*0.1939)</f>
        <v>0</v>
      </c>
      <c r="F144" s="288" t="n">
        <v>396000</v>
      </c>
      <c r="G144" s="289" t="n">
        <f aca="false">E144+F144</f>
        <v>396000</v>
      </c>
      <c r="H144" s="286"/>
      <c r="I144" s="287" t="s">
        <v>48</v>
      </c>
      <c r="J144" s="287" t="s">
        <v>49</v>
      </c>
      <c r="K144" s="287" t="s">
        <v>399</v>
      </c>
      <c r="M144" s="290" t="n">
        <v>9194444.44444445</v>
      </c>
      <c r="N144" s="290" t="n">
        <v>4361111.11111111</v>
      </c>
      <c r="O144" s="290" t="n">
        <v>83333.3333333333</v>
      </c>
      <c r="P144" s="290" t="n">
        <f aca="false">SUM(M144:O144)</f>
        <v>13638888.8888889</v>
      </c>
    </row>
    <row r="145" customFormat="false" ht="12.75" hidden="false" customHeight="false" outlineLevel="0" collapsed="false">
      <c r="A145" s="285" t="n">
        <v>1585</v>
      </c>
      <c r="B145" s="285"/>
      <c r="C145" s="286" t="s">
        <v>400</v>
      </c>
      <c r="D145" s="287" t="s">
        <v>400</v>
      </c>
      <c r="E145" s="288" t="n">
        <f aca="false">IF(I145="regional",IF(R145*0.2975,S145*0.3484),S145*0.1939)</f>
        <v>0</v>
      </c>
      <c r="F145" s="288" t="n">
        <v>0</v>
      </c>
      <c r="G145" s="289" t="n">
        <f aca="false">E145+F145</f>
        <v>0</v>
      </c>
      <c r="H145" s="286"/>
      <c r="I145" s="287" t="s">
        <v>62</v>
      </c>
      <c r="J145" s="287"/>
      <c r="K145" s="287" t="s">
        <v>170</v>
      </c>
      <c r="M145" s="290" t="n">
        <v>0</v>
      </c>
      <c r="N145" s="290" t="n">
        <v>111111.111111111</v>
      </c>
      <c r="O145" s="290" t="n">
        <v>69444.4444444445</v>
      </c>
      <c r="P145" s="290" t="n">
        <f aca="false">SUM(M145:O145)</f>
        <v>180555.555555556</v>
      </c>
    </row>
    <row r="146" customFormat="false" ht="12.75" hidden="false" customHeight="false" outlineLevel="0" collapsed="false">
      <c r="A146" s="291" t="n">
        <v>9395</v>
      </c>
      <c r="B146" s="291"/>
      <c r="C146" s="292" t="s">
        <v>402</v>
      </c>
      <c r="D146" s="287" t="s">
        <v>402</v>
      </c>
      <c r="E146" s="288" t="n">
        <f aca="false">IF(I146="regional",IF(R146*0.2975,S146*0.3484),S146*0.1939)</f>
        <v>0</v>
      </c>
      <c r="F146" s="288" t="n">
        <v>0</v>
      </c>
      <c r="G146" s="289" t="n">
        <f aca="false">E146+F146</f>
        <v>0</v>
      </c>
      <c r="H146" s="292"/>
      <c r="I146" s="287" t="s">
        <v>405</v>
      </c>
      <c r="J146" s="287" t="s">
        <v>49</v>
      </c>
      <c r="K146" s="287" t="s">
        <v>406</v>
      </c>
      <c r="M146" s="290" t="n">
        <v>0</v>
      </c>
      <c r="N146" s="290" t="n">
        <v>10583333.3333333</v>
      </c>
      <c r="O146" s="290" t="n">
        <v>0</v>
      </c>
      <c r="P146" s="290" t="n">
        <f aca="false">SUM(M146:O146)</f>
        <v>10583333.3333333</v>
      </c>
    </row>
    <row r="147" customFormat="false" ht="12.75" hidden="false" customHeight="false" outlineLevel="0" collapsed="false">
      <c r="A147" s="285" t="n">
        <v>9397</v>
      </c>
      <c r="B147" s="285"/>
      <c r="C147" s="286" t="s">
        <v>402</v>
      </c>
      <c r="D147" s="293" t="s">
        <v>402</v>
      </c>
      <c r="E147" s="288" t="n">
        <f aca="false">IF(I147="regional",IF(R147*0.2975,S147*0.3484),S147*0.1939)</f>
        <v>0</v>
      </c>
      <c r="F147" s="294"/>
      <c r="G147" s="289" t="n">
        <f aca="false">E147+F147</f>
        <v>0</v>
      </c>
      <c r="H147" s="286"/>
      <c r="I147" s="293" t="s">
        <v>718</v>
      </c>
      <c r="J147" s="293"/>
      <c r="K147" s="293"/>
      <c r="M147" s="290" t="n">
        <v>2763888.88888889</v>
      </c>
      <c r="N147" s="290" t="n">
        <v>1611111.11111111</v>
      </c>
      <c r="O147" s="290" t="n">
        <v>-680555.555555556</v>
      </c>
      <c r="P147" s="290" t="n">
        <f aca="false">SUM(M147:O147)</f>
        <v>3694444.44444444</v>
      </c>
    </row>
    <row r="148" customFormat="false" ht="12.75" hidden="false" customHeight="false" outlineLevel="0" collapsed="false">
      <c r="A148" s="285" t="n">
        <v>2810</v>
      </c>
      <c r="B148" s="285" t="s">
        <v>44</v>
      </c>
      <c r="C148" s="286" t="s">
        <v>407</v>
      </c>
      <c r="D148" s="287" t="s">
        <v>407</v>
      </c>
      <c r="E148" s="288" t="n">
        <f aca="false">IF(I148="regional",IF(R148*0.2975,S148*0.3484),S148*0.1939)</f>
        <v>0</v>
      </c>
      <c r="F148" s="288" t="n">
        <v>699163</v>
      </c>
      <c r="G148" s="289" t="n">
        <f aca="false">E148+F148</f>
        <v>699163</v>
      </c>
      <c r="H148" s="286" t="s">
        <v>49</v>
      </c>
      <c r="I148" s="287" t="s">
        <v>48</v>
      </c>
      <c r="J148" s="287" t="s">
        <v>44</v>
      </c>
      <c r="K148" s="287" t="s">
        <v>409</v>
      </c>
      <c r="M148" s="290" t="n">
        <v>0</v>
      </c>
      <c r="N148" s="290" t="n">
        <v>0</v>
      </c>
      <c r="O148" s="290" t="n">
        <v>0</v>
      </c>
      <c r="P148" s="290" t="n">
        <f aca="false">SUM(M148:O148)</f>
        <v>0</v>
      </c>
    </row>
    <row r="149" customFormat="false" ht="12.75" hidden="false" customHeight="false" outlineLevel="0" collapsed="false">
      <c r="A149" s="295" t="n">
        <v>2811</v>
      </c>
      <c r="B149" s="295"/>
      <c r="C149" s="295" t="s">
        <v>751</v>
      </c>
      <c r="D149" s="296" t="s">
        <v>751</v>
      </c>
      <c r="E149" s="288" t="n">
        <f aca="false">IF(I149="regional",IF(R149*0.2975,S149*0.3484),S149*0.1939)</f>
        <v>0</v>
      </c>
      <c r="F149" s="297"/>
      <c r="G149" s="289" t="n">
        <f aca="false">E149+F149</f>
        <v>0</v>
      </c>
      <c r="H149" s="295"/>
      <c r="I149" s="296" t="s">
        <v>62</v>
      </c>
      <c r="J149" s="296"/>
      <c r="K149" s="296"/>
      <c r="M149" s="290" t="n">
        <v>0</v>
      </c>
      <c r="N149" s="290" t="n">
        <v>166666.666666667</v>
      </c>
      <c r="O149" s="290" t="n">
        <v>0</v>
      </c>
      <c r="P149" s="290" t="n">
        <f aca="false">SUM(M149:O149)</f>
        <v>166666.666666667</v>
      </c>
    </row>
    <row r="150" customFormat="false" ht="12.75" hidden="false" customHeight="false" outlineLevel="0" collapsed="false">
      <c r="A150" s="285" t="n">
        <v>1540</v>
      </c>
      <c r="B150" s="285"/>
      <c r="C150" s="286" t="s">
        <v>410</v>
      </c>
      <c r="D150" s="287" t="s">
        <v>410</v>
      </c>
      <c r="E150" s="288" t="n">
        <f aca="false">IF(I150="regional",IF(R150*0.2975,S150*0.3484),S150*0.1939)</f>
        <v>0</v>
      </c>
      <c r="F150" s="288" t="n">
        <v>0</v>
      </c>
      <c r="G150" s="289" t="n">
        <f aca="false">E150+F150</f>
        <v>0</v>
      </c>
      <c r="H150" s="286"/>
      <c r="I150" s="287" t="s">
        <v>48</v>
      </c>
      <c r="J150" s="287" t="s">
        <v>49</v>
      </c>
      <c r="K150" s="287" t="s">
        <v>118</v>
      </c>
      <c r="M150" s="290" t="n">
        <v>1611111.11111111</v>
      </c>
      <c r="N150" s="290" t="n">
        <v>1569444.44444444</v>
      </c>
      <c r="O150" s="290" t="n">
        <v>736111.111111111</v>
      </c>
      <c r="P150" s="290" t="n">
        <f aca="false">SUM(M150:O150)</f>
        <v>3916666.66666667</v>
      </c>
    </row>
    <row r="151" customFormat="false" ht="12.75" hidden="false" customHeight="false" outlineLevel="0" collapsed="false">
      <c r="A151" s="285" t="n">
        <v>4771</v>
      </c>
      <c r="B151" s="285" t="s">
        <v>44</v>
      </c>
      <c r="C151" s="286" t="s">
        <v>680</v>
      </c>
      <c r="D151" s="287" t="s">
        <v>680</v>
      </c>
      <c r="E151" s="288" t="n">
        <f aca="false">IF(I151="regional",IF(R151*0.2975,S151*0.3484),S151*0.1939)</f>
        <v>0</v>
      </c>
      <c r="F151" s="288" t="n">
        <v>426000</v>
      </c>
      <c r="G151" s="289" t="n">
        <f aca="false">E151+F151</f>
        <v>426000</v>
      </c>
      <c r="H151" s="286" t="s">
        <v>49</v>
      </c>
      <c r="I151" s="287" t="s">
        <v>48</v>
      </c>
      <c r="J151" s="287" t="s">
        <v>44</v>
      </c>
      <c r="K151" s="287" t="s">
        <v>414</v>
      </c>
      <c r="M151" s="290" t="n">
        <v>0</v>
      </c>
      <c r="N151" s="290" t="n">
        <v>0</v>
      </c>
      <c r="O151" s="290" t="n">
        <v>0</v>
      </c>
      <c r="P151" s="290" t="n">
        <f aca="false">SUM(M151:O151)</f>
        <v>0</v>
      </c>
    </row>
    <row r="152" customFormat="false" ht="12.75" hidden="false" customHeight="false" outlineLevel="0" collapsed="false">
      <c r="A152" s="285" t="n">
        <v>1926</v>
      </c>
      <c r="B152" s="285"/>
      <c r="C152" s="286" t="s">
        <v>415</v>
      </c>
      <c r="D152" s="287" t="s">
        <v>415</v>
      </c>
      <c r="E152" s="288" t="n">
        <f aca="false">IF(I152="regional",IF(R152*0.2975,S152*0.3484),S152*0.1939)</f>
        <v>0</v>
      </c>
      <c r="F152" s="288" t="n">
        <v>0</v>
      </c>
      <c r="G152" s="289" t="n">
        <f aca="false">E152+F152</f>
        <v>0</v>
      </c>
      <c r="H152" s="286"/>
      <c r="I152" s="287" t="s">
        <v>62</v>
      </c>
      <c r="J152" s="287"/>
      <c r="K152" s="287" t="s">
        <v>98</v>
      </c>
      <c r="M152" s="290" t="n">
        <v>0</v>
      </c>
      <c r="N152" s="290" t="n">
        <v>13888.8888888889</v>
      </c>
      <c r="O152" s="290" t="n">
        <v>-166666.666666667</v>
      </c>
      <c r="P152" s="290" t="n">
        <f aca="false">SUM(M152:O152)</f>
        <v>-152777.777777778</v>
      </c>
    </row>
    <row r="153" customFormat="false" ht="12.75" hidden="false" customHeight="false" outlineLevel="0" collapsed="false">
      <c r="A153" s="285" t="n">
        <v>3527</v>
      </c>
      <c r="B153" s="285"/>
      <c r="C153" s="286" t="s">
        <v>417</v>
      </c>
      <c r="D153" s="287" t="s">
        <v>417</v>
      </c>
      <c r="E153" s="288" t="n">
        <f aca="false">IF(I153="regional",IF(R153*0.2975,S153*0.3484),S153*0.1939)</f>
        <v>0</v>
      </c>
      <c r="F153" s="288" t="n">
        <v>0</v>
      </c>
      <c r="G153" s="289" t="n">
        <f aca="false">E153+F153</f>
        <v>0</v>
      </c>
      <c r="H153" s="286"/>
      <c r="I153" s="287" t="s">
        <v>62</v>
      </c>
      <c r="J153" s="287" t="s">
        <v>49</v>
      </c>
      <c r="K153" s="287" t="s">
        <v>98</v>
      </c>
      <c r="M153" s="290" t="n">
        <v>0</v>
      </c>
      <c r="N153" s="290" t="n">
        <v>97222.2222222222</v>
      </c>
      <c r="O153" s="290" t="n">
        <v>263888.888888889</v>
      </c>
      <c r="P153" s="290" t="n">
        <f aca="false">SUM(M153:O153)</f>
        <v>361111.111111111</v>
      </c>
    </row>
    <row r="154" customFormat="false" ht="12.75" hidden="false" customHeight="false" outlineLevel="0" collapsed="false">
      <c r="A154" s="285" t="n">
        <v>2717</v>
      </c>
      <c r="B154" s="285" t="s">
        <v>44</v>
      </c>
      <c r="C154" s="286" t="s">
        <v>419</v>
      </c>
      <c r="D154" s="287" t="s">
        <v>419</v>
      </c>
      <c r="E154" s="288" t="n">
        <f aca="false">IF(I154="regional",IF(R154*0.2975,S154*0.3484),S154*0.1939)</f>
        <v>0</v>
      </c>
      <c r="F154" s="288" t="n">
        <v>0</v>
      </c>
      <c r="G154" s="289" t="n">
        <f aca="false">E154+F154</f>
        <v>0</v>
      </c>
      <c r="H154" s="286"/>
      <c r="I154" s="287" t="s">
        <v>48</v>
      </c>
      <c r="J154" s="287" t="s">
        <v>44</v>
      </c>
      <c r="K154" s="287" t="s">
        <v>421</v>
      </c>
      <c r="M154" s="290" t="n">
        <v>750000</v>
      </c>
      <c r="N154" s="290" t="n">
        <v>1583333.33333333</v>
      </c>
      <c r="O154" s="290" t="n">
        <v>0</v>
      </c>
      <c r="P154" s="290" t="n">
        <f aca="false">SUM(M154:O154)</f>
        <v>2333333.33333333</v>
      </c>
    </row>
    <row r="155" customFormat="false" ht="12.75" hidden="false" customHeight="false" outlineLevel="0" collapsed="false">
      <c r="A155" s="285" t="n">
        <v>9245</v>
      </c>
      <c r="B155" s="285"/>
      <c r="C155" s="286" t="s">
        <v>422</v>
      </c>
      <c r="D155" s="287" t="s">
        <v>422</v>
      </c>
      <c r="E155" s="288" t="n">
        <f aca="false">IF(I155="regional",IF(R155*0.2975,S155*0.3484),S155*0.1939)</f>
        <v>0</v>
      </c>
      <c r="F155" s="288" t="n">
        <v>0</v>
      </c>
      <c r="G155" s="289" t="n">
        <f aca="false">E155+F155</f>
        <v>0</v>
      </c>
      <c r="H155" s="286" t="s">
        <v>49</v>
      </c>
      <c r="I155" s="287" t="s">
        <v>48</v>
      </c>
      <c r="J155" s="287" t="s">
        <v>49</v>
      </c>
      <c r="K155" s="287" t="s">
        <v>98</v>
      </c>
      <c r="M155" s="290" t="n">
        <v>0</v>
      </c>
      <c r="N155" s="290" t="n">
        <v>0</v>
      </c>
      <c r="O155" s="290" t="n">
        <v>0</v>
      </c>
      <c r="P155" s="290" t="n">
        <f aca="false">SUM(M155:O155)</f>
        <v>0</v>
      </c>
    </row>
    <row r="156" customFormat="false" ht="12.75" hidden="false" customHeight="false" outlineLevel="0" collapsed="false">
      <c r="A156" s="285" t="n">
        <v>9250</v>
      </c>
      <c r="B156" s="285"/>
      <c r="C156" s="286" t="s">
        <v>424</v>
      </c>
      <c r="D156" s="287" t="s">
        <v>424</v>
      </c>
      <c r="E156" s="288" t="n">
        <f aca="false">IF(I156="regional",IF(R156*0.2975,S156*0.3484),S156*0.1939)</f>
        <v>0</v>
      </c>
      <c r="F156" s="288" t="n">
        <v>0</v>
      </c>
      <c r="G156" s="289" t="n">
        <f aca="false">E156+F156</f>
        <v>0</v>
      </c>
      <c r="H156" s="286"/>
      <c r="I156" s="287" t="s">
        <v>48</v>
      </c>
      <c r="J156" s="287" t="s">
        <v>49</v>
      </c>
      <c r="K156" s="287" t="s">
        <v>426</v>
      </c>
      <c r="M156" s="290" t="n">
        <v>0</v>
      </c>
      <c r="N156" s="290" t="n">
        <v>1541666.66666667</v>
      </c>
      <c r="O156" s="290" t="n">
        <v>27777.7777777778</v>
      </c>
      <c r="P156" s="290" t="n">
        <f aca="false">SUM(M156:O156)</f>
        <v>1569444.44444444</v>
      </c>
    </row>
    <row r="157" customFormat="false" ht="12.75" hidden="false" customHeight="false" outlineLevel="0" collapsed="false">
      <c r="A157" s="285" t="n">
        <v>4831</v>
      </c>
      <c r="B157" s="285"/>
      <c r="C157" s="286" t="s">
        <v>752</v>
      </c>
      <c r="D157" s="287" t="s">
        <v>427</v>
      </c>
      <c r="E157" s="288" t="n">
        <f aca="false">IF(I157="regional",IF(R157*0.2975,S157*0.3484),S157*0.1939)</f>
        <v>0</v>
      </c>
      <c r="F157" s="288" t="n">
        <v>356000</v>
      </c>
      <c r="G157" s="289" t="n">
        <f aca="false">E157+F157</f>
        <v>356000</v>
      </c>
      <c r="H157" s="286"/>
      <c r="I157" s="287" t="s">
        <v>48</v>
      </c>
      <c r="J157" s="287" t="s">
        <v>49</v>
      </c>
      <c r="K157" s="287" t="s">
        <v>277</v>
      </c>
      <c r="M157" s="290" t="n">
        <v>3597222.22222222</v>
      </c>
      <c r="N157" s="290" t="n">
        <v>2833333.33333333</v>
      </c>
      <c r="O157" s="290" t="n">
        <v>111111.111111111</v>
      </c>
      <c r="P157" s="290" t="n">
        <f aca="false">SUM(M157:O157)</f>
        <v>6541666.66666667</v>
      </c>
    </row>
    <row r="158" customFormat="false" ht="12.75" hidden="false" customHeight="false" outlineLevel="0" collapsed="false">
      <c r="A158" s="285" t="n">
        <v>544</v>
      </c>
      <c r="B158" s="285"/>
      <c r="C158" s="286" t="s">
        <v>428</v>
      </c>
      <c r="D158" s="287" t="s">
        <v>428</v>
      </c>
      <c r="E158" s="288" t="n">
        <f aca="false">IF(I158="regional",IF(R158*0.2975,S158*0.3484),S158*0.1939)</f>
        <v>0</v>
      </c>
      <c r="F158" s="288" t="n">
        <v>0</v>
      </c>
      <c r="G158" s="289" t="n">
        <f aca="false">E158+F158</f>
        <v>0</v>
      </c>
      <c r="H158" s="286"/>
      <c r="I158" s="287" t="s">
        <v>62</v>
      </c>
      <c r="J158" s="287"/>
      <c r="K158" s="287" t="s">
        <v>334</v>
      </c>
      <c r="M158" s="290" t="n">
        <v>0</v>
      </c>
      <c r="N158" s="290" t="n">
        <v>416666.666666667</v>
      </c>
      <c r="O158" s="290" t="n">
        <v>83333.3333333333</v>
      </c>
      <c r="P158" s="290" t="n">
        <f aca="false">SUM(M158:O158)</f>
        <v>500000</v>
      </c>
    </row>
    <row r="159" customFormat="false" ht="12.75" hidden="false" customHeight="false" outlineLevel="0" collapsed="false">
      <c r="A159" s="285" t="n">
        <v>2525</v>
      </c>
      <c r="B159" s="285"/>
      <c r="C159" s="286" t="s">
        <v>430</v>
      </c>
      <c r="D159" s="287" t="s">
        <v>430</v>
      </c>
      <c r="E159" s="288" t="n">
        <f aca="false">IF(I159="regional",IF(R159*0.2975,S159*0.3484),S159*0.1939)</f>
        <v>0</v>
      </c>
      <c r="F159" s="288" t="n">
        <v>0</v>
      </c>
      <c r="G159" s="289" t="n">
        <f aca="false">E159+F159</f>
        <v>0</v>
      </c>
      <c r="H159" s="286"/>
      <c r="I159" s="287" t="s">
        <v>62</v>
      </c>
      <c r="J159" s="287" t="s">
        <v>49</v>
      </c>
      <c r="K159" s="287" t="s">
        <v>334</v>
      </c>
      <c r="M159" s="290" t="n">
        <v>0</v>
      </c>
      <c r="N159" s="290" t="n">
        <v>250000</v>
      </c>
      <c r="O159" s="290" t="n">
        <v>83333.3333333333</v>
      </c>
      <c r="P159" s="290" t="n">
        <f aca="false">SUM(M159:O159)</f>
        <v>333333.333333333</v>
      </c>
    </row>
    <row r="160" customFormat="false" ht="12.75" hidden="false" customHeight="false" outlineLevel="0" collapsed="false">
      <c r="A160" s="285" t="n">
        <v>2743</v>
      </c>
      <c r="B160" s="285" t="s">
        <v>44</v>
      </c>
      <c r="C160" s="286" t="s">
        <v>432</v>
      </c>
      <c r="D160" s="287" t="s">
        <v>432</v>
      </c>
      <c r="E160" s="288" t="n">
        <f aca="false">IF(I160="regional",IF(R160*0.2975,S160*0.3484),S160*0.1939)</f>
        <v>0</v>
      </c>
      <c r="F160" s="288" t="n">
        <v>455134</v>
      </c>
      <c r="G160" s="289" t="n">
        <f aca="false">E160+F160</f>
        <v>455134</v>
      </c>
      <c r="H160" s="286"/>
      <c r="I160" s="287" t="s">
        <v>48</v>
      </c>
      <c r="J160" s="287" t="s">
        <v>44</v>
      </c>
      <c r="K160" s="287" t="s">
        <v>434</v>
      </c>
      <c r="M160" s="290" t="n">
        <v>2625000</v>
      </c>
      <c r="N160" s="290" t="n">
        <v>375000</v>
      </c>
      <c r="O160" s="290" t="n">
        <v>0</v>
      </c>
      <c r="P160" s="290" t="n">
        <f aca="false">SUM(M160:O160)</f>
        <v>3000000</v>
      </c>
    </row>
    <row r="161" customFormat="false" ht="12.75" hidden="false" customHeight="false" outlineLevel="0" collapsed="false">
      <c r="A161" s="285" t="n">
        <v>4668</v>
      </c>
      <c r="B161" s="285"/>
      <c r="C161" s="286" t="s">
        <v>435</v>
      </c>
      <c r="D161" s="287" t="s">
        <v>435</v>
      </c>
      <c r="E161" s="288" t="n">
        <f aca="false">IF(I161="regional",IF(R161*0.2975,S161*0.3484),S161*0.1939)</f>
        <v>0</v>
      </c>
      <c r="F161" s="288" t="n">
        <v>0</v>
      </c>
      <c r="G161" s="289" t="n">
        <f aca="false">E161+F161</f>
        <v>0</v>
      </c>
      <c r="H161" s="286"/>
      <c r="I161" s="287" t="s">
        <v>48</v>
      </c>
      <c r="J161" s="287" t="s">
        <v>49</v>
      </c>
      <c r="K161" s="287" t="s">
        <v>437</v>
      </c>
      <c r="M161" s="290" t="n">
        <v>0</v>
      </c>
      <c r="N161" s="290" t="n">
        <v>2625000</v>
      </c>
      <c r="O161" s="290" t="n">
        <v>13888.8888888889</v>
      </c>
      <c r="P161" s="290" t="n">
        <f aca="false">SUM(M161:O161)</f>
        <v>2638888.88888889</v>
      </c>
    </row>
    <row r="162" customFormat="false" ht="12.75" hidden="false" customHeight="false" outlineLevel="0" collapsed="false">
      <c r="A162" s="298" t="n">
        <v>4669</v>
      </c>
      <c r="B162" s="298"/>
      <c r="C162" s="299" t="s">
        <v>753</v>
      </c>
      <c r="D162" s="293" t="s">
        <v>753</v>
      </c>
      <c r="E162" s="288" t="n">
        <f aca="false">IF(I162="regional",IF(R162*0.2975,S162*0.3484),S162*0.1939)</f>
        <v>0</v>
      </c>
      <c r="F162" s="294"/>
      <c r="G162" s="289" t="n">
        <f aca="false">E162+F162</f>
        <v>0</v>
      </c>
      <c r="H162" s="299"/>
      <c r="I162" s="293" t="s">
        <v>718</v>
      </c>
      <c r="J162" s="293"/>
      <c r="K162" s="293"/>
      <c r="M162" s="290" t="n">
        <v>0</v>
      </c>
      <c r="N162" s="290" t="n">
        <v>2916666.66666667</v>
      </c>
      <c r="O162" s="290" t="n">
        <v>0</v>
      </c>
      <c r="P162" s="290" t="n">
        <f aca="false">SUM(M162:O162)</f>
        <v>2916666.66666667</v>
      </c>
    </row>
    <row r="163" customFormat="false" ht="12.75" hidden="false" customHeight="false" outlineLevel="0" collapsed="false">
      <c r="A163" s="298" t="n">
        <v>2905</v>
      </c>
      <c r="B163" s="298" t="s">
        <v>44</v>
      </c>
      <c r="C163" s="299" t="s">
        <v>438</v>
      </c>
      <c r="D163" s="287" t="s">
        <v>438</v>
      </c>
      <c r="E163" s="288" t="n">
        <f aca="false">IF(I163="regional",IF(R163*0.2975,S163*0.3484),S163*0.1939)</f>
        <v>0</v>
      </c>
      <c r="F163" s="288" t="n">
        <v>0</v>
      </c>
      <c r="G163" s="289" t="n">
        <f aca="false">E163+F163</f>
        <v>0</v>
      </c>
      <c r="H163" s="299" t="s">
        <v>49</v>
      </c>
      <c r="I163" s="287" t="s">
        <v>48</v>
      </c>
      <c r="J163" s="287"/>
      <c r="K163" s="287"/>
      <c r="M163" s="290" t="n">
        <v>0</v>
      </c>
      <c r="N163" s="290" t="n">
        <v>0</v>
      </c>
      <c r="O163" s="290" t="n">
        <v>0</v>
      </c>
      <c r="P163" s="290" t="n">
        <f aca="false">SUM(M163:O163)</f>
        <v>0</v>
      </c>
    </row>
    <row r="164" customFormat="false" ht="12.75" hidden="false" customHeight="false" outlineLevel="0" collapsed="false">
      <c r="A164" s="298" t="n">
        <v>4832</v>
      </c>
      <c r="B164" s="298"/>
      <c r="C164" s="299" t="s">
        <v>439</v>
      </c>
      <c r="D164" s="287" t="s">
        <v>439</v>
      </c>
      <c r="E164" s="288" t="n">
        <f aca="false">IF(I164="regional",IF(R164*0.2975,S164*0.3484),S164*0.1939)</f>
        <v>0</v>
      </c>
      <c r="F164" s="288" t="n">
        <v>0</v>
      </c>
      <c r="G164" s="289" t="n">
        <f aca="false">E164+F164</f>
        <v>0</v>
      </c>
      <c r="H164" s="299"/>
      <c r="I164" s="287" t="s">
        <v>48</v>
      </c>
      <c r="J164" s="287" t="s">
        <v>49</v>
      </c>
      <c r="K164" s="287" t="s">
        <v>345</v>
      </c>
      <c r="M164" s="290" t="n">
        <v>0</v>
      </c>
      <c r="N164" s="290" t="n">
        <v>3361111.11111111</v>
      </c>
      <c r="O164" s="290" t="n">
        <v>69444.4444444445</v>
      </c>
      <c r="P164" s="290" t="n">
        <f aca="false">SUM(M164:O164)</f>
        <v>3430555.55555556</v>
      </c>
    </row>
    <row r="165" customFormat="false" ht="12.75" hidden="false" customHeight="false" outlineLevel="0" collapsed="false">
      <c r="A165" s="298" t="n">
        <v>1625</v>
      </c>
      <c r="B165" s="298"/>
      <c r="C165" s="299" t="s">
        <v>441</v>
      </c>
      <c r="D165" s="293" t="s">
        <v>441</v>
      </c>
      <c r="E165" s="288" t="n">
        <f aca="false">IF(I165="regional",IF(R165*0.2975,S165*0.3484),S165*0.1939)</f>
        <v>0</v>
      </c>
      <c r="F165" s="294"/>
      <c r="G165" s="289" t="n">
        <f aca="false">E165+F165</f>
        <v>0</v>
      </c>
      <c r="H165" s="292"/>
      <c r="I165" s="293" t="s">
        <v>718</v>
      </c>
      <c r="J165" s="293"/>
      <c r="K165" s="293"/>
      <c r="M165" s="290" t="n">
        <v>0</v>
      </c>
      <c r="N165" s="290" t="n">
        <v>3222222.22222222</v>
      </c>
      <c r="O165" s="290" t="n">
        <v>-347222.222222222</v>
      </c>
      <c r="P165" s="290" t="n">
        <f aca="false">SUM(M165:O165)</f>
        <v>2875000</v>
      </c>
    </row>
    <row r="166" customFormat="false" ht="12.75" hidden="false" customHeight="false" outlineLevel="0" collapsed="false">
      <c r="A166" s="291" t="n">
        <v>1626</v>
      </c>
      <c r="B166" s="291"/>
      <c r="C166" s="292" t="s">
        <v>441</v>
      </c>
      <c r="D166" s="287" t="s">
        <v>441</v>
      </c>
      <c r="E166" s="288" t="n">
        <f aca="false">IF(I166="regional",IF(R166*0.2975,S166*0.3484),S166*0.1939)</f>
        <v>0</v>
      </c>
      <c r="F166" s="288" t="n">
        <v>0</v>
      </c>
      <c r="G166" s="289" t="n">
        <f aca="false">E166+F166</f>
        <v>0</v>
      </c>
      <c r="H166" s="292"/>
      <c r="I166" s="293" t="s">
        <v>718</v>
      </c>
      <c r="J166" s="287"/>
      <c r="K166" s="287"/>
      <c r="M166" s="290" t="n">
        <v>0</v>
      </c>
      <c r="N166" s="290" t="n">
        <v>4013888.88888889</v>
      </c>
      <c r="O166" s="290" t="n">
        <v>166666.666666667</v>
      </c>
      <c r="P166" s="290" t="n">
        <f aca="false">SUM(M166:O166)</f>
        <v>4180555.55555556</v>
      </c>
    </row>
    <row r="167" customFormat="false" ht="12.75" hidden="false" customHeight="false" outlineLevel="0" collapsed="false">
      <c r="A167" s="291" t="n">
        <v>2924</v>
      </c>
      <c r="B167" s="291"/>
      <c r="C167" s="292" t="s">
        <v>443</v>
      </c>
      <c r="D167" s="287" t="s">
        <v>443</v>
      </c>
      <c r="E167" s="288" t="n">
        <f aca="false">IF(I167="regional",IF(R167*0.2975,S167*0.3484),S167*0.1939)</f>
        <v>0</v>
      </c>
      <c r="F167" s="288" t="n">
        <v>0</v>
      </c>
      <c r="G167" s="289" t="n">
        <f aca="false">E167+F167</f>
        <v>0</v>
      </c>
      <c r="H167" s="292"/>
      <c r="I167" s="287" t="s">
        <v>48</v>
      </c>
      <c r="J167" s="287" t="s">
        <v>49</v>
      </c>
      <c r="K167" s="287" t="s">
        <v>444</v>
      </c>
      <c r="M167" s="290" t="n">
        <v>0</v>
      </c>
      <c r="N167" s="290" t="n">
        <v>2402777.77777778</v>
      </c>
      <c r="O167" s="290" t="n">
        <v>236111.111111111</v>
      </c>
      <c r="P167" s="290" t="n">
        <f aca="false">SUM(M167:O167)</f>
        <v>2638888.88888889</v>
      </c>
    </row>
    <row r="168" customFormat="false" ht="12.75" hidden="false" customHeight="false" outlineLevel="0" collapsed="false">
      <c r="A168" s="291" t="n">
        <v>4670</v>
      </c>
      <c r="B168" s="291"/>
      <c r="C168" s="292" t="s">
        <v>445</v>
      </c>
      <c r="D168" s="287" t="s">
        <v>445</v>
      </c>
      <c r="E168" s="288" t="n">
        <f aca="false">IF(I168="regional",IF(R168*0.2975,S168*0.3484),S168*0.1939)</f>
        <v>0</v>
      </c>
      <c r="F168" s="288" t="n">
        <v>562000</v>
      </c>
      <c r="G168" s="289" t="n">
        <f aca="false">E168+F168</f>
        <v>562000</v>
      </c>
      <c r="H168" s="292"/>
      <c r="I168" s="287" t="s">
        <v>48</v>
      </c>
      <c r="J168" s="287" t="s">
        <v>49</v>
      </c>
      <c r="K168" s="287" t="s">
        <v>98</v>
      </c>
      <c r="M168" s="290" t="n">
        <v>21111111.1111111</v>
      </c>
      <c r="N168" s="290" t="n">
        <v>888888.888888889</v>
      </c>
      <c r="O168" s="290" t="n">
        <v>-638888.888888889</v>
      </c>
      <c r="P168" s="290" t="n">
        <f aca="false">SUM(M168:O168)</f>
        <v>21361111.1111111</v>
      </c>
    </row>
    <row r="169" customFormat="false" ht="12.75" hidden="false" customHeight="false" outlineLevel="0" collapsed="false">
      <c r="A169" s="291" t="n">
        <v>9353</v>
      </c>
      <c r="B169" s="291"/>
      <c r="C169" s="292" t="s">
        <v>446</v>
      </c>
      <c r="D169" s="287" t="s">
        <v>446</v>
      </c>
      <c r="E169" s="288" t="n">
        <f aca="false">IF(I169="regional",IF(R169*0.2975,S169*0.3484),S169*0.1939)</f>
        <v>0</v>
      </c>
      <c r="F169" s="288" t="n">
        <v>0</v>
      </c>
      <c r="G169" s="289" t="n">
        <f aca="false">E169+F169</f>
        <v>0</v>
      </c>
      <c r="H169" s="292"/>
      <c r="I169" s="287" t="s">
        <v>48</v>
      </c>
      <c r="J169" s="287"/>
      <c r="K169" s="287" t="s">
        <v>250</v>
      </c>
      <c r="M169" s="290" t="n">
        <v>0</v>
      </c>
      <c r="N169" s="290" t="n">
        <v>2263888.88888889</v>
      </c>
      <c r="O169" s="290" t="n">
        <v>0</v>
      </c>
      <c r="P169" s="290" t="n">
        <f aca="false">SUM(M169:O169)</f>
        <v>2263888.88888889</v>
      </c>
    </row>
    <row r="170" customFormat="false" ht="12.75" hidden="false" customHeight="false" outlineLevel="0" collapsed="false">
      <c r="A170" s="298" t="n">
        <v>9363</v>
      </c>
      <c r="B170" s="298"/>
      <c r="C170" s="299" t="s">
        <v>447</v>
      </c>
      <c r="D170" s="287" t="s">
        <v>447</v>
      </c>
      <c r="E170" s="288" t="n">
        <f aca="false">IF(I170="regional",IF(R170*0.2975,S170*0.3484),S170*0.1939)</f>
        <v>0</v>
      </c>
      <c r="F170" s="288" t="n">
        <v>0</v>
      </c>
      <c r="G170" s="289" t="n">
        <f aca="false">E170+F170</f>
        <v>0</v>
      </c>
      <c r="H170" s="292"/>
      <c r="I170" s="287" t="s">
        <v>48</v>
      </c>
      <c r="J170" s="287" t="s">
        <v>49</v>
      </c>
      <c r="K170" s="287" t="s">
        <v>449</v>
      </c>
      <c r="M170" s="290" t="n">
        <v>0</v>
      </c>
      <c r="N170" s="290" t="n">
        <v>3597222.22222222</v>
      </c>
      <c r="O170" s="290" t="n">
        <v>180555.555555556</v>
      </c>
      <c r="P170" s="290" t="n">
        <f aca="false">SUM(M170:O170)</f>
        <v>3777777.77777778</v>
      </c>
    </row>
    <row r="171" customFormat="false" ht="12.75" hidden="false" customHeight="false" outlineLevel="0" collapsed="false">
      <c r="A171" s="285" t="n">
        <v>1536</v>
      </c>
      <c r="B171" s="285"/>
      <c r="C171" s="286" t="s">
        <v>450</v>
      </c>
      <c r="D171" s="287" t="s">
        <v>450</v>
      </c>
      <c r="E171" s="288" t="n">
        <f aca="false">IF(I171="regional",IF(R171*0.2975,S171*0.3484),S171*0.1939)</f>
        <v>0</v>
      </c>
      <c r="F171" s="288" t="n">
        <v>0</v>
      </c>
      <c r="G171" s="289" t="n">
        <f aca="false">E171+F171</f>
        <v>0</v>
      </c>
      <c r="H171" s="286"/>
      <c r="I171" s="287" t="s">
        <v>62</v>
      </c>
      <c r="J171" s="287"/>
      <c r="K171" s="287" t="s">
        <v>453</v>
      </c>
      <c r="M171" s="290" t="n">
        <v>0</v>
      </c>
      <c r="N171" s="290" t="n">
        <v>69444.4444444445</v>
      </c>
      <c r="O171" s="290" t="n">
        <v>0</v>
      </c>
      <c r="P171" s="290" t="n">
        <f aca="false">SUM(M171:O171)</f>
        <v>69444.4444444445</v>
      </c>
    </row>
    <row r="172" customFormat="false" ht="12.75" hidden="false" customHeight="false" outlineLevel="0" collapsed="false">
      <c r="A172" s="285" t="n">
        <v>4834</v>
      </c>
      <c r="B172" s="285" t="s">
        <v>44</v>
      </c>
      <c r="C172" s="286" t="s">
        <v>756</v>
      </c>
      <c r="D172" s="287" t="s">
        <v>669</v>
      </c>
      <c r="E172" s="288" t="n">
        <f aca="false">IF(I172="regional",IF(R172*0.2975,S172*0.3484),S172*0.1939)</f>
        <v>0</v>
      </c>
      <c r="F172" s="288" t="n">
        <v>491000</v>
      </c>
      <c r="G172" s="289" t="n">
        <f aca="false">E172+F172</f>
        <v>491000</v>
      </c>
      <c r="H172" s="286"/>
      <c r="I172" s="287" t="s">
        <v>48</v>
      </c>
      <c r="J172" s="287" t="s">
        <v>44</v>
      </c>
      <c r="K172" s="287" t="s">
        <v>277</v>
      </c>
      <c r="M172" s="290" t="n">
        <v>4541666.66666667</v>
      </c>
      <c r="N172" s="290" t="n">
        <v>2986111.11111111</v>
      </c>
      <c r="O172" s="290" t="n">
        <v>0</v>
      </c>
      <c r="P172" s="290" t="n">
        <f aca="false">SUM(M172:O172)</f>
        <v>7527777.77777778</v>
      </c>
    </row>
    <row r="173" customFormat="false" ht="12.75" hidden="false" customHeight="false" outlineLevel="0" collapsed="false">
      <c r="A173" s="285" t="n">
        <v>728</v>
      </c>
      <c r="B173" s="285"/>
      <c r="C173" s="286" t="s">
        <v>455</v>
      </c>
      <c r="D173" s="287" t="s">
        <v>455</v>
      </c>
      <c r="E173" s="288" t="n">
        <f aca="false">IF(I173="regional",IF(R173*0.2975,S173*0.3484),S173*0.1939)</f>
        <v>0</v>
      </c>
      <c r="F173" s="288" t="n">
        <v>0</v>
      </c>
      <c r="G173" s="289" t="n">
        <f aca="false">E173+F173</f>
        <v>0</v>
      </c>
      <c r="H173" s="286" t="s">
        <v>49</v>
      </c>
      <c r="I173" s="287" t="s">
        <v>62</v>
      </c>
      <c r="J173" s="287"/>
      <c r="K173" s="287" t="s">
        <v>458</v>
      </c>
      <c r="M173" s="290" t="n">
        <v>0</v>
      </c>
      <c r="N173" s="290" t="n">
        <v>0</v>
      </c>
      <c r="O173" s="290" t="n">
        <v>0</v>
      </c>
      <c r="P173" s="290" t="n">
        <f aca="false">SUM(M173:O173)</f>
        <v>0</v>
      </c>
    </row>
    <row r="174" customFormat="false" ht="12.75" hidden="false" customHeight="false" outlineLevel="0" collapsed="false">
      <c r="A174" s="285" t="n">
        <v>9903</v>
      </c>
      <c r="B174" s="285"/>
      <c r="C174" s="286" t="s">
        <v>459</v>
      </c>
      <c r="D174" s="287" t="s">
        <v>459</v>
      </c>
      <c r="E174" s="288" t="n">
        <f aca="false">IF(I174="regional",IF(R174*0.2975,S174*0.3484),S174*0.1939)</f>
        <v>0</v>
      </c>
      <c r="F174" s="288" t="n">
        <v>0</v>
      </c>
      <c r="G174" s="289" t="n">
        <f aca="false">E174+F174</f>
        <v>0</v>
      </c>
      <c r="H174" s="286" t="s">
        <v>49</v>
      </c>
      <c r="I174" s="287" t="s">
        <v>48</v>
      </c>
      <c r="J174" s="287" t="s">
        <v>49</v>
      </c>
      <c r="K174" s="287" t="s">
        <v>449</v>
      </c>
      <c r="M174" s="290" t="n">
        <v>0</v>
      </c>
      <c r="N174" s="290" t="n">
        <v>0</v>
      </c>
      <c r="O174" s="290" t="n">
        <v>0</v>
      </c>
      <c r="P174" s="290" t="n">
        <f aca="false">SUM(M174:O174)</f>
        <v>0</v>
      </c>
    </row>
    <row r="175" customFormat="false" ht="12.75" hidden="false" customHeight="false" outlineLevel="0" collapsed="false">
      <c r="A175" s="285" t="n">
        <v>2318</v>
      </c>
      <c r="B175" s="285" t="s">
        <v>44</v>
      </c>
      <c r="C175" s="286" t="s">
        <v>461</v>
      </c>
      <c r="D175" s="287" t="s">
        <v>461</v>
      </c>
      <c r="E175" s="288" t="n">
        <f aca="false">IF(I175="regional",IF(R175*0.2975,S175*0.3484),S175*0.1939)</f>
        <v>0</v>
      </c>
      <c r="F175" s="288" t="n">
        <v>0</v>
      </c>
      <c r="G175" s="289" t="n">
        <f aca="false">E175+F175</f>
        <v>0</v>
      </c>
      <c r="H175" s="286"/>
      <c r="I175" s="287" t="s">
        <v>48</v>
      </c>
      <c r="J175" s="287" t="s">
        <v>44</v>
      </c>
      <c r="K175" s="287" t="s">
        <v>406</v>
      </c>
      <c r="M175" s="290" t="n">
        <v>708333.333333333</v>
      </c>
      <c r="N175" s="290" t="n">
        <v>333333.333333333</v>
      </c>
      <c r="O175" s="290" t="n">
        <v>13888.8888888889</v>
      </c>
      <c r="P175" s="290" t="n">
        <f aca="false">SUM(M175:O175)</f>
        <v>1055555.55555556</v>
      </c>
    </row>
    <row r="176" customFormat="false" ht="12.75" hidden="false" customHeight="false" outlineLevel="0" collapsed="false">
      <c r="A176" s="285" t="n">
        <v>9419</v>
      </c>
      <c r="B176" s="285"/>
      <c r="C176" s="286" t="s">
        <v>463</v>
      </c>
      <c r="D176" s="287" t="s">
        <v>463</v>
      </c>
      <c r="E176" s="288" t="n">
        <f aca="false">IF(I176="regional",IF(R176*0.2975,S176*0.3484),S176*0.1939)</f>
        <v>0</v>
      </c>
      <c r="F176" s="288" t="n">
        <v>0</v>
      </c>
      <c r="G176" s="289" t="n">
        <f aca="false">E176+F176</f>
        <v>0</v>
      </c>
      <c r="H176" s="286"/>
      <c r="I176" s="287" t="s">
        <v>48</v>
      </c>
      <c r="J176" s="287" t="s">
        <v>49</v>
      </c>
      <c r="K176" s="287" t="s">
        <v>464</v>
      </c>
      <c r="M176" s="290" t="n">
        <v>0</v>
      </c>
      <c r="N176" s="290" t="n">
        <v>861111.111111111</v>
      </c>
      <c r="O176" s="290" t="n">
        <v>361111.111111111</v>
      </c>
      <c r="P176" s="290" t="n">
        <f aca="false">SUM(M176:O176)</f>
        <v>1222222.22222222</v>
      </c>
    </row>
    <row r="177" customFormat="false" ht="12.75" hidden="false" customHeight="false" outlineLevel="0" collapsed="false">
      <c r="A177" s="285" t="n">
        <v>9421</v>
      </c>
      <c r="B177" s="285"/>
      <c r="C177" s="286" t="s">
        <v>465</v>
      </c>
      <c r="D177" s="287" t="s">
        <v>465</v>
      </c>
      <c r="E177" s="288" t="n">
        <f aca="false">IF(I177="regional",IF(R177*0.2975,S177*0.3484),S177*0.1939)</f>
        <v>0</v>
      </c>
      <c r="F177" s="288" t="n">
        <v>0</v>
      </c>
      <c r="G177" s="289" t="n">
        <f aca="false">E177+F177</f>
        <v>0</v>
      </c>
      <c r="H177" s="286"/>
      <c r="I177" s="287" t="s">
        <v>48</v>
      </c>
      <c r="J177" s="287"/>
      <c r="K177" s="287" t="s">
        <v>260</v>
      </c>
      <c r="M177" s="290" t="n">
        <v>0</v>
      </c>
      <c r="N177" s="290" t="n">
        <v>5305555.55555556</v>
      </c>
      <c r="O177" s="290" t="n">
        <v>138888.888888889</v>
      </c>
      <c r="P177" s="290" t="n">
        <f aca="false">SUM(M177:O177)</f>
        <v>5444444.44444445</v>
      </c>
    </row>
    <row r="178" customFormat="false" ht="12.75" hidden="false" customHeight="false" outlineLevel="0" collapsed="false">
      <c r="A178" s="285" t="n">
        <v>3518</v>
      </c>
      <c r="B178" s="285"/>
      <c r="C178" s="286" t="s">
        <v>467</v>
      </c>
      <c r="D178" s="287" t="s">
        <v>467</v>
      </c>
      <c r="E178" s="288" t="n">
        <f aca="false">IF(I178="regional",IF(R178*0.2975,S178*0.3484),S178*0.1939)</f>
        <v>0</v>
      </c>
      <c r="F178" s="288" t="n">
        <v>0</v>
      </c>
      <c r="G178" s="289" t="n">
        <f aca="false">E178+F178</f>
        <v>0</v>
      </c>
      <c r="H178" s="286"/>
      <c r="I178" s="287" t="s">
        <v>62</v>
      </c>
      <c r="J178" s="287"/>
      <c r="K178" s="287" t="s">
        <v>50</v>
      </c>
      <c r="M178" s="290" t="n">
        <v>0</v>
      </c>
      <c r="N178" s="290" t="n">
        <v>138888.888888889</v>
      </c>
      <c r="O178" s="290" t="n">
        <v>0</v>
      </c>
      <c r="P178" s="290" t="n">
        <f aca="false">SUM(M178:O178)</f>
        <v>138888.888888889</v>
      </c>
    </row>
    <row r="179" customFormat="false" ht="12.75" hidden="false" customHeight="false" outlineLevel="0" collapsed="false">
      <c r="A179" s="285" t="n">
        <v>9555</v>
      </c>
      <c r="B179" s="285"/>
      <c r="C179" s="286" t="s">
        <v>469</v>
      </c>
      <c r="D179" s="287" t="s">
        <v>469</v>
      </c>
      <c r="E179" s="288" t="n">
        <f aca="false">IF(I179="regional",IF(R179*0.2975,S179*0.3484),S179*0.1939)</f>
        <v>0</v>
      </c>
      <c r="F179" s="288" t="n">
        <v>0</v>
      </c>
      <c r="G179" s="289" t="n">
        <f aca="false">E179+F179</f>
        <v>0</v>
      </c>
      <c r="H179" s="286"/>
      <c r="I179" s="287" t="s">
        <v>48</v>
      </c>
      <c r="J179" s="287"/>
      <c r="K179" s="287" t="s">
        <v>118</v>
      </c>
      <c r="M179" s="290" t="n">
        <v>0</v>
      </c>
      <c r="N179" s="290" t="n">
        <v>2333333.33333333</v>
      </c>
      <c r="O179" s="290" t="n">
        <v>138888.888888889</v>
      </c>
      <c r="P179" s="290" t="n">
        <f aca="false">SUM(M179:O179)</f>
        <v>2472222.22222222</v>
      </c>
    </row>
    <row r="180" customFormat="false" ht="12.75" hidden="false" customHeight="false" outlineLevel="0" collapsed="false">
      <c r="A180" s="285" t="n">
        <v>9448</v>
      </c>
      <c r="B180" s="285"/>
      <c r="C180" s="286" t="s">
        <v>471</v>
      </c>
      <c r="D180" s="287" t="s">
        <v>471</v>
      </c>
      <c r="E180" s="288" t="n">
        <f aca="false">IF(I180="regional",IF(R180*0.2975,S180*0.3484),S180*0.1939)</f>
        <v>0</v>
      </c>
      <c r="F180" s="288" t="n">
        <v>0</v>
      </c>
      <c r="G180" s="289" t="n">
        <f aca="false">E180+F180</f>
        <v>0</v>
      </c>
      <c r="H180" s="286"/>
      <c r="I180" s="287" t="s">
        <v>48</v>
      </c>
      <c r="J180" s="287" t="s">
        <v>49</v>
      </c>
      <c r="K180" s="287" t="s">
        <v>473</v>
      </c>
      <c r="M180" s="290" t="n">
        <v>0</v>
      </c>
      <c r="N180" s="290" t="n">
        <v>388888.888888889</v>
      </c>
      <c r="O180" s="290" t="n">
        <v>125000</v>
      </c>
      <c r="P180" s="290" t="n">
        <f aca="false">SUM(M180:O180)</f>
        <v>513888.888888889</v>
      </c>
    </row>
    <row r="181" customFormat="false" ht="12.75" hidden="false" customHeight="false" outlineLevel="0" collapsed="false">
      <c r="A181" s="285" t="n">
        <v>9445</v>
      </c>
      <c r="B181" s="285"/>
      <c r="C181" s="286" t="s">
        <v>474</v>
      </c>
      <c r="D181" s="287" t="s">
        <v>474</v>
      </c>
      <c r="E181" s="288" t="n">
        <f aca="false">IF(I181="regional",IF(R181*0.2975,S181*0.3484),S181*0.1939)</f>
        <v>0</v>
      </c>
      <c r="F181" s="288" t="n">
        <v>0</v>
      </c>
      <c r="G181" s="289" t="n">
        <f aca="false">E181+F181</f>
        <v>0</v>
      </c>
      <c r="H181" s="286"/>
      <c r="I181" s="287" t="s">
        <v>48</v>
      </c>
      <c r="J181" s="287" t="s">
        <v>49</v>
      </c>
      <c r="K181" s="287" t="s">
        <v>260</v>
      </c>
      <c r="M181" s="290" t="n">
        <v>0</v>
      </c>
      <c r="N181" s="290" t="n">
        <v>1277777.77777778</v>
      </c>
      <c r="O181" s="290" t="n">
        <v>513888.888888889</v>
      </c>
      <c r="P181" s="290" t="n">
        <f aca="false">SUM(M181:O181)</f>
        <v>1791666.66666667</v>
      </c>
    </row>
    <row r="182" customFormat="false" ht="12.75" hidden="false" customHeight="false" outlineLevel="0" collapsed="false">
      <c r="A182" s="285" t="n">
        <v>7314</v>
      </c>
      <c r="B182" s="285"/>
      <c r="C182" s="286" t="s">
        <v>475</v>
      </c>
      <c r="D182" s="287" t="s">
        <v>475</v>
      </c>
      <c r="E182" s="288" t="n">
        <f aca="false">IF(I182="regional",IF(R182*0.2975,S182*0.3484),S182*0.1939)</f>
        <v>0</v>
      </c>
      <c r="F182" s="288" t="n">
        <v>0</v>
      </c>
      <c r="G182" s="289" t="n">
        <f aca="false">E182+F182</f>
        <v>0</v>
      </c>
      <c r="H182" s="286" t="s">
        <v>49</v>
      </c>
      <c r="I182" s="287" t="s">
        <v>62</v>
      </c>
      <c r="J182" s="287"/>
      <c r="K182" s="287" t="s">
        <v>98</v>
      </c>
      <c r="M182" s="290" t="n">
        <v>0</v>
      </c>
      <c r="N182" s="290" t="n">
        <v>0</v>
      </c>
      <c r="O182" s="290" t="n">
        <v>0</v>
      </c>
      <c r="P182" s="290" t="n">
        <f aca="false">SUM(M182:O182)</f>
        <v>0</v>
      </c>
    </row>
    <row r="183" customFormat="false" ht="12.75" hidden="false" customHeight="false" outlineLevel="0" collapsed="false">
      <c r="A183" s="285" t="n">
        <v>1904</v>
      </c>
      <c r="B183" s="285"/>
      <c r="C183" s="286" t="s">
        <v>477</v>
      </c>
      <c r="D183" s="287" t="s">
        <v>477</v>
      </c>
      <c r="E183" s="288" t="n">
        <f aca="false">IF(I183="regional",IF(R183*0.2975,S183*0.3484),S183*0.1939)</f>
        <v>0</v>
      </c>
      <c r="F183" s="288" t="n">
        <v>0</v>
      </c>
      <c r="G183" s="289" t="n">
        <f aca="false">E183+F183</f>
        <v>0</v>
      </c>
      <c r="H183" s="286" t="s">
        <v>49</v>
      </c>
      <c r="I183" s="287" t="s">
        <v>62</v>
      </c>
      <c r="J183" s="287"/>
      <c r="K183" s="287" t="s">
        <v>406</v>
      </c>
      <c r="M183" s="290" t="n">
        <v>0</v>
      </c>
      <c r="N183" s="290" t="n">
        <v>0</v>
      </c>
      <c r="O183" s="290" t="n">
        <v>0</v>
      </c>
      <c r="P183" s="290" t="n">
        <f aca="false">SUM(M183:O183)</f>
        <v>0</v>
      </c>
    </row>
    <row r="184" customFormat="false" ht="12.75" hidden="false" customHeight="false" outlineLevel="0" collapsed="false">
      <c r="A184" s="285" t="n">
        <v>4671</v>
      </c>
      <c r="B184" s="285"/>
      <c r="C184" s="286" t="s">
        <v>480</v>
      </c>
      <c r="D184" s="287" t="s">
        <v>480</v>
      </c>
      <c r="E184" s="288" t="n">
        <f aca="false">IF(I184="regional",IF(R184*0.2975,S184*0.3484),S184*0.1939)</f>
        <v>0</v>
      </c>
      <c r="F184" s="288" t="n">
        <v>427000</v>
      </c>
      <c r="G184" s="289" t="n">
        <f aca="false">E184+F184</f>
        <v>427000</v>
      </c>
      <c r="H184" s="286"/>
      <c r="I184" s="287" t="s">
        <v>48</v>
      </c>
      <c r="J184" s="287" t="s">
        <v>49</v>
      </c>
      <c r="K184" s="287"/>
      <c r="M184" s="290" t="n">
        <v>3847222.22222222</v>
      </c>
      <c r="N184" s="290" t="n">
        <v>4111111.11111111</v>
      </c>
      <c r="O184" s="290" t="n">
        <v>55555.5555555556</v>
      </c>
      <c r="P184" s="290" t="n">
        <f aca="false">SUM(M184:O184)</f>
        <v>8013888.88888889</v>
      </c>
    </row>
    <row r="185" customFormat="false" ht="12.75" hidden="false" customHeight="false" outlineLevel="0" collapsed="false">
      <c r="A185" s="298" t="n">
        <v>4672</v>
      </c>
      <c r="B185" s="298"/>
      <c r="C185" s="299" t="s">
        <v>757</v>
      </c>
      <c r="D185" s="293" t="s">
        <v>757</v>
      </c>
      <c r="E185" s="288" t="n">
        <f aca="false">IF(I185="regional",IF(R185*0.2975,S185*0.3484),S185*0.1939)</f>
        <v>0</v>
      </c>
      <c r="F185" s="294"/>
      <c r="G185" s="289" t="n">
        <f aca="false">E185+F185</f>
        <v>0</v>
      </c>
      <c r="H185" s="299"/>
      <c r="I185" s="293" t="s">
        <v>718</v>
      </c>
      <c r="J185" s="293"/>
      <c r="K185" s="293"/>
      <c r="M185" s="290" t="n">
        <v>1583333.33333333</v>
      </c>
      <c r="N185" s="290" t="n">
        <v>97222.2222222222</v>
      </c>
      <c r="O185" s="290" t="n">
        <v>0</v>
      </c>
      <c r="P185" s="290" t="n">
        <f aca="false">SUM(M185:O185)</f>
        <v>1680555.55555556</v>
      </c>
    </row>
    <row r="186" customFormat="false" ht="12.75" hidden="false" customHeight="false" outlineLevel="0" collapsed="false">
      <c r="A186" s="291" t="n">
        <v>3824</v>
      </c>
      <c r="B186" s="291"/>
      <c r="C186" s="292" t="s">
        <v>758</v>
      </c>
      <c r="D186" s="287" t="s">
        <v>482</v>
      </c>
      <c r="E186" s="288" t="n">
        <f aca="false">IF(I186="regional",IF(R186*0.2975,S186*0.3484),S186*0.1939)</f>
        <v>0</v>
      </c>
      <c r="F186" s="288" t="n">
        <v>0</v>
      </c>
      <c r="G186" s="289" t="n">
        <f aca="false">E186+F186</f>
        <v>0</v>
      </c>
      <c r="H186" s="292"/>
      <c r="I186" s="287" t="s">
        <v>405</v>
      </c>
      <c r="J186" s="287"/>
      <c r="K186" s="287" t="s">
        <v>98</v>
      </c>
      <c r="M186" s="290" t="n">
        <v>0</v>
      </c>
      <c r="N186" s="290" t="n">
        <v>0</v>
      </c>
      <c r="O186" s="290" t="n">
        <v>0</v>
      </c>
      <c r="P186" s="290" t="n">
        <f aca="false">SUM(M186:O186)</f>
        <v>0</v>
      </c>
    </row>
    <row r="187" customFormat="false" ht="12.75" hidden="false" customHeight="false" outlineLevel="0" collapsed="false">
      <c r="A187" s="291" t="n">
        <v>3894</v>
      </c>
      <c r="B187" s="291"/>
      <c r="C187" s="292" t="s">
        <v>759</v>
      </c>
      <c r="D187" s="287"/>
      <c r="E187" s="288" t="n">
        <f aca="false">IF(I187="regional",IF(R187*0.2975,S187*0.3484),S187*0.1939)</f>
        <v>0</v>
      </c>
      <c r="F187" s="288"/>
      <c r="G187" s="289"/>
      <c r="H187" s="292"/>
      <c r="I187" s="287" t="s">
        <v>48</v>
      </c>
      <c r="J187" s="287"/>
      <c r="K187" s="287"/>
      <c r="M187" s="290" t="n">
        <v>0</v>
      </c>
      <c r="N187" s="290" t="n">
        <v>0</v>
      </c>
      <c r="O187" s="290" t="n">
        <v>4944444.44444445</v>
      </c>
      <c r="P187" s="290" t="n">
        <f aca="false">SUM(M187:O187)</f>
        <v>4944444.44444445</v>
      </c>
    </row>
    <row r="188" customFormat="false" ht="12.75" hidden="false" customHeight="false" outlineLevel="0" collapsed="false">
      <c r="A188" s="298" t="n">
        <v>4843</v>
      </c>
      <c r="B188" s="298" t="s">
        <v>44</v>
      </c>
      <c r="C188" s="299" t="s">
        <v>760</v>
      </c>
      <c r="D188" s="293" t="s">
        <v>760</v>
      </c>
      <c r="E188" s="288" t="n">
        <f aca="false">IF(I188="regional",IF(R188*0.2975,S188*0.3484),S188*0.1939)</f>
        <v>0</v>
      </c>
      <c r="F188" s="294"/>
      <c r="G188" s="289" t="n">
        <f aca="false">E188+F188</f>
        <v>0</v>
      </c>
      <c r="H188" s="299"/>
      <c r="I188" s="293" t="s">
        <v>718</v>
      </c>
      <c r="J188" s="293"/>
      <c r="K188" s="293"/>
      <c r="M188" s="290" t="n">
        <v>361111.111111111</v>
      </c>
      <c r="N188" s="290" t="n">
        <v>902777.777777778</v>
      </c>
      <c r="O188" s="290" t="n">
        <v>0</v>
      </c>
      <c r="P188" s="290" t="n">
        <f aca="false">SUM(M188:O188)</f>
        <v>1263888.88888889</v>
      </c>
    </row>
    <row r="189" customFormat="false" ht="12.75" hidden="false" customHeight="false" outlineLevel="0" collapsed="false">
      <c r="A189" s="298" t="n">
        <v>4849</v>
      </c>
      <c r="B189" s="298"/>
      <c r="C189" s="299" t="s">
        <v>761</v>
      </c>
      <c r="D189" s="293" t="s">
        <v>761</v>
      </c>
      <c r="E189" s="288" t="n">
        <f aca="false">IF(I189="regional",IF(R189*0.2975,S189*0.3484),S189*0.1939)</f>
        <v>0</v>
      </c>
      <c r="F189" s="294"/>
      <c r="G189" s="289" t="n">
        <f aca="false">E189+F189</f>
        <v>0</v>
      </c>
      <c r="H189" s="299"/>
      <c r="I189" s="293" t="s">
        <v>718</v>
      </c>
      <c r="J189" s="293"/>
      <c r="K189" s="293"/>
      <c r="M189" s="290" t="n">
        <v>0</v>
      </c>
      <c r="N189" s="290" t="n">
        <v>1027777.77777778</v>
      </c>
      <c r="O189" s="290" t="n">
        <v>0</v>
      </c>
      <c r="P189" s="290" t="n">
        <f aca="false">SUM(M189:O189)</f>
        <v>1027777.77777778</v>
      </c>
    </row>
    <row r="190" customFormat="false" ht="12.75" hidden="false" customHeight="false" outlineLevel="0" collapsed="false">
      <c r="A190" s="291" t="n">
        <v>4835</v>
      </c>
      <c r="B190" s="291" t="s">
        <v>44</v>
      </c>
      <c r="C190" s="292" t="s">
        <v>762</v>
      </c>
      <c r="D190" s="287" t="s">
        <v>670</v>
      </c>
      <c r="E190" s="288" t="n">
        <f aca="false">IF(I190="regional",IF(R190*0.2975,S190*0.3484),S190*0.1939)</f>
        <v>0</v>
      </c>
      <c r="F190" s="288" t="n">
        <v>558000</v>
      </c>
      <c r="G190" s="289" t="n">
        <f aca="false">E190+F190</f>
        <v>558000</v>
      </c>
      <c r="H190" s="292"/>
      <c r="I190" s="287" t="s">
        <v>48</v>
      </c>
      <c r="J190" s="287" t="s">
        <v>44</v>
      </c>
      <c r="K190" s="287" t="s">
        <v>345</v>
      </c>
      <c r="M190" s="290" t="n">
        <v>9125000</v>
      </c>
      <c r="N190" s="290" t="n">
        <v>8000000</v>
      </c>
      <c r="O190" s="290" t="n">
        <v>0</v>
      </c>
      <c r="P190" s="290" t="n">
        <f aca="false">SUM(M190:O190)</f>
        <v>17125000</v>
      </c>
    </row>
    <row r="191" customFormat="false" ht="12.75" hidden="false" customHeight="false" outlineLevel="0" collapsed="false">
      <c r="A191" s="291" t="n">
        <v>3805</v>
      </c>
      <c r="B191" s="291" t="s">
        <v>44</v>
      </c>
      <c r="C191" s="292" t="s">
        <v>485</v>
      </c>
      <c r="D191" s="287" t="s">
        <v>485</v>
      </c>
      <c r="E191" s="288" t="n">
        <f aca="false">IF(I191="regional",IF(R191*0.2975,S191*0.3484),S191*0.1939)</f>
        <v>0</v>
      </c>
      <c r="F191" s="288" t="n">
        <v>407721</v>
      </c>
      <c r="G191" s="289" t="n">
        <f aca="false">E191+F191</f>
        <v>407721</v>
      </c>
      <c r="H191" s="292" t="s">
        <v>44</v>
      </c>
      <c r="I191" s="287" t="s">
        <v>48</v>
      </c>
      <c r="J191" s="287" t="s">
        <v>44</v>
      </c>
      <c r="K191" s="287" t="s">
        <v>487</v>
      </c>
      <c r="M191" s="290" t="n">
        <v>3638888.88888889</v>
      </c>
      <c r="N191" s="290" t="n">
        <v>1180555.55555556</v>
      </c>
      <c r="O191" s="290" t="n">
        <v>0</v>
      </c>
      <c r="P191" s="290" t="n">
        <f aca="false">SUM(M191:O191)</f>
        <v>4819444.44444445</v>
      </c>
    </row>
    <row r="192" customFormat="false" ht="12.75" hidden="false" customHeight="false" outlineLevel="0" collapsed="false">
      <c r="A192" s="291" t="n">
        <v>4836</v>
      </c>
      <c r="B192" s="291"/>
      <c r="C192" s="292" t="s">
        <v>671</v>
      </c>
      <c r="D192" s="287" t="s">
        <v>671</v>
      </c>
      <c r="E192" s="288" t="n">
        <f aca="false">IF(I192="regional",IF(R192*0.2975,S192*0.3484),S192*0.1939)</f>
        <v>0</v>
      </c>
      <c r="F192" s="288" t="n">
        <v>0</v>
      </c>
      <c r="G192" s="289" t="n">
        <f aca="false">E192+F192</f>
        <v>0</v>
      </c>
      <c r="H192" s="292"/>
      <c r="I192" s="287" t="s">
        <v>48</v>
      </c>
      <c r="J192" s="287"/>
      <c r="K192" s="287" t="s">
        <v>490</v>
      </c>
      <c r="M192" s="290" t="n">
        <v>1666666.66666667</v>
      </c>
      <c r="N192" s="290" t="n">
        <v>19152777.7777778</v>
      </c>
      <c r="O192" s="290" t="n">
        <v>263888.888888889</v>
      </c>
      <c r="P192" s="290" t="n">
        <f aca="false">SUM(M192:O192)</f>
        <v>21083333.3333333</v>
      </c>
    </row>
    <row r="193" customFormat="false" ht="12.75" hidden="false" customHeight="false" outlineLevel="0" collapsed="false">
      <c r="A193" s="298" t="n">
        <v>4851</v>
      </c>
      <c r="B193" s="298"/>
      <c r="C193" s="299" t="s">
        <v>763</v>
      </c>
      <c r="D193" s="293" t="s">
        <v>671</v>
      </c>
      <c r="E193" s="288" t="n">
        <f aca="false">IF(I193="regional",IF(R193*0.2975,S193*0.3484),S193*0.1939)</f>
        <v>0</v>
      </c>
      <c r="F193" s="294"/>
      <c r="G193" s="289" t="n">
        <f aca="false">E193+F193</f>
        <v>0</v>
      </c>
      <c r="H193" s="292"/>
      <c r="I193" s="293" t="s">
        <v>48</v>
      </c>
      <c r="J193" s="293"/>
      <c r="K193" s="293"/>
      <c r="M193" s="290" t="n">
        <v>0</v>
      </c>
      <c r="N193" s="290" t="n">
        <v>0</v>
      </c>
      <c r="O193" s="290" t="n">
        <v>97222.2222222222</v>
      </c>
      <c r="P193" s="290" t="n">
        <f aca="false">SUM(M193:O193)</f>
        <v>97222.2222222222</v>
      </c>
    </row>
    <row r="194" customFormat="false" ht="12.75" hidden="false" customHeight="false" outlineLevel="0" collapsed="false">
      <c r="A194" s="285" t="n">
        <v>3107</v>
      </c>
      <c r="B194" s="285" t="s">
        <v>44</v>
      </c>
      <c r="C194" s="286" t="s">
        <v>491</v>
      </c>
      <c r="D194" s="287" t="s">
        <v>491</v>
      </c>
      <c r="E194" s="288" t="n">
        <f aca="false">IF(I194="regional",IF(R194*0.2975,S194*0.3484),S194*0.1939)</f>
        <v>0</v>
      </c>
      <c r="F194" s="288" t="n">
        <v>659993</v>
      </c>
      <c r="G194" s="289" t="n">
        <f aca="false">E194+F194</f>
        <v>659993</v>
      </c>
      <c r="H194" s="286"/>
      <c r="I194" s="287" t="s">
        <v>48</v>
      </c>
      <c r="J194" s="287" t="s">
        <v>44</v>
      </c>
      <c r="K194" s="287" t="s">
        <v>492</v>
      </c>
      <c r="M194" s="290" t="n">
        <v>6847222.22222222</v>
      </c>
      <c r="N194" s="290" t="n">
        <v>2680555.55555556</v>
      </c>
      <c r="O194" s="290" t="n">
        <v>13888.8888888889</v>
      </c>
      <c r="P194" s="290" t="n">
        <f aca="false">SUM(M194:O194)</f>
        <v>9541666.66666667</v>
      </c>
    </row>
    <row r="195" customFormat="false" ht="12.75" hidden="false" customHeight="false" outlineLevel="0" collapsed="false">
      <c r="A195" s="285" t="n">
        <v>546</v>
      </c>
      <c r="B195" s="285"/>
      <c r="C195" s="286" t="s">
        <v>493</v>
      </c>
      <c r="D195" s="287" t="s">
        <v>493</v>
      </c>
      <c r="E195" s="288" t="n">
        <f aca="false">IF(I195="regional",IF(R195*0.2975,S195*0.3484),S195*0.1939)</f>
        <v>0</v>
      </c>
      <c r="F195" s="288" t="n">
        <v>0</v>
      </c>
      <c r="G195" s="289" t="n">
        <f aca="false">E195+F195</f>
        <v>0</v>
      </c>
      <c r="H195" s="286" t="s">
        <v>49</v>
      </c>
      <c r="I195" s="287" t="s">
        <v>62</v>
      </c>
      <c r="J195" s="287"/>
      <c r="K195" s="287" t="s">
        <v>449</v>
      </c>
      <c r="M195" s="290" t="n">
        <v>0</v>
      </c>
      <c r="N195" s="290" t="n">
        <v>0</v>
      </c>
      <c r="O195" s="290" t="n">
        <v>0</v>
      </c>
      <c r="P195" s="290" t="n">
        <f aca="false">SUM(M195:O195)</f>
        <v>0</v>
      </c>
    </row>
    <row r="196" customFormat="false" ht="12.75" hidden="false" customHeight="false" outlineLevel="0" collapsed="false">
      <c r="A196" s="285" t="n">
        <v>4837</v>
      </c>
      <c r="B196" s="285"/>
      <c r="C196" s="286" t="s">
        <v>495</v>
      </c>
      <c r="D196" s="287" t="s">
        <v>495</v>
      </c>
      <c r="E196" s="288" t="n">
        <f aca="false">IF(I196="regional",IF(R196*0.2975,S196*0.3484),S196*0.1939)</f>
        <v>0</v>
      </c>
      <c r="F196" s="288" t="n">
        <v>0</v>
      </c>
      <c r="G196" s="289" t="n">
        <f aca="false">E196+F196</f>
        <v>0</v>
      </c>
      <c r="H196" s="286"/>
      <c r="I196" s="287" t="s">
        <v>48</v>
      </c>
      <c r="J196" s="287" t="s">
        <v>49</v>
      </c>
      <c r="K196" s="287" t="s">
        <v>497</v>
      </c>
      <c r="M196" s="290" t="n">
        <v>3375000</v>
      </c>
      <c r="N196" s="290" t="n">
        <v>3625000</v>
      </c>
      <c r="O196" s="290" t="n">
        <v>125000</v>
      </c>
      <c r="P196" s="290" t="n">
        <f aca="false">SUM(M196:O196)</f>
        <v>7125000</v>
      </c>
    </row>
    <row r="197" customFormat="false" ht="12.75" hidden="false" customHeight="false" outlineLevel="0" collapsed="false">
      <c r="A197" s="285" t="n">
        <v>3625</v>
      </c>
      <c r="B197" s="285" t="s">
        <v>44</v>
      </c>
      <c r="C197" s="286" t="s">
        <v>498</v>
      </c>
      <c r="D197" s="287" t="s">
        <v>498</v>
      </c>
      <c r="E197" s="288" t="n">
        <f aca="false">IF(I197="regional",IF(R197*0.2975,S197*0.3484),S197*0.1939)</f>
        <v>0</v>
      </c>
      <c r="F197" s="288" t="n">
        <v>0</v>
      </c>
      <c r="G197" s="289" t="n">
        <f aca="false">E197+F197</f>
        <v>0</v>
      </c>
      <c r="H197" s="286" t="s">
        <v>49</v>
      </c>
      <c r="I197" s="287" t="s">
        <v>48</v>
      </c>
      <c r="J197" s="287" t="s">
        <v>44</v>
      </c>
      <c r="K197" s="287" t="s">
        <v>449</v>
      </c>
      <c r="M197" s="290" t="n">
        <v>0</v>
      </c>
      <c r="N197" s="290" t="n">
        <v>0</v>
      </c>
      <c r="O197" s="290" t="n">
        <v>0</v>
      </c>
      <c r="P197" s="290" t="n">
        <f aca="false">SUM(M197:O197)</f>
        <v>0</v>
      </c>
    </row>
    <row r="198" customFormat="false" ht="22.5" hidden="false" customHeight="false" outlineLevel="0" collapsed="false">
      <c r="A198" s="285" t="n">
        <v>303</v>
      </c>
      <c r="B198" s="285"/>
      <c r="C198" s="286" t="s">
        <v>500</v>
      </c>
      <c r="D198" s="287" t="s">
        <v>500</v>
      </c>
      <c r="E198" s="288" t="n">
        <f aca="false">IF(I198="regional",IF(R198*0.2975,S198*0.3484),S198*0.1939)</f>
        <v>0</v>
      </c>
      <c r="F198" s="288" t="n">
        <v>0</v>
      </c>
      <c r="G198" s="289" t="n">
        <f aca="false">E198+F198</f>
        <v>0</v>
      </c>
      <c r="H198" s="286" t="s">
        <v>49</v>
      </c>
      <c r="I198" s="287" t="s">
        <v>501</v>
      </c>
      <c r="J198" s="287" t="s">
        <v>44</v>
      </c>
      <c r="K198" s="287" t="s">
        <v>187</v>
      </c>
      <c r="M198" s="290" t="n">
        <v>0</v>
      </c>
      <c r="N198" s="290" t="n">
        <v>0</v>
      </c>
      <c r="O198" s="290" t="n">
        <v>0</v>
      </c>
      <c r="P198" s="290" t="n">
        <f aca="false">SUM(M198:O198)</f>
        <v>0</v>
      </c>
    </row>
    <row r="199" customFormat="false" ht="12.75" hidden="false" customHeight="false" outlineLevel="0" collapsed="false">
      <c r="A199" s="285" t="n">
        <v>3632</v>
      </c>
      <c r="B199" s="285"/>
      <c r="C199" s="286" t="s">
        <v>504</v>
      </c>
      <c r="D199" s="287" t="s">
        <v>504</v>
      </c>
      <c r="E199" s="288" t="n">
        <f aca="false">IF(I199="regional",IF(R199*0.2975,S199*0.3484),S199*0.1939)</f>
        <v>0</v>
      </c>
      <c r="F199" s="288" t="n">
        <v>664161</v>
      </c>
      <c r="G199" s="289" t="n">
        <f aca="false">E199+F199</f>
        <v>664161</v>
      </c>
      <c r="H199" s="286" t="s">
        <v>49</v>
      </c>
      <c r="I199" s="287" t="s">
        <v>48</v>
      </c>
      <c r="J199" s="287" t="s">
        <v>49</v>
      </c>
      <c r="K199" s="287" t="s">
        <v>490</v>
      </c>
      <c r="M199" s="290" t="n">
        <v>0</v>
      </c>
      <c r="N199" s="290" t="n">
        <v>0</v>
      </c>
      <c r="O199" s="290" t="n">
        <v>0</v>
      </c>
      <c r="P199" s="290" t="n">
        <f aca="false">SUM(M199:O199)</f>
        <v>0</v>
      </c>
    </row>
    <row r="200" customFormat="false" ht="12.75" hidden="false" customHeight="false" outlineLevel="0" collapsed="false">
      <c r="A200" s="285" t="n">
        <v>3635</v>
      </c>
      <c r="B200" s="285" t="s">
        <v>44</v>
      </c>
      <c r="C200" s="286" t="s">
        <v>506</v>
      </c>
      <c r="D200" s="287" t="s">
        <v>506</v>
      </c>
      <c r="E200" s="288" t="n">
        <f aca="false">IF(I200="regional",IF(R200*0.2975,S200*0.3484),S200*0.1939)</f>
        <v>0</v>
      </c>
      <c r="F200" s="288" t="n">
        <v>0</v>
      </c>
      <c r="G200" s="289" t="n">
        <f aca="false">E200+F200</f>
        <v>0</v>
      </c>
      <c r="H200" s="286" t="s">
        <v>49</v>
      </c>
      <c r="I200" s="287" t="s">
        <v>48</v>
      </c>
      <c r="J200" s="287" t="s">
        <v>44</v>
      </c>
      <c r="K200" s="287" t="s">
        <v>490</v>
      </c>
      <c r="M200" s="290" t="n">
        <v>0</v>
      </c>
      <c r="N200" s="290" t="n">
        <v>0</v>
      </c>
      <c r="O200" s="290" t="n">
        <v>0</v>
      </c>
      <c r="P200" s="290" t="n">
        <f aca="false">SUM(M200:O200)</f>
        <v>0</v>
      </c>
    </row>
    <row r="201" customFormat="false" ht="12.75" hidden="false" customHeight="false" outlineLevel="0" collapsed="false">
      <c r="A201" s="285" t="n">
        <v>4674</v>
      </c>
      <c r="B201" s="285" t="s">
        <v>44</v>
      </c>
      <c r="C201" s="286" t="s">
        <v>508</v>
      </c>
      <c r="D201" s="287" t="s">
        <v>508</v>
      </c>
      <c r="E201" s="288" t="n">
        <f aca="false">IF(I201="regional",IF(R201*0.2975,S201*0.3484),S201*0.1939)</f>
        <v>0</v>
      </c>
      <c r="F201" s="288" t="n">
        <v>0</v>
      </c>
      <c r="G201" s="289" t="n">
        <f aca="false">E201+F201</f>
        <v>0</v>
      </c>
      <c r="H201" s="286"/>
      <c r="I201" s="287" t="s">
        <v>48</v>
      </c>
      <c r="J201" s="287" t="s">
        <v>44</v>
      </c>
      <c r="K201" s="287" t="s">
        <v>509</v>
      </c>
      <c r="M201" s="290" t="n">
        <v>10611111.1111111</v>
      </c>
      <c r="N201" s="290" t="n">
        <v>2041666.66666667</v>
      </c>
      <c r="O201" s="290" t="n">
        <v>402777.777777778</v>
      </c>
      <c r="P201" s="290" t="n">
        <f aca="false">SUM(M201:O201)</f>
        <v>13055555.5555556</v>
      </c>
    </row>
    <row r="202" customFormat="false" ht="12.75" hidden="false" customHeight="false" outlineLevel="0" collapsed="false">
      <c r="A202" s="285" t="n">
        <v>3725</v>
      </c>
      <c r="B202" s="285" t="s">
        <v>44</v>
      </c>
      <c r="C202" s="286" t="s">
        <v>510</v>
      </c>
      <c r="D202" s="287" t="s">
        <v>510</v>
      </c>
      <c r="E202" s="288" t="n">
        <f aca="false">IF(I202="regional",IF(R202*0.2975,S202*0.3484),S202*0.1939)</f>
        <v>0</v>
      </c>
      <c r="F202" s="288" t="n">
        <v>0</v>
      </c>
      <c r="G202" s="289" t="n">
        <f aca="false">E202+F202</f>
        <v>0</v>
      </c>
      <c r="H202" s="286"/>
      <c r="I202" s="287" t="s">
        <v>48</v>
      </c>
      <c r="J202" s="287" t="s">
        <v>44</v>
      </c>
      <c r="K202" s="287" t="s">
        <v>514</v>
      </c>
      <c r="M202" s="290" t="n">
        <v>569444.444444445</v>
      </c>
      <c r="N202" s="290" t="n">
        <v>958333.333333333</v>
      </c>
      <c r="O202" s="290" t="n">
        <v>0</v>
      </c>
      <c r="P202" s="290" t="n">
        <f aca="false">SUM(M202:O202)</f>
        <v>1527777.77777778</v>
      </c>
    </row>
    <row r="203" customFormat="false" ht="12.75" hidden="false" customHeight="false" outlineLevel="0" collapsed="false">
      <c r="A203" s="285" t="n">
        <v>4772</v>
      </c>
      <c r="B203" s="285" t="s">
        <v>44</v>
      </c>
      <c r="C203" s="286" t="s">
        <v>510</v>
      </c>
      <c r="D203" s="287" t="s">
        <v>510</v>
      </c>
      <c r="E203" s="288" t="n">
        <f aca="false">IF(I203="regional",IF(R203*0.2975,S203*0.3484),S203*0.1939)</f>
        <v>0</v>
      </c>
      <c r="F203" s="288" t="n">
        <v>0</v>
      </c>
      <c r="G203" s="289" t="n">
        <f aca="false">E203+F203</f>
        <v>0</v>
      </c>
      <c r="H203" s="286" t="s">
        <v>49</v>
      </c>
      <c r="I203" s="287" t="s">
        <v>48</v>
      </c>
      <c r="J203" s="287" t="s">
        <v>44</v>
      </c>
      <c r="K203" s="287" t="s">
        <v>512</v>
      </c>
      <c r="M203" s="290" t="n">
        <v>0</v>
      </c>
      <c r="N203" s="290" t="n">
        <v>0</v>
      </c>
      <c r="O203" s="290" t="n">
        <v>0</v>
      </c>
      <c r="P203" s="290" t="n">
        <f aca="false">SUM(M203:O203)</f>
        <v>0</v>
      </c>
    </row>
    <row r="204" customFormat="false" ht="22.5" hidden="false" customHeight="false" outlineLevel="0" collapsed="false">
      <c r="A204" s="285" t="n">
        <v>4838</v>
      </c>
      <c r="B204" s="285"/>
      <c r="C204" s="286" t="s">
        <v>515</v>
      </c>
      <c r="D204" s="287" t="s">
        <v>515</v>
      </c>
      <c r="E204" s="288" t="n">
        <f aca="false">IF(I204="regional",IF(R204*0.2975,S204*0.3484),S204*0.1939)</f>
        <v>0</v>
      </c>
      <c r="F204" s="288" t="n">
        <v>0</v>
      </c>
      <c r="G204" s="289" t="n">
        <f aca="false">E204+F204</f>
        <v>0</v>
      </c>
      <c r="H204" s="286"/>
      <c r="I204" s="287" t="s">
        <v>48</v>
      </c>
      <c r="J204" s="287" t="s">
        <v>49</v>
      </c>
      <c r="K204" s="287" t="s">
        <v>517</v>
      </c>
      <c r="M204" s="290" t="n">
        <v>2972222.22222222</v>
      </c>
      <c r="N204" s="290" t="n">
        <v>10875000</v>
      </c>
      <c r="O204" s="290" t="n">
        <v>69444.4444444445</v>
      </c>
      <c r="P204" s="290" t="n">
        <f aca="false">SUM(M204:O204)</f>
        <v>13916666.6666667</v>
      </c>
    </row>
    <row r="205" customFormat="false" ht="12.75" hidden="false" customHeight="false" outlineLevel="0" collapsed="false">
      <c r="A205" s="285" t="n">
        <v>9550</v>
      </c>
      <c r="B205" s="285"/>
      <c r="C205" s="286" t="s">
        <v>519</v>
      </c>
      <c r="D205" s="287" t="s">
        <v>519</v>
      </c>
      <c r="E205" s="288" t="n">
        <f aca="false">IF(I205="regional",IF(R205*0.2975,S205*0.3484),S205*0.1939)</f>
        <v>0</v>
      </c>
      <c r="F205" s="288" t="n">
        <v>0</v>
      </c>
      <c r="G205" s="289" t="n">
        <f aca="false">E205+F205</f>
        <v>0</v>
      </c>
      <c r="H205" s="286"/>
      <c r="I205" s="287" t="s">
        <v>48</v>
      </c>
      <c r="J205" s="287" t="s">
        <v>49</v>
      </c>
      <c r="K205" s="287" t="s">
        <v>102</v>
      </c>
      <c r="M205" s="290" t="n">
        <v>0</v>
      </c>
      <c r="N205" s="290" t="n">
        <v>4250000</v>
      </c>
      <c r="O205" s="290" t="n">
        <v>166666.666666667</v>
      </c>
      <c r="P205" s="290" t="n">
        <f aca="false">SUM(M205:O205)</f>
        <v>4416666.66666667</v>
      </c>
    </row>
    <row r="206" customFormat="false" ht="12.75" hidden="false" customHeight="false" outlineLevel="0" collapsed="false">
      <c r="A206" s="285" t="n">
        <v>3892</v>
      </c>
      <c r="B206" s="285"/>
      <c r="C206" s="286" t="s">
        <v>521</v>
      </c>
      <c r="D206" s="287" t="s">
        <v>521</v>
      </c>
      <c r="E206" s="288" t="n">
        <f aca="false">IF(I206="regional",IF(R206*0.2975,S206*0.3484),S206*0.1939)</f>
        <v>0</v>
      </c>
      <c r="F206" s="288" t="n">
        <v>0</v>
      </c>
      <c r="G206" s="289" t="n">
        <f aca="false">E206+F206</f>
        <v>0</v>
      </c>
      <c r="H206" s="286"/>
      <c r="I206" s="287" t="s">
        <v>48</v>
      </c>
      <c r="J206" s="287" t="s">
        <v>49</v>
      </c>
      <c r="K206" s="287" t="s">
        <v>524</v>
      </c>
      <c r="M206" s="290" t="n">
        <v>291666.666666667</v>
      </c>
      <c r="N206" s="290" t="n">
        <v>388888.888888889</v>
      </c>
      <c r="O206" s="290" t="n">
        <v>27777.7777777778</v>
      </c>
      <c r="P206" s="290" t="n">
        <f aca="false">SUM(M206:O206)</f>
        <v>708333.333333333</v>
      </c>
    </row>
    <row r="207" customFormat="false" ht="12.75" hidden="false" customHeight="false" outlineLevel="0" collapsed="false">
      <c r="A207" s="285" t="n">
        <v>508</v>
      </c>
      <c r="B207" s="285" t="s">
        <v>44</v>
      </c>
      <c r="C207" s="286" t="s">
        <v>526</v>
      </c>
      <c r="D207" s="287" t="s">
        <v>526</v>
      </c>
      <c r="E207" s="288" t="n">
        <f aca="false">IF(I207="regional",IF(R207*0.2975,S207*0.3484),S207*0.1939)</f>
        <v>0</v>
      </c>
      <c r="F207" s="288" t="n">
        <v>491081</v>
      </c>
      <c r="G207" s="289" t="n">
        <f aca="false">E207+F207</f>
        <v>491081</v>
      </c>
      <c r="H207" s="286"/>
      <c r="I207" s="287" t="s">
        <v>48</v>
      </c>
      <c r="J207" s="287" t="s">
        <v>44</v>
      </c>
      <c r="K207" s="287" t="s">
        <v>528</v>
      </c>
      <c r="M207" s="290" t="n">
        <v>4555555.55555556</v>
      </c>
      <c r="N207" s="290" t="n">
        <v>1513888.88888889</v>
      </c>
      <c r="O207" s="290" t="n">
        <v>0</v>
      </c>
      <c r="P207" s="290" t="n">
        <f aca="false">SUM(M207:O207)</f>
        <v>6069444.44444445</v>
      </c>
    </row>
    <row r="208" customFormat="false" ht="12.75" hidden="false" customHeight="false" outlineLevel="0" collapsed="false">
      <c r="A208" s="285" t="n">
        <v>3881</v>
      </c>
      <c r="B208" s="285" t="s">
        <v>44</v>
      </c>
      <c r="C208" s="286" t="s">
        <v>765</v>
      </c>
      <c r="D208" s="287" t="s">
        <v>673</v>
      </c>
      <c r="E208" s="288" t="n">
        <f aca="false">IF(I208="regional",IF(R208*0.2975,S208*0.3484),S208*0.1939)</f>
        <v>0</v>
      </c>
      <c r="F208" s="288" t="n">
        <v>1130444</v>
      </c>
      <c r="G208" s="289" t="n">
        <f aca="false">E208+F208</f>
        <v>1130444</v>
      </c>
      <c r="H208" s="286" t="s">
        <v>49</v>
      </c>
      <c r="I208" s="287" t="s">
        <v>48</v>
      </c>
      <c r="J208" s="287" t="s">
        <v>44</v>
      </c>
      <c r="K208" s="287" t="s">
        <v>50</v>
      </c>
      <c r="M208" s="290" t="n">
        <v>0</v>
      </c>
      <c r="N208" s="290" t="n">
        <v>0</v>
      </c>
      <c r="O208" s="290" t="n">
        <v>0</v>
      </c>
      <c r="P208" s="290" t="n">
        <f aca="false">SUM(M208:O208)</f>
        <v>0</v>
      </c>
    </row>
    <row r="209" customFormat="false" ht="12.75" hidden="false" customHeight="false" outlineLevel="0" collapsed="false">
      <c r="A209" s="285" t="n">
        <v>3762</v>
      </c>
      <c r="B209" s="285"/>
      <c r="C209" s="286" t="s">
        <v>532</v>
      </c>
      <c r="D209" s="287" t="s">
        <v>532</v>
      </c>
      <c r="E209" s="288" t="n">
        <f aca="false">IF(I209="regional",IF(R209*0.2975,S209*0.3484),S209*0.1939)</f>
        <v>0</v>
      </c>
      <c r="F209" s="288" t="n">
        <v>0</v>
      </c>
      <c r="G209" s="289" t="n">
        <f aca="false">E209+F209</f>
        <v>0</v>
      </c>
      <c r="H209" s="286"/>
      <c r="I209" s="287" t="s">
        <v>62</v>
      </c>
      <c r="J209" s="287"/>
      <c r="K209" s="287" t="s">
        <v>533</v>
      </c>
      <c r="M209" s="290" t="n">
        <v>0</v>
      </c>
      <c r="N209" s="290" t="n">
        <v>319444.444444445</v>
      </c>
      <c r="O209" s="290" t="n">
        <v>69444.4444444445</v>
      </c>
      <c r="P209" s="290" t="n">
        <f aca="false">SUM(M209:O209)</f>
        <v>388888.888888889</v>
      </c>
    </row>
    <row r="210" customFormat="false" ht="12.75" hidden="false" customHeight="false" outlineLevel="0" collapsed="false">
      <c r="A210" s="285" t="n">
        <v>9570</v>
      </c>
      <c r="B210" s="285"/>
      <c r="C210" s="286" t="s">
        <v>534</v>
      </c>
      <c r="D210" s="287" t="s">
        <v>534</v>
      </c>
      <c r="E210" s="288" t="n">
        <f aca="false">IF(I210="regional",IF(R210*0.2975,S210*0.3484),S210*0.1939)</f>
        <v>0</v>
      </c>
      <c r="F210" s="288" t="n">
        <v>0</v>
      </c>
      <c r="G210" s="289" t="n">
        <f aca="false">E210+F210</f>
        <v>0</v>
      </c>
      <c r="H210" s="286"/>
      <c r="I210" s="287" t="s">
        <v>48</v>
      </c>
      <c r="J210" s="287" t="s">
        <v>49</v>
      </c>
      <c r="K210" s="287" t="s">
        <v>102</v>
      </c>
      <c r="M210" s="290" t="n">
        <v>0</v>
      </c>
      <c r="N210" s="290" t="n">
        <v>2513888.88888889</v>
      </c>
      <c r="O210" s="290" t="n">
        <v>611111.111111111</v>
      </c>
      <c r="P210" s="290" t="n">
        <f aca="false">SUM(M210:O210)</f>
        <v>3125000</v>
      </c>
    </row>
    <row r="211" customFormat="false" ht="12.75" hidden="false" customHeight="false" outlineLevel="0" collapsed="false">
      <c r="A211" s="285" t="n">
        <v>2550</v>
      </c>
      <c r="B211" s="285" t="s">
        <v>44</v>
      </c>
      <c r="C211" s="286" t="s">
        <v>536</v>
      </c>
      <c r="D211" s="287" t="s">
        <v>536</v>
      </c>
      <c r="E211" s="288" t="n">
        <f aca="false">IF(I211="regional",IF(R211*0.2975,S211*0.3484),S211*0.1939)</f>
        <v>0</v>
      </c>
      <c r="F211" s="288" t="n">
        <v>516572</v>
      </c>
      <c r="G211" s="289" t="n">
        <f aca="false">E211+F211</f>
        <v>516572</v>
      </c>
      <c r="H211" s="286"/>
      <c r="I211" s="287" t="s">
        <v>48</v>
      </c>
      <c r="J211" s="287" t="s">
        <v>44</v>
      </c>
      <c r="K211" s="287" t="s">
        <v>160</v>
      </c>
      <c r="M211" s="290" t="n">
        <v>5722222.22222222</v>
      </c>
      <c r="N211" s="290" t="n">
        <v>3111111.11111111</v>
      </c>
      <c r="O211" s="290" t="n">
        <v>0</v>
      </c>
      <c r="P211" s="290" t="n">
        <f aca="false">SUM(M211:O211)</f>
        <v>8833333.33333333</v>
      </c>
    </row>
    <row r="212" customFormat="false" ht="12.75" hidden="false" customHeight="false" outlineLevel="0" collapsed="false">
      <c r="A212" s="285" t="n">
        <v>9600</v>
      </c>
      <c r="B212" s="285"/>
      <c r="C212" s="286" t="s">
        <v>537</v>
      </c>
      <c r="D212" s="287" t="s">
        <v>537</v>
      </c>
      <c r="E212" s="288" t="n">
        <f aca="false">IF(I212="regional",IF(R212*0.2975,S212*0.3484),S212*0.1939)</f>
        <v>0</v>
      </c>
      <c r="F212" s="288" t="n">
        <v>0</v>
      </c>
      <c r="G212" s="289" t="n">
        <f aca="false">E212+F212</f>
        <v>0</v>
      </c>
      <c r="H212" s="286"/>
      <c r="I212" s="287" t="s">
        <v>48</v>
      </c>
      <c r="J212" s="287" t="s">
        <v>49</v>
      </c>
      <c r="K212" s="287" t="s">
        <v>539</v>
      </c>
      <c r="M212" s="290" t="n">
        <v>0</v>
      </c>
      <c r="N212" s="290" t="n">
        <v>1708333.33333333</v>
      </c>
      <c r="O212" s="290" t="n">
        <v>291666.666666667</v>
      </c>
      <c r="P212" s="290" t="n">
        <f aca="false">SUM(M212:O212)</f>
        <v>2000000</v>
      </c>
    </row>
    <row r="213" customFormat="false" ht="12.75" hidden="false" customHeight="false" outlineLevel="0" collapsed="false">
      <c r="A213" s="285" t="n">
        <v>3911</v>
      </c>
      <c r="B213" s="285"/>
      <c r="C213" s="286" t="s">
        <v>540</v>
      </c>
      <c r="D213" s="287" t="s">
        <v>540</v>
      </c>
      <c r="E213" s="288" t="n">
        <f aca="false">IF(I213="regional",IF(R213*0.2975,S213*0.3484),S213*0.1939)</f>
        <v>0</v>
      </c>
      <c r="F213" s="288" t="n">
        <v>0</v>
      </c>
      <c r="G213" s="289" t="n">
        <f aca="false">E213+F213</f>
        <v>0</v>
      </c>
      <c r="H213" s="286"/>
      <c r="I213" s="287" t="s">
        <v>62</v>
      </c>
      <c r="J213" s="287"/>
      <c r="K213" s="287" t="s">
        <v>170</v>
      </c>
      <c r="M213" s="290" t="n">
        <v>0</v>
      </c>
      <c r="N213" s="290" t="n">
        <v>111111.111111111</v>
      </c>
      <c r="O213" s="290" t="n">
        <v>0</v>
      </c>
      <c r="P213" s="290" t="n">
        <f aca="false">SUM(M213:O213)</f>
        <v>111111.111111111</v>
      </c>
    </row>
    <row r="214" customFormat="false" ht="12.75" hidden="false" customHeight="false" outlineLevel="0" collapsed="false">
      <c r="A214" s="285" t="n">
        <v>9620</v>
      </c>
      <c r="B214" s="285"/>
      <c r="C214" s="286" t="s">
        <v>542</v>
      </c>
      <c r="D214" s="287" t="s">
        <v>542</v>
      </c>
      <c r="E214" s="288" t="n">
        <f aca="false">IF(I214="regional",IF(R214*0.2975,S214*0.3484),S214*0.1939)</f>
        <v>0</v>
      </c>
      <c r="F214" s="288" t="n">
        <v>0</v>
      </c>
      <c r="G214" s="289" t="n">
        <f aca="false">E214+F214</f>
        <v>0</v>
      </c>
      <c r="H214" s="286"/>
      <c r="I214" s="287" t="s">
        <v>62</v>
      </c>
      <c r="J214" s="287"/>
      <c r="K214" s="287" t="s">
        <v>229</v>
      </c>
      <c r="M214" s="290" t="n">
        <v>0</v>
      </c>
      <c r="N214" s="290" t="n">
        <v>13888.8888888889</v>
      </c>
      <c r="O214" s="290" t="n">
        <v>0</v>
      </c>
      <c r="P214" s="290" t="n">
        <f aca="false">SUM(M214:O214)</f>
        <v>13888.8888888889</v>
      </c>
    </row>
    <row r="215" customFormat="false" ht="12.75" hidden="false" customHeight="false" outlineLevel="0" collapsed="false">
      <c r="A215" s="298" t="n">
        <v>4602</v>
      </c>
      <c r="B215" s="298"/>
      <c r="C215" s="299" t="s">
        <v>766</v>
      </c>
      <c r="D215" s="293" t="s">
        <v>766</v>
      </c>
      <c r="E215" s="288" t="n">
        <f aca="false">IF(I215="regional",IF(R215*0.2975,S215*0.3484),S215*0.1939)</f>
        <v>0</v>
      </c>
      <c r="F215" s="294"/>
      <c r="G215" s="289" t="n">
        <f aca="false">E215+F215</f>
        <v>0</v>
      </c>
      <c r="H215" s="292" t="s">
        <v>49</v>
      </c>
      <c r="I215" s="293" t="s">
        <v>48</v>
      </c>
      <c r="J215" s="293"/>
      <c r="K215" s="293"/>
      <c r="M215" s="290" t="n">
        <v>0</v>
      </c>
      <c r="N215" s="290" t="n">
        <v>0</v>
      </c>
      <c r="O215" s="290" t="n">
        <v>0</v>
      </c>
      <c r="P215" s="290" t="n">
        <f aca="false">SUM(M215:O215)</f>
        <v>0</v>
      </c>
    </row>
    <row r="216" customFormat="false" ht="12.75" hidden="false" customHeight="false" outlineLevel="0" collapsed="false">
      <c r="A216" s="291" t="n">
        <v>2307</v>
      </c>
      <c r="B216" s="291" t="s">
        <v>44</v>
      </c>
      <c r="C216" s="292" t="s">
        <v>543</v>
      </c>
      <c r="D216" s="287" t="s">
        <v>543</v>
      </c>
      <c r="E216" s="288" t="n">
        <f aca="false">IF(I216="regional",IF(R216*0.2975,S216*0.3484),S216*0.1939)</f>
        <v>0</v>
      </c>
      <c r="F216" s="288" t="n">
        <v>0</v>
      </c>
      <c r="G216" s="289" t="n">
        <f aca="false">E216+F216</f>
        <v>0</v>
      </c>
      <c r="H216" s="292"/>
      <c r="I216" s="287" t="s">
        <v>48</v>
      </c>
      <c r="J216" s="287" t="s">
        <v>44</v>
      </c>
      <c r="K216" s="287" t="s">
        <v>170</v>
      </c>
      <c r="M216" s="290" t="n">
        <v>527777.777777778</v>
      </c>
      <c r="N216" s="290" t="n">
        <v>861111.111111111</v>
      </c>
      <c r="O216" s="290" t="n">
        <v>208333.333333333</v>
      </c>
      <c r="P216" s="290" t="n">
        <f aca="false">SUM(M216:O216)</f>
        <v>1597222.22222222</v>
      </c>
    </row>
    <row r="217" customFormat="false" ht="12.75" hidden="false" customHeight="false" outlineLevel="0" collapsed="false">
      <c r="A217" s="285" t="n">
        <v>2311</v>
      </c>
      <c r="B217" s="285"/>
      <c r="C217" s="286" t="s">
        <v>544</v>
      </c>
      <c r="D217" s="287" t="s">
        <v>544</v>
      </c>
      <c r="E217" s="288" t="n">
        <f aca="false">IF(I217="regional",IF(R217*0.2975,S217*0.3484),S217*0.1939)</f>
        <v>0</v>
      </c>
      <c r="F217" s="288" t="n">
        <v>0</v>
      </c>
      <c r="G217" s="289" t="n">
        <f aca="false">E217+F217</f>
        <v>0</v>
      </c>
      <c r="H217" s="286"/>
      <c r="I217" s="287" t="s">
        <v>62</v>
      </c>
      <c r="J217" s="287" t="s">
        <v>49</v>
      </c>
      <c r="K217" s="287" t="s">
        <v>170</v>
      </c>
      <c r="M217" s="290" t="n">
        <v>0</v>
      </c>
      <c r="N217" s="290" t="n">
        <v>0</v>
      </c>
      <c r="O217" s="290" t="n">
        <v>69444.4444444445</v>
      </c>
      <c r="P217" s="290" t="n">
        <f aca="false">SUM(M217:O217)</f>
        <v>69444.4444444445</v>
      </c>
    </row>
    <row r="218" customFormat="false" ht="12.75" hidden="false" customHeight="false" outlineLevel="0" collapsed="false">
      <c r="A218" s="285" t="n">
        <v>3633</v>
      </c>
      <c r="B218" s="285" t="s">
        <v>44</v>
      </c>
      <c r="C218" s="286" t="s">
        <v>545</v>
      </c>
      <c r="D218" s="287" t="s">
        <v>545</v>
      </c>
      <c r="E218" s="288" t="n">
        <f aca="false">IF(I218="regional",IF(R218*0.2975,S218*0.3484),S218*0.1939)</f>
        <v>0</v>
      </c>
      <c r="F218" s="288" t="n">
        <v>0</v>
      </c>
      <c r="G218" s="289" t="n">
        <f aca="false">E218+F218</f>
        <v>0</v>
      </c>
      <c r="H218" s="286" t="s">
        <v>49</v>
      </c>
      <c r="I218" s="287" t="s">
        <v>48</v>
      </c>
      <c r="J218" s="287" t="s">
        <v>44</v>
      </c>
      <c r="K218" s="287"/>
      <c r="M218" s="290" t="n">
        <v>0</v>
      </c>
      <c r="N218" s="290" t="n">
        <v>0</v>
      </c>
      <c r="O218" s="290" t="n">
        <v>0</v>
      </c>
      <c r="P218" s="290" t="n">
        <f aca="false">SUM(M218:O218)</f>
        <v>0</v>
      </c>
    </row>
    <row r="219" customFormat="false" ht="12.75" hidden="false" customHeight="false" outlineLevel="0" collapsed="false">
      <c r="A219" s="285" t="n">
        <v>4839</v>
      </c>
      <c r="B219" s="285" t="s">
        <v>44</v>
      </c>
      <c r="C219" s="286" t="s">
        <v>546</v>
      </c>
      <c r="D219" s="287" t="s">
        <v>546</v>
      </c>
      <c r="E219" s="288" t="n">
        <f aca="false">IF(I219="regional",IF(R219*0.2975,S219*0.3484),S219*0.1939)</f>
        <v>0</v>
      </c>
      <c r="F219" s="288" t="n">
        <v>0</v>
      </c>
      <c r="G219" s="289" t="n">
        <f aca="false">E219+F219</f>
        <v>0</v>
      </c>
      <c r="H219" s="286"/>
      <c r="I219" s="287" t="s">
        <v>48</v>
      </c>
      <c r="J219" s="287" t="s">
        <v>44</v>
      </c>
      <c r="K219" s="287" t="s">
        <v>449</v>
      </c>
      <c r="M219" s="290" t="n">
        <v>0</v>
      </c>
      <c r="N219" s="290" t="n">
        <v>7916666.66666667</v>
      </c>
      <c r="O219" s="290" t="n">
        <v>13888.8888888889</v>
      </c>
      <c r="P219" s="290" t="n">
        <f aca="false">SUM(M219:O219)</f>
        <v>7930555.55555556</v>
      </c>
    </row>
    <row r="220" customFormat="false" ht="12.75" hidden="false" customHeight="false" outlineLevel="0" collapsed="false">
      <c r="A220" s="285" t="n">
        <v>4840</v>
      </c>
      <c r="B220" s="285" t="s">
        <v>44</v>
      </c>
      <c r="C220" s="286" t="s">
        <v>548</v>
      </c>
      <c r="D220" s="287" t="s">
        <v>548</v>
      </c>
      <c r="E220" s="288" t="n">
        <f aca="false">IF(I220="regional",IF(R220*0.2975,S220*0.3484),S220*0.1939)</f>
        <v>0</v>
      </c>
      <c r="F220" s="288" t="n">
        <v>0</v>
      </c>
      <c r="G220" s="289" t="n">
        <f aca="false">E220+F220</f>
        <v>0</v>
      </c>
      <c r="H220" s="286" t="s">
        <v>49</v>
      </c>
      <c r="I220" s="287" t="s">
        <v>48</v>
      </c>
      <c r="J220" s="287" t="s">
        <v>44</v>
      </c>
      <c r="K220" s="287" t="s">
        <v>277</v>
      </c>
      <c r="M220" s="290" t="n">
        <v>0</v>
      </c>
      <c r="N220" s="290" t="n">
        <v>0</v>
      </c>
      <c r="O220" s="290" t="n">
        <v>0</v>
      </c>
      <c r="P220" s="290" t="n">
        <f aca="false">SUM(M220:O220)</f>
        <v>0</v>
      </c>
    </row>
    <row r="221" customFormat="false" ht="12.75" hidden="false" customHeight="false" outlineLevel="0" collapsed="false">
      <c r="A221" s="285" t="n">
        <v>2105</v>
      </c>
      <c r="B221" s="285" t="s">
        <v>44</v>
      </c>
      <c r="C221" s="286" t="s">
        <v>550</v>
      </c>
      <c r="D221" s="287" t="s">
        <v>550</v>
      </c>
      <c r="E221" s="288" t="n">
        <f aca="false">IF(I221="regional",IF(R221*0.2975,S221*0.3484),S221*0.1939)</f>
        <v>0</v>
      </c>
      <c r="F221" s="288" t="n">
        <v>541854</v>
      </c>
      <c r="G221" s="289" t="n">
        <f aca="false">E221+F221</f>
        <v>541854</v>
      </c>
      <c r="H221" s="286"/>
      <c r="I221" s="287" t="s">
        <v>48</v>
      </c>
      <c r="J221" s="287" t="s">
        <v>44</v>
      </c>
      <c r="K221" s="287" t="s">
        <v>552</v>
      </c>
      <c r="M221" s="290" t="n">
        <v>3861111.11111111</v>
      </c>
      <c r="N221" s="290" t="n">
        <v>1763888.88888889</v>
      </c>
      <c r="O221" s="290" t="n">
        <v>13888.8888888889</v>
      </c>
      <c r="P221" s="290" t="n">
        <f aca="false">SUM(M221:O221)</f>
        <v>5638888.88888889</v>
      </c>
    </row>
    <row r="222" customFormat="false" ht="12.75" hidden="false" customHeight="false" outlineLevel="0" collapsed="false">
      <c r="A222" s="285" t="n">
        <v>3920</v>
      </c>
      <c r="B222" s="285" t="s">
        <v>44</v>
      </c>
      <c r="C222" s="286" t="s">
        <v>553</v>
      </c>
      <c r="D222" s="287" t="s">
        <v>553</v>
      </c>
      <c r="E222" s="288" t="n">
        <f aca="false">IF(I222="regional",IF(R222*0.2975,S222*0.3484),S222*0.1939)</f>
        <v>0</v>
      </c>
      <c r="F222" s="288" t="n">
        <v>0</v>
      </c>
      <c r="G222" s="289" t="n">
        <f aca="false">E222+F222</f>
        <v>0</v>
      </c>
      <c r="H222" s="286"/>
      <c r="I222" s="287" t="s">
        <v>48</v>
      </c>
      <c r="J222" s="287" t="s">
        <v>44</v>
      </c>
      <c r="K222" s="287" t="s">
        <v>554</v>
      </c>
      <c r="M222" s="290" t="n">
        <v>1305555.55555556</v>
      </c>
      <c r="N222" s="290" t="n">
        <v>1444444.44444444</v>
      </c>
      <c r="O222" s="290" t="n">
        <v>13888.8888888889</v>
      </c>
      <c r="P222" s="290" t="n">
        <f aca="false">SUM(M222:O222)</f>
        <v>2763888.88888889</v>
      </c>
    </row>
    <row r="223" customFormat="false" ht="12.75" hidden="false" customHeight="false" outlineLevel="0" collapsed="false">
      <c r="A223" s="285" t="n">
        <v>9896</v>
      </c>
      <c r="B223" s="285"/>
      <c r="C223" s="286" t="s">
        <v>555</v>
      </c>
      <c r="D223" s="287" t="s">
        <v>555</v>
      </c>
      <c r="E223" s="288" t="n">
        <f aca="false">IF(I223="regional",IF(R223*0.2975,S223*0.3484),S223*0.1939)</f>
        <v>0</v>
      </c>
      <c r="F223" s="288" t="n">
        <v>0</v>
      </c>
      <c r="G223" s="289" t="n">
        <f aca="false">E223+F223</f>
        <v>0</v>
      </c>
      <c r="H223" s="286"/>
      <c r="I223" s="287" t="s">
        <v>48</v>
      </c>
      <c r="J223" s="287"/>
      <c r="K223" s="287" t="s">
        <v>449</v>
      </c>
      <c r="M223" s="290" t="n">
        <v>0</v>
      </c>
      <c r="N223" s="290" t="n">
        <v>3791666.66666667</v>
      </c>
      <c r="O223" s="290" t="n">
        <v>41666.6666666667</v>
      </c>
      <c r="P223" s="290" t="n">
        <f aca="false">SUM(M223:O223)</f>
        <v>3833333.33333333</v>
      </c>
    </row>
    <row r="224" customFormat="false" ht="12.75" hidden="false" customHeight="false" outlineLevel="0" collapsed="false">
      <c r="A224" s="285" t="n">
        <v>3951</v>
      </c>
      <c r="B224" s="285"/>
      <c r="C224" s="292" t="s">
        <v>557</v>
      </c>
      <c r="D224" s="287" t="s">
        <v>557</v>
      </c>
      <c r="E224" s="288" t="n">
        <f aca="false">IF(I224="regional",IF(R224*0.2975,S224*0.3484),S224*0.1939)</f>
        <v>0</v>
      </c>
      <c r="F224" s="288" t="n">
        <v>235391</v>
      </c>
      <c r="G224" s="289" t="n">
        <f aca="false">E224+F224</f>
        <v>235391</v>
      </c>
      <c r="H224" s="286" t="s">
        <v>49</v>
      </c>
      <c r="I224" s="287" t="s">
        <v>48</v>
      </c>
      <c r="J224" s="287" t="s">
        <v>49</v>
      </c>
      <c r="K224" s="287" t="s">
        <v>560</v>
      </c>
      <c r="M224" s="290" t="n">
        <v>0</v>
      </c>
      <c r="N224" s="290" t="n">
        <v>0</v>
      </c>
      <c r="O224" s="290" t="n">
        <v>0</v>
      </c>
      <c r="P224" s="290" t="n">
        <f aca="false">SUM(M224:O224)</f>
        <v>0</v>
      </c>
    </row>
    <row r="225" customFormat="false" ht="12.75" hidden="false" customHeight="false" outlineLevel="0" collapsed="false">
      <c r="A225" s="285" t="n">
        <v>9690</v>
      </c>
      <c r="B225" s="285"/>
      <c r="C225" s="286" t="s">
        <v>561</v>
      </c>
      <c r="D225" s="287" t="s">
        <v>561</v>
      </c>
      <c r="E225" s="288" t="n">
        <f aca="false">IF(I225="regional",IF(R225*0.2975,S225*0.3484),S225*0.1939)</f>
        <v>0</v>
      </c>
      <c r="F225" s="288" t="n">
        <v>0</v>
      </c>
      <c r="G225" s="289" t="n">
        <f aca="false">E225+F225</f>
        <v>0</v>
      </c>
      <c r="H225" s="286"/>
      <c r="I225" s="287" t="s">
        <v>48</v>
      </c>
      <c r="J225" s="287" t="s">
        <v>49</v>
      </c>
      <c r="K225" s="287" t="s">
        <v>229</v>
      </c>
      <c r="M225" s="290" t="n">
        <v>0</v>
      </c>
      <c r="N225" s="290" t="n">
        <v>3250000</v>
      </c>
      <c r="O225" s="290" t="n">
        <v>13888.8888888889</v>
      </c>
      <c r="P225" s="290" t="n">
        <f aca="false">SUM(M225:O225)</f>
        <v>3263888.88888889</v>
      </c>
    </row>
    <row r="226" customFormat="false" ht="12.75" hidden="false" customHeight="false" outlineLevel="0" collapsed="false">
      <c r="A226" s="285" t="n">
        <v>9711</v>
      </c>
      <c r="B226" s="285"/>
      <c r="C226" s="286" t="s">
        <v>563</v>
      </c>
      <c r="D226" s="287" t="s">
        <v>563</v>
      </c>
      <c r="E226" s="288" t="n">
        <f aca="false">IF(I226="regional",IF(R226*0.2975,S226*0.3484),S226*0.1939)</f>
        <v>0</v>
      </c>
      <c r="F226" s="288" t="n">
        <v>0</v>
      </c>
      <c r="G226" s="289" t="n">
        <f aca="false">E226+F226</f>
        <v>0</v>
      </c>
      <c r="H226" s="286" t="s">
        <v>49</v>
      </c>
      <c r="I226" s="287" t="s">
        <v>62</v>
      </c>
      <c r="J226" s="287"/>
      <c r="K226" s="287" t="s">
        <v>565</v>
      </c>
      <c r="M226" s="290" t="n">
        <v>0</v>
      </c>
      <c r="N226" s="290" t="n">
        <v>0</v>
      </c>
      <c r="O226" s="290" t="n">
        <v>0</v>
      </c>
      <c r="P226" s="290" t="n">
        <f aca="false">SUM(M226:O226)</f>
        <v>0</v>
      </c>
    </row>
    <row r="227" customFormat="false" ht="12.75" hidden="false" customHeight="false" outlineLevel="0" collapsed="false">
      <c r="A227" s="285" t="n">
        <v>2520</v>
      </c>
      <c r="B227" s="285" t="s">
        <v>44</v>
      </c>
      <c r="C227" s="286" t="s">
        <v>566</v>
      </c>
      <c r="D227" s="287" t="s">
        <v>566</v>
      </c>
      <c r="E227" s="288" t="n">
        <f aca="false">IF(I227="regional",IF(R227*0.2975,S227*0.3484),S227*0.1939)</f>
        <v>0</v>
      </c>
      <c r="F227" s="288" t="n">
        <v>0</v>
      </c>
      <c r="G227" s="289" t="n">
        <f aca="false">E227+F227</f>
        <v>0</v>
      </c>
      <c r="H227" s="286"/>
      <c r="I227" s="287" t="s">
        <v>48</v>
      </c>
      <c r="J227" s="287" t="s">
        <v>49</v>
      </c>
      <c r="K227" s="287" t="s">
        <v>568</v>
      </c>
      <c r="M227" s="290" t="n">
        <v>2819444.44444444</v>
      </c>
      <c r="N227" s="290" t="n">
        <v>1138888.88888889</v>
      </c>
      <c r="O227" s="290" t="n">
        <v>41666.6666666667</v>
      </c>
      <c r="P227" s="290" t="n">
        <f aca="false">SUM(M227:O227)</f>
        <v>4000000</v>
      </c>
    </row>
    <row r="228" customFormat="false" ht="12.75" hidden="false" customHeight="false" outlineLevel="0" collapsed="false">
      <c r="A228" s="285" t="n">
        <v>4116</v>
      </c>
      <c r="B228" s="285"/>
      <c r="C228" s="286" t="s">
        <v>566</v>
      </c>
      <c r="D228" s="287" t="s">
        <v>566</v>
      </c>
      <c r="E228" s="288" t="n">
        <f aca="false">IF(I228="regional",IF(R228*0.2975,S228*0.3484),S228*0.1939)</f>
        <v>0</v>
      </c>
      <c r="F228" s="288" t="n">
        <v>315718</v>
      </c>
      <c r="G228" s="289" t="n">
        <f aca="false">E228+F228</f>
        <v>315718</v>
      </c>
      <c r="H228" s="286"/>
      <c r="I228" s="287" t="s">
        <v>48</v>
      </c>
      <c r="J228" s="287" t="s">
        <v>44</v>
      </c>
      <c r="K228" s="287" t="s">
        <v>568</v>
      </c>
      <c r="M228" s="290" t="n">
        <v>430555.555555556</v>
      </c>
      <c r="N228" s="290" t="n">
        <v>694444.444444445</v>
      </c>
      <c r="O228" s="290" t="n">
        <v>27777.7777777778</v>
      </c>
      <c r="P228" s="290" t="n">
        <f aca="false">SUM(M228:O228)</f>
        <v>1152777.77777778</v>
      </c>
    </row>
    <row r="229" customFormat="false" ht="12.75" hidden="false" customHeight="false" outlineLevel="0" collapsed="false">
      <c r="A229" s="285" t="n">
        <v>9710</v>
      </c>
      <c r="B229" s="285"/>
      <c r="C229" s="286" t="s">
        <v>569</v>
      </c>
      <c r="D229" s="287" t="s">
        <v>569</v>
      </c>
      <c r="E229" s="288" t="n">
        <f aca="false">IF(I229="regional",IF(R229*0.2975,S229*0.3484),S229*0.1939)</f>
        <v>0</v>
      </c>
      <c r="F229" s="288" t="n">
        <v>0</v>
      </c>
      <c r="G229" s="289" t="n">
        <f aca="false">E229+F229</f>
        <v>0</v>
      </c>
      <c r="H229" s="286" t="s">
        <v>49</v>
      </c>
      <c r="I229" s="287" t="s">
        <v>48</v>
      </c>
      <c r="J229" s="287"/>
      <c r="K229" s="287" t="s">
        <v>565</v>
      </c>
      <c r="M229" s="290" t="n">
        <v>0</v>
      </c>
      <c r="N229" s="290" t="n">
        <v>0</v>
      </c>
      <c r="O229" s="290" t="n">
        <v>0</v>
      </c>
      <c r="P229" s="290" t="n">
        <f aca="false">SUM(M229:O229)</f>
        <v>0</v>
      </c>
    </row>
    <row r="230" customFormat="false" ht="12.75" hidden="false" customHeight="false" outlineLevel="0" collapsed="false">
      <c r="A230" s="285" t="n">
        <v>9750</v>
      </c>
      <c r="B230" s="285"/>
      <c r="C230" s="286" t="s">
        <v>571</v>
      </c>
      <c r="D230" s="287" t="s">
        <v>571</v>
      </c>
      <c r="E230" s="288" t="n">
        <f aca="false">IF(I230="regional",IF(R230*0.2975,S230*0.3484),S230*0.1939)</f>
        <v>0</v>
      </c>
      <c r="F230" s="288" t="n">
        <v>0</v>
      </c>
      <c r="G230" s="289" t="n">
        <f aca="false">E230+F230</f>
        <v>0</v>
      </c>
      <c r="H230" s="286"/>
      <c r="I230" s="287" t="s">
        <v>48</v>
      </c>
      <c r="J230" s="287" t="s">
        <v>49</v>
      </c>
      <c r="K230" s="287" t="s">
        <v>102</v>
      </c>
      <c r="M230" s="290" t="n">
        <v>0</v>
      </c>
      <c r="N230" s="290" t="n">
        <v>1125000</v>
      </c>
      <c r="O230" s="290" t="n">
        <v>152777.777777778</v>
      </c>
      <c r="P230" s="290" t="n">
        <f aca="false">SUM(M230:O230)</f>
        <v>1277777.77777778</v>
      </c>
    </row>
    <row r="231" customFormat="false" ht="12.75" hidden="false" customHeight="false" outlineLevel="0" collapsed="false">
      <c r="A231" s="285" t="n">
        <v>1511</v>
      </c>
      <c r="B231" s="285" t="s">
        <v>44</v>
      </c>
      <c r="C231" s="286" t="s">
        <v>572</v>
      </c>
      <c r="D231" s="287" t="s">
        <v>572</v>
      </c>
      <c r="E231" s="288" t="n">
        <f aca="false">IF(I231="regional",IF(R231*0.2975,S231*0.3484),S231*0.1939)</f>
        <v>0</v>
      </c>
      <c r="F231" s="288" t="n">
        <v>0</v>
      </c>
      <c r="G231" s="289" t="n">
        <f aca="false">E231+F231</f>
        <v>0</v>
      </c>
      <c r="H231" s="286"/>
      <c r="I231" s="287" t="s">
        <v>48</v>
      </c>
      <c r="J231" s="287" t="s">
        <v>44</v>
      </c>
      <c r="K231" s="287" t="s">
        <v>574</v>
      </c>
      <c r="M231" s="290" t="n">
        <v>1083333.33333333</v>
      </c>
      <c r="N231" s="290" t="n">
        <v>833333.333333333</v>
      </c>
      <c r="O231" s="290" t="n">
        <v>125000</v>
      </c>
      <c r="P231" s="290" t="n">
        <f aca="false">SUM(M231:O231)</f>
        <v>2041666.66666667</v>
      </c>
    </row>
    <row r="232" customFormat="false" ht="12.75" hidden="false" customHeight="false" outlineLevel="0" collapsed="false">
      <c r="A232" s="298" t="n">
        <v>4775</v>
      </c>
      <c r="B232" s="298"/>
      <c r="C232" s="299" t="s">
        <v>575</v>
      </c>
      <c r="D232" s="287" t="s">
        <v>575</v>
      </c>
      <c r="E232" s="288" t="n">
        <f aca="false">IF(I232="regional",IF(R232*0.2975,S232*0.3484),S232*0.1939)</f>
        <v>0</v>
      </c>
      <c r="F232" s="288" t="n">
        <v>0</v>
      </c>
      <c r="G232" s="289" t="n">
        <f aca="false">E232+F232</f>
        <v>0</v>
      </c>
      <c r="H232" s="292" t="s">
        <v>49</v>
      </c>
      <c r="I232" s="293" t="s">
        <v>48</v>
      </c>
      <c r="J232" s="287"/>
      <c r="K232" s="287" t="s">
        <v>43</v>
      </c>
      <c r="M232" s="290" t="n">
        <v>0</v>
      </c>
      <c r="N232" s="290" t="n">
        <v>0</v>
      </c>
      <c r="O232" s="290" t="n">
        <v>0</v>
      </c>
      <c r="P232" s="290" t="n">
        <f aca="false">SUM(M232:O232)</f>
        <v>0</v>
      </c>
    </row>
    <row r="233" customFormat="false" ht="12.75" hidden="false" customHeight="false" outlineLevel="0" collapsed="false">
      <c r="A233" s="285" t="n">
        <v>4316</v>
      </c>
      <c r="B233" s="285"/>
      <c r="C233" s="286" t="s">
        <v>576</v>
      </c>
      <c r="D233" s="287" t="s">
        <v>576</v>
      </c>
      <c r="E233" s="288" t="n">
        <f aca="false">IF(I233="regional",IF(R233*0.2975,S233*0.3484),S233*0.1939)</f>
        <v>0</v>
      </c>
      <c r="F233" s="288" t="n">
        <v>0</v>
      </c>
      <c r="G233" s="289" t="n">
        <f aca="false">E233+F233</f>
        <v>0</v>
      </c>
      <c r="H233" s="286" t="s">
        <v>49</v>
      </c>
      <c r="I233" s="287" t="s">
        <v>62</v>
      </c>
      <c r="J233" s="287"/>
      <c r="K233" s="287" t="s">
        <v>170</v>
      </c>
      <c r="M233" s="290" t="n">
        <v>0</v>
      </c>
      <c r="N233" s="290" t="n">
        <v>0</v>
      </c>
      <c r="O233" s="290" t="n">
        <v>0</v>
      </c>
      <c r="P233" s="290" t="n">
        <f aca="false">SUM(M233:O233)</f>
        <v>0</v>
      </c>
    </row>
    <row r="234" customFormat="false" ht="12.75" hidden="false" customHeight="false" outlineLevel="0" collapsed="false">
      <c r="A234" s="285" t="n">
        <v>9270</v>
      </c>
      <c r="B234" s="285" t="s">
        <v>44</v>
      </c>
      <c r="C234" s="286" t="s">
        <v>578</v>
      </c>
      <c r="D234" s="287" t="s">
        <v>578</v>
      </c>
      <c r="E234" s="288" t="n">
        <f aca="false">IF(I234="regional",IF(R234*0.2975,S234*0.3484),S234*0.1939)</f>
        <v>0</v>
      </c>
      <c r="F234" s="288" t="n">
        <v>0</v>
      </c>
      <c r="G234" s="289" t="n">
        <f aca="false">E234+F234</f>
        <v>0</v>
      </c>
      <c r="H234" s="286"/>
      <c r="I234" s="287" t="s">
        <v>48</v>
      </c>
      <c r="J234" s="287" t="s">
        <v>44</v>
      </c>
      <c r="K234" s="287" t="s">
        <v>579</v>
      </c>
      <c r="M234" s="290" t="n">
        <v>55555.5555555556</v>
      </c>
      <c r="N234" s="290" t="n">
        <v>3333333.33333333</v>
      </c>
      <c r="O234" s="290" t="n">
        <v>916666.666666667</v>
      </c>
      <c r="P234" s="290" t="n">
        <f aca="false">SUM(M234:O234)</f>
        <v>4305555.55555556</v>
      </c>
    </row>
    <row r="235" customFormat="false" ht="12.75" hidden="false" customHeight="false" outlineLevel="0" collapsed="false">
      <c r="A235" s="285" t="n">
        <v>1582</v>
      </c>
      <c r="B235" s="285"/>
      <c r="C235" s="286" t="s">
        <v>580</v>
      </c>
      <c r="D235" s="287" t="s">
        <v>580</v>
      </c>
      <c r="E235" s="288" t="n">
        <f aca="false">IF(I235="regional",IF(R235*0.2975,S235*0.3484),S235*0.1939)</f>
        <v>0</v>
      </c>
      <c r="F235" s="288" t="n">
        <v>0</v>
      </c>
      <c r="G235" s="289" t="n">
        <f aca="false">E235+F235</f>
        <v>0</v>
      </c>
      <c r="H235" s="286"/>
      <c r="I235" s="287" t="s">
        <v>62</v>
      </c>
      <c r="J235" s="287"/>
      <c r="K235" s="287" t="s">
        <v>170</v>
      </c>
      <c r="M235" s="290" t="n">
        <v>0</v>
      </c>
      <c r="N235" s="290" t="n">
        <v>83333.3333333333</v>
      </c>
      <c r="O235" s="290" t="n">
        <v>0</v>
      </c>
      <c r="P235" s="290" t="n">
        <f aca="false">SUM(M235:O235)</f>
        <v>83333.3333333333</v>
      </c>
    </row>
    <row r="236" customFormat="false" ht="12.75" hidden="false" customHeight="false" outlineLevel="0" collapsed="false">
      <c r="A236" s="285" t="n">
        <v>4841</v>
      </c>
      <c r="B236" s="285"/>
      <c r="C236" s="286" t="s">
        <v>582</v>
      </c>
      <c r="D236" s="287" t="s">
        <v>582</v>
      </c>
      <c r="E236" s="288" t="n">
        <f aca="false">IF(I236="regional",IF(R236*0.2975,S236*0.3484),S236*0.1939)</f>
        <v>0</v>
      </c>
      <c r="F236" s="288" t="n">
        <v>0</v>
      </c>
      <c r="G236" s="289" t="n">
        <f aca="false">E236+F236</f>
        <v>0</v>
      </c>
      <c r="H236" s="286" t="s">
        <v>49</v>
      </c>
      <c r="I236" s="287" t="s">
        <v>48</v>
      </c>
      <c r="J236" s="287" t="s">
        <v>49</v>
      </c>
      <c r="K236" s="287" t="s">
        <v>490</v>
      </c>
      <c r="M236" s="290" t="n">
        <v>0</v>
      </c>
      <c r="N236" s="290" t="n">
        <v>0</v>
      </c>
      <c r="O236" s="290" t="n">
        <v>0</v>
      </c>
      <c r="P236" s="290" t="n">
        <f aca="false">SUM(M236:O236)</f>
        <v>0</v>
      </c>
    </row>
    <row r="237" customFormat="false" ht="12.75" hidden="false" customHeight="false" outlineLevel="0" collapsed="false">
      <c r="A237" s="285" t="n">
        <v>9774</v>
      </c>
      <c r="B237" s="285"/>
      <c r="C237" s="286" t="s">
        <v>584</v>
      </c>
      <c r="D237" s="287" t="s">
        <v>584</v>
      </c>
      <c r="E237" s="288" t="n">
        <f aca="false">IF(I237="regional",IF(R237*0.2975,S237*0.3484),S237*0.1939)</f>
        <v>0</v>
      </c>
      <c r="F237" s="288" t="n">
        <v>0</v>
      </c>
      <c r="G237" s="289" t="n">
        <f aca="false">E237+F237</f>
        <v>0</v>
      </c>
      <c r="H237" s="286" t="s">
        <v>44</v>
      </c>
      <c r="I237" s="287" t="s">
        <v>62</v>
      </c>
      <c r="J237" s="287"/>
      <c r="K237" s="287" t="s">
        <v>585</v>
      </c>
      <c r="M237" s="290" t="n">
        <v>0</v>
      </c>
      <c r="N237" s="290" t="n">
        <v>0</v>
      </c>
      <c r="O237" s="290" t="n">
        <v>0</v>
      </c>
      <c r="P237" s="290" t="n">
        <f aca="false">SUM(M237:O237)</f>
        <v>0</v>
      </c>
    </row>
    <row r="238" customFormat="false" ht="12.75" hidden="false" customHeight="false" outlineLevel="0" collapsed="false">
      <c r="A238" s="285" t="n">
        <v>9773</v>
      </c>
      <c r="B238" s="285"/>
      <c r="C238" s="286" t="s">
        <v>586</v>
      </c>
      <c r="D238" s="287" t="s">
        <v>586</v>
      </c>
      <c r="E238" s="288" t="n">
        <f aca="false">IF(I238="regional",IF(R238*0.2975,S238*0.3484),S238*0.1939)</f>
        <v>0</v>
      </c>
      <c r="F238" s="288" t="n">
        <v>0</v>
      </c>
      <c r="G238" s="289" t="n">
        <f aca="false">E238+F238</f>
        <v>0</v>
      </c>
      <c r="H238" s="286"/>
      <c r="I238" s="287" t="s">
        <v>48</v>
      </c>
      <c r="J238" s="287" t="s">
        <v>49</v>
      </c>
      <c r="K238" s="287" t="s">
        <v>585</v>
      </c>
      <c r="M238" s="290" t="n">
        <v>0</v>
      </c>
      <c r="N238" s="290" t="n">
        <v>1805555.55555556</v>
      </c>
      <c r="O238" s="290" t="n">
        <v>527777.777777778</v>
      </c>
      <c r="P238" s="290" t="n">
        <f aca="false">SUM(M238:O238)</f>
        <v>2333333.33333333</v>
      </c>
    </row>
    <row r="239" customFormat="false" ht="12.75" hidden="false" customHeight="false" outlineLevel="0" collapsed="false">
      <c r="A239" s="285" t="n">
        <v>3917</v>
      </c>
      <c r="B239" s="285" t="s">
        <v>44</v>
      </c>
      <c r="C239" s="286" t="s">
        <v>587</v>
      </c>
      <c r="D239" s="287" t="s">
        <v>587</v>
      </c>
      <c r="E239" s="288" t="n">
        <f aca="false">IF(I239="regional",IF(R239*0.2975,S239*0.3484),S239*0.1939)</f>
        <v>0</v>
      </c>
      <c r="F239" s="288" t="n">
        <v>490459</v>
      </c>
      <c r="G239" s="289" t="n">
        <f aca="false">E239+F239</f>
        <v>490459</v>
      </c>
      <c r="H239" s="286"/>
      <c r="I239" s="287" t="s">
        <v>48</v>
      </c>
      <c r="J239" s="287" t="s">
        <v>44</v>
      </c>
      <c r="K239" s="287" t="s">
        <v>589</v>
      </c>
      <c r="M239" s="290" t="n">
        <v>2888888.88888889</v>
      </c>
      <c r="N239" s="290" t="n">
        <v>1763888.88888889</v>
      </c>
      <c r="O239" s="290" t="n">
        <v>0</v>
      </c>
      <c r="P239" s="290" t="n">
        <f aca="false">SUM(M239:O239)</f>
        <v>4652777.77777778</v>
      </c>
    </row>
    <row r="240" customFormat="false" ht="12.75" hidden="false" customHeight="false" outlineLevel="0" collapsed="false">
      <c r="A240" s="285" t="n">
        <v>3915</v>
      </c>
      <c r="B240" s="285"/>
      <c r="C240" s="286" t="s">
        <v>590</v>
      </c>
      <c r="D240" s="287" t="s">
        <v>590</v>
      </c>
      <c r="E240" s="288" t="n">
        <f aca="false">IF(I240="regional",IF(R240*0.2975,S240*0.3484),S240*0.1939)</f>
        <v>0</v>
      </c>
      <c r="F240" s="288" t="n">
        <v>0</v>
      </c>
      <c r="G240" s="289" t="n">
        <f aca="false">E240+F240</f>
        <v>0</v>
      </c>
      <c r="H240" s="286"/>
      <c r="I240" s="287" t="s">
        <v>62</v>
      </c>
      <c r="J240" s="287"/>
      <c r="K240" s="287" t="s">
        <v>589</v>
      </c>
      <c r="M240" s="290" t="n">
        <v>0</v>
      </c>
      <c r="N240" s="290" t="n">
        <v>111111.111111111</v>
      </c>
      <c r="O240" s="290" t="n">
        <v>0</v>
      </c>
      <c r="P240" s="290" t="n">
        <f aca="false">SUM(M240:O240)</f>
        <v>111111.111111111</v>
      </c>
    </row>
    <row r="241" customFormat="false" ht="12.75" hidden="false" customHeight="false" outlineLevel="0" collapsed="false">
      <c r="A241" s="285" t="n">
        <v>519</v>
      </c>
      <c r="B241" s="285"/>
      <c r="C241" s="286" t="s">
        <v>591</v>
      </c>
      <c r="D241" s="287" t="s">
        <v>591</v>
      </c>
      <c r="E241" s="288" t="n">
        <f aca="false">IF(I241="regional",IF(R241*0.2975,S241*0.3484),S241*0.1939)</f>
        <v>0</v>
      </c>
      <c r="F241" s="288" t="n">
        <v>0</v>
      </c>
      <c r="G241" s="289" t="n">
        <f aca="false">E241+F241</f>
        <v>0</v>
      </c>
      <c r="H241" s="286" t="s">
        <v>49</v>
      </c>
      <c r="I241" s="287" t="s">
        <v>62</v>
      </c>
      <c r="J241" s="287"/>
      <c r="K241" s="287" t="s">
        <v>449</v>
      </c>
      <c r="M241" s="290" t="n">
        <v>0</v>
      </c>
      <c r="N241" s="290" t="n">
        <v>0</v>
      </c>
      <c r="O241" s="290" t="n">
        <v>0</v>
      </c>
      <c r="P241" s="290" t="n">
        <f aca="false">SUM(M241:O241)</f>
        <v>0</v>
      </c>
    </row>
    <row r="242" customFormat="false" ht="12.75" hidden="false" customHeight="false" outlineLevel="0" collapsed="false">
      <c r="A242" s="285" t="n">
        <v>9805</v>
      </c>
      <c r="B242" s="285"/>
      <c r="C242" s="286" t="s">
        <v>593</v>
      </c>
      <c r="D242" s="287" t="s">
        <v>593</v>
      </c>
      <c r="E242" s="288" t="n">
        <f aca="false">IF(I242="regional",IF(R242*0.2975,S242*0.3484),S242*0.1939)</f>
        <v>0</v>
      </c>
      <c r="F242" s="288" t="n">
        <v>0</v>
      </c>
      <c r="G242" s="289" t="n">
        <f aca="false">E242+F242</f>
        <v>0</v>
      </c>
      <c r="H242" s="286" t="s">
        <v>49</v>
      </c>
      <c r="I242" s="287" t="s">
        <v>48</v>
      </c>
      <c r="J242" s="287" t="s">
        <v>49</v>
      </c>
      <c r="K242" s="287" t="s">
        <v>594</v>
      </c>
      <c r="M242" s="290" t="n">
        <v>0</v>
      </c>
      <c r="N242" s="290" t="n">
        <v>0</v>
      </c>
      <c r="O242" s="290" t="n">
        <v>0</v>
      </c>
      <c r="P242" s="290" t="n">
        <f aca="false">SUM(M242:O242)</f>
        <v>0</v>
      </c>
    </row>
    <row r="243" customFormat="false" ht="12.75" hidden="false" customHeight="false" outlineLevel="0" collapsed="false">
      <c r="A243" s="300" t="n">
        <v>4676</v>
      </c>
      <c r="B243" s="300"/>
      <c r="C243" s="301" t="s">
        <v>595</v>
      </c>
      <c r="D243" s="287" t="s">
        <v>595</v>
      </c>
      <c r="E243" s="288" t="n">
        <f aca="false">IF(I243="regional",IF(R243*0.2975,S243*0.3484),S243*0.1939)</f>
        <v>0</v>
      </c>
      <c r="F243" s="288" t="n">
        <v>0</v>
      </c>
      <c r="G243" s="289" t="n">
        <f aca="false">E243+F243</f>
        <v>0</v>
      </c>
      <c r="H243" s="286" t="s">
        <v>49</v>
      </c>
      <c r="I243" s="287" t="s">
        <v>48</v>
      </c>
      <c r="J243" s="287" t="s">
        <v>49</v>
      </c>
      <c r="K243" s="287" t="s">
        <v>306</v>
      </c>
      <c r="M243" s="290" t="n">
        <v>0</v>
      </c>
      <c r="N243" s="290" t="n">
        <v>0</v>
      </c>
      <c r="O243" s="290" t="n">
        <v>0</v>
      </c>
      <c r="P243" s="290" t="n">
        <f aca="false">SUM(M243:O243)</f>
        <v>0</v>
      </c>
    </row>
    <row r="244" customFormat="false" ht="12.75" hidden="false" customHeight="false" outlineLevel="0" collapsed="false">
      <c r="A244" s="285" t="n">
        <v>4514</v>
      </c>
      <c r="B244" s="285"/>
      <c r="C244" s="286" t="s">
        <v>597</v>
      </c>
      <c r="D244" s="287" t="s">
        <v>597</v>
      </c>
      <c r="E244" s="288" t="n">
        <f aca="false">IF(I244="regional",IF(R244*0.2975,S244*0.3484),S244*0.1939)</f>
        <v>0</v>
      </c>
      <c r="F244" s="288" t="n">
        <v>0</v>
      </c>
      <c r="G244" s="289" t="n">
        <f aca="false">E244+F244</f>
        <v>0</v>
      </c>
      <c r="H244" s="286" t="s">
        <v>49</v>
      </c>
      <c r="I244" s="287" t="s">
        <v>62</v>
      </c>
      <c r="J244" s="287"/>
      <c r="K244" s="287" t="s">
        <v>599</v>
      </c>
      <c r="M244" s="290" t="n">
        <v>0</v>
      </c>
      <c r="N244" s="290" t="n">
        <v>0</v>
      </c>
      <c r="O244" s="290" t="n">
        <v>0</v>
      </c>
      <c r="P244" s="290" t="n">
        <f aca="false">SUM(M244:O244)</f>
        <v>0</v>
      </c>
    </row>
    <row r="245" customFormat="false" ht="12.75" hidden="false" customHeight="false" outlineLevel="0" collapsed="false">
      <c r="A245" s="285" t="n">
        <v>4842</v>
      </c>
      <c r="B245" s="285" t="s">
        <v>44</v>
      </c>
      <c r="C245" s="286" t="s">
        <v>768</v>
      </c>
      <c r="D245" s="287" t="s">
        <v>768</v>
      </c>
      <c r="E245" s="288" t="n">
        <f aca="false">IF(I245="regional",IF(R245*0.2975,S245*0.3484),S245*0.1939)</f>
        <v>0</v>
      </c>
      <c r="F245" s="288" t="n">
        <v>663000</v>
      </c>
      <c r="G245" s="289" t="n">
        <f aca="false">E245+F245</f>
        <v>663000</v>
      </c>
      <c r="H245" s="286"/>
      <c r="I245" s="287" t="s">
        <v>48</v>
      </c>
      <c r="J245" s="287" t="s">
        <v>44</v>
      </c>
      <c r="K245" s="287" t="s">
        <v>602</v>
      </c>
      <c r="M245" s="290" t="n">
        <v>5555555.55555556</v>
      </c>
      <c r="N245" s="290" t="n">
        <v>5486111.11111111</v>
      </c>
      <c r="O245" s="290" t="n">
        <v>0</v>
      </c>
      <c r="P245" s="290" t="n">
        <f aca="false">SUM(M245:O245)</f>
        <v>11041666.6666667</v>
      </c>
    </row>
    <row r="246" customFormat="false" ht="12.75" hidden="false" customHeight="false" outlineLevel="0" collapsed="false">
      <c r="A246" s="285" t="n">
        <v>4536</v>
      </c>
      <c r="B246" s="285" t="s">
        <v>44</v>
      </c>
      <c r="C246" s="286" t="s">
        <v>603</v>
      </c>
      <c r="D246" s="287" t="s">
        <v>603</v>
      </c>
      <c r="E246" s="288" t="n">
        <f aca="false">IF(I246="regional",IF(R246*0.2975,S246*0.3484),S246*0.1939)</f>
        <v>0</v>
      </c>
      <c r="F246" s="288" t="n">
        <v>0</v>
      </c>
      <c r="G246" s="289" t="n">
        <f aca="false">E246+F246</f>
        <v>0</v>
      </c>
      <c r="H246" s="286" t="s">
        <v>49</v>
      </c>
      <c r="I246" s="287" t="s">
        <v>48</v>
      </c>
      <c r="J246" s="287" t="s">
        <v>44</v>
      </c>
      <c r="K246" s="287" t="s">
        <v>604</v>
      </c>
      <c r="M246" s="290" t="n">
        <v>0</v>
      </c>
      <c r="N246" s="290" t="n">
        <v>0</v>
      </c>
      <c r="O246" s="290" t="n">
        <v>0</v>
      </c>
      <c r="P246" s="290" t="n">
        <f aca="false">SUM(M246:O246)</f>
        <v>0</v>
      </c>
    </row>
    <row r="247" customFormat="false" ht="12.75" hidden="false" customHeight="false" outlineLevel="0" collapsed="false">
      <c r="A247" s="285" t="n">
        <v>3764</v>
      </c>
      <c r="B247" s="285"/>
      <c r="C247" s="286" t="s">
        <v>605</v>
      </c>
      <c r="D247" s="287" t="s">
        <v>605</v>
      </c>
      <c r="E247" s="288" t="n">
        <f aca="false">IF(I247="regional",IF(R247*0.2975,S247*0.3484),S247*0.1939)</f>
        <v>0</v>
      </c>
      <c r="F247" s="288" t="n">
        <v>0</v>
      </c>
      <c r="G247" s="289" t="n">
        <f aca="false">E247+F247</f>
        <v>0</v>
      </c>
      <c r="H247" s="286"/>
      <c r="I247" s="287" t="s">
        <v>62</v>
      </c>
      <c r="J247" s="287"/>
      <c r="K247" s="287" t="s">
        <v>604</v>
      </c>
      <c r="M247" s="290" t="n">
        <v>0</v>
      </c>
      <c r="N247" s="290" t="n">
        <v>333333.333333333</v>
      </c>
      <c r="O247" s="290" t="n">
        <v>69444.4444444445</v>
      </c>
      <c r="P247" s="290" t="n">
        <f aca="false">SUM(M247:O247)</f>
        <v>402777.777777778</v>
      </c>
    </row>
    <row r="248" customFormat="false" ht="12.75" hidden="false" customHeight="false" outlineLevel="0" collapsed="false">
      <c r="A248" s="285" t="n">
        <v>4530</v>
      </c>
      <c r="B248" s="285" t="s">
        <v>44</v>
      </c>
      <c r="C248" s="286" t="s">
        <v>606</v>
      </c>
      <c r="D248" s="287" t="s">
        <v>606</v>
      </c>
      <c r="E248" s="288" t="n">
        <f aca="false">IF(I248="regional",IF(R248*0.2975,S248*0.3484),S248*0.1939)</f>
        <v>0</v>
      </c>
      <c r="F248" s="288" t="n">
        <v>0</v>
      </c>
      <c r="G248" s="289" t="n">
        <f aca="false">E248+F248</f>
        <v>0</v>
      </c>
      <c r="H248" s="286" t="s">
        <v>44</v>
      </c>
      <c r="I248" s="287" t="s">
        <v>48</v>
      </c>
      <c r="J248" s="287" t="s">
        <v>44</v>
      </c>
      <c r="K248" s="287" t="s">
        <v>554</v>
      </c>
      <c r="M248" s="290" t="n">
        <v>69444.4444444445</v>
      </c>
      <c r="N248" s="290" t="n">
        <v>916666.666666667</v>
      </c>
      <c r="O248" s="290" t="n">
        <v>0</v>
      </c>
      <c r="P248" s="290" t="n">
        <f aca="false">SUM(M248:O248)</f>
        <v>986111.111111111</v>
      </c>
    </row>
    <row r="249" customFormat="false" ht="12.75" hidden="false" customHeight="false" outlineLevel="0" collapsed="false">
      <c r="A249" s="285" t="n">
        <v>4534</v>
      </c>
      <c r="B249" s="285"/>
      <c r="C249" s="286" t="s">
        <v>608</v>
      </c>
      <c r="D249" s="287" t="s">
        <v>608</v>
      </c>
      <c r="E249" s="288" t="n">
        <f aca="false">IF(I249="regional",IF(R249*0.2975,S249*0.3484),S249*0.1939)</f>
        <v>0</v>
      </c>
      <c r="F249" s="288" t="n">
        <v>0</v>
      </c>
      <c r="G249" s="289" t="n">
        <f aca="false">E249+F249</f>
        <v>0</v>
      </c>
      <c r="H249" s="286" t="s">
        <v>49</v>
      </c>
      <c r="I249" s="287" t="s">
        <v>62</v>
      </c>
      <c r="J249" s="287"/>
      <c r="K249" s="287" t="s">
        <v>609</v>
      </c>
      <c r="M249" s="290" t="n">
        <v>0</v>
      </c>
      <c r="N249" s="290" t="n">
        <v>0</v>
      </c>
      <c r="O249" s="290" t="n">
        <v>0</v>
      </c>
      <c r="P249" s="290" t="n">
        <f aca="false">SUM(M249:O249)</f>
        <v>0</v>
      </c>
    </row>
    <row r="250" customFormat="false" ht="12.75" hidden="false" customHeight="false" outlineLevel="0" collapsed="false">
      <c r="A250" s="285" t="n">
        <v>4523</v>
      </c>
      <c r="B250" s="285" t="s">
        <v>44</v>
      </c>
      <c r="C250" s="286" t="s">
        <v>610</v>
      </c>
      <c r="D250" s="287" t="s">
        <v>610</v>
      </c>
      <c r="E250" s="288" t="n">
        <f aca="false">IF(I250="regional",IF(R250*0.2975,S250*0.3484),S250*0.1939)</f>
        <v>0</v>
      </c>
      <c r="F250" s="288" t="n">
        <v>59946</v>
      </c>
      <c r="G250" s="289" t="n">
        <f aca="false">E250+F250</f>
        <v>59946</v>
      </c>
      <c r="H250" s="286"/>
      <c r="I250" s="287" t="s">
        <v>48</v>
      </c>
      <c r="J250" s="287" t="s">
        <v>44</v>
      </c>
      <c r="K250" s="287" t="s">
        <v>769</v>
      </c>
      <c r="M250" s="290" t="n">
        <v>2013888.88888889</v>
      </c>
      <c r="N250" s="290" t="n">
        <v>1986111.11111111</v>
      </c>
      <c r="O250" s="290" t="n">
        <v>0</v>
      </c>
      <c r="P250" s="290" t="n">
        <f aca="false">SUM(M250:O250)</f>
        <v>4000000</v>
      </c>
    </row>
    <row r="251" customFormat="false" ht="12.75" hidden="false" customHeight="false" outlineLevel="0" collapsed="false">
      <c r="A251" s="285" t="n">
        <v>4533</v>
      </c>
      <c r="B251" s="285"/>
      <c r="C251" s="286" t="s">
        <v>612</v>
      </c>
      <c r="D251" s="287" t="s">
        <v>612</v>
      </c>
      <c r="E251" s="288" t="n">
        <f aca="false">IF(I251="regional",IF(R251*0.2975,S251*0.3484),S251*0.1939)</f>
        <v>0</v>
      </c>
      <c r="F251" s="288" t="n">
        <v>0</v>
      </c>
      <c r="G251" s="289" t="n">
        <f aca="false">E251+F251</f>
        <v>0</v>
      </c>
      <c r="H251" s="286"/>
      <c r="I251" s="287" t="s">
        <v>62</v>
      </c>
      <c r="J251" s="287"/>
      <c r="K251" s="287" t="s">
        <v>514</v>
      </c>
      <c r="M251" s="290" t="n">
        <v>0</v>
      </c>
      <c r="N251" s="290" t="n">
        <v>55555.5555555556</v>
      </c>
      <c r="O251" s="290" t="n">
        <v>0</v>
      </c>
      <c r="P251" s="290" t="n">
        <f aca="false">SUM(M251:O251)</f>
        <v>55555.5555555556</v>
      </c>
    </row>
    <row r="252" customFormat="false" ht="12.75" hidden="false" customHeight="false" outlineLevel="0" collapsed="false">
      <c r="A252" s="302" t="n">
        <v>9855</v>
      </c>
      <c r="B252" s="302"/>
      <c r="C252" s="303" t="s">
        <v>615</v>
      </c>
      <c r="D252" s="304" t="s">
        <v>615</v>
      </c>
      <c r="E252" s="288" t="n">
        <f aca="false">IF(I252="regional",IF(R252*0.2975,S252*0.3484),S252*0.1939)</f>
        <v>0</v>
      </c>
      <c r="F252" s="305" t="n">
        <v>0</v>
      </c>
      <c r="G252" s="289" t="n">
        <f aca="false">E252+F252</f>
        <v>0</v>
      </c>
      <c r="H252" s="303"/>
      <c r="I252" s="304" t="s">
        <v>48</v>
      </c>
      <c r="J252" s="304" t="s">
        <v>49</v>
      </c>
      <c r="K252" s="304" t="s">
        <v>421</v>
      </c>
      <c r="M252" s="290" t="n">
        <v>0</v>
      </c>
      <c r="N252" s="290" t="n">
        <v>3458333.33333333</v>
      </c>
      <c r="O252" s="290" t="n">
        <v>305555.555555556</v>
      </c>
      <c r="P252" s="290" t="n">
        <f aca="false">SUM(M252:O252)</f>
        <v>3763888.88888889</v>
      </c>
    </row>
    <row r="253" customFormat="false" ht="12.75" hidden="false" customHeight="false" outlineLevel="0" collapsed="false">
      <c r="A253" s="302" t="n">
        <v>4612</v>
      </c>
      <c r="B253" s="302"/>
      <c r="C253" s="303" t="s">
        <v>616</v>
      </c>
      <c r="D253" s="304" t="s">
        <v>616</v>
      </c>
      <c r="E253" s="288" t="n">
        <f aca="false">IF(I253="regional",IF(R253*0.2975,S253*0.3484),S253*0.1939)</f>
        <v>0</v>
      </c>
      <c r="F253" s="305" t="n">
        <v>0</v>
      </c>
      <c r="G253" s="306" t="n">
        <f aca="false">E253+F253</f>
        <v>0</v>
      </c>
      <c r="H253" s="303" t="s">
        <v>49</v>
      </c>
      <c r="I253" s="304" t="s">
        <v>62</v>
      </c>
      <c r="J253" s="304"/>
      <c r="K253" s="304" t="s">
        <v>98</v>
      </c>
      <c r="M253" s="290" t="n">
        <v>0</v>
      </c>
      <c r="N253" s="290" t="n">
        <v>0</v>
      </c>
      <c r="O253" s="290" t="n">
        <v>0</v>
      </c>
      <c r="P253" s="290" t="n">
        <f aca="false">SUM(M253:O253)</f>
        <v>0</v>
      </c>
    </row>
    <row r="254" customFormat="false" ht="12.75" hidden="false" customHeight="false" outlineLevel="0" collapsed="false">
      <c r="A254" s="307"/>
      <c r="B254" s="307"/>
      <c r="C254" s="308"/>
      <c r="D254" s="308"/>
      <c r="E254" s="308"/>
      <c r="F254" s="308"/>
      <c r="G254" s="308"/>
      <c r="H254" s="308"/>
      <c r="I254" s="308"/>
      <c r="J254" s="308"/>
      <c r="K254" s="308" t="n">
        <f aca="false">COUNTIF(L2:L253,"y")</f>
        <v>0</v>
      </c>
      <c r="L254" s="309"/>
      <c r="M254" s="290" t="n">
        <v>233013888.888889</v>
      </c>
      <c r="N254" s="290" t="n">
        <v>322388888.888889</v>
      </c>
      <c r="O254" s="290" t="n">
        <v>27138888.8888889</v>
      </c>
      <c r="P254" s="290" t="n">
        <f aca="false">SUM(P2:P253)</f>
        <v>582541666.666667</v>
      </c>
    </row>
    <row r="255" customFormat="false" ht="13.5" hidden="false" customHeight="false" outlineLevel="0" collapsed="false">
      <c r="A255" s="310"/>
      <c r="B255" s="310"/>
      <c r="C255" s="311"/>
      <c r="D255" s="311"/>
      <c r="E255" s="311"/>
      <c r="F255" s="311"/>
      <c r="G255" s="311"/>
      <c r="H255" s="311"/>
      <c r="I255" s="311"/>
      <c r="J255" s="311"/>
      <c r="K255" s="311"/>
      <c r="L255" s="312"/>
      <c r="M255" s="290"/>
      <c r="N255" s="290"/>
      <c r="O255" s="290"/>
    </row>
    <row r="256" customFormat="false" ht="13.5" hidden="false" customHeight="false" outlineLevel="0" collapsed="false"/>
  </sheetData>
  <printOptions headings="false" gridLines="false" gridLinesSet="true" horizontalCentered="false" verticalCentered="false"/>
  <pageMargins left="0.747916666666667" right="0.747916666666667" top="0.984027777777778" bottom="0.984027777777778" header="0.511811023622047" footer="0.5"/>
  <pageSetup paperSize="1" scale="100" fitToWidth="1" fitToHeight="4" pageOrder="downThenOver" orientation="portrait" blackAndWhite="false" draft="false" cellComments="none" horizontalDpi="300" verticalDpi="300" copies="1"/>
  <headerFooter differentFirst="false" differentOddEven="false">
    <oddHeader/>
    <oddFooter>&amp;L&amp;D &amp;T</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256"/>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C2" activeCellId="0" sqref="C2"/>
    </sheetView>
  </sheetViews>
  <sheetFormatPr defaultColWidth="9.13671875" defaultRowHeight="11.25" customHeight="true" zeroHeight="false" outlineLevelRow="0" outlineLevelCol="0"/>
  <cols>
    <col collapsed="false" customWidth="true" hidden="false" outlineLevel="0" max="2" min="1" style="281" width="6.41"/>
    <col collapsed="false" customWidth="true" hidden="false" outlineLevel="0" max="3" min="3" style="281" width="30.28"/>
    <col collapsed="false" customWidth="true" hidden="true" outlineLevel="0" max="4" min="4" style="281" width="24.41"/>
    <col collapsed="false" customWidth="true" hidden="false" outlineLevel="0" max="5" min="5" style="281" width="11.13"/>
    <col collapsed="false" customWidth="true" hidden="false" outlineLevel="0" max="6" min="6" style="281" width="10.28"/>
    <col collapsed="false" customWidth="true" hidden="false" outlineLevel="0" max="7" min="7" style="281" width="14.14"/>
    <col collapsed="false" customWidth="true" hidden="false" outlineLevel="0" max="8" min="8" style="281" width="5.99"/>
    <col collapsed="false" customWidth="true" hidden="false" outlineLevel="0" max="9" min="9" style="281" width="10.85"/>
    <col collapsed="false" customWidth="true" hidden="true" outlineLevel="0" max="10" min="10" style="281" width="17.28"/>
    <col collapsed="false" customWidth="true" hidden="false" outlineLevel="0" max="11" min="11" style="281" width="22.42"/>
    <col collapsed="false" customWidth="true" hidden="false" outlineLevel="0" max="12" min="12" style="281" width="6.85"/>
    <col collapsed="false" customWidth="true" hidden="false" outlineLevel="0" max="13" min="13" style="281" width="4.14"/>
    <col collapsed="false" customWidth="true" hidden="false" outlineLevel="0" max="14" min="14" style="281" width="6.41"/>
    <col collapsed="false" customWidth="true" hidden="false" outlineLevel="0" max="15" min="15" style="281" width="9.7"/>
    <col collapsed="false" customWidth="true" hidden="false" outlineLevel="0" max="16" min="16" style="281" width="8.99"/>
    <col collapsed="false" customWidth="false" hidden="false" outlineLevel="0" max="17" min="17" style="281" width="9.14"/>
    <col collapsed="false" customWidth="true" hidden="false" outlineLevel="0" max="18" min="18" style="281" width="14.85"/>
    <col collapsed="false" customWidth="true" hidden="false" outlineLevel="0" max="19" min="19" style="281" width="11.28"/>
    <col collapsed="false" customWidth="true" hidden="false" outlineLevel="0" max="20" min="20" style="281" width="11.13"/>
    <col collapsed="false" customWidth="true" hidden="false" outlineLevel="0" max="21" min="21" style="281" width="10.41"/>
    <col collapsed="false" customWidth="true" hidden="false" outlineLevel="0" max="23" min="22" style="281" width="11.85"/>
    <col collapsed="false" customWidth="true" hidden="false" outlineLevel="0" max="24" min="24" style="281" width="8.99"/>
    <col collapsed="false" customWidth="true" hidden="false" outlineLevel="0" max="25" min="25" style="281" width="14.14"/>
    <col collapsed="false" customWidth="true" hidden="false" outlineLevel="0" max="26" min="26" style="281" width="10.28"/>
    <col collapsed="false" customWidth="true" hidden="false" outlineLevel="0" max="27" min="27" style="281" width="9.41"/>
    <col collapsed="false" customWidth="true" hidden="false" outlineLevel="0" max="28" min="28" style="281" width="11.28"/>
    <col collapsed="false" customWidth="true" hidden="false" outlineLevel="0" max="29" min="29" style="281" width="8.28"/>
    <col collapsed="false" customWidth="true" hidden="false" outlineLevel="0" max="30" min="30" style="281" width="10.85"/>
    <col collapsed="false" customWidth="true" hidden="false" outlineLevel="0" max="31" min="31" style="281" width="10.41"/>
    <col collapsed="false" customWidth="true" hidden="false" outlineLevel="0" max="32" min="32" style="281" width="6.85"/>
    <col collapsed="false" customWidth="true" hidden="false" outlineLevel="0" max="33" min="33" style="281" width="7.56"/>
    <col collapsed="false" customWidth="true" hidden="false" outlineLevel="0" max="34" min="34" style="281" width="11.13"/>
    <col collapsed="false" customWidth="true" hidden="false" outlineLevel="0" max="35" min="35" style="281" width="10.13"/>
    <col collapsed="false" customWidth="true" hidden="false" outlineLevel="0" max="36" min="36" style="281" width="4.99"/>
    <col collapsed="false" customWidth="true" hidden="false" outlineLevel="0" max="37" min="37" style="281" width="11.7"/>
    <col collapsed="false" customWidth="true" hidden="false" outlineLevel="0" max="38" min="38" style="281" width="10.56"/>
    <col collapsed="false" customWidth="true" hidden="false" outlineLevel="0" max="39" min="39" style="281" width="5.99"/>
    <col collapsed="false" customWidth="true" hidden="false" outlineLevel="0" max="40" min="40" style="281" width="38.7"/>
    <col collapsed="false" customWidth="true" hidden="false" outlineLevel="0" max="41" min="41" style="281" width="12.7"/>
    <col collapsed="false" customWidth="true" hidden="false" outlineLevel="0" max="43" min="42" style="281" width="18.28"/>
    <col collapsed="false" customWidth="true" hidden="false" outlineLevel="0" max="46" min="44" style="281" width="9.41"/>
    <col collapsed="false" customWidth="true" hidden="false" outlineLevel="0" max="47" min="47" style="281" width="8.28"/>
    <col collapsed="false" customWidth="true" hidden="false" outlineLevel="0" max="49" min="48" style="281" width="6.56"/>
    <col collapsed="false" customWidth="true" hidden="false" outlineLevel="0" max="50" min="50" style="281" width="7.99"/>
    <col collapsed="false" customWidth="true" hidden="false" outlineLevel="0" max="51" min="51" style="281" width="6.56"/>
    <col collapsed="false" customWidth="true" hidden="false" outlineLevel="0" max="54" min="52" style="281" width="8.28"/>
    <col collapsed="false" customWidth="true" hidden="false" outlineLevel="0" max="55" min="55" style="281" width="6.56"/>
    <col collapsed="false" customWidth="true" hidden="false" outlineLevel="0" max="56" min="56" style="281" width="8.28"/>
    <col collapsed="false" customWidth="true" hidden="false" outlineLevel="0" max="57" min="57" style="281" width="6.85"/>
    <col collapsed="false" customWidth="true" hidden="false" outlineLevel="0" max="59" min="58" style="281" width="6.28"/>
    <col collapsed="false" customWidth="true" hidden="false" outlineLevel="0" max="60" min="60" style="281" width="8.28"/>
    <col collapsed="false" customWidth="true" hidden="false" outlineLevel="0" max="61" min="61" style="281" width="6.99"/>
    <col collapsed="false" customWidth="true" hidden="false" outlineLevel="0" max="62" min="62" style="281" width="7.56"/>
    <col collapsed="false" customWidth="true" hidden="false" outlineLevel="0" max="63" min="63" style="281" width="6.28"/>
    <col collapsed="false" customWidth="true" hidden="false" outlineLevel="0" max="64" min="64" style="281" width="11.99"/>
    <col collapsed="false" customWidth="true" hidden="false" outlineLevel="0" max="65" min="65" style="281" width="10.56"/>
    <col collapsed="false" customWidth="true" hidden="false" outlineLevel="0" max="66" min="66" style="281" width="11.56"/>
    <col collapsed="false" customWidth="true" hidden="false" outlineLevel="0" max="67" min="67" style="281" width="9.41"/>
    <col collapsed="false" customWidth="false" hidden="false" outlineLevel="0" max="68" min="68" style="281" width="9.14"/>
    <col collapsed="false" customWidth="false" hidden="false" outlineLevel="0" max="69" min="69" style="282" width="9.14"/>
    <col collapsed="false" customWidth="true" hidden="false" outlineLevel="0" max="71" min="70" style="281" width="10.71"/>
    <col collapsed="false" customWidth="true" hidden="false" outlineLevel="0" max="72" min="72" style="281" width="9.85"/>
    <col collapsed="false" customWidth="true" hidden="false" outlineLevel="0" max="76" min="73" style="281" width="10.99"/>
    <col collapsed="false" customWidth="false" hidden="false" outlineLevel="0" max="77" min="77" style="281" width="9.14"/>
    <col collapsed="false" customWidth="false" hidden="false" outlineLevel="0" max="78" min="78" style="282" width="9.14"/>
    <col collapsed="false" customWidth="true" hidden="false" outlineLevel="0" max="80" min="79" style="281" width="10.71"/>
    <col collapsed="false" customWidth="true" hidden="false" outlineLevel="0" max="81" min="81" style="281" width="9.85"/>
    <col collapsed="false" customWidth="true" hidden="false" outlineLevel="0" max="85" min="82" style="281" width="10.71"/>
    <col collapsed="false" customWidth="false" hidden="false" outlineLevel="0" max="86" min="86" style="281" width="9.14"/>
    <col collapsed="false" customWidth="true" hidden="false" outlineLevel="0" max="87" min="87" style="313" width="1.85"/>
    <col collapsed="false" customWidth="false" hidden="false" outlineLevel="0" max="257" min="88" style="281" width="9.14"/>
  </cols>
  <sheetData>
    <row r="1" customFormat="false" ht="123.75" hidden="false" customHeight="true" outlineLevel="0" collapsed="false">
      <c r="A1" s="283" t="s">
        <v>687</v>
      </c>
      <c r="B1" s="283" t="s">
        <v>688</v>
      </c>
      <c r="C1" s="283" t="s">
        <v>9</v>
      </c>
      <c r="D1" s="283" t="s">
        <v>9</v>
      </c>
      <c r="E1" s="283" t="s">
        <v>689</v>
      </c>
      <c r="F1" s="283" t="s">
        <v>690</v>
      </c>
      <c r="G1" s="283" t="s">
        <v>691</v>
      </c>
      <c r="H1" s="283" t="s">
        <v>12</v>
      </c>
      <c r="I1" s="283" t="s">
        <v>692</v>
      </c>
      <c r="J1" s="283" t="s">
        <v>693</v>
      </c>
      <c r="K1" s="283" t="s">
        <v>17</v>
      </c>
      <c r="L1" s="283" t="s">
        <v>7</v>
      </c>
      <c r="M1" s="283" t="s">
        <v>18</v>
      </c>
      <c r="N1" s="283" t="s">
        <v>19</v>
      </c>
      <c r="O1" s="283" t="s">
        <v>694</v>
      </c>
      <c r="P1" s="283" t="s">
        <v>695</v>
      </c>
      <c r="Q1" s="283" t="s">
        <v>22</v>
      </c>
      <c r="R1" s="283" t="s">
        <v>23</v>
      </c>
      <c r="S1" s="283" t="s">
        <v>24</v>
      </c>
      <c r="T1" s="283" t="s">
        <v>689</v>
      </c>
      <c r="U1" s="283" t="s">
        <v>26</v>
      </c>
      <c r="V1" s="283" t="s">
        <v>27</v>
      </c>
      <c r="W1" s="283" t="s">
        <v>28</v>
      </c>
      <c r="X1" s="283" t="s">
        <v>29</v>
      </c>
      <c r="Y1" s="283" t="s">
        <v>30</v>
      </c>
      <c r="Z1" s="283" t="s">
        <v>696</v>
      </c>
      <c r="AA1" s="283" t="s">
        <v>32</v>
      </c>
      <c r="AB1" s="283" t="s">
        <v>33</v>
      </c>
      <c r="AC1" s="283" t="s">
        <v>34</v>
      </c>
      <c r="AD1" s="283" t="s">
        <v>697</v>
      </c>
      <c r="AE1" s="283" t="s">
        <v>698</v>
      </c>
      <c r="AF1" s="283" t="s">
        <v>699</v>
      </c>
      <c r="AG1" s="283" t="s">
        <v>700</v>
      </c>
      <c r="AH1" s="283" t="s">
        <v>39</v>
      </c>
      <c r="AI1" s="283" t="s">
        <v>40</v>
      </c>
      <c r="AJ1" s="283" t="s">
        <v>701</v>
      </c>
      <c r="AK1" s="283" t="s">
        <v>702</v>
      </c>
      <c r="AL1" s="283" t="s">
        <v>692</v>
      </c>
      <c r="AM1" s="283" t="s">
        <v>12</v>
      </c>
      <c r="AN1" s="283" t="s">
        <v>9</v>
      </c>
      <c r="AO1" s="283" t="s">
        <v>703</v>
      </c>
      <c r="AP1" s="283" t="s">
        <v>704</v>
      </c>
      <c r="AQ1" s="283" t="s">
        <v>705</v>
      </c>
      <c r="AR1" s="283" t="s">
        <v>642</v>
      </c>
      <c r="AS1" s="283" t="s">
        <v>643</v>
      </c>
      <c r="AT1" s="283" t="s">
        <v>644</v>
      </c>
      <c r="AU1" s="283" t="s">
        <v>645</v>
      </c>
      <c r="AV1" s="283" t="s">
        <v>646</v>
      </c>
      <c r="AW1" s="283" t="s">
        <v>647</v>
      </c>
      <c r="AX1" s="283" t="s">
        <v>648</v>
      </c>
      <c r="AY1" s="283" t="s">
        <v>649</v>
      </c>
      <c r="AZ1" s="283" t="s">
        <v>650</v>
      </c>
      <c r="BA1" s="283" t="s">
        <v>651</v>
      </c>
      <c r="BB1" s="283" t="s">
        <v>652</v>
      </c>
      <c r="BC1" s="283" t="s">
        <v>653</v>
      </c>
      <c r="BD1" s="283" t="s">
        <v>654</v>
      </c>
      <c r="BE1" s="283" t="s">
        <v>655</v>
      </c>
      <c r="BF1" s="283" t="s">
        <v>656</v>
      </c>
      <c r="BG1" s="283" t="s">
        <v>657</v>
      </c>
      <c r="BH1" s="283" t="s">
        <v>658</v>
      </c>
      <c r="BI1" s="283" t="s">
        <v>659</v>
      </c>
      <c r="BJ1" s="283" t="s">
        <v>660</v>
      </c>
      <c r="BK1" s="283" t="s">
        <v>661</v>
      </c>
      <c r="BL1" s="283" t="s">
        <v>662</v>
      </c>
      <c r="BM1" s="283" t="s">
        <v>663</v>
      </c>
      <c r="BN1" s="283" t="s">
        <v>664</v>
      </c>
      <c r="BO1" s="283" t="s">
        <v>665</v>
      </c>
      <c r="BP1" s="314"/>
      <c r="BQ1" s="315" t="s">
        <v>834</v>
      </c>
      <c r="BR1" s="283" t="s">
        <v>642</v>
      </c>
      <c r="BS1" s="283" t="s">
        <v>644</v>
      </c>
      <c r="BT1" s="283" t="s">
        <v>645</v>
      </c>
      <c r="BU1" s="283" t="s">
        <v>835</v>
      </c>
      <c r="BV1" s="283" t="s">
        <v>646</v>
      </c>
      <c r="BW1" s="283" t="s">
        <v>648</v>
      </c>
      <c r="BX1" s="283" t="s">
        <v>649</v>
      </c>
      <c r="BY1" s="283" t="s">
        <v>836</v>
      </c>
      <c r="BZ1" s="284" t="s">
        <v>832</v>
      </c>
      <c r="CA1" s="283" t="s">
        <v>642</v>
      </c>
      <c r="CB1" s="283" t="s">
        <v>644</v>
      </c>
      <c r="CC1" s="283" t="s">
        <v>645</v>
      </c>
      <c r="CD1" s="283" t="s">
        <v>837</v>
      </c>
      <c r="CE1" s="283" t="s">
        <v>646</v>
      </c>
      <c r="CF1" s="283" t="s">
        <v>648</v>
      </c>
      <c r="CG1" s="283" t="s">
        <v>649</v>
      </c>
      <c r="CH1" s="283" t="s">
        <v>836</v>
      </c>
      <c r="CI1" s="316"/>
      <c r="CJ1" s="314"/>
      <c r="CK1" s="314"/>
      <c r="CL1" s="314"/>
      <c r="CM1" s="314"/>
      <c r="CN1" s="314"/>
      <c r="CO1" s="314"/>
      <c r="CP1" s="314"/>
      <c r="CQ1" s="314"/>
      <c r="CR1" s="314"/>
      <c r="CS1" s="314"/>
      <c r="CT1" s="314"/>
      <c r="CU1" s="314"/>
      <c r="CV1" s="314"/>
      <c r="CW1" s="314"/>
      <c r="CX1" s="314"/>
      <c r="CY1" s="314"/>
      <c r="CZ1" s="314"/>
      <c r="DA1" s="314"/>
      <c r="DB1" s="314"/>
      <c r="DC1" s="314"/>
      <c r="DD1" s="314"/>
      <c r="DE1" s="314"/>
      <c r="DF1" s="314"/>
      <c r="DG1" s="314"/>
      <c r="DH1" s="314"/>
      <c r="DI1" s="314"/>
      <c r="DJ1" s="314"/>
      <c r="DK1" s="314"/>
      <c r="DL1" s="314"/>
      <c r="DM1" s="314"/>
      <c r="DN1" s="314"/>
      <c r="DO1" s="314"/>
      <c r="DP1" s="314"/>
      <c r="DQ1" s="314"/>
      <c r="DR1" s="314"/>
      <c r="DS1" s="314"/>
      <c r="DT1" s="314"/>
      <c r="DU1" s="314"/>
      <c r="DV1" s="314"/>
      <c r="DW1" s="314"/>
      <c r="DX1" s="314"/>
      <c r="DY1" s="314"/>
      <c r="DZ1" s="314"/>
      <c r="EA1" s="314"/>
      <c r="EB1" s="314"/>
      <c r="EC1" s="314"/>
      <c r="ED1" s="314"/>
      <c r="EE1" s="314"/>
      <c r="EF1" s="314"/>
      <c r="EG1" s="314"/>
      <c r="EH1" s="314"/>
      <c r="EI1" s="314"/>
      <c r="EJ1" s="314"/>
      <c r="EK1" s="314"/>
      <c r="EL1" s="314"/>
      <c r="EM1" s="314"/>
      <c r="EN1" s="314"/>
      <c r="EO1" s="314"/>
      <c r="EP1" s="314"/>
      <c r="EQ1" s="314"/>
      <c r="ER1" s="314"/>
      <c r="ES1" s="314"/>
      <c r="ET1" s="314"/>
      <c r="EU1" s="314"/>
      <c r="EV1" s="314"/>
      <c r="EW1" s="314"/>
      <c r="EX1" s="314"/>
      <c r="EY1" s="314"/>
      <c r="EZ1" s="314"/>
      <c r="FA1" s="314"/>
      <c r="FB1" s="314"/>
      <c r="FC1" s="314"/>
      <c r="FD1" s="314"/>
      <c r="FE1" s="314"/>
      <c r="FF1" s="314"/>
      <c r="FG1" s="314"/>
      <c r="FH1" s="314"/>
      <c r="FI1" s="314"/>
      <c r="FJ1" s="314"/>
      <c r="FK1" s="314"/>
      <c r="FL1" s="314"/>
      <c r="FM1" s="314"/>
      <c r="FN1" s="314"/>
      <c r="FO1" s="314"/>
      <c r="FP1" s="314"/>
      <c r="FQ1" s="314"/>
      <c r="FR1" s="314"/>
      <c r="FS1" s="314"/>
      <c r="FT1" s="314"/>
      <c r="FU1" s="314"/>
      <c r="FV1" s="314"/>
      <c r="FW1" s="314"/>
      <c r="FX1" s="314"/>
      <c r="FY1" s="314"/>
      <c r="FZ1" s="314"/>
      <c r="GA1" s="314"/>
      <c r="GB1" s="314"/>
      <c r="GC1" s="314"/>
      <c r="GD1" s="314"/>
      <c r="GE1" s="314"/>
      <c r="GF1" s="314"/>
      <c r="GG1" s="314"/>
      <c r="GH1" s="314"/>
      <c r="GI1" s="314"/>
      <c r="GJ1" s="314"/>
      <c r="GK1" s="314"/>
      <c r="GL1" s="314"/>
      <c r="GM1" s="314"/>
      <c r="GN1" s="314"/>
      <c r="GO1" s="314"/>
      <c r="GP1" s="314"/>
      <c r="GQ1" s="314"/>
      <c r="GR1" s="314"/>
      <c r="GS1" s="314"/>
      <c r="GT1" s="314"/>
      <c r="GU1" s="314"/>
      <c r="GV1" s="314"/>
      <c r="GW1" s="314"/>
      <c r="GX1" s="314"/>
      <c r="GY1" s="314"/>
      <c r="GZ1" s="314"/>
      <c r="HA1" s="314"/>
      <c r="HB1" s="314"/>
      <c r="HC1" s="314"/>
      <c r="HD1" s="314"/>
      <c r="HE1" s="314"/>
      <c r="HF1" s="314"/>
      <c r="HG1" s="314"/>
      <c r="HH1" s="314"/>
      <c r="HI1" s="314"/>
      <c r="HJ1" s="314"/>
      <c r="HK1" s="314"/>
      <c r="HL1" s="314"/>
      <c r="HM1" s="314"/>
      <c r="HN1" s="314"/>
      <c r="HO1" s="314"/>
      <c r="HP1" s="314"/>
      <c r="HQ1" s="314"/>
      <c r="HR1" s="314"/>
      <c r="HS1" s="314"/>
      <c r="HT1" s="314"/>
      <c r="HU1" s="314"/>
      <c r="HV1" s="314"/>
      <c r="HW1" s="314"/>
      <c r="HX1" s="314"/>
      <c r="HY1" s="314"/>
      <c r="HZ1" s="314"/>
      <c r="IA1" s="314"/>
      <c r="IB1" s="314"/>
      <c r="IC1" s="314"/>
      <c r="ID1" s="314"/>
      <c r="IE1" s="314"/>
      <c r="IF1" s="314"/>
      <c r="IG1" s="314"/>
      <c r="IH1" s="314"/>
      <c r="II1" s="314"/>
      <c r="IJ1" s="314"/>
      <c r="IK1" s="314"/>
      <c r="IL1" s="314"/>
      <c r="IM1" s="314"/>
      <c r="IN1" s="314"/>
      <c r="IO1" s="314"/>
      <c r="IP1" s="314"/>
      <c r="IQ1" s="314"/>
      <c r="IR1" s="314"/>
      <c r="IS1" s="314"/>
      <c r="IT1" s="314"/>
      <c r="IU1" s="314"/>
      <c r="IV1" s="314"/>
      <c r="IW1" s="314"/>
    </row>
    <row r="2" customFormat="false" ht="15" hidden="false" customHeight="true" outlineLevel="0" collapsed="false">
      <c r="A2" s="285" t="n">
        <v>110</v>
      </c>
      <c r="B2" s="285"/>
      <c r="C2" s="286" t="s">
        <v>45</v>
      </c>
      <c r="D2" s="287" t="s">
        <v>45</v>
      </c>
      <c r="E2" s="288" t="n">
        <f aca="false">IF(I2="regional",IF(R2*0.2975,S2*0.3484),S2*0.1939)</f>
        <v>221768.794</v>
      </c>
      <c r="F2" s="288" t="n">
        <v>0</v>
      </c>
      <c r="G2" s="289" t="n">
        <f aca="false">E2+F2</f>
        <v>221768.794</v>
      </c>
      <c r="H2" s="286"/>
      <c r="I2" s="287" t="s">
        <v>48</v>
      </c>
      <c r="J2" s="287" t="s">
        <v>49</v>
      </c>
      <c r="K2" s="287" t="s">
        <v>50</v>
      </c>
      <c r="L2" s="287"/>
      <c r="M2" s="317" t="n">
        <v>80</v>
      </c>
      <c r="N2" s="317" t="n">
        <v>0.739</v>
      </c>
      <c r="O2" s="317" t="n">
        <v>0.75</v>
      </c>
      <c r="P2" s="317" t="n">
        <v>0.675</v>
      </c>
      <c r="Q2" s="317" t="n">
        <v>0.71</v>
      </c>
      <c r="R2" s="317" t="n">
        <v>746273</v>
      </c>
      <c r="S2" s="317" t="n">
        <v>636535</v>
      </c>
      <c r="T2" s="318" t="n">
        <f aca="false">IF(I2="regional",IF(R2&gt;0,R2*0.2975,S2*0.3484),S2*0.1939)</f>
        <v>222016.2175</v>
      </c>
      <c r="U2" s="317" t="n">
        <v>426315</v>
      </c>
      <c r="V2" s="317" t="n">
        <v>210220</v>
      </c>
      <c r="W2" s="317" t="n">
        <v>3017</v>
      </c>
      <c r="X2" s="317" t="n">
        <v>0</v>
      </c>
      <c r="Y2" s="317" t="n">
        <v>0</v>
      </c>
      <c r="Z2" s="317" t="n">
        <v>0</v>
      </c>
      <c r="AA2" s="317" t="n">
        <v>858551.2175</v>
      </c>
      <c r="AB2" s="317" t="n">
        <v>222016.2175</v>
      </c>
      <c r="AC2" s="317" t="n">
        <v>636535</v>
      </c>
      <c r="AD2" s="317" t="n">
        <v>0</v>
      </c>
      <c r="AE2" s="317" t="n">
        <v>0</v>
      </c>
      <c r="AF2" s="317" t="n">
        <v>0</v>
      </c>
      <c r="AG2" s="317" t="n">
        <v>636535</v>
      </c>
      <c r="AH2" s="317" t="n">
        <v>0</v>
      </c>
      <c r="AI2" s="317" t="n">
        <v>0</v>
      </c>
      <c r="AJ2" s="286" t="n">
        <v>4</v>
      </c>
      <c r="AK2" s="286" t="s">
        <v>706</v>
      </c>
      <c r="AL2" s="287" t="s">
        <v>48</v>
      </c>
      <c r="AM2" s="286"/>
      <c r="AN2" s="287" t="s">
        <v>45</v>
      </c>
      <c r="AO2" s="287" t="n">
        <v>222016.2175</v>
      </c>
      <c r="AP2" s="319" t="n">
        <f aca="false">AR2+AT2+AU2+AV2+AX2+AY2+AZ2+BD2+BF2+BG2+BH2+BJ2+BK2+(BL2+BM2+BN2)/1000+(0.1*BO2)</f>
        <v>153.5589</v>
      </c>
      <c r="AQ2" s="319" t="n">
        <f aca="false">AR2+AT2+AU2+AV2+AX2+AY2+AZ2+BB2+BC2+BD2+BF2+BG2+BH2+BJ2+BK2+(BL2+BM2+BN2)/1000+(0.1*BO2)</f>
        <v>164.5589</v>
      </c>
      <c r="AR2" s="285" t="n">
        <v>42</v>
      </c>
      <c r="AS2" s="285" t="n">
        <v>0</v>
      </c>
      <c r="AT2" s="285" t="n">
        <v>26</v>
      </c>
      <c r="AU2" s="285" t="n">
        <v>33</v>
      </c>
      <c r="AV2" s="285" t="n">
        <v>0</v>
      </c>
      <c r="AW2" s="285" t="n">
        <v>0</v>
      </c>
      <c r="AX2" s="285" t="n">
        <v>0</v>
      </c>
      <c r="AY2" s="285" t="n">
        <v>0</v>
      </c>
      <c r="AZ2" s="285" t="n">
        <v>0</v>
      </c>
      <c r="BA2" s="285" t="n">
        <v>0</v>
      </c>
      <c r="BB2" s="285" t="n">
        <v>7</v>
      </c>
      <c r="BC2" s="285" t="n">
        <v>4</v>
      </c>
      <c r="BD2" s="285" t="n">
        <v>0</v>
      </c>
      <c r="BE2" s="285" t="n">
        <v>0</v>
      </c>
      <c r="BF2" s="285" t="n">
        <v>0</v>
      </c>
      <c r="BG2" s="285" t="n">
        <v>0</v>
      </c>
      <c r="BH2" s="285" t="n">
        <v>0</v>
      </c>
      <c r="BI2" s="285" t="n">
        <v>0</v>
      </c>
      <c r="BJ2" s="285" t="n">
        <v>0</v>
      </c>
      <c r="BK2" s="285" t="n">
        <v>0</v>
      </c>
      <c r="BL2" s="285" t="n">
        <v>8728</v>
      </c>
      <c r="BM2" s="285" t="n">
        <v>0</v>
      </c>
      <c r="BN2" s="285" t="n">
        <v>0</v>
      </c>
      <c r="BO2" s="285" t="n">
        <v>438.309</v>
      </c>
      <c r="BR2" s="290" t="n">
        <f aca="false">AR2*1000/0.072</f>
        <v>583333.333333333</v>
      </c>
      <c r="BS2" s="290" t="n">
        <f aca="false">AT2*1000/0.072</f>
        <v>361111.111111111</v>
      </c>
      <c r="BT2" s="290" t="n">
        <f aca="false">AU2*1000/0.072</f>
        <v>458333.333333333</v>
      </c>
      <c r="BU2" s="290" t="n">
        <f aca="false">SUM(BR2:BT2)</f>
        <v>1402777.77777778</v>
      </c>
      <c r="BV2" s="290" t="n">
        <f aca="false">AV2*1000/5</f>
        <v>0</v>
      </c>
      <c r="BW2" s="290" t="n">
        <f aca="false">AX2*1000/5</f>
        <v>0</v>
      </c>
      <c r="BX2" s="290" t="n">
        <f aca="false">AY2*1000/5</f>
        <v>0</v>
      </c>
      <c r="BY2" s="290" t="n">
        <f aca="false">SUM(BV2:BX2)</f>
        <v>0</v>
      </c>
      <c r="CA2" s="290" t="n">
        <f aca="false">IF($AM2="n",0,BR2)</f>
        <v>583333.333333333</v>
      </c>
      <c r="CB2" s="290" t="n">
        <f aca="false">IF($AM2="n",0,BS2)</f>
        <v>361111.111111111</v>
      </c>
      <c r="CC2" s="290" t="n">
        <f aca="false">IF($AM2="n",0,BT2)</f>
        <v>458333.333333333</v>
      </c>
      <c r="CD2" s="290" t="n">
        <f aca="false">SUM(CA2:CC2)</f>
        <v>1402777.77777778</v>
      </c>
      <c r="CE2" s="290" t="n">
        <f aca="false">IF($AM$2="n",0,BV2)</f>
        <v>0</v>
      </c>
      <c r="CF2" s="290" t="n">
        <f aca="false">IF($AM$2="n",0,BW2)</f>
        <v>0</v>
      </c>
      <c r="CG2" s="290" t="n">
        <f aca="false">IF($AM$2="n",0,BX2)</f>
        <v>0</v>
      </c>
      <c r="CH2" s="290" t="n">
        <f aca="false">SUM(CE2:CG2)</f>
        <v>0</v>
      </c>
    </row>
    <row r="3" customFormat="false" ht="15" hidden="false" customHeight="true" outlineLevel="0" collapsed="false">
      <c r="A3" s="285" t="n">
        <v>328</v>
      </c>
      <c r="B3" s="285" t="s">
        <v>44</v>
      </c>
      <c r="C3" s="286" t="s">
        <v>52</v>
      </c>
      <c r="D3" s="287" t="s">
        <v>52</v>
      </c>
      <c r="E3" s="288" t="n">
        <f aca="false">IF(I3="regional",IF(R3*0.2975,S3*0.3484),S3*0.1939)</f>
        <v>191628.3616</v>
      </c>
      <c r="F3" s="288" t="n">
        <v>276843</v>
      </c>
      <c r="G3" s="289" t="n">
        <f aca="false">E3+F3</f>
        <v>468471.3616</v>
      </c>
      <c r="H3" s="286"/>
      <c r="I3" s="287" t="s">
        <v>48</v>
      </c>
      <c r="J3" s="287" t="s">
        <v>44</v>
      </c>
      <c r="K3" s="287" t="s">
        <v>55</v>
      </c>
      <c r="L3" s="287" t="s">
        <v>44</v>
      </c>
      <c r="M3" s="317" t="n">
        <v>64</v>
      </c>
      <c r="N3" s="317" t="n">
        <v>0.735</v>
      </c>
      <c r="O3" s="317" t="n">
        <v>0.754</v>
      </c>
      <c r="P3" s="317" t="n">
        <v>0.68</v>
      </c>
      <c r="Q3" s="317" t="n">
        <v>0.704</v>
      </c>
      <c r="R3" s="317" t="n">
        <v>628918</v>
      </c>
      <c r="S3" s="317" t="n">
        <v>550024</v>
      </c>
      <c r="T3" s="318" t="n">
        <f aca="false">IF(I3="regional",IF(R3&gt;0,R3*0.2975,S3*0.3484),S3*0.1939)</f>
        <v>187103.105</v>
      </c>
      <c r="U3" s="317" t="n">
        <v>332773</v>
      </c>
      <c r="V3" s="317" t="n">
        <v>217251</v>
      </c>
      <c r="W3" s="317" t="n">
        <v>3242</v>
      </c>
      <c r="X3" s="317" t="n">
        <v>463946.105</v>
      </c>
      <c r="Y3" s="317" t="n">
        <v>187103.105</v>
      </c>
      <c r="Z3" s="317" t="n">
        <v>276843</v>
      </c>
      <c r="AA3" s="317" t="n">
        <v>273181</v>
      </c>
      <c r="AB3" s="317" t="n">
        <v>0</v>
      </c>
      <c r="AC3" s="317" t="n">
        <v>273181</v>
      </c>
      <c r="AD3" s="317" t="n">
        <v>276843</v>
      </c>
      <c r="AE3" s="317" t="n">
        <v>0</v>
      </c>
      <c r="AF3" s="317" t="n">
        <v>273181</v>
      </c>
      <c r="AG3" s="317" t="n">
        <v>0</v>
      </c>
      <c r="AH3" s="317" t="n">
        <v>189000</v>
      </c>
      <c r="AI3" s="317" t="n">
        <v>222000</v>
      </c>
      <c r="AJ3" s="286" t="s">
        <v>707</v>
      </c>
      <c r="AK3" s="286" t="s">
        <v>708</v>
      </c>
      <c r="AL3" s="287" t="s">
        <v>48</v>
      </c>
      <c r="AM3" s="286"/>
      <c r="AN3" s="287" t="s">
        <v>52</v>
      </c>
      <c r="AO3" s="287" t="n">
        <v>463946.105</v>
      </c>
      <c r="AP3" s="319" t="n">
        <f aca="false">AR3+AT3+AU3+AV3+AX3+AY3+AZ3+BD3+BF3+BG3+BH3+BJ3+BK3+(BL3+BM3+BN3)/1000+(0.1*BO3)</f>
        <v>366.892</v>
      </c>
      <c r="AQ3" s="319" t="n">
        <f aca="false">AR3+AT3+AU3+AV3+AX3+AY3+AZ3+BB3+BC3+BD3+BF3+BG3+BH3+BJ3+BK3+(BL3+BM3+BN3)/1000+(0.1*BO3)</f>
        <v>394.892</v>
      </c>
      <c r="AR3" s="285" t="n">
        <v>181</v>
      </c>
      <c r="AS3" s="285" t="n">
        <v>222</v>
      </c>
      <c r="AT3" s="285" t="n">
        <v>44</v>
      </c>
      <c r="AU3" s="285" t="n">
        <v>19</v>
      </c>
      <c r="AV3" s="285" t="n">
        <v>0</v>
      </c>
      <c r="AW3" s="285" t="n">
        <v>0</v>
      </c>
      <c r="AX3" s="285" t="n">
        <v>0</v>
      </c>
      <c r="AY3" s="285" t="n">
        <v>0</v>
      </c>
      <c r="AZ3" s="285" t="n">
        <v>7</v>
      </c>
      <c r="BA3" s="285" t="n">
        <v>10</v>
      </c>
      <c r="BB3" s="285" t="n">
        <v>28</v>
      </c>
      <c r="BC3" s="285" t="n">
        <v>0</v>
      </c>
      <c r="BD3" s="285" t="n">
        <v>30</v>
      </c>
      <c r="BE3" s="285" t="n">
        <v>0</v>
      </c>
      <c r="BF3" s="285" t="n">
        <v>0</v>
      </c>
      <c r="BG3" s="285" t="n">
        <v>0</v>
      </c>
      <c r="BH3" s="285" t="n">
        <v>34</v>
      </c>
      <c r="BI3" s="285" t="n">
        <v>0</v>
      </c>
      <c r="BJ3" s="285" t="n">
        <v>0</v>
      </c>
      <c r="BK3" s="285" t="n">
        <v>0</v>
      </c>
      <c r="BL3" s="285" t="n">
        <v>0</v>
      </c>
      <c r="BM3" s="285" t="n">
        <v>0</v>
      </c>
      <c r="BN3" s="285" t="n">
        <v>0</v>
      </c>
      <c r="BO3" s="285" t="n">
        <v>518.92</v>
      </c>
      <c r="BR3" s="290" t="n">
        <f aca="false">AR3*1000/0.072</f>
        <v>2513888.88888889</v>
      </c>
      <c r="BS3" s="290" t="n">
        <f aca="false">AT3*1000/0.072</f>
        <v>611111.111111111</v>
      </c>
      <c r="BT3" s="290" t="n">
        <f aca="false">AU3*1000/0.072</f>
        <v>263888.888888889</v>
      </c>
      <c r="BU3" s="290" t="n">
        <f aca="false">SUM(BR3:BT3)</f>
        <v>3388888.88888889</v>
      </c>
      <c r="BV3" s="290" t="n">
        <f aca="false">AV3*1000/5</f>
        <v>0</v>
      </c>
      <c r="BW3" s="290" t="n">
        <f aca="false">AX3*1000/5</f>
        <v>0</v>
      </c>
      <c r="BX3" s="290" t="n">
        <f aca="false">AY3*1000/5</f>
        <v>0</v>
      </c>
      <c r="BY3" s="290" t="n">
        <f aca="false">SUM(BV3:BX3)</f>
        <v>0</v>
      </c>
      <c r="CA3" s="290" t="n">
        <f aca="false">IF($AM3="n",0,BR3)</f>
        <v>2513888.88888889</v>
      </c>
      <c r="CB3" s="290" t="n">
        <f aca="false">IF($AM3="n",0,BS3)</f>
        <v>611111.111111111</v>
      </c>
      <c r="CC3" s="290" t="n">
        <f aca="false">IF($AM3="n",0,BT3)</f>
        <v>263888.888888889</v>
      </c>
      <c r="CD3" s="290" t="n">
        <f aca="false">SUM(CA3:CC3)</f>
        <v>3388888.88888889</v>
      </c>
      <c r="CE3" s="290" t="n">
        <f aca="false">IF($AM$2="n",0,BV3)</f>
        <v>0</v>
      </c>
      <c r="CF3" s="290" t="n">
        <f aca="false">IF($AM$2="n",0,BW3)</f>
        <v>0</v>
      </c>
      <c r="CG3" s="290" t="n">
        <f aca="false">IF($AM$2="n",0,BX3)</f>
        <v>0</v>
      </c>
      <c r="CH3" s="290" t="n">
        <f aca="false">SUM(CE3:CG3)</f>
        <v>0</v>
      </c>
    </row>
    <row r="4" customFormat="false" ht="15" hidden="false" customHeight="true" outlineLevel="0" collapsed="false">
      <c r="A4" s="291" t="n">
        <v>115</v>
      </c>
      <c r="B4" s="291"/>
      <c r="C4" s="292" t="s">
        <v>709</v>
      </c>
      <c r="D4" s="293" t="s">
        <v>709</v>
      </c>
      <c r="E4" s="288" t="n">
        <f aca="false">IF(I4="regional",IF(R4*0.2975,S4*0.3484),S4*0.1939)</f>
        <v>0</v>
      </c>
      <c r="F4" s="294"/>
      <c r="G4" s="289" t="n">
        <f aca="false">E4+F4</f>
        <v>0</v>
      </c>
      <c r="H4" s="292" t="s">
        <v>49</v>
      </c>
      <c r="I4" s="293" t="s">
        <v>48</v>
      </c>
      <c r="J4" s="293"/>
      <c r="K4" s="293"/>
      <c r="L4" s="293" t="s">
        <v>44</v>
      </c>
      <c r="M4" s="320"/>
      <c r="N4" s="320"/>
      <c r="O4" s="320"/>
      <c r="P4" s="320"/>
      <c r="Q4" s="320"/>
      <c r="R4" s="320"/>
      <c r="S4" s="320"/>
      <c r="T4" s="318" t="n">
        <f aca="false">IF(I4="regional",IF(R4&gt;0,R4*0.2975,S4*0.3484),S4*0.1939)</f>
        <v>0</v>
      </c>
      <c r="U4" s="320"/>
      <c r="V4" s="320"/>
      <c r="W4" s="320"/>
      <c r="X4" s="320"/>
      <c r="Y4" s="320"/>
      <c r="Z4" s="320"/>
      <c r="AA4" s="320"/>
      <c r="AB4" s="320"/>
      <c r="AC4" s="320"/>
      <c r="AD4" s="320"/>
      <c r="AE4" s="320"/>
      <c r="AF4" s="320"/>
      <c r="AG4" s="320"/>
      <c r="AH4" s="320"/>
      <c r="AI4" s="320"/>
      <c r="AJ4" s="292" t="s">
        <v>710</v>
      </c>
      <c r="AK4" s="292" t="s">
        <v>711</v>
      </c>
      <c r="AL4" s="321" t="s">
        <v>128</v>
      </c>
      <c r="AM4" s="292" t="s">
        <v>49</v>
      </c>
      <c r="AN4" s="321" t="s">
        <v>709</v>
      </c>
      <c r="AO4" s="321" t="n">
        <v>0</v>
      </c>
      <c r="AP4" s="322" t="n">
        <f aca="false">AR4+AT4+AU4+AV4+AX4+AY4+AZ4+BD4+BF4+BG4+BH4+BJ4+BK4+(BL4+BM4+BN4)/1000+(0.1*BO4)</f>
        <v>334</v>
      </c>
      <c r="AQ4" s="319" t="n">
        <f aca="false">AR4+AT4+AU4+AV4+AX4+AY4+AZ4+BB4+BC4+BD4+BF4+BG4+BH4+BJ4+BK4+(BL4+BM4+BN4)/1000+(0.1*BO4)</f>
        <v>380</v>
      </c>
      <c r="AR4" s="323" t="n">
        <v>94</v>
      </c>
      <c r="AS4" s="323" t="n">
        <v>0</v>
      </c>
      <c r="AT4" s="323" t="n">
        <v>125</v>
      </c>
      <c r="AU4" s="323" t="n">
        <v>1</v>
      </c>
      <c r="AV4" s="323" t="n">
        <v>21</v>
      </c>
      <c r="AW4" s="323" t="n">
        <v>6</v>
      </c>
      <c r="AX4" s="323" t="n">
        <v>10</v>
      </c>
      <c r="AY4" s="323" t="n">
        <v>0</v>
      </c>
      <c r="AZ4" s="323" t="n">
        <v>0</v>
      </c>
      <c r="BA4" s="323" t="n">
        <v>0</v>
      </c>
      <c r="BB4" s="323" t="n">
        <v>46</v>
      </c>
      <c r="BC4" s="323" t="n">
        <v>0</v>
      </c>
      <c r="BD4" s="323" t="n">
        <v>-2</v>
      </c>
      <c r="BE4" s="323" t="n">
        <v>0</v>
      </c>
      <c r="BF4" s="323" t="n">
        <v>0</v>
      </c>
      <c r="BG4" s="323" t="n">
        <v>0</v>
      </c>
      <c r="BH4" s="323" t="n">
        <v>41</v>
      </c>
      <c r="BI4" s="323" t="n">
        <v>0</v>
      </c>
      <c r="BJ4" s="323" t="n">
        <v>0</v>
      </c>
      <c r="BK4" s="323" t="n">
        <v>0</v>
      </c>
      <c r="BL4" s="323" t="n">
        <v>0</v>
      </c>
      <c r="BM4" s="323" t="n">
        <v>0</v>
      </c>
      <c r="BN4" s="323" t="n">
        <v>44000</v>
      </c>
      <c r="BO4" s="323" t="n">
        <v>0</v>
      </c>
      <c r="BP4" s="324"/>
      <c r="BR4" s="290" t="n">
        <f aca="false">AR4*1000/0.072</f>
        <v>1305555.55555556</v>
      </c>
      <c r="BS4" s="290" t="n">
        <f aca="false">AT4*1000/0.072</f>
        <v>1736111.11111111</v>
      </c>
      <c r="BT4" s="290" t="n">
        <f aca="false">AU4*1000/0.072</f>
        <v>13888.8888888889</v>
      </c>
      <c r="BU4" s="290" t="n">
        <f aca="false">SUM(BR4:BT4)</f>
        <v>3055555.55555556</v>
      </c>
      <c r="BV4" s="290" t="n">
        <f aca="false">AV4*1000/5</f>
        <v>4200</v>
      </c>
      <c r="BW4" s="290" t="n">
        <f aca="false">AX4*1000/5</f>
        <v>2000</v>
      </c>
      <c r="BX4" s="290" t="n">
        <f aca="false">AY4*1000/5</f>
        <v>0</v>
      </c>
      <c r="BY4" s="290" t="n">
        <f aca="false">SUM(BV4:BX4)</f>
        <v>6200</v>
      </c>
      <c r="CA4" s="290" t="n">
        <f aca="false">IF($AM4="n",0,BR4)</f>
        <v>0</v>
      </c>
      <c r="CB4" s="290" t="n">
        <f aca="false">IF($AM4="n",0,BS4)</f>
        <v>0</v>
      </c>
      <c r="CC4" s="290" t="n">
        <f aca="false">IF($AM4="n",0,BT4)</f>
        <v>0</v>
      </c>
      <c r="CD4" s="290" t="n">
        <f aca="false">SUM(CA4:CC4)</f>
        <v>0</v>
      </c>
      <c r="CE4" s="290" t="n">
        <f aca="false">IF($AM$2="n",0,BV4)</f>
        <v>4200</v>
      </c>
      <c r="CF4" s="290" t="n">
        <f aca="false">IF($AM$2="n",0,BW4)</f>
        <v>2000</v>
      </c>
      <c r="CG4" s="290" t="n">
        <f aca="false">IF($AM$2="n",0,BX4)</f>
        <v>0</v>
      </c>
      <c r="CH4" s="290" t="n">
        <f aca="false">SUM(CE4:CG4)</f>
        <v>6200</v>
      </c>
      <c r="CJ4" s="324"/>
      <c r="CK4" s="324"/>
      <c r="CL4" s="324"/>
      <c r="CM4" s="324"/>
      <c r="CN4" s="324"/>
      <c r="CO4" s="324"/>
      <c r="CP4" s="324"/>
      <c r="CQ4" s="324"/>
      <c r="CR4" s="324"/>
      <c r="CS4" s="324"/>
      <c r="CT4" s="324"/>
      <c r="CU4" s="324"/>
      <c r="CV4" s="324"/>
      <c r="CW4" s="324"/>
      <c r="CX4" s="324"/>
      <c r="CY4" s="324"/>
      <c r="CZ4" s="324"/>
      <c r="DA4" s="324"/>
      <c r="DB4" s="324"/>
      <c r="DC4" s="324"/>
      <c r="DD4" s="324"/>
      <c r="DE4" s="324"/>
      <c r="DF4" s="324"/>
      <c r="DG4" s="324"/>
      <c r="DH4" s="324"/>
      <c r="DI4" s="324"/>
      <c r="DJ4" s="324"/>
      <c r="DK4" s="324"/>
      <c r="DL4" s="324"/>
      <c r="DM4" s="324"/>
      <c r="DN4" s="324"/>
      <c r="DO4" s="324"/>
      <c r="DP4" s="324"/>
      <c r="DQ4" s="324"/>
      <c r="DR4" s="324"/>
      <c r="DS4" s="324"/>
      <c r="DT4" s="324"/>
      <c r="DU4" s="324"/>
      <c r="DV4" s="324"/>
      <c r="DW4" s="324"/>
      <c r="DX4" s="324"/>
      <c r="DY4" s="324"/>
      <c r="DZ4" s="324"/>
      <c r="EA4" s="324"/>
      <c r="EB4" s="324"/>
      <c r="EC4" s="324"/>
      <c r="ED4" s="324"/>
      <c r="EE4" s="324"/>
      <c r="EF4" s="324"/>
      <c r="EG4" s="324"/>
      <c r="EH4" s="324"/>
      <c r="EI4" s="324"/>
      <c r="EJ4" s="324"/>
      <c r="EK4" s="324"/>
      <c r="EL4" s="324"/>
      <c r="EM4" s="324"/>
      <c r="EN4" s="324"/>
      <c r="EO4" s="324"/>
      <c r="EP4" s="324"/>
      <c r="EQ4" s="324"/>
      <c r="ER4" s="324"/>
      <c r="ES4" s="324"/>
      <c r="ET4" s="324"/>
      <c r="EU4" s="324"/>
      <c r="EV4" s="324"/>
      <c r="EW4" s="324"/>
      <c r="EX4" s="324"/>
      <c r="EY4" s="324"/>
      <c r="EZ4" s="324"/>
      <c r="FA4" s="324"/>
      <c r="FB4" s="324"/>
      <c r="FC4" s="324"/>
      <c r="FD4" s="324"/>
      <c r="FE4" s="324"/>
      <c r="FF4" s="324"/>
      <c r="FG4" s="324"/>
      <c r="FH4" s="324"/>
      <c r="FI4" s="324"/>
      <c r="FJ4" s="324"/>
      <c r="FK4" s="324"/>
      <c r="FL4" s="324"/>
      <c r="FM4" s="324"/>
      <c r="FN4" s="324"/>
      <c r="FO4" s="324"/>
      <c r="FP4" s="324"/>
      <c r="FQ4" s="324"/>
      <c r="FR4" s="324"/>
      <c r="FS4" s="324"/>
      <c r="FT4" s="324"/>
      <c r="FU4" s="324"/>
      <c r="FV4" s="324"/>
      <c r="FW4" s="324"/>
      <c r="FX4" s="324"/>
      <c r="FY4" s="324"/>
      <c r="FZ4" s="324"/>
      <c r="GA4" s="324"/>
      <c r="GB4" s="324"/>
      <c r="GC4" s="324"/>
      <c r="GD4" s="324"/>
      <c r="GE4" s="324"/>
      <c r="GF4" s="324"/>
      <c r="GG4" s="324"/>
      <c r="GH4" s="324"/>
      <c r="GI4" s="324"/>
      <c r="GJ4" s="324"/>
      <c r="GK4" s="324"/>
      <c r="GL4" s="324"/>
      <c r="GM4" s="324"/>
      <c r="GN4" s="324"/>
      <c r="GO4" s="324"/>
      <c r="GP4" s="324"/>
      <c r="GQ4" s="324"/>
      <c r="GR4" s="324"/>
      <c r="GS4" s="324"/>
      <c r="GT4" s="324"/>
      <c r="GU4" s="324"/>
      <c r="GV4" s="324"/>
      <c r="GW4" s="324"/>
      <c r="GX4" s="324"/>
      <c r="GY4" s="324"/>
      <c r="GZ4" s="324"/>
      <c r="HA4" s="324"/>
      <c r="HB4" s="324"/>
      <c r="HC4" s="324"/>
      <c r="HD4" s="324"/>
      <c r="HE4" s="324"/>
      <c r="HF4" s="324"/>
      <c r="HG4" s="324"/>
      <c r="HH4" s="324"/>
      <c r="HI4" s="324"/>
      <c r="HJ4" s="324"/>
      <c r="HK4" s="324"/>
      <c r="HL4" s="324"/>
      <c r="HM4" s="324"/>
      <c r="HN4" s="324"/>
      <c r="HO4" s="324"/>
      <c r="HP4" s="324"/>
      <c r="HQ4" s="324"/>
      <c r="HR4" s="324"/>
      <c r="HS4" s="324"/>
      <c r="HT4" s="324"/>
      <c r="HU4" s="324"/>
      <c r="HV4" s="324"/>
      <c r="HW4" s="324"/>
      <c r="HX4" s="324"/>
      <c r="HY4" s="324"/>
      <c r="HZ4" s="324"/>
      <c r="IA4" s="324"/>
      <c r="IB4" s="324"/>
      <c r="IC4" s="324"/>
      <c r="ID4" s="324"/>
      <c r="IE4" s="324"/>
      <c r="IF4" s="324"/>
      <c r="IG4" s="324"/>
      <c r="IH4" s="324"/>
      <c r="II4" s="324"/>
      <c r="IJ4" s="324"/>
      <c r="IK4" s="324"/>
      <c r="IL4" s="324"/>
      <c r="IM4" s="324"/>
      <c r="IN4" s="324"/>
      <c r="IO4" s="324"/>
      <c r="IP4" s="324"/>
      <c r="IQ4" s="324"/>
      <c r="IR4" s="324"/>
      <c r="IS4" s="324"/>
      <c r="IT4" s="324"/>
      <c r="IU4" s="324"/>
      <c r="IV4" s="324"/>
      <c r="IW4" s="324"/>
    </row>
    <row r="5" customFormat="false" ht="15" hidden="false" customHeight="true" outlineLevel="0" collapsed="false">
      <c r="A5" s="285" t="n">
        <v>124</v>
      </c>
      <c r="B5" s="285" t="s">
        <v>44</v>
      </c>
      <c r="C5" s="286" t="s">
        <v>56</v>
      </c>
      <c r="D5" s="287" t="s">
        <v>56</v>
      </c>
      <c r="E5" s="288" t="n">
        <f aca="false">IF(I5="regional",IF(R5*0.2975,S5*0.3484),S5*0.1939)</f>
        <v>220331.9924</v>
      </c>
      <c r="F5" s="288" t="n">
        <v>342809</v>
      </c>
      <c r="G5" s="289" t="n">
        <f aca="false">E5+F5</f>
        <v>563140.9924</v>
      </c>
      <c r="H5" s="286"/>
      <c r="I5" s="287" t="s">
        <v>48</v>
      </c>
      <c r="J5" s="287" t="s">
        <v>44</v>
      </c>
      <c r="K5" s="287" t="s">
        <v>59</v>
      </c>
      <c r="L5" s="287" t="s">
        <v>44</v>
      </c>
      <c r="M5" s="317" t="n">
        <v>107</v>
      </c>
      <c r="N5" s="317" t="n">
        <v>0.935</v>
      </c>
      <c r="O5" s="317" t="n">
        <v>0.934</v>
      </c>
      <c r="P5" s="317" t="n">
        <v>0.747</v>
      </c>
      <c r="Q5" s="317" t="n">
        <v>0.843</v>
      </c>
      <c r="R5" s="317" t="n">
        <v>739600</v>
      </c>
      <c r="S5" s="317" t="n">
        <v>632411</v>
      </c>
      <c r="T5" s="318" t="n">
        <f aca="false">IF(I5="regional",IF(R5&gt;0,R5*0.2975,S5*0.3484),S5*0.1939)</f>
        <v>220031</v>
      </c>
      <c r="U5" s="317" t="n">
        <v>404394</v>
      </c>
      <c r="V5" s="317" t="n">
        <v>228017</v>
      </c>
      <c r="W5" s="317" t="n">
        <v>3500</v>
      </c>
      <c r="X5" s="317" t="n">
        <v>562840</v>
      </c>
      <c r="Y5" s="317" t="n">
        <v>220031</v>
      </c>
      <c r="Z5" s="317" t="n">
        <v>342809</v>
      </c>
      <c r="AA5" s="317" t="n">
        <v>289602</v>
      </c>
      <c r="AB5" s="317" t="n">
        <v>0</v>
      </c>
      <c r="AC5" s="317" t="n">
        <v>289602</v>
      </c>
      <c r="AD5" s="317" t="n">
        <v>342809</v>
      </c>
      <c r="AE5" s="317" t="n">
        <v>0</v>
      </c>
      <c r="AF5" s="317" t="n">
        <v>289602</v>
      </c>
      <c r="AG5" s="317" t="n">
        <v>0</v>
      </c>
      <c r="AH5" s="317" t="n">
        <v>301000</v>
      </c>
      <c r="AI5" s="317" t="n">
        <v>239000</v>
      </c>
      <c r="AJ5" s="286" t="s">
        <v>707</v>
      </c>
      <c r="AK5" s="286" t="s">
        <v>712</v>
      </c>
      <c r="AL5" s="287" t="s">
        <v>48</v>
      </c>
      <c r="AM5" s="286"/>
      <c r="AN5" s="287" t="s">
        <v>56</v>
      </c>
      <c r="AO5" s="287" t="n">
        <v>562840</v>
      </c>
      <c r="AP5" s="319" t="n">
        <f aca="false">AR5+AT5+AU5+AV5+AX5+AY5+AZ5+BD5+BF5+BG5+BH5+BJ5+BK5+(BL5+BM5+BN5)/1000+(0.1*BO5)</f>
        <v>356.4969</v>
      </c>
      <c r="AQ5" s="319" t="n">
        <f aca="false">AR5+AT5+AU5+AV5+AX5+AY5+AZ5+BB5+BC5+BD5+BF5+BG5+BH5+BJ5+BK5+(BL5+BM5+BN5)/1000+(0.1*BO5)</f>
        <v>377.4969</v>
      </c>
      <c r="AR5" s="285" t="n">
        <v>144</v>
      </c>
      <c r="AS5" s="285" t="n">
        <v>239</v>
      </c>
      <c r="AT5" s="285" t="n">
        <v>59</v>
      </c>
      <c r="AU5" s="285" t="n">
        <v>8</v>
      </c>
      <c r="AV5" s="285" t="n">
        <v>0</v>
      </c>
      <c r="AW5" s="285" t="n">
        <v>0</v>
      </c>
      <c r="AX5" s="285" t="n">
        <v>0</v>
      </c>
      <c r="AY5" s="285" t="n">
        <v>0</v>
      </c>
      <c r="AZ5" s="285" t="n">
        <v>11</v>
      </c>
      <c r="BA5" s="285" t="n">
        <v>15</v>
      </c>
      <c r="BB5" s="285" t="n">
        <v>21</v>
      </c>
      <c r="BC5" s="285" t="n">
        <v>0</v>
      </c>
      <c r="BD5" s="285" t="n">
        <v>23</v>
      </c>
      <c r="BE5" s="285" t="n">
        <v>0</v>
      </c>
      <c r="BF5" s="285" t="n">
        <v>0</v>
      </c>
      <c r="BG5" s="285" t="n">
        <v>0</v>
      </c>
      <c r="BH5" s="285" t="n">
        <v>43</v>
      </c>
      <c r="BI5" s="285" t="n">
        <v>0</v>
      </c>
      <c r="BJ5" s="285" t="n">
        <v>0</v>
      </c>
      <c r="BK5" s="285" t="n">
        <v>0</v>
      </c>
      <c r="BL5" s="285" t="n">
        <v>0</v>
      </c>
      <c r="BM5" s="285" t="n">
        <v>0</v>
      </c>
      <c r="BN5" s="285" t="n">
        <v>14564</v>
      </c>
      <c r="BO5" s="285" t="n">
        <v>539.329</v>
      </c>
      <c r="BR5" s="290" t="n">
        <f aca="false">AR5*1000/0.072</f>
        <v>2000000</v>
      </c>
      <c r="BS5" s="290" t="n">
        <f aca="false">AT5*1000/0.072</f>
        <v>819444.444444445</v>
      </c>
      <c r="BT5" s="290" t="n">
        <f aca="false">AU5*1000/0.072</f>
        <v>111111.111111111</v>
      </c>
      <c r="BU5" s="290" t="n">
        <f aca="false">SUM(BR5:BT5)</f>
        <v>2930555.55555556</v>
      </c>
      <c r="BV5" s="290" t="n">
        <f aca="false">AV5*1000/5</f>
        <v>0</v>
      </c>
      <c r="BW5" s="290" t="n">
        <f aca="false">AX5*1000/5</f>
        <v>0</v>
      </c>
      <c r="BX5" s="290" t="n">
        <f aca="false">AY5*1000/5</f>
        <v>0</v>
      </c>
      <c r="BY5" s="290" t="n">
        <f aca="false">SUM(BV5:BX5)</f>
        <v>0</v>
      </c>
      <c r="CA5" s="290" t="n">
        <f aca="false">IF($AM5="n",0,BR5)</f>
        <v>2000000</v>
      </c>
      <c r="CB5" s="290" t="n">
        <f aca="false">IF($AM5="n",0,BS5)</f>
        <v>819444.444444445</v>
      </c>
      <c r="CC5" s="290" t="n">
        <f aca="false">IF($AM5="n",0,BT5)</f>
        <v>111111.111111111</v>
      </c>
      <c r="CD5" s="290" t="n">
        <f aca="false">SUM(CA5:CC5)</f>
        <v>2930555.55555556</v>
      </c>
      <c r="CE5" s="290" t="n">
        <f aca="false">IF($AM$2="n",0,BV5)</f>
        <v>0</v>
      </c>
      <c r="CF5" s="290" t="n">
        <f aca="false">IF($AM$2="n",0,BW5)</f>
        <v>0</v>
      </c>
      <c r="CG5" s="290" t="n">
        <f aca="false">IF($AM$2="n",0,BX5)</f>
        <v>0</v>
      </c>
      <c r="CH5" s="290" t="n">
        <f aca="false">SUM(CE5:CG5)</f>
        <v>0</v>
      </c>
    </row>
    <row r="6" customFormat="false" ht="15" hidden="false" customHeight="true" outlineLevel="0" collapsed="false">
      <c r="A6" s="285" t="n">
        <v>140</v>
      </c>
      <c r="B6" s="285"/>
      <c r="C6" s="286" t="s">
        <v>64</v>
      </c>
      <c r="D6" s="287" t="s">
        <v>64</v>
      </c>
      <c r="E6" s="288" t="n">
        <f aca="false">IF(I6="regional",IF(R6*0.2975,S6*0.3484),S6*0.1939)</f>
        <v>17620.4686</v>
      </c>
      <c r="F6" s="288" t="n">
        <v>0</v>
      </c>
      <c r="G6" s="289" t="n">
        <f aca="false">E6+F6</f>
        <v>17620.4686</v>
      </c>
      <c r="H6" s="286"/>
      <c r="I6" s="287" t="s">
        <v>62</v>
      </c>
      <c r="J6" s="287" t="s">
        <v>49</v>
      </c>
      <c r="K6" s="287" t="s">
        <v>67</v>
      </c>
      <c r="L6" s="287"/>
      <c r="M6" s="317" t="n">
        <v>5</v>
      </c>
      <c r="N6" s="317" t="n">
        <v>1</v>
      </c>
      <c r="O6" s="317" t="n">
        <v>1</v>
      </c>
      <c r="P6" s="317" t="n">
        <v>0.747</v>
      </c>
      <c r="Q6" s="317" t="n">
        <v>0.843</v>
      </c>
      <c r="R6" s="317" t="n">
        <v>0</v>
      </c>
      <c r="S6" s="317" t="n">
        <v>90874</v>
      </c>
      <c r="T6" s="318" t="n">
        <f aca="false">IF(I6="regional",IF(R6&gt;0,R6*0.2975,S6*0.3484),S6*0.1939)</f>
        <v>17620.4686</v>
      </c>
      <c r="U6" s="317" t="n">
        <v>81047</v>
      </c>
      <c r="V6" s="317" t="n">
        <v>9827</v>
      </c>
      <c r="W6" s="317" t="n">
        <v>488</v>
      </c>
      <c r="X6" s="317" t="n">
        <v>0</v>
      </c>
      <c r="Y6" s="317" t="n">
        <v>0</v>
      </c>
      <c r="Z6" s="317" t="n">
        <v>0</v>
      </c>
      <c r="AA6" s="317" t="n">
        <v>108494.4686</v>
      </c>
      <c r="AB6" s="317" t="n">
        <v>17620.4686</v>
      </c>
      <c r="AC6" s="317" t="n">
        <v>90874</v>
      </c>
      <c r="AD6" s="317" t="n">
        <v>0</v>
      </c>
      <c r="AE6" s="317" t="n">
        <v>0</v>
      </c>
      <c r="AF6" s="317" t="n">
        <v>0</v>
      </c>
      <c r="AG6" s="317" t="n">
        <v>90874</v>
      </c>
      <c r="AH6" s="317" t="n">
        <v>0</v>
      </c>
      <c r="AI6" s="317" t="n">
        <v>0</v>
      </c>
      <c r="AJ6" s="286" t="n">
        <v>4</v>
      </c>
      <c r="AK6" s="286" t="s">
        <v>713</v>
      </c>
      <c r="AL6" s="287" t="s">
        <v>62</v>
      </c>
      <c r="AM6" s="286"/>
      <c r="AN6" s="287" t="s">
        <v>64</v>
      </c>
      <c r="AO6" s="287" t="n">
        <v>17620.4686</v>
      </c>
      <c r="AP6" s="319" t="n">
        <f aca="false">AR6+AT6+AU6+AV6+AX6+AY6+AZ6+BD6+BF6+BG6+BH6+BJ6+BK6+(BL6+BM6+BN6)/1000+(0.1*BO6)</f>
        <v>5</v>
      </c>
      <c r="AQ6" s="319" t="n">
        <f aca="false">AR6+AT6+AU6+AV6+AX6+AY6+AZ6+BB6+BC6+BD6+BF6+BG6+BH6+BJ6+BK6+(BL6+BM6+BN6)/1000+(0.1*BO6)</f>
        <v>6</v>
      </c>
      <c r="AR6" s="285" t="n">
        <v>0</v>
      </c>
      <c r="AS6" s="285" t="n">
        <v>0</v>
      </c>
      <c r="AT6" s="285" t="n">
        <v>5</v>
      </c>
      <c r="AU6" s="285" t="n">
        <v>0</v>
      </c>
      <c r="AV6" s="285" t="n">
        <v>0</v>
      </c>
      <c r="AW6" s="285" t="n">
        <v>0</v>
      </c>
      <c r="AX6" s="285" t="n">
        <v>0</v>
      </c>
      <c r="AY6" s="285" t="n">
        <v>0</v>
      </c>
      <c r="AZ6" s="285" t="n">
        <v>0</v>
      </c>
      <c r="BA6" s="285" t="n">
        <v>0</v>
      </c>
      <c r="BB6" s="285" t="n">
        <v>1</v>
      </c>
      <c r="BC6" s="285" t="n">
        <v>0</v>
      </c>
      <c r="BD6" s="285" t="n">
        <v>0</v>
      </c>
      <c r="BE6" s="285" t="n">
        <v>0</v>
      </c>
      <c r="BF6" s="285" t="n">
        <v>0</v>
      </c>
      <c r="BG6" s="285" t="n">
        <v>0</v>
      </c>
      <c r="BH6" s="285" t="n">
        <v>0</v>
      </c>
      <c r="BI6" s="285" t="n">
        <v>0</v>
      </c>
      <c r="BJ6" s="285" t="n">
        <v>0</v>
      </c>
      <c r="BK6" s="285" t="n">
        <v>0</v>
      </c>
      <c r="BL6" s="285" t="n">
        <v>0</v>
      </c>
      <c r="BM6" s="285" t="n">
        <v>0</v>
      </c>
      <c r="BN6" s="285" t="n">
        <v>0</v>
      </c>
      <c r="BO6" s="285" t="n">
        <v>0</v>
      </c>
      <c r="BR6" s="290" t="n">
        <f aca="false">AR6*1000/0.072</f>
        <v>0</v>
      </c>
      <c r="BS6" s="290" t="n">
        <f aca="false">AT6*1000/0.072</f>
        <v>69444.4444444445</v>
      </c>
      <c r="BT6" s="290" t="n">
        <f aca="false">AU6*1000/0.072</f>
        <v>0</v>
      </c>
      <c r="BU6" s="290" t="n">
        <f aca="false">SUM(BR6:BT6)</f>
        <v>69444.4444444445</v>
      </c>
      <c r="BV6" s="290" t="n">
        <f aca="false">AV6*1000/5</f>
        <v>0</v>
      </c>
      <c r="BW6" s="290" t="n">
        <f aca="false">AX6*1000/5</f>
        <v>0</v>
      </c>
      <c r="BX6" s="290" t="n">
        <f aca="false">AY6*1000/5</f>
        <v>0</v>
      </c>
      <c r="BY6" s="290" t="n">
        <f aca="false">SUM(BV6:BX6)</f>
        <v>0</v>
      </c>
      <c r="CA6" s="290" t="n">
        <f aca="false">IF($AM6="n",0,BR6)</f>
        <v>0</v>
      </c>
      <c r="CB6" s="290" t="n">
        <f aca="false">IF($AM6="n",0,BS6)</f>
        <v>69444.4444444445</v>
      </c>
      <c r="CC6" s="290" t="n">
        <f aca="false">IF($AM6="n",0,BT6)</f>
        <v>0</v>
      </c>
      <c r="CD6" s="290" t="n">
        <f aca="false">SUM(CA6:CC6)</f>
        <v>69444.4444444445</v>
      </c>
      <c r="CE6" s="290" t="n">
        <f aca="false">IF($AM$2="n",0,BV6)</f>
        <v>0</v>
      </c>
      <c r="CF6" s="290" t="n">
        <f aca="false">IF($AM$2="n",0,BW6)</f>
        <v>0</v>
      </c>
      <c r="CG6" s="290" t="n">
        <f aca="false">IF($AM$2="n",0,BX6)</f>
        <v>0</v>
      </c>
      <c r="CH6" s="290" t="n">
        <f aca="false">SUM(CE6:CG6)</f>
        <v>0</v>
      </c>
    </row>
    <row r="7" customFormat="false" ht="15" hidden="false" customHeight="true" outlineLevel="0" collapsed="false">
      <c r="A7" s="285" t="n">
        <v>4820</v>
      </c>
      <c r="B7" s="285"/>
      <c r="C7" s="286" t="s">
        <v>68</v>
      </c>
      <c r="D7" s="287" t="s">
        <v>68</v>
      </c>
      <c r="E7" s="288" t="n">
        <f aca="false">IF(I7="regional",IF(R7*0.2975,S7*0.3484),S7*0.1939)</f>
        <v>330980</v>
      </c>
      <c r="F7" s="288" t="n">
        <v>0</v>
      </c>
      <c r="G7" s="289" t="n">
        <f aca="false">E7+F7</f>
        <v>330980</v>
      </c>
      <c r="H7" s="286"/>
      <c r="I7" s="287" t="s">
        <v>48</v>
      </c>
      <c r="J7" s="287" t="s">
        <v>49</v>
      </c>
      <c r="K7" s="287" t="s">
        <v>67</v>
      </c>
      <c r="L7" s="287"/>
      <c r="M7" s="317" t="n">
        <v>130</v>
      </c>
      <c r="N7" s="317" t="n">
        <v>0.674</v>
      </c>
      <c r="O7" s="317" t="n">
        <v>0.692</v>
      </c>
      <c r="P7" s="317" t="n">
        <v>0.925</v>
      </c>
      <c r="Q7" s="317" t="n">
        <v>0.952</v>
      </c>
      <c r="R7" s="317" t="n">
        <v>501572</v>
      </c>
      <c r="S7" s="317" t="n">
        <v>950000</v>
      </c>
      <c r="T7" s="318" t="n">
        <f aca="false">IF(I7="regional",IF(R7&gt;0,R7*0.2975,S7*0.3484),S7*0.1939)</f>
        <v>149217.67</v>
      </c>
      <c r="U7" s="317" t="n">
        <v>501572</v>
      </c>
      <c r="V7" s="317" t="n">
        <v>448428</v>
      </c>
      <c r="W7" s="317" t="n">
        <v>5500</v>
      </c>
      <c r="X7" s="317" t="n">
        <v>0</v>
      </c>
      <c r="Y7" s="317" t="n">
        <v>0</v>
      </c>
      <c r="Z7" s="317" t="n">
        <v>0</v>
      </c>
      <c r="AA7" s="317" t="n">
        <v>1099217.67</v>
      </c>
      <c r="AB7" s="317" t="n">
        <v>149217.67</v>
      </c>
      <c r="AC7" s="317" t="n">
        <v>950000</v>
      </c>
      <c r="AD7" s="317" t="n">
        <v>0</v>
      </c>
      <c r="AE7" s="317" t="n">
        <v>0</v>
      </c>
      <c r="AF7" s="317" t="n">
        <v>0</v>
      </c>
      <c r="AG7" s="317" t="n">
        <v>950000</v>
      </c>
      <c r="AH7" s="317" t="n">
        <v>0</v>
      </c>
      <c r="AI7" s="317" t="n">
        <v>0</v>
      </c>
      <c r="AJ7" s="286" t="n">
        <v>4</v>
      </c>
      <c r="AK7" s="286" t="s">
        <v>713</v>
      </c>
      <c r="AL7" s="287" t="s">
        <v>48</v>
      </c>
      <c r="AM7" s="286"/>
      <c r="AN7" s="287" t="s">
        <v>68</v>
      </c>
      <c r="AO7" s="287" t="n">
        <v>149217.67</v>
      </c>
      <c r="AP7" s="319" t="n">
        <f aca="false">AR7+AT7+AU7+AV7+AX7+AY7+AZ7+BD7+BF7+BG7+BH7+BJ7+BK7+(BL7+BM7+BN7)/1000+(0.1*BO7)</f>
        <v>228.306265</v>
      </c>
      <c r="AQ7" s="319" t="n">
        <f aca="false">AR7+AT7+AU7+AV7+AX7+AY7+AZ7+BB7+BC7+BD7+BF7+BG7+BH7+BJ7+BK7+(BL7+BM7+BN7)/1000+(0.1*BO7)</f>
        <v>243.306265</v>
      </c>
      <c r="AR7" s="285" t="n">
        <v>0</v>
      </c>
      <c r="AS7" s="285" t="n">
        <v>0</v>
      </c>
      <c r="AT7" s="285" t="n">
        <v>160</v>
      </c>
      <c r="AU7" s="285" t="n">
        <v>49</v>
      </c>
      <c r="AV7" s="285" t="n">
        <v>0</v>
      </c>
      <c r="AW7" s="285" t="n">
        <v>0</v>
      </c>
      <c r="AX7" s="285" t="n">
        <v>17</v>
      </c>
      <c r="AY7" s="285" t="n">
        <v>2</v>
      </c>
      <c r="AZ7" s="285" t="n">
        <v>0</v>
      </c>
      <c r="BA7" s="285" t="n">
        <v>0</v>
      </c>
      <c r="BB7" s="285" t="n">
        <v>11</v>
      </c>
      <c r="BC7" s="285" t="n">
        <v>4</v>
      </c>
      <c r="BD7" s="285" t="n">
        <v>0</v>
      </c>
      <c r="BE7" s="285" t="n">
        <v>1</v>
      </c>
      <c r="BF7" s="285" t="n">
        <v>0</v>
      </c>
      <c r="BG7" s="285" t="n">
        <v>0</v>
      </c>
      <c r="BH7" s="285" t="n">
        <v>0</v>
      </c>
      <c r="BI7" s="285" t="n">
        <v>0</v>
      </c>
      <c r="BJ7" s="285" t="n">
        <v>0</v>
      </c>
      <c r="BK7" s="285" t="n">
        <v>0</v>
      </c>
      <c r="BL7" s="285" t="n">
        <v>0</v>
      </c>
      <c r="BM7" s="285" t="n">
        <v>0</v>
      </c>
      <c r="BN7" s="285" t="n">
        <v>0</v>
      </c>
      <c r="BO7" s="285" t="n">
        <v>3.06265</v>
      </c>
      <c r="BR7" s="290" t="n">
        <f aca="false">AR7*1000/0.072</f>
        <v>0</v>
      </c>
      <c r="BS7" s="290" t="n">
        <f aca="false">AT7*1000/0.072</f>
        <v>2222222.22222222</v>
      </c>
      <c r="BT7" s="290" t="n">
        <f aca="false">AU7*1000/0.072</f>
        <v>680555.555555556</v>
      </c>
      <c r="BU7" s="290" t="n">
        <f aca="false">SUM(BR7:BT7)</f>
        <v>2902777.77777778</v>
      </c>
      <c r="BV7" s="290" t="n">
        <f aca="false">AV7*1000/5</f>
        <v>0</v>
      </c>
      <c r="BW7" s="290" t="n">
        <f aca="false">AX7*1000/5</f>
        <v>3400</v>
      </c>
      <c r="BX7" s="290" t="n">
        <f aca="false">AY7*1000/5</f>
        <v>400</v>
      </c>
      <c r="BY7" s="290" t="n">
        <f aca="false">SUM(BV7:BX7)</f>
        <v>3800</v>
      </c>
      <c r="CA7" s="290" t="n">
        <f aca="false">IF($AM7="n",0,BR7)</f>
        <v>0</v>
      </c>
      <c r="CB7" s="290" t="n">
        <f aca="false">IF($AM7="n",0,BS7)</f>
        <v>2222222.22222222</v>
      </c>
      <c r="CC7" s="290" t="n">
        <f aca="false">IF($AM7="n",0,BT7)</f>
        <v>680555.555555556</v>
      </c>
      <c r="CD7" s="290" t="n">
        <f aca="false">SUM(CA7:CC7)</f>
        <v>2902777.77777778</v>
      </c>
      <c r="CE7" s="290" t="n">
        <f aca="false">IF($AM$2="n",0,BV7)</f>
        <v>0</v>
      </c>
      <c r="CF7" s="290" t="n">
        <f aca="false">IF($AM$2="n",0,BW7)</f>
        <v>3400</v>
      </c>
      <c r="CG7" s="290" t="n">
        <f aca="false">IF($AM$2="n",0,BX7)</f>
        <v>400</v>
      </c>
      <c r="CH7" s="290" t="n">
        <f aca="false">SUM(CE7:CG7)</f>
        <v>3800</v>
      </c>
    </row>
    <row r="8" customFormat="false" ht="15" hidden="false" customHeight="true" outlineLevel="0" collapsed="false">
      <c r="A8" s="285" t="n">
        <v>3116</v>
      </c>
      <c r="B8" s="285"/>
      <c r="C8" s="286" t="s">
        <v>71</v>
      </c>
      <c r="D8" s="287" t="s">
        <v>71</v>
      </c>
      <c r="E8" s="288" t="n">
        <f aca="false">IF(I8="regional",IF(R8*0.2975,S8*0.3484),S8*0.1939)</f>
        <v>24103.5151</v>
      </c>
      <c r="F8" s="288" t="n">
        <v>0</v>
      </c>
      <c r="G8" s="289" t="n">
        <f aca="false">E8+F8</f>
        <v>24103.5151</v>
      </c>
      <c r="H8" s="286"/>
      <c r="I8" s="287" t="s">
        <v>62</v>
      </c>
      <c r="J8" s="287" t="s">
        <v>49</v>
      </c>
      <c r="K8" s="287" t="s">
        <v>67</v>
      </c>
      <c r="L8" s="287"/>
      <c r="M8" s="317" t="n">
        <v>22</v>
      </c>
      <c r="N8" s="317" t="n">
        <v>0.96</v>
      </c>
      <c r="O8" s="317" t="n">
        <v>0.96</v>
      </c>
      <c r="P8" s="317" t="n">
        <v>0.96</v>
      </c>
      <c r="Q8" s="317" t="n">
        <v>0.967</v>
      </c>
      <c r="R8" s="317" t="n">
        <v>0</v>
      </c>
      <c r="S8" s="317" t="n">
        <v>124309</v>
      </c>
      <c r="T8" s="318" t="n">
        <f aca="false">IF(I8="regional",IF(R8&gt;0,R8*0.2975,S8*0.3484),S8*0.1939)</f>
        <v>24103.5151</v>
      </c>
      <c r="U8" s="317" t="n">
        <v>81319</v>
      </c>
      <c r="V8" s="317" t="n">
        <v>42990</v>
      </c>
      <c r="W8" s="317" t="n">
        <v>1102</v>
      </c>
      <c r="X8" s="317" t="n">
        <v>0</v>
      </c>
      <c r="Y8" s="317" t="n">
        <v>0</v>
      </c>
      <c r="Z8" s="317" t="n">
        <v>0</v>
      </c>
      <c r="AA8" s="317" t="n">
        <v>148412.5151</v>
      </c>
      <c r="AB8" s="317" t="n">
        <v>24103.5151</v>
      </c>
      <c r="AC8" s="317" t="n">
        <v>124309</v>
      </c>
      <c r="AD8" s="317" t="n">
        <v>0</v>
      </c>
      <c r="AE8" s="317" t="n">
        <v>0</v>
      </c>
      <c r="AF8" s="317" t="n">
        <v>0</v>
      </c>
      <c r="AG8" s="317" t="n">
        <v>124309</v>
      </c>
      <c r="AH8" s="317" t="n">
        <v>0</v>
      </c>
      <c r="AI8" s="317" t="n">
        <v>0</v>
      </c>
      <c r="AJ8" s="286" t="n">
        <v>4</v>
      </c>
      <c r="AK8" s="286" t="s">
        <v>713</v>
      </c>
      <c r="AL8" s="287" t="s">
        <v>62</v>
      </c>
      <c r="AM8" s="286"/>
      <c r="AN8" s="287" t="s">
        <v>71</v>
      </c>
      <c r="AO8" s="287" t="n">
        <v>24103.5151</v>
      </c>
      <c r="AP8" s="319" t="n">
        <f aca="false">AR8+AT8+AU8+AV8+AX8+AY8+AZ8+BD8+BF8+BG8+BH8+BJ8+BK8+(BL8+BM8+BN8)/1000+(0.1*BO8)</f>
        <v>18</v>
      </c>
      <c r="AQ8" s="319" t="n">
        <f aca="false">AR8+AT8+AU8+AV8+AX8+AY8+AZ8+BB8+BC8+BD8+BF8+BG8+BH8+BJ8+BK8+(BL8+BM8+BN8)/1000+(0.1*BO8)</f>
        <v>40</v>
      </c>
      <c r="AR8" s="285" t="n">
        <v>0</v>
      </c>
      <c r="AS8" s="285" t="n">
        <v>0</v>
      </c>
      <c r="AT8" s="285" t="n">
        <v>5</v>
      </c>
      <c r="AU8" s="285" t="n">
        <v>11</v>
      </c>
      <c r="AV8" s="285" t="n">
        <v>0</v>
      </c>
      <c r="AW8" s="285" t="n">
        <v>0</v>
      </c>
      <c r="AX8" s="285" t="n">
        <v>0</v>
      </c>
      <c r="AY8" s="285" t="n">
        <v>2</v>
      </c>
      <c r="AZ8" s="285" t="n">
        <v>0</v>
      </c>
      <c r="BA8" s="285" t="n">
        <v>5</v>
      </c>
      <c r="BB8" s="285" t="n">
        <v>21</v>
      </c>
      <c r="BC8" s="285" t="n">
        <v>1</v>
      </c>
      <c r="BD8" s="285" t="n">
        <v>0</v>
      </c>
      <c r="BE8" s="285" t="n">
        <v>0</v>
      </c>
      <c r="BF8" s="285" t="n">
        <v>0</v>
      </c>
      <c r="BG8" s="285" t="n">
        <v>0</v>
      </c>
      <c r="BH8" s="285" t="n">
        <v>0</v>
      </c>
      <c r="BI8" s="285" t="n">
        <v>0</v>
      </c>
      <c r="BJ8" s="285" t="n">
        <v>0</v>
      </c>
      <c r="BK8" s="285" t="n">
        <v>0</v>
      </c>
      <c r="BL8" s="285" t="n">
        <v>0</v>
      </c>
      <c r="BM8" s="285" t="n">
        <v>0</v>
      </c>
      <c r="BN8" s="285" t="n">
        <v>0</v>
      </c>
      <c r="BO8" s="285" t="n">
        <v>0</v>
      </c>
      <c r="BR8" s="290" t="n">
        <f aca="false">AR8*1000/0.072</f>
        <v>0</v>
      </c>
      <c r="BS8" s="290" t="n">
        <f aca="false">AT8*1000/0.072</f>
        <v>69444.4444444445</v>
      </c>
      <c r="BT8" s="290" t="n">
        <f aca="false">AU8*1000/0.072</f>
        <v>152777.777777778</v>
      </c>
      <c r="BU8" s="290" t="n">
        <f aca="false">SUM(BR8:BT8)</f>
        <v>222222.222222222</v>
      </c>
      <c r="BV8" s="290" t="n">
        <f aca="false">AV8*1000/5</f>
        <v>0</v>
      </c>
      <c r="BW8" s="290" t="n">
        <f aca="false">AX8*1000/5</f>
        <v>0</v>
      </c>
      <c r="BX8" s="290" t="n">
        <f aca="false">AY8*1000/5</f>
        <v>400</v>
      </c>
      <c r="BY8" s="290" t="n">
        <f aca="false">SUM(BV8:BX8)</f>
        <v>400</v>
      </c>
      <c r="CA8" s="290" t="n">
        <f aca="false">IF($AM8="n",0,BR8)</f>
        <v>0</v>
      </c>
      <c r="CB8" s="290" t="n">
        <f aca="false">IF($AM8="n",0,BS8)</f>
        <v>69444.4444444445</v>
      </c>
      <c r="CC8" s="290" t="n">
        <f aca="false">IF($AM8="n",0,BT8)</f>
        <v>152777.777777778</v>
      </c>
      <c r="CD8" s="290" t="n">
        <f aca="false">SUM(CA8:CC8)</f>
        <v>222222.222222222</v>
      </c>
      <c r="CE8" s="290" t="n">
        <f aca="false">IF($AM$2="n",0,BV8)</f>
        <v>0</v>
      </c>
      <c r="CF8" s="290" t="n">
        <f aca="false">IF($AM$2="n",0,BW8)</f>
        <v>0</v>
      </c>
      <c r="CG8" s="290" t="n">
        <f aca="false">IF($AM$2="n",0,BX8)</f>
        <v>400</v>
      </c>
      <c r="CH8" s="290" t="n">
        <f aca="false">SUM(CE8:CG8)</f>
        <v>400</v>
      </c>
    </row>
    <row r="9" customFormat="false" ht="15" hidden="false" customHeight="true" outlineLevel="0" collapsed="false">
      <c r="A9" s="285" t="n">
        <v>9087</v>
      </c>
      <c r="B9" s="285" t="s">
        <v>44</v>
      </c>
      <c r="C9" s="286" t="s">
        <v>73</v>
      </c>
      <c r="D9" s="287" t="s">
        <v>73</v>
      </c>
      <c r="E9" s="288" t="n">
        <f aca="false">IF(I9="regional",IF(R9*0.2975,S9*0.3484),S9*0.1939)</f>
        <v>386706.9284</v>
      </c>
      <c r="F9" s="288" t="n">
        <v>488036</v>
      </c>
      <c r="G9" s="289" t="n">
        <f aca="false">E9+F9</f>
        <v>874742.9284</v>
      </c>
      <c r="H9" s="286" t="s">
        <v>49</v>
      </c>
      <c r="I9" s="287" t="s">
        <v>48</v>
      </c>
      <c r="J9" s="287" t="s">
        <v>44</v>
      </c>
      <c r="K9" s="287" t="s">
        <v>76</v>
      </c>
      <c r="L9" s="287" t="s">
        <v>44</v>
      </c>
      <c r="M9" s="317" t="n">
        <v>141</v>
      </c>
      <c r="N9" s="317" t="n">
        <v>0.986</v>
      </c>
      <c r="O9" s="317" t="n">
        <v>0.986</v>
      </c>
      <c r="P9" s="317" t="n">
        <v>0.956</v>
      </c>
      <c r="Q9" s="317" t="n">
        <v>0.835</v>
      </c>
      <c r="R9" s="317" t="n">
        <v>1385850</v>
      </c>
      <c r="S9" s="317" t="n">
        <v>1109951</v>
      </c>
      <c r="T9" s="318" t="n">
        <f aca="false">IF(I9="regional",IF(R9&gt;0,R9*0.2975,S9*0.3484),S9*0.1939)</f>
        <v>412290.375</v>
      </c>
      <c r="U9" s="317" t="n">
        <v>754956</v>
      </c>
      <c r="V9" s="317" t="n">
        <v>354995</v>
      </c>
      <c r="W9" s="317" t="n">
        <v>4602</v>
      </c>
      <c r="X9" s="317" t="n">
        <v>900326.375</v>
      </c>
      <c r="Y9" s="317" t="n">
        <v>412290.375</v>
      </c>
      <c r="Z9" s="317" t="n">
        <v>488036</v>
      </c>
      <c r="AA9" s="317" t="n">
        <v>621915</v>
      </c>
      <c r="AB9" s="317" t="n">
        <v>0</v>
      </c>
      <c r="AC9" s="317" t="n">
        <v>621915</v>
      </c>
      <c r="AD9" s="317" t="n">
        <v>488036</v>
      </c>
      <c r="AE9" s="317" t="n">
        <v>0</v>
      </c>
      <c r="AF9" s="317" t="n">
        <v>621915</v>
      </c>
      <c r="AG9" s="317" t="n">
        <v>0</v>
      </c>
      <c r="AH9" s="317" t="n">
        <v>660000</v>
      </c>
      <c r="AI9" s="317" t="n">
        <v>449000</v>
      </c>
      <c r="AJ9" s="286" t="s">
        <v>707</v>
      </c>
      <c r="AK9" s="286" t="s">
        <v>714</v>
      </c>
      <c r="AL9" s="287" t="s">
        <v>48</v>
      </c>
      <c r="AM9" s="286" t="s">
        <v>49</v>
      </c>
      <c r="AN9" s="287" t="s">
        <v>73</v>
      </c>
      <c r="AO9" s="287" t="n">
        <v>900326.375</v>
      </c>
      <c r="AP9" s="319" t="n">
        <f aca="false">AR9+AT9+AU9+AV9+AX9+AY9+AZ9+BD9+BF9+BG9+BH9+BJ9+BK9+(BL9+BM9+BN9)/1000+(0.1*BO9)</f>
        <v>928.9139</v>
      </c>
      <c r="AQ9" s="319" t="n">
        <f aca="false">AR9+AT9+AU9+AV9+AX9+AY9+AZ9+BB9+BC9+BD9+BF9+BG9+BH9+BJ9+BK9+(BL9+BM9+BN9)/1000+(0.1*BO9)</f>
        <v>971.9139</v>
      </c>
      <c r="AR9" s="285" t="n">
        <v>229</v>
      </c>
      <c r="AS9" s="285" t="n">
        <v>449</v>
      </c>
      <c r="AT9" s="285" t="n">
        <v>307</v>
      </c>
      <c r="AU9" s="285" t="n">
        <v>50</v>
      </c>
      <c r="AV9" s="285" t="n">
        <v>0</v>
      </c>
      <c r="AW9" s="285" t="n">
        <v>0</v>
      </c>
      <c r="AX9" s="285" t="n">
        <v>0</v>
      </c>
      <c r="AY9" s="285" t="n">
        <v>0</v>
      </c>
      <c r="AZ9" s="285" t="n">
        <v>0</v>
      </c>
      <c r="BA9" s="285" t="n">
        <v>114</v>
      </c>
      <c r="BB9" s="285" t="n">
        <v>43</v>
      </c>
      <c r="BC9" s="285" t="n">
        <v>0</v>
      </c>
      <c r="BD9" s="285" t="n">
        <v>19</v>
      </c>
      <c r="BE9" s="285" t="n">
        <v>0</v>
      </c>
      <c r="BF9" s="285" t="n">
        <v>0</v>
      </c>
      <c r="BG9" s="285" t="n">
        <v>0</v>
      </c>
      <c r="BH9" s="285" t="n">
        <v>146</v>
      </c>
      <c r="BI9" s="285" t="n">
        <v>0</v>
      </c>
      <c r="BJ9" s="285" t="n">
        <v>0</v>
      </c>
      <c r="BK9" s="285" t="n">
        <v>0</v>
      </c>
      <c r="BL9" s="285" t="n">
        <v>0</v>
      </c>
      <c r="BM9" s="285" t="n">
        <v>12926</v>
      </c>
      <c r="BN9" s="285" t="n">
        <v>47091</v>
      </c>
      <c r="BO9" s="285" t="n">
        <v>1178.969</v>
      </c>
      <c r="BR9" s="290" t="n">
        <f aca="false">AR9*1000/0.072</f>
        <v>3180555.55555556</v>
      </c>
      <c r="BS9" s="290" t="n">
        <f aca="false">AT9*1000/0.072</f>
        <v>4263888.88888889</v>
      </c>
      <c r="BT9" s="290" t="n">
        <f aca="false">AU9*1000/0.072</f>
        <v>694444.444444445</v>
      </c>
      <c r="BU9" s="290" t="n">
        <f aca="false">SUM(BR9:BT9)</f>
        <v>8138888.88888889</v>
      </c>
      <c r="BV9" s="290" t="n">
        <f aca="false">AV9*1000/5</f>
        <v>0</v>
      </c>
      <c r="BW9" s="290" t="n">
        <f aca="false">AX9*1000/5</f>
        <v>0</v>
      </c>
      <c r="BX9" s="290" t="n">
        <f aca="false">AY9*1000/5</f>
        <v>0</v>
      </c>
      <c r="BY9" s="290" t="n">
        <f aca="false">SUM(BV9:BX9)</f>
        <v>0</v>
      </c>
      <c r="CA9" s="290" t="n">
        <f aca="false">IF($AM9="n",0,BR9)</f>
        <v>0</v>
      </c>
      <c r="CB9" s="290" t="n">
        <f aca="false">IF($AM9="n",0,BS9)</f>
        <v>0</v>
      </c>
      <c r="CC9" s="290" t="n">
        <f aca="false">IF($AM9="n",0,BT9)</f>
        <v>0</v>
      </c>
      <c r="CD9" s="290" t="n">
        <f aca="false">SUM(CA9:CC9)</f>
        <v>0</v>
      </c>
      <c r="CE9" s="290" t="n">
        <f aca="false">IF($AM$2="n",0,BV9)</f>
        <v>0</v>
      </c>
      <c r="CF9" s="290" t="n">
        <f aca="false">IF($AM$2="n",0,BW9)</f>
        <v>0</v>
      </c>
      <c r="CG9" s="290" t="n">
        <f aca="false">IF($AM$2="n",0,BX9)</f>
        <v>0</v>
      </c>
      <c r="CH9" s="290" t="n">
        <f aca="false">SUM(CE9:CG9)</f>
        <v>0</v>
      </c>
    </row>
    <row r="10" customFormat="false" ht="15" hidden="false" customHeight="true" outlineLevel="0" collapsed="false">
      <c r="A10" s="285" t="n">
        <v>145</v>
      </c>
      <c r="B10" s="285" t="s">
        <v>44</v>
      </c>
      <c r="C10" s="286" t="s">
        <v>77</v>
      </c>
      <c r="D10" s="287" t="s">
        <v>77</v>
      </c>
      <c r="E10" s="288" t="n">
        <f aca="false">IF(I10="regional",IF(R10*0.2975,S10*0.3484),S10*0.1939)</f>
        <v>475897.6768</v>
      </c>
      <c r="F10" s="288" t="n">
        <v>638586</v>
      </c>
      <c r="G10" s="289" t="n">
        <f aca="false">E10+F10</f>
        <v>1114483.6768</v>
      </c>
      <c r="H10" s="286"/>
      <c r="I10" s="287" t="s">
        <v>48</v>
      </c>
      <c r="J10" s="287" t="s">
        <v>44</v>
      </c>
      <c r="K10" s="287" t="s">
        <v>78</v>
      </c>
      <c r="L10" s="287" t="s">
        <v>44</v>
      </c>
      <c r="M10" s="317" t="n">
        <v>184</v>
      </c>
      <c r="N10" s="317" t="n">
        <v>0.951</v>
      </c>
      <c r="O10" s="317" t="n">
        <v>0.954</v>
      </c>
      <c r="P10" s="317" t="n">
        <v>0.863</v>
      </c>
      <c r="Q10" s="317" t="n">
        <v>0.921</v>
      </c>
      <c r="R10" s="317" t="n">
        <v>1645545</v>
      </c>
      <c r="S10" s="317" t="n">
        <v>1365952</v>
      </c>
      <c r="T10" s="318" t="n">
        <f aca="false">IF(I10="regional",IF(R10&gt;0,R10*0.2975,S10*0.3484),S10*0.1939)</f>
        <v>489549.6375</v>
      </c>
      <c r="U10" s="317" t="n">
        <v>932372</v>
      </c>
      <c r="V10" s="317" t="n">
        <v>433580</v>
      </c>
      <c r="W10" s="317" t="n">
        <v>5600</v>
      </c>
      <c r="X10" s="317" t="n">
        <v>1128135.638</v>
      </c>
      <c r="Y10" s="317" t="n">
        <v>489549.6375</v>
      </c>
      <c r="Z10" s="317" t="n">
        <v>638586</v>
      </c>
      <c r="AA10" s="317" t="n">
        <v>727366</v>
      </c>
      <c r="AB10" s="317" t="n">
        <v>0</v>
      </c>
      <c r="AC10" s="317" t="n">
        <v>727366</v>
      </c>
      <c r="AD10" s="317" t="n">
        <v>638586</v>
      </c>
      <c r="AE10" s="317" t="n">
        <v>0</v>
      </c>
      <c r="AF10" s="317" t="n">
        <v>727366</v>
      </c>
      <c r="AG10" s="317" t="n">
        <v>0</v>
      </c>
      <c r="AH10" s="317" t="n">
        <v>849000</v>
      </c>
      <c r="AI10" s="317" t="n">
        <v>769000</v>
      </c>
      <c r="AJ10" s="286" t="s">
        <v>707</v>
      </c>
      <c r="AK10" s="286" t="s">
        <v>708</v>
      </c>
      <c r="AL10" s="287" t="s">
        <v>48</v>
      </c>
      <c r="AM10" s="286"/>
      <c r="AN10" s="287" t="s">
        <v>77</v>
      </c>
      <c r="AO10" s="287" t="n">
        <v>1128135.6375</v>
      </c>
      <c r="AP10" s="319" t="n">
        <f aca="false">AR10+AT10+AU10+AV10+AX10+AY10+AZ10+BD10+BF10+BG10+BH10+BJ10+BK10+(BL10+BM10+BN10)/1000+(0.1*BO10)</f>
        <v>866.482556</v>
      </c>
      <c r="AQ10" s="319" t="n">
        <f aca="false">AR10+AT10+AU10+AV10+AX10+AY10+AZ10+BB10+BC10+BD10+BF10+BG10+BH10+BJ10+BK10+(BL10+BM10+BN10)/1000+(0.1*BO10)</f>
        <v>1054.482556</v>
      </c>
      <c r="AR10" s="285" t="n">
        <v>433</v>
      </c>
      <c r="AS10" s="285" t="n">
        <v>769</v>
      </c>
      <c r="AT10" s="285" t="n">
        <v>140</v>
      </c>
      <c r="AU10" s="285" t="n">
        <v>0</v>
      </c>
      <c r="AV10" s="285" t="n">
        <v>0</v>
      </c>
      <c r="AW10" s="285" t="n">
        <v>0</v>
      </c>
      <c r="AX10" s="285" t="n">
        <v>0</v>
      </c>
      <c r="AY10" s="285" t="n">
        <v>0</v>
      </c>
      <c r="AZ10" s="285" t="n">
        <v>6</v>
      </c>
      <c r="BA10" s="285" t="n">
        <v>72</v>
      </c>
      <c r="BB10" s="285" t="n">
        <v>188</v>
      </c>
      <c r="BC10" s="285" t="n">
        <v>0</v>
      </c>
      <c r="BD10" s="285" t="n">
        <v>28</v>
      </c>
      <c r="BE10" s="285" t="n">
        <v>0</v>
      </c>
      <c r="BF10" s="285" t="n">
        <v>0</v>
      </c>
      <c r="BG10" s="285" t="n">
        <v>0</v>
      </c>
      <c r="BH10" s="285" t="n">
        <v>53</v>
      </c>
      <c r="BI10" s="285" t="n">
        <v>2</v>
      </c>
      <c r="BJ10" s="285" t="n">
        <v>0</v>
      </c>
      <c r="BK10" s="285" t="n">
        <v>0</v>
      </c>
      <c r="BL10" s="285" t="n">
        <v>0</v>
      </c>
      <c r="BM10" s="285" t="n">
        <v>0</v>
      </c>
      <c r="BN10" s="285" t="n">
        <v>99001</v>
      </c>
      <c r="BO10" s="285" t="n">
        <v>1074.81556</v>
      </c>
      <c r="BR10" s="290" t="n">
        <f aca="false">AR10*1000/0.072</f>
        <v>6013888.88888889</v>
      </c>
      <c r="BS10" s="290" t="n">
        <f aca="false">AT10*1000/0.072</f>
        <v>1944444.44444444</v>
      </c>
      <c r="BT10" s="290" t="n">
        <f aca="false">AU10*1000/0.072</f>
        <v>0</v>
      </c>
      <c r="BU10" s="290" t="n">
        <f aca="false">SUM(BR10:BT10)</f>
        <v>7958333.33333333</v>
      </c>
      <c r="BV10" s="290" t="n">
        <f aca="false">AV10*1000/5</f>
        <v>0</v>
      </c>
      <c r="BW10" s="290" t="n">
        <f aca="false">AX10*1000/5</f>
        <v>0</v>
      </c>
      <c r="BX10" s="290" t="n">
        <f aca="false">AY10*1000/5</f>
        <v>0</v>
      </c>
      <c r="BY10" s="290" t="n">
        <f aca="false">SUM(BV10:BX10)</f>
        <v>0</v>
      </c>
      <c r="CA10" s="290" t="n">
        <f aca="false">IF($AM10="n",0,BR10)</f>
        <v>6013888.88888889</v>
      </c>
      <c r="CB10" s="290" t="n">
        <f aca="false">IF($AM10="n",0,BS10)</f>
        <v>1944444.44444444</v>
      </c>
      <c r="CC10" s="290" t="n">
        <f aca="false">IF($AM10="n",0,BT10)</f>
        <v>0</v>
      </c>
      <c r="CD10" s="290" t="n">
        <f aca="false">SUM(CA10:CC10)</f>
        <v>7958333.33333333</v>
      </c>
      <c r="CE10" s="290" t="n">
        <f aca="false">IF($AM$2="n",0,BV10)</f>
        <v>0</v>
      </c>
      <c r="CF10" s="290" t="n">
        <f aca="false">IF($AM$2="n",0,BW10)</f>
        <v>0</v>
      </c>
      <c r="CG10" s="290" t="n">
        <f aca="false">IF($AM$2="n",0,BX10)</f>
        <v>0</v>
      </c>
      <c r="CH10" s="290" t="n">
        <f aca="false">SUM(CE10:CG10)</f>
        <v>0</v>
      </c>
    </row>
    <row r="11" customFormat="false" ht="15" hidden="false" customHeight="true" outlineLevel="0" collapsed="false">
      <c r="A11" s="285" t="n">
        <v>302</v>
      </c>
      <c r="B11" s="285" t="s">
        <v>44</v>
      </c>
      <c r="C11" s="286" t="s">
        <v>79</v>
      </c>
      <c r="D11" s="287" t="s">
        <v>79</v>
      </c>
      <c r="E11" s="288" t="n">
        <f aca="false">IF(I11="regional",IF(R11*0.2975,S11*0.3484),S11*0.1939)</f>
        <v>390424.008</v>
      </c>
      <c r="F11" s="288" t="n">
        <v>0</v>
      </c>
      <c r="G11" s="289" t="n">
        <f aca="false">E11+F11</f>
        <v>390424.008</v>
      </c>
      <c r="H11" s="286"/>
      <c r="I11" s="287" t="s">
        <v>48</v>
      </c>
      <c r="J11" s="287" t="s">
        <v>44</v>
      </c>
      <c r="K11" s="287" t="s">
        <v>82</v>
      </c>
      <c r="L11" s="287"/>
      <c r="M11" s="317" t="n">
        <v>154</v>
      </c>
      <c r="N11" s="317" t="n">
        <v>0.951</v>
      </c>
      <c r="O11" s="317" t="n">
        <v>0.96</v>
      </c>
      <c r="P11" s="317" t="n">
        <v>0.908</v>
      </c>
      <c r="Q11" s="317" t="n">
        <v>0.886</v>
      </c>
      <c r="R11" s="317" t="n">
        <v>1310195</v>
      </c>
      <c r="S11" s="317" t="n">
        <v>1120620</v>
      </c>
      <c r="T11" s="318" t="n">
        <f aca="false">IF(I11="regional",IF(R11&gt;0,R11*0.2975,S11*0.3484),S11*0.1939)</f>
        <v>389783.0125</v>
      </c>
      <c r="U11" s="317" t="n">
        <v>738683</v>
      </c>
      <c r="V11" s="317" t="n">
        <v>381937</v>
      </c>
      <c r="W11" s="317" t="n">
        <v>5768</v>
      </c>
      <c r="X11" s="317" t="n">
        <v>0</v>
      </c>
      <c r="Y11" s="317" t="n">
        <v>0</v>
      </c>
      <c r="Z11" s="317" t="n">
        <v>0</v>
      </c>
      <c r="AA11" s="317" t="n">
        <v>1510403.013</v>
      </c>
      <c r="AB11" s="317" t="n">
        <v>389783.0125</v>
      </c>
      <c r="AC11" s="317" t="n">
        <v>1120620</v>
      </c>
      <c r="AD11" s="317" t="n">
        <v>0</v>
      </c>
      <c r="AE11" s="317" t="n">
        <v>0</v>
      </c>
      <c r="AF11" s="317" t="n">
        <v>1120620</v>
      </c>
      <c r="AG11" s="317" t="n">
        <v>0</v>
      </c>
      <c r="AH11" s="317" t="n">
        <v>714000</v>
      </c>
      <c r="AI11" s="317" t="n">
        <v>605000</v>
      </c>
      <c r="AJ11" s="286" t="n">
        <v>4</v>
      </c>
      <c r="AK11" s="286" t="s">
        <v>706</v>
      </c>
      <c r="AL11" s="287" t="s">
        <v>48</v>
      </c>
      <c r="AM11" s="286"/>
      <c r="AN11" s="287" t="s">
        <v>79</v>
      </c>
      <c r="AO11" s="287" t="n">
        <v>389783.0125</v>
      </c>
      <c r="AP11" s="319" t="n">
        <f aca="false">AR11+AT11+AU11+AV11+AX11+AY11+AZ11+BD11+BF11+BG11+BH11+BJ11+BK11+(BL11+BM11+BN11)/1000+(0.1*BO11)</f>
        <v>234.0072</v>
      </c>
      <c r="AQ11" s="319" t="n">
        <f aca="false">AR11+AT11+AU11+AV11+AX11+AY11+AZ11+BB11+BC11+BD11+BF11+BG11+BH11+BJ11+BK11+(BL11+BM11+BN11)/1000+(0.1*BO11)</f>
        <v>288.0072</v>
      </c>
      <c r="AR11" s="285" t="n">
        <v>47</v>
      </c>
      <c r="AS11" s="285" t="n">
        <v>605</v>
      </c>
      <c r="AT11" s="285" t="n">
        <v>81</v>
      </c>
      <c r="AU11" s="285" t="n">
        <v>11</v>
      </c>
      <c r="AV11" s="285" t="n">
        <v>0</v>
      </c>
      <c r="AW11" s="285" t="n">
        <v>0</v>
      </c>
      <c r="AX11" s="285" t="n">
        <v>5</v>
      </c>
      <c r="AY11" s="285" t="n">
        <v>0</v>
      </c>
      <c r="AZ11" s="285" t="n">
        <v>0</v>
      </c>
      <c r="BA11" s="285" t="n">
        <v>26</v>
      </c>
      <c r="BB11" s="285" t="n">
        <v>52</v>
      </c>
      <c r="BC11" s="285" t="n">
        <v>2</v>
      </c>
      <c r="BD11" s="285" t="n">
        <v>0</v>
      </c>
      <c r="BE11" s="285" t="n">
        <v>0</v>
      </c>
      <c r="BF11" s="285" t="n">
        <v>0</v>
      </c>
      <c r="BG11" s="285" t="n">
        <v>0</v>
      </c>
      <c r="BH11" s="285" t="n">
        <v>0</v>
      </c>
      <c r="BI11" s="285" t="n">
        <v>0</v>
      </c>
      <c r="BJ11" s="285" t="n">
        <v>0</v>
      </c>
      <c r="BK11" s="285" t="n">
        <v>0</v>
      </c>
      <c r="BL11" s="285" t="n">
        <v>5552</v>
      </c>
      <c r="BM11" s="285" t="n">
        <v>0</v>
      </c>
      <c r="BN11" s="285" t="n">
        <v>51913</v>
      </c>
      <c r="BO11" s="285" t="n">
        <v>325.422</v>
      </c>
      <c r="BR11" s="290" t="n">
        <f aca="false">AR11*1000/0.072</f>
        <v>652777.777777778</v>
      </c>
      <c r="BS11" s="290" t="n">
        <f aca="false">AT11*1000/0.072</f>
        <v>1125000</v>
      </c>
      <c r="BT11" s="290" t="n">
        <f aca="false">AU11*1000/0.072</f>
        <v>152777.777777778</v>
      </c>
      <c r="BU11" s="290" t="n">
        <f aca="false">SUM(BR11:BT11)</f>
        <v>1930555.55555556</v>
      </c>
      <c r="BV11" s="290" t="n">
        <f aca="false">AV11*1000/5</f>
        <v>0</v>
      </c>
      <c r="BW11" s="290" t="n">
        <f aca="false">AX11*1000/5</f>
        <v>1000</v>
      </c>
      <c r="BX11" s="290" t="n">
        <f aca="false">AY11*1000/5</f>
        <v>0</v>
      </c>
      <c r="BY11" s="290" t="n">
        <f aca="false">SUM(BV11:BX11)</f>
        <v>1000</v>
      </c>
      <c r="CA11" s="290" t="n">
        <f aca="false">IF($AM11="n",0,BR11)</f>
        <v>652777.777777778</v>
      </c>
      <c r="CB11" s="290" t="n">
        <f aca="false">IF($AM11="n",0,BS11)</f>
        <v>1125000</v>
      </c>
      <c r="CC11" s="290" t="n">
        <f aca="false">IF($AM11="n",0,BT11)</f>
        <v>152777.777777778</v>
      </c>
      <c r="CD11" s="290" t="n">
        <f aca="false">SUM(CA11:CC11)</f>
        <v>1930555.55555556</v>
      </c>
      <c r="CE11" s="290" t="n">
        <f aca="false">IF($AM$2="n",0,BV11)</f>
        <v>0</v>
      </c>
      <c r="CF11" s="290" t="n">
        <f aca="false">IF($AM$2="n",0,BW11)</f>
        <v>1000</v>
      </c>
      <c r="CG11" s="290" t="n">
        <f aca="false">IF($AM$2="n",0,BX11)</f>
        <v>0</v>
      </c>
      <c r="CH11" s="290" t="n">
        <f aca="false">SUM(CE11:CG11)</f>
        <v>1000</v>
      </c>
    </row>
    <row r="12" customFormat="false" ht="15" hidden="false" customHeight="true" outlineLevel="0" collapsed="false">
      <c r="A12" s="285" t="n">
        <v>8099</v>
      </c>
      <c r="B12" s="285"/>
      <c r="C12" s="286" t="s">
        <v>83</v>
      </c>
      <c r="D12" s="287" t="s">
        <v>83</v>
      </c>
      <c r="E12" s="288" t="n">
        <f aca="false">IF(I12="regional",IF(R12*0.2975,S12*0.3484),S12*0.1939)</f>
        <v>223744.9188</v>
      </c>
      <c r="F12" s="288" t="n">
        <v>0</v>
      </c>
      <c r="G12" s="289" t="n">
        <f aca="false">E12+F12</f>
        <v>223744.9188</v>
      </c>
      <c r="H12" s="286"/>
      <c r="I12" s="287" t="s">
        <v>48</v>
      </c>
      <c r="J12" s="287" t="s">
        <v>49</v>
      </c>
      <c r="K12" s="287" t="s">
        <v>86</v>
      </c>
      <c r="L12" s="287"/>
      <c r="M12" s="317" t="n">
        <v>74</v>
      </c>
      <c r="N12" s="317" t="n">
        <v>0.834</v>
      </c>
      <c r="O12" s="317" t="n">
        <v>0.888</v>
      </c>
      <c r="P12" s="317" t="n">
        <v>0.877</v>
      </c>
      <c r="Q12" s="317" t="n">
        <v>0.855</v>
      </c>
      <c r="R12" s="317" t="n">
        <v>664194</v>
      </c>
      <c r="S12" s="317" t="n">
        <v>642207</v>
      </c>
      <c r="T12" s="318" t="n">
        <f aca="false">IF(I12="regional",IF(R12&gt;0,R12*0.2975,S12*0.3484),S12*0.1939)</f>
        <v>197597.715</v>
      </c>
      <c r="U12" s="317" t="n">
        <v>445150</v>
      </c>
      <c r="V12" s="317" t="n">
        <v>197057</v>
      </c>
      <c r="W12" s="317" t="n">
        <v>3589</v>
      </c>
      <c r="X12" s="317" t="n">
        <v>0</v>
      </c>
      <c r="Y12" s="317" t="n">
        <v>0</v>
      </c>
      <c r="Z12" s="317" t="n">
        <v>0</v>
      </c>
      <c r="AA12" s="317" t="n">
        <v>839804.715</v>
      </c>
      <c r="AB12" s="317" t="n">
        <v>197597.715</v>
      </c>
      <c r="AC12" s="317" t="n">
        <v>642207</v>
      </c>
      <c r="AD12" s="317" t="n">
        <v>0</v>
      </c>
      <c r="AE12" s="317" t="n">
        <v>0</v>
      </c>
      <c r="AF12" s="317" t="n">
        <v>0</v>
      </c>
      <c r="AG12" s="317" t="n">
        <v>642207</v>
      </c>
      <c r="AH12" s="317" t="n">
        <v>0</v>
      </c>
      <c r="AI12" s="317" t="n">
        <v>0</v>
      </c>
      <c r="AJ12" s="286" t="n">
        <v>4</v>
      </c>
      <c r="AK12" s="286" t="s">
        <v>706</v>
      </c>
      <c r="AL12" s="287" t="s">
        <v>48</v>
      </c>
      <c r="AM12" s="286"/>
      <c r="AN12" s="287" t="s">
        <v>83</v>
      </c>
      <c r="AO12" s="287" t="n">
        <v>197597.715</v>
      </c>
      <c r="AP12" s="319" t="n">
        <f aca="false">AR12+AT12+AU12+AV12+AX12+AY12+AZ12+BD12+BF12+BG12+BH12+BJ12+BK12+(BL12+BM12+BN12)/1000+(0.1*BO12)</f>
        <v>59</v>
      </c>
      <c r="AQ12" s="319" t="n">
        <f aca="false">AR12+AT12+AU12+AV12+AX12+AY12+AZ12+BB12+BC12+BD12+BF12+BG12+BH12+BJ12+BK12+(BL12+BM12+BN12)/1000+(0.1*BO12)</f>
        <v>65</v>
      </c>
      <c r="AR12" s="285" t="n">
        <v>0</v>
      </c>
      <c r="AS12" s="285" t="n">
        <v>0</v>
      </c>
      <c r="AT12" s="285" t="n">
        <v>2</v>
      </c>
      <c r="AU12" s="285" t="n">
        <v>2</v>
      </c>
      <c r="AV12" s="285" t="n">
        <v>0</v>
      </c>
      <c r="AW12" s="285" t="n">
        <v>0</v>
      </c>
      <c r="AX12" s="285" t="n">
        <v>54</v>
      </c>
      <c r="AY12" s="285" t="n">
        <v>1</v>
      </c>
      <c r="AZ12" s="285" t="n">
        <v>0</v>
      </c>
      <c r="BA12" s="285" t="n">
        <v>0</v>
      </c>
      <c r="BB12" s="285" t="n">
        <v>5</v>
      </c>
      <c r="BC12" s="285" t="n">
        <v>1</v>
      </c>
      <c r="BD12" s="285" t="n">
        <v>0</v>
      </c>
      <c r="BE12" s="285" t="n">
        <v>0</v>
      </c>
      <c r="BF12" s="285" t="n">
        <v>0</v>
      </c>
      <c r="BG12" s="285" t="n">
        <v>0</v>
      </c>
      <c r="BH12" s="285" t="n">
        <v>0</v>
      </c>
      <c r="BI12" s="285" t="n">
        <v>0</v>
      </c>
      <c r="BJ12" s="285" t="n">
        <v>0</v>
      </c>
      <c r="BK12" s="285" t="n">
        <v>0</v>
      </c>
      <c r="BL12" s="285" t="n">
        <v>0</v>
      </c>
      <c r="BM12" s="285" t="n">
        <v>0</v>
      </c>
      <c r="BN12" s="285" t="n">
        <v>0</v>
      </c>
      <c r="BO12" s="285" t="n">
        <v>0</v>
      </c>
      <c r="BR12" s="290" t="n">
        <f aca="false">AR12*1000/0.072</f>
        <v>0</v>
      </c>
      <c r="BS12" s="290" t="n">
        <f aca="false">AT12*1000/0.072</f>
        <v>27777.7777777778</v>
      </c>
      <c r="BT12" s="290" t="n">
        <f aca="false">AU12*1000/0.072</f>
        <v>27777.7777777778</v>
      </c>
      <c r="BU12" s="290" t="n">
        <f aca="false">SUM(BR12:BT12)</f>
        <v>55555.5555555556</v>
      </c>
      <c r="BV12" s="290" t="n">
        <f aca="false">AV12*1000/5</f>
        <v>0</v>
      </c>
      <c r="BW12" s="290" t="n">
        <f aca="false">AX12*1000/5</f>
        <v>10800</v>
      </c>
      <c r="BX12" s="290" t="n">
        <f aca="false">AY12*1000/5</f>
        <v>200</v>
      </c>
      <c r="BY12" s="290" t="n">
        <f aca="false">SUM(BV12:BX12)</f>
        <v>11000</v>
      </c>
      <c r="CA12" s="290" t="n">
        <f aca="false">IF($AM12="n",0,BR12)</f>
        <v>0</v>
      </c>
      <c r="CB12" s="290" t="n">
        <f aca="false">IF($AM12="n",0,BS12)</f>
        <v>27777.7777777778</v>
      </c>
      <c r="CC12" s="290" t="n">
        <f aca="false">IF($AM12="n",0,BT12)</f>
        <v>27777.7777777778</v>
      </c>
      <c r="CD12" s="290" t="n">
        <f aca="false">SUM(CA12:CC12)</f>
        <v>55555.5555555556</v>
      </c>
      <c r="CE12" s="290" t="n">
        <f aca="false">IF($AM$2="n",0,BV12)</f>
        <v>0</v>
      </c>
      <c r="CF12" s="290" t="n">
        <f aca="false">IF($AM$2="n",0,BW12)</f>
        <v>10800</v>
      </c>
      <c r="CG12" s="290" t="n">
        <f aca="false">IF($AM$2="n",0,BX12)</f>
        <v>200</v>
      </c>
      <c r="CH12" s="290" t="n">
        <f aca="false">SUM(CE12:CG12)</f>
        <v>11000</v>
      </c>
    </row>
    <row r="13" customFormat="false" ht="15" hidden="false" customHeight="true" outlineLevel="0" collapsed="false">
      <c r="A13" s="285" t="n">
        <v>8115</v>
      </c>
      <c r="B13" s="285" t="s">
        <v>44</v>
      </c>
      <c r="C13" s="286" t="s">
        <v>87</v>
      </c>
      <c r="D13" s="287" t="s">
        <v>87</v>
      </c>
      <c r="E13" s="288" t="n">
        <f aca="false">IF(I13="regional",IF(R13*0.2975,S13*0.3484),S13*0.1939)</f>
        <v>363662.0104</v>
      </c>
      <c r="F13" s="288" t="n">
        <v>0</v>
      </c>
      <c r="G13" s="289" t="n">
        <f aca="false">E13+F13</f>
        <v>363662.0104</v>
      </c>
      <c r="H13" s="286"/>
      <c r="I13" s="287" t="s">
        <v>48</v>
      </c>
      <c r="J13" s="287" t="s">
        <v>44</v>
      </c>
      <c r="K13" s="287" t="s">
        <v>90</v>
      </c>
      <c r="L13" s="287"/>
      <c r="M13" s="317" t="n">
        <v>158</v>
      </c>
      <c r="N13" s="317" t="n">
        <v>0.878</v>
      </c>
      <c r="O13" s="317" t="n">
        <v>0.894</v>
      </c>
      <c r="P13" s="317" t="n">
        <v>0.887</v>
      </c>
      <c r="Q13" s="317" t="n">
        <v>0.873</v>
      </c>
      <c r="R13" s="317" t="n">
        <v>1193429</v>
      </c>
      <c r="S13" s="317" t="n">
        <v>1043806</v>
      </c>
      <c r="T13" s="318" t="n">
        <f aca="false">IF(I13="regional",IF(R13&gt;0,R13*0.2975,S13*0.3484),S13*0.1939)</f>
        <v>355045.1275</v>
      </c>
      <c r="U13" s="317" t="n">
        <v>541973</v>
      </c>
      <c r="V13" s="317" t="n">
        <v>501833</v>
      </c>
      <c r="W13" s="317" t="n">
        <v>5072</v>
      </c>
      <c r="X13" s="317" t="n">
        <v>0</v>
      </c>
      <c r="Y13" s="317" t="n">
        <v>0</v>
      </c>
      <c r="Z13" s="317" t="n">
        <v>0</v>
      </c>
      <c r="AA13" s="317" t="n">
        <v>1398851.128</v>
      </c>
      <c r="AB13" s="317" t="n">
        <v>355045.1275</v>
      </c>
      <c r="AC13" s="317" t="n">
        <v>1043806</v>
      </c>
      <c r="AD13" s="317" t="n">
        <v>0</v>
      </c>
      <c r="AE13" s="317" t="n">
        <v>0</v>
      </c>
      <c r="AF13" s="317" t="n">
        <v>1043806</v>
      </c>
      <c r="AG13" s="317" t="n">
        <v>0</v>
      </c>
      <c r="AH13" s="317" t="n">
        <v>591000</v>
      </c>
      <c r="AI13" s="317" t="n">
        <v>565000</v>
      </c>
      <c r="AJ13" s="286" t="s">
        <v>715</v>
      </c>
      <c r="AK13" s="286" t="s">
        <v>716</v>
      </c>
      <c r="AL13" s="287" t="s">
        <v>48</v>
      </c>
      <c r="AM13" s="286"/>
      <c r="AN13" s="287" t="s">
        <v>87</v>
      </c>
      <c r="AO13" s="287" t="n">
        <v>355045.1275</v>
      </c>
      <c r="AP13" s="319" t="n">
        <f aca="false">AR13+AT13+AU13+AV13+AX13+AY13+AZ13+BD13+BF13+BG13+BH13+BJ13+BK13+(BL13+BM13+BN13)/1000+(0.1*BO13)</f>
        <v>468.318914</v>
      </c>
      <c r="AQ13" s="319" t="n">
        <f aca="false">AR13+AT13+AU13+AV13+AX13+AY13+AZ13+BB13+BC13+BD13+BF13+BG13+BH13+BJ13+BK13+(BL13+BM13+BN13)/1000+(0.1*BO13)</f>
        <v>541.318914</v>
      </c>
      <c r="AR13" s="285" t="n">
        <v>0</v>
      </c>
      <c r="AS13" s="285" t="n">
        <v>565</v>
      </c>
      <c r="AT13" s="285" t="n">
        <v>346</v>
      </c>
      <c r="AU13" s="285" t="n">
        <v>-20</v>
      </c>
      <c r="AV13" s="285" t="n">
        <v>0</v>
      </c>
      <c r="AW13" s="285" t="n">
        <v>0</v>
      </c>
      <c r="AX13" s="285" t="n">
        <v>83</v>
      </c>
      <c r="AY13" s="285" t="n">
        <v>15</v>
      </c>
      <c r="AZ13" s="285" t="n">
        <v>0</v>
      </c>
      <c r="BA13" s="285" t="n">
        <v>0</v>
      </c>
      <c r="BB13" s="285" t="n">
        <v>66</v>
      </c>
      <c r="BC13" s="285" t="n">
        <v>7</v>
      </c>
      <c r="BD13" s="285" t="n">
        <v>5</v>
      </c>
      <c r="BE13" s="285" t="n">
        <v>0</v>
      </c>
      <c r="BF13" s="285" t="n">
        <v>0</v>
      </c>
      <c r="BG13" s="285" t="n">
        <v>0</v>
      </c>
      <c r="BH13" s="285" t="n">
        <v>0</v>
      </c>
      <c r="BI13" s="285" t="n">
        <v>0</v>
      </c>
      <c r="BJ13" s="285" t="n">
        <v>0</v>
      </c>
      <c r="BK13" s="285" t="n">
        <v>0</v>
      </c>
      <c r="BL13" s="285" t="n">
        <v>0</v>
      </c>
      <c r="BM13" s="285" t="n">
        <v>0</v>
      </c>
      <c r="BN13" s="285" t="n">
        <v>0</v>
      </c>
      <c r="BO13" s="285" t="n">
        <v>393.18914</v>
      </c>
      <c r="BR13" s="290" t="n">
        <f aca="false">AR13*1000/0.072</f>
        <v>0</v>
      </c>
      <c r="BS13" s="290" t="n">
        <f aca="false">AT13*1000/0.072</f>
        <v>4805555.55555556</v>
      </c>
      <c r="BT13" s="290" t="n">
        <f aca="false">AU13*1000/0.072</f>
        <v>-277777.777777778</v>
      </c>
      <c r="BU13" s="290" t="n">
        <f aca="false">SUM(BR13:BT13)</f>
        <v>4527777.77777778</v>
      </c>
      <c r="BV13" s="290" t="n">
        <f aca="false">AV13*1000/5</f>
        <v>0</v>
      </c>
      <c r="BW13" s="290" t="n">
        <f aca="false">AX13*1000/5</f>
        <v>16600</v>
      </c>
      <c r="BX13" s="290" t="n">
        <f aca="false">AY13*1000/5</f>
        <v>3000</v>
      </c>
      <c r="BY13" s="290" t="n">
        <f aca="false">SUM(BV13:BX13)</f>
        <v>19600</v>
      </c>
      <c r="CA13" s="290" t="n">
        <f aca="false">IF($AM13="n",0,BR13)</f>
        <v>0</v>
      </c>
      <c r="CB13" s="290" t="n">
        <f aca="false">IF($AM13="n",0,BS13)</f>
        <v>4805555.55555556</v>
      </c>
      <c r="CC13" s="290" t="n">
        <f aca="false">IF($AM13="n",0,BT13)</f>
        <v>-277777.777777778</v>
      </c>
      <c r="CD13" s="290" t="n">
        <f aca="false">SUM(CA13:CC13)</f>
        <v>4527777.77777778</v>
      </c>
      <c r="CE13" s="290" t="n">
        <f aca="false">IF($AM$2="n",0,BV13)</f>
        <v>0</v>
      </c>
      <c r="CF13" s="290" t="n">
        <f aca="false">IF($AM$2="n",0,BW13)</f>
        <v>16600</v>
      </c>
      <c r="CG13" s="290" t="n">
        <f aca="false">IF($AM$2="n",0,BX13)</f>
        <v>3000</v>
      </c>
      <c r="CH13" s="290" t="n">
        <f aca="false">SUM(CE13:CG13)</f>
        <v>19600</v>
      </c>
    </row>
    <row r="14" customFormat="false" ht="15" hidden="false" customHeight="true" outlineLevel="0" collapsed="false">
      <c r="A14" s="285" t="n">
        <v>8120</v>
      </c>
      <c r="B14" s="285"/>
      <c r="C14" s="286" t="s">
        <v>92</v>
      </c>
      <c r="D14" s="287" t="s">
        <v>92</v>
      </c>
      <c r="E14" s="288" t="n">
        <f aca="false">IF(I14="regional",IF(R14*0.2975,S14*0.3484),S14*0.1939)</f>
        <v>172162.2084</v>
      </c>
      <c r="F14" s="288" t="n">
        <v>0</v>
      </c>
      <c r="G14" s="289" t="n">
        <f aca="false">E14+F14</f>
        <v>172162.2084</v>
      </c>
      <c r="H14" s="286" t="s">
        <v>49</v>
      </c>
      <c r="I14" s="287" t="s">
        <v>48</v>
      </c>
      <c r="J14" s="287" t="s">
        <v>49</v>
      </c>
      <c r="K14" s="287" t="s">
        <v>95</v>
      </c>
      <c r="L14" s="287"/>
      <c r="M14" s="317" t="n">
        <v>97</v>
      </c>
      <c r="N14" s="317" t="n">
        <v>0.842</v>
      </c>
      <c r="O14" s="317" t="n">
        <v>0.847</v>
      </c>
      <c r="P14" s="317" t="n">
        <v>0.804</v>
      </c>
      <c r="Q14" s="317" t="n">
        <v>0.748</v>
      </c>
      <c r="R14" s="317" t="n">
        <v>620910</v>
      </c>
      <c r="S14" s="317" t="n">
        <v>494151</v>
      </c>
      <c r="T14" s="318" t="n">
        <f aca="false">IF(I14="regional",IF(R14&gt;0,R14*0.2975,S14*0.3484),S14*0.1939)</f>
        <v>184720.725</v>
      </c>
      <c r="U14" s="317" t="n">
        <v>242576</v>
      </c>
      <c r="V14" s="317" t="n">
        <v>251575</v>
      </c>
      <c r="W14" s="317" t="n">
        <v>3127</v>
      </c>
      <c r="X14" s="317" t="n">
        <v>0</v>
      </c>
      <c r="Y14" s="317" t="n">
        <v>0</v>
      </c>
      <c r="Z14" s="317" t="n">
        <v>0</v>
      </c>
      <c r="AA14" s="317" t="n">
        <v>678871.725</v>
      </c>
      <c r="AB14" s="317" t="n">
        <v>184720.725</v>
      </c>
      <c r="AC14" s="317" t="n">
        <v>494151</v>
      </c>
      <c r="AD14" s="317" t="n">
        <v>0</v>
      </c>
      <c r="AE14" s="317" t="n">
        <v>0</v>
      </c>
      <c r="AF14" s="317" t="n">
        <v>0</v>
      </c>
      <c r="AG14" s="317" t="n">
        <v>494151</v>
      </c>
      <c r="AH14" s="317" t="n">
        <v>0</v>
      </c>
      <c r="AI14" s="317" t="n">
        <v>0</v>
      </c>
      <c r="AJ14" s="286" t="s">
        <v>707</v>
      </c>
      <c r="AK14" s="286" t="s">
        <v>712</v>
      </c>
      <c r="AL14" s="287" t="s">
        <v>48</v>
      </c>
      <c r="AM14" s="286" t="s">
        <v>49</v>
      </c>
      <c r="AN14" s="287" t="s">
        <v>92</v>
      </c>
      <c r="AO14" s="287" t="n">
        <v>184720.725</v>
      </c>
      <c r="AP14" s="319" t="n">
        <f aca="false">AR14+AT14+AU14+AV14+AX14+AY14+AZ14+BD14+BF14+BG14+BH14+BJ14+BK14+(BL14+BM14+BN14)/1000+(0.1*BO14)</f>
        <v>236.3856</v>
      </c>
      <c r="AQ14" s="319" t="n">
        <f aca="false">AR14+AT14+AU14+AV14+AX14+AY14+AZ14+BB14+BC14+BD14+BF14+BG14+BH14+BJ14+BK14+(BL14+BM14+BN14)/1000+(0.1*BO14)</f>
        <v>252.3856</v>
      </c>
      <c r="AR14" s="285" t="n">
        <v>0</v>
      </c>
      <c r="AS14" s="285" t="n">
        <v>0</v>
      </c>
      <c r="AT14" s="285" t="n">
        <v>156</v>
      </c>
      <c r="AU14" s="285" t="n">
        <v>0</v>
      </c>
      <c r="AV14" s="285" t="n">
        <v>0</v>
      </c>
      <c r="AW14" s="285" t="n">
        <v>0</v>
      </c>
      <c r="AX14" s="285" t="n">
        <v>23</v>
      </c>
      <c r="AY14" s="285" t="n">
        <v>0</v>
      </c>
      <c r="AZ14" s="285" t="n">
        <v>0</v>
      </c>
      <c r="BA14" s="285" t="n">
        <v>0</v>
      </c>
      <c r="BB14" s="285" t="n">
        <v>16</v>
      </c>
      <c r="BC14" s="285" t="n">
        <v>0</v>
      </c>
      <c r="BD14" s="285" t="n">
        <v>0</v>
      </c>
      <c r="BE14" s="285" t="n">
        <v>0</v>
      </c>
      <c r="BF14" s="285" t="n">
        <v>0</v>
      </c>
      <c r="BG14" s="285" t="n">
        <v>0</v>
      </c>
      <c r="BH14" s="285" t="n">
        <v>0</v>
      </c>
      <c r="BI14" s="285" t="n">
        <v>0</v>
      </c>
      <c r="BJ14" s="285" t="n">
        <v>0</v>
      </c>
      <c r="BK14" s="285" t="n">
        <v>0</v>
      </c>
      <c r="BL14" s="285" t="n">
        <v>0</v>
      </c>
      <c r="BM14" s="285" t="n">
        <v>0</v>
      </c>
      <c r="BN14" s="285" t="n">
        <v>0</v>
      </c>
      <c r="BO14" s="285" t="n">
        <v>573.856</v>
      </c>
      <c r="BR14" s="290" t="n">
        <f aca="false">AR14*1000/0.072</f>
        <v>0</v>
      </c>
      <c r="BS14" s="290" t="n">
        <f aca="false">AT14*1000/0.072</f>
        <v>2166666.66666667</v>
      </c>
      <c r="BT14" s="290" t="n">
        <f aca="false">AU14*1000/0.072</f>
        <v>0</v>
      </c>
      <c r="BU14" s="290" t="n">
        <f aca="false">SUM(BR14:BT14)</f>
        <v>2166666.66666667</v>
      </c>
      <c r="BV14" s="290" t="n">
        <f aca="false">AV14*1000/5</f>
        <v>0</v>
      </c>
      <c r="BW14" s="290" t="n">
        <f aca="false">AX14*1000/5</f>
        <v>4600</v>
      </c>
      <c r="BX14" s="290" t="n">
        <f aca="false">AY14*1000/5</f>
        <v>0</v>
      </c>
      <c r="BY14" s="290" t="n">
        <f aca="false">SUM(BV14:BX14)</f>
        <v>4600</v>
      </c>
      <c r="CA14" s="290" t="n">
        <f aca="false">IF($AM14="n",0,BR14)</f>
        <v>0</v>
      </c>
      <c r="CB14" s="290" t="n">
        <f aca="false">IF($AM14="n",0,BS14)</f>
        <v>0</v>
      </c>
      <c r="CC14" s="290" t="n">
        <f aca="false">IF($AM14="n",0,BT14)</f>
        <v>0</v>
      </c>
      <c r="CD14" s="290" t="n">
        <f aca="false">SUM(CA14:CC14)</f>
        <v>0</v>
      </c>
      <c r="CE14" s="290" t="n">
        <f aca="false">IF($AM$2="n",0,BV14)</f>
        <v>0</v>
      </c>
      <c r="CF14" s="290" t="n">
        <f aca="false">IF($AM$2="n",0,BW14)</f>
        <v>4600</v>
      </c>
      <c r="CG14" s="290" t="n">
        <f aca="false">IF($AM$2="n",0,BX14)</f>
        <v>0</v>
      </c>
      <c r="CH14" s="290" t="n">
        <f aca="false">SUM(CE14:CG14)</f>
        <v>4600</v>
      </c>
    </row>
    <row r="15" customFormat="false" ht="15" hidden="false" customHeight="true" outlineLevel="0" collapsed="false">
      <c r="A15" s="295" t="n">
        <v>572</v>
      </c>
      <c r="B15" s="295"/>
      <c r="C15" s="295" t="s">
        <v>717</v>
      </c>
      <c r="D15" s="296" t="s">
        <v>717</v>
      </c>
      <c r="E15" s="288" t="n">
        <f aca="false">IF(I15="regional",IF(R15*0.2975,S15*0.3484),S15*0.1939)</f>
        <v>0</v>
      </c>
      <c r="F15" s="297"/>
      <c r="G15" s="289" t="n">
        <f aca="false">E15+F15</f>
        <v>0</v>
      </c>
      <c r="H15" s="295"/>
      <c r="I15" s="296" t="s">
        <v>718</v>
      </c>
      <c r="J15" s="296"/>
      <c r="K15" s="296"/>
      <c r="L15" s="296"/>
      <c r="M15" s="296"/>
      <c r="N15" s="296"/>
      <c r="O15" s="296"/>
      <c r="P15" s="296"/>
      <c r="Q15" s="296"/>
      <c r="R15" s="296"/>
      <c r="S15" s="296"/>
      <c r="T15" s="318" t="n">
        <f aca="false">IF(I15="regional",IF(R15&gt;0,R15*0.2975,S15*0.3484),S15*0.1939)</f>
        <v>0</v>
      </c>
      <c r="U15" s="296"/>
      <c r="V15" s="296"/>
      <c r="W15" s="296"/>
      <c r="X15" s="296"/>
      <c r="Y15" s="296"/>
      <c r="Z15" s="296"/>
      <c r="AA15" s="296"/>
      <c r="AB15" s="296"/>
      <c r="AC15" s="296"/>
      <c r="AD15" s="296"/>
      <c r="AE15" s="296"/>
      <c r="AF15" s="296"/>
      <c r="AG15" s="296"/>
      <c r="AH15" s="296"/>
      <c r="AI15" s="296"/>
      <c r="AJ15" s="295"/>
      <c r="AK15" s="295"/>
      <c r="AL15" s="295" t="s">
        <v>718</v>
      </c>
      <c r="AM15" s="295"/>
      <c r="AN15" s="295"/>
      <c r="AO15" s="295"/>
      <c r="AP15" s="325"/>
      <c r="AQ15" s="319" t="n">
        <f aca="false">AR15+AT15+AU15+AV15+AX15+AY15+AZ15+BB15+BC15+BD15+BF15+BG15+BH15+BJ15+BK15+(BL15+BM15+BN15)/1000+(0.1*BO15)</f>
        <v>0</v>
      </c>
      <c r="AR15" s="326"/>
      <c r="AS15" s="326"/>
      <c r="AT15" s="326"/>
      <c r="AU15" s="326"/>
      <c r="AV15" s="295"/>
      <c r="AW15" s="295"/>
      <c r="AX15" s="295"/>
      <c r="AY15" s="295"/>
      <c r="AZ15" s="326"/>
      <c r="BA15" s="326"/>
      <c r="BB15" s="326"/>
      <c r="BC15" s="326"/>
      <c r="BD15" s="326"/>
      <c r="BE15" s="326"/>
      <c r="BF15" s="326"/>
      <c r="BG15" s="326"/>
      <c r="BH15" s="326"/>
      <c r="BI15" s="326"/>
      <c r="BJ15" s="326"/>
      <c r="BK15" s="326"/>
      <c r="BL15" s="295"/>
      <c r="BM15" s="295"/>
      <c r="BN15" s="295"/>
      <c r="BO15" s="295"/>
      <c r="BP15" s="324"/>
      <c r="BR15" s="290" t="n">
        <f aca="false">AR15*1000/0.072</f>
        <v>0</v>
      </c>
      <c r="BS15" s="290" t="n">
        <f aca="false">AT15*1000/0.072</f>
        <v>0</v>
      </c>
      <c r="BT15" s="290" t="n">
        <f aca="false">AU15*1000/0.072</f>
        <v>0</v>
      </c>
      <c r="BU15" s="290" t="n">
        <f aca="false">SUM(BR15:BT15)</f>
        <v>0</v>
      </c>
      <c r="BV15" s="290" t="n">
        <f aca="false">AV15*1000/5</f>
        <v>0</v>
      </c>
      <c r="BW15" s="290" t="n">
        <f aca="false">AX15*1000/5</f>
        <v>0</v>
      </c>
      <c r="BX15" s="290" t="n">
        <f aca="false">AY15*1000/5</f>
        <v>0</v>
      </c>
      <c r="BY15" s="290" t="n">
        <f aca="false">SUM(BV15:BX15)</f>
        <v>0</v>
      </c>
      <c r="CA15" s="290" t="n">
        <f aca="false">IF($AM15="n",0,BR15)</f>
        <v>0</v>
      </c>
      <c r="CB15" s="290" t="n">
        <f aca="false">IF($AM15="n",0,BS15)</f>
        <v>0</v>
      </c>
      <c r="CC15" s="290" t="n">
        <f aca="false">IF($AM15="n",0,BT15)</f>
        <v>0</v>
      </c>
      <c r="CD15" s="290" t="n">
        <f aca="false">SUM(CA15:CC15)</f>
        <v>0</v>
      </c>
      <c r="CE15" s="290" t="n">
        <f aca="false">IF($AM$2="n",0,BV15)</f>
        <v>0</v>
      </c>
      <c r="CF15" s="290" t="n">
        <f aca="false">IF($AM$2="n",0,BW15)</f>
        <v>0</v>
      </c>
      <c r="CG15" s="290" t="n">
        <f aca="false">IF($AM$2="n",0,BX15)</f>
        <v>0</v>
      </c>
      <c r="CH15" s="290" t="n">
        <f aca="false">SUM(CE15:CG15)</f>
        <v>0</v>
      </c>
      <c r="CJ15" s="324"/>
      <c r="CK15" s="324"/>
      <c r="CL15" s="324"/>
      <c r="CM15" s="324"/>
      <c r="CN15" s="324"/>
      <c r="CO15" s="324"/>
      <c r="CP15" s="324"/>
      <c r="CQ15" s="324"/>
      <c r="CR15" s="324"/>
      <c r="CS15" s="324"/>
      <c r="CT15" s="324"/>
      <c r="CU15" s="324"/>
      <c r="CV15" s="324"/>
      <c r="CW15" s="324"/>
      <c r="CX15" s="324"/>
      <c r="CY15" s="324"/>
      <c r="CZ15" s="324"/>
      <c r="DA15" s="324"/>
      <c r="DB15" s="324"/>
      <c r="DC15" s="324"/>
      <c r="DD15" s="324"/>
      <c r="DE15" s="324"/>
      <c r="DF15" s="324"/>
      <c r="DG15" s="324"/>
      <c r="DH15" s="324"/>
      <c r="DI15" s="324"/>
      <c r="DJ15" s="324"/>
      <c r="DK15" s="324"/>
      <c r="DL15" s="324"/>
      <c r="DM15" s="324"/>
      <c r="DN15" s="324"/>
      <c r="DO15" s="324"/>
      <c r="DP15" s="324"/>
      <c r="DQ15" s="324"/>
      <c r="DR15" s="324"/>
      <c r="DS15" s="324"/>
      <c r="DT15" s="324"/>
      <c r="DU15" s="324"/>
      <c r="DV15" s="324"/>
      <c r="DW15" s="324"/>
      <c r="DX15" s="324"/>
      <c r="DY15" s="324"/>
      <c r="DZ15" s="324"/>
      <c r="EA15" s="324"/>
      <c r="EB15" s="324"/>
      <c r="EC15" s="324"/>
      <c r="ED15" s="324"/>
      <c r="EE15" s="324"/>
      <c r="EF15" s="324"/>
      <c r="EG15" s="324"/>
      <c r="EH15" s="324"/>
      <c r="EI15" s="324"/>
      <c r="EJ15" s="324"/>
      <c r="EK15" s="324"/>
      <c r="EL15" s="324"/>
      <c r="EM15" s="324"/>
      <c r="EN15" s="324"/>
      <c r="EO15" s="324"/>
      <c r="EP15" s="324"/>
      <c r="EQ15" s="324"/>
      <c r="ER15" s="324"/>
      <c r="ES15" s="324"/>
      <c r="ET15" s="324"/>
      <c r="EU15" s="324"/>
      <c r="EV15" s="324"/>
      <c r="EW15" s="324"/>
      <c r="EX15" s="324"/>
      <c r="EY15" s="324"/>
      <c r="EZ15" s="324"/>
      <c r="FA15" s="324"/>
      <c r="FB15" s="324"/>
      <c r="FC15" s="324"/>
      <c r="FD15" s="324"/>
      <c r="FE15" s="324"/>
      <c r="FF15" s="324"/>
      <c r="FG15" s="324"/>
      <c r="FH15" s="324"/>
      <c r="FI15" s="324"/>
      <c r="FJ15" s="324"/>
      <c r="FK15" s="324"/>
      <c r="FL15" s="324"/>
      <c r="FM15" s="324"/>
      <c r="FN15" s="324"/>
      <c r="FO15" s="324"/>
      <c r="FP15" s="324"/>
      <c r="FQ15" s="324"/>
      <c r="FR15" s="324"/>
      <c r="FS15" s="324"/>
      <c r="FT15" s="324"/>
      <c r="FU15" s="324"/>
      <c r="FV15" s="324"/>
      <c r="FW15" s="324"/>
      <c r="FX15" s="324"/>
      <c r="FY15" s="324"/>
      <c r="FZ15" s="324"/>
      <c r="GA15" s="324"/>
      <c r="GB15" s="324"/>
      <c r="GC15" s="324"/>
      <c r="GD15" s="324"/>
      <c r="GE15" s="324"/>
      <c r="GF15" s="324"/>
      <c r="GG15" s="324"/>
      <c r="GH15" s="324"/>
      <c r="GI15" s="324"/>
      <c r="GJ15" s="324"/>
      <c r="GK15" s="324"/>
      <c r="GL15" s="324"/>
      <c r="GM15" s="324"/>
      <c r="GN15" s="324"/>
      <c r="GO15" s="324"/>
      <c r="GP15" s="324"/>
      <c r="GQ15" s="324"/>
      <c r="GR15" s="324"/>
      <c r="GS15" s="324"/>
      <c r="GT15" s="324"/>
      <c r="GU15" s="324"/>
      <c r="GV15" s="324"/>
      <c r="GW15" s="324"/>
      <c r="GX15" s="324"/>
      <c r="GY15" s="324"/>
      <c r="GZ15" s="324"/>
      <c r="HA15" s="324"/>
      <c r="HB15" s="324"/>
      <c r="HC15" s="324"/>
      <c r="HD15" s="324"/>
      <c r="HE15" s="324"/>
      <c r="HF15" s="324"/>
      <c r="HG15" s="324"/>
      <c r="HH15" s="324"/>
      <c r="HI15" s="324"/>
      <c r="HJ15" s="324"/>
      <c r="HK15" s="324"/>
      <c r="HL15" s="324"/>
      <c r="HM15" s="324"/>
      <c r="HN15" s="324"/>
      <c r="HO15" s="324"/>
      <c r="HP15" s="324"/>
      <c r="HQ15" s="324"/>
      <c r="HR15" s="324"/>
      <c r="HS15" s="324"/>
      <c r="HT15" s="324"/>
      <c r="HU15" s="324"/>
      <c r="HV15" s="324"/>
      <c r="HW15" s="324"/>
      <c r="HX15" s="324"/>
      <c r="HY15" s="324"/>
      <c r="HZ15" s="324"/>
      <c r="IA15" s="324"/>
      <c r="IB15" s="324"/>
      <c r="IC15" s="324"/>
      <c r="ID15" s="324"/>
      <c r="IE15" s="324"/>
      <c r="IF15" s="324"/>
      <c r="IG15" s="324"/>
      <c r="IH15" s="324"/>
      <c r="II15" s="324"/>
      <c r="IJ15" s="324"/>
      <c r="IK15" s="324"/>
      <c r="IL15" s="324"/>
      <c r="IM15" s="324"/>
      <c r="IN15" s="324"/>
      <c r="IO15" s="324"/>
      <c r="IP15" s="324"/>
      <c r="IQ15" s="324"/>
      <c r="IR15" s="324"/>
      <c r="IS15" s="324"/>
      <c r="IT15" s="324"/>
      <c r="IU15" s="324"/>
      <c r="IV15" s="324"/>
      <c r="IW15" s="324"/>
    </row>
    <row r="16" customFormat="false" ht="15" hidden="false" customHeight="true" outlineLevel="0" collapsed="false">
      <c r="A16" s="298" t="n">
        <v>315</v>
      </c>
      <c r="B16" s="298"/>
      <c r="C16" s="299" t="s">
        <v>719</v>
      </c>
      <c r="D16" s="293" t="s">
        <v>719</v>
      </c>
      <c r="E16" s="288" t="n">
        <f aca="false">IF(I16="regional",IF(R16*0.2975,S16*0.3484),S16*0.1939)</f>
        <v>7486.0912</v>
      </c>
      <c r="F16" s="294"/>
      <c r="G16" s="289" t="n">
        <f aca="false">E16+F16</f>
        <v>7486.0912</v>
      </c>
      <c r="H16" s="292" t="s">
        <v>49</v>
      </c>
      <c r="I16" s="293" t="s">
        <v>718</v>
      </c>
      <c r="J16" s="293"/>
      <c r="K16" s="293"/>
      <c r="L16" s="293"/>
      <c r="M16" s="320"/>
      <c r="N16" s="320"/>
      <c r="O16" s="320"/>
      <c r="P16" s="320"/>
      <c r="Q16" s="320"/>
      <c r="R16" s="320"/>
      <c r="S16" s="320" t="n">
        <v>38608</v>
      </c>
      <c r="T16" s="318" t="n">
        <f aca="false">IF(I16="regional",IF(R16&gt;0,R16*0.2975,S16*0.3484),S16*0.1939)</f>
        <v>7486.0912</v>
      </c>
      <c r="U16" s="320"/>
      <c r="V16" s="320"/>
      <c r="W16" s="320"/>
      <c r="X16" s="320"/>
      <c r="Y16" s="320"/>
      <c r="Z16" s="320"/>
      <c r="AA16" s="320"/>
      <c r="AB16" s="320"/>
      <c r="AC16" s="320"/>
      <c r="AD16" s="320"/>
      <c r="AE16" s="320"/>
      <c r="AF16" s="320"/>
      <c r="AG16" s="320"/>
      <c r="AH16" s="320"/>
      <c r="AI16" s="320"/>
      <c r="AJ16" s="292" t="n">
        <v>4</v>
      </c>
      <c r="AK16" s="292" t="s">
        <v>720</v>
      </c>
      <c r="AL16" s="321" t="s">
        <v>718</v>
      </c>
      <c r="AM16" s="292" t="s">
        <v>49</v>
      </c>
      <c r="AN16" s="327" t="s">
        <v>719</v>
      </c>
      <c r="AO16" s="328" t="n">
        <v>0</v>
      </c>
      <c r="AP16" s="329" t="n">
        <f aca="false">AR16+AT16+AU16+AV16+AX16+AY16+AZ16+BD16+BF16+BG16+BH16+BJ16+BK16+(BL16+BM16+BN16)/1000+(0.1*BO16)</f>
        <v>213</v>
      </c>
      <c r="AQ16" s="319" t="n">
        <f aca="false">AR16+AT16+AU16+AV16+AX16+AY16+AZ16+BB16+BC16+BD16+BF16+BG16+BH16+BJ16+BK16+(BL16+BM16+BN16)/1000+(0.1*BO16)</f>
        <v>213</v>
      </c>
      <c r="AR16" s="185" t="n">
        <v>108</v>
      </c>
      <c r="AS16" s="185" t="n">
        <v>0</v>
      </c>
      <c r="AT16" s="185" t="n">
        <v>7</v>
      </c>
      <c r="AU16" s="185" t="n">
        <v>67</v>
      </c>
      <c r="AV16" s="291" t="n">
        <v>0</v>
      </c>
      <c r="AW16" s="291" t="n">
        <v>0</v>
      </c>
      <c r="AX16" s="291" t="n">
        <v>0</v>
      </c>
      <c r="AY16" s="291" t="n">
        <v>0</v>
      </c>
      <c r="AZ16" s="185" t="n">
        <v>1</v>
      </c>
      <c r="BA16" s="185" t="n">
        <v>0</v>
      </c>
      <c r="BB16" s="185" t="n">
        <v>0</v>
      </c>
      <c r="BC16" s="185" t="n">
        <v>0</v>
      </c>
      <c r="BD16" s="185" t="n">
        <v>1</v>
      </c>
      <c r="BE16" s="185" t="n">
        <v>0</v>
      </c>
      <c r="BF16" s="185" t="n">
        <v>0</v>
      </c>
      <c r="BG16" s="185" t="n">
        <v>0</v>
      </c>
      <c r="BH16" s="185" t="n">
        <v>29</v>
      </c>
      <c r="BI16" s="185" t="n">
        <v>0</v>
      </c>
      <c r="BJ16" s="185" t="n">
        <v>0</v>
      </c>
      <c r="BK16" s="185" t="n">
        <v>0</v>
      </c>
      <c r="BL16" s="291" t="n">
        <v>0</v>
      </c>
      <c r="BM16" s="291" t="n">
        <v>0</v>
      </c>
      <c r="BN16" s="291" t="n">
        <v>0</v>
      </c>
      <c r="BO16" s="298"/>
      <c r="BR16" s="290" t="n">
        <f aca="false">AR16*1000/0.072</f>
        <v>1500000</v>
      </c>
      <c r="BS16" s="290" t="n">
        <f aca="false">AT16*1000/0.072</f>
        <v>97222.2222222222</v>
      </c>
      <c r="BT16" s="290" t="n">
        <f aca="false">AU16*1000/0.072</f>
        <v>930555.555555556</v>
      </c>
      <c r="BU16" s="290" t="n">
        <f aca="false">SUM(BR16:BT16)</f>
        <v>2527777.77777778</v>
      </c>
      <c r="BV16" s="290" t="n">
        <f aca="false">AV16*1000/5</f>
        <v>0</v>
      </c>
      <c r="BW16" s="290" t="n">
        <f aca="false">AX16*1000/5</f>
        <v>0</v>
      </c>
      <c r="BX16" s="290" t="n">
        <f aca="false">AY16*1000/5</f>
        <v>0</v>
      </c>
      <c r="BY16" s="290" t="n">
        <f aca="false">SUM(BV16:BX16)</f>
        <v>0</v>
      </c>
      <c r="CA16" s="290" t="n">
        <f aca="false">IF($AM16="n",0,BR16)</f>
        <v>0</v>
      </c>
      <c r="CB16" s="290" t="n">
        <f aca="false">IF($AM16="n",0,BS16)</f>
        <v>0</v>
      </c>
      <c r="CC16" s="290" t="n">
        <f aca="false">IF($AM16="n",0,BT16)</f>
        <v>0</v>
      </c>
      <c r="CD16" s="290" t="n">
        <f aca="false">SUM(CA16:CC16)</f>
        <v>0</v>
      </c>
      <c r="CE16" s="290" t="n">
        <f aca="false">IF($AM$2="n",0,BV16)</f>
        <v>0</v>
      </c>
      <c r="CF16" s="290" t="n">
        <f aca="false">IF($AM$2="n",0,BW16)</f>
        <v>0</v>
      </c>
      <c r="CG16" s="290" t="n">
        <f aca="false">IF($AM$2="n",0,BX16)</f>
        <v>0</v>
      </c>
      <c r="CH16" s="290" t="n">
        <f aca="false">SUM(CE16:CG16)</f>
        <v>0</v>
      </c>
    </row>
    <row r="17" customFormat="false" ht="15" hidden="false" customHeight="true" outlineLevel="0" collapsed="false">
      <c r="A17" s="285" t="n">
        <v>313</v>
      </c>
      <c r="B17" s="285"/>
      <c r="C17" s="286" t="s">
        <v>96</v>
      </c>
      <c r="D17" s="287" t="s">
        <v>96</v>
      </c>
      <c r="E17" s="288" t="n">
        <f aca="false">IF(I17="regional",IF(R17*0.2975,S17*0.3484),S17*0.1939)</f>
        <v>105402.2949</v>
      </c>
      <c r="F17" s="288" t="n">
        <v>0</v>
      </c>
      <c r="G17" s="289" t="n">
        <f aca="false">E17+F17</f>
        <v>105402.2949</v>
      </c>
      <c r="H17" s="286"/>
      <c r="I17" s="287" t="s">
        <v>62</v>
      </c>
      <c r="J17" s="287"/>
      <c r="K17" s="287" t="s">
        <v>98</v>
      </c>
      <c r="L17" s="287"/>
      <c r="M17" s="317" t="n">
        <v>57</v>
      </c>
      <c r="N17" s="317" t="n">
        <v>0.887</v>
      </c>
      <c r="O17" s="317" t="n">
        <v>0.92</v>
      </c>
      <c r="P17" s="317" t="n">
        <v>0.936</v>
      </c>
      <c r="Q17" s="317" t="n">
        <v>0.896</v>
      </c>
      <c r="R17" s="317" t="n">
        <v>0</v>
      </c>
      <c r="S17" s="317" t="n">
        <v>543591</v>
      </c>
      <c r="T17" s="318" t="n">
        <f aca="false">IF(I17="regional",IF(R17&gt;0,R17*0.2975,S17*0.3484),S17*0.1939)</f>
        <v>105402.2949</v>
      </c>
      <c r="U17" s="317" t="n">
        <v>414515</v>
      </c>
      <c r="V17" s="317" t="n">
        <v>129076</v>
      </c>
      <c r="W17" s="317" t="n">
        <v>2715</v>
      </c>
      <c r="X17" s="317" t="n">
        <v>0</v>
      </c>
      <c r="Y17" s="317" t="n">
        <v>0</v>
      </c>
      <c r="Z17" s="317" t="n">
        <v>0</v>
      </c>
      <c r="AA17" s="317" t="n">
        <v>648993.2949</v>
      </c>
      <c r="AB17" s="317" t="n">
        <v>105402.2949</v>
      </c>
      <c r="AC17" s="317" t="n">
        <v>543591</v>
      </c>
      <c r="AD17" s="317" t="n">
        <v>0</v>
      </c>
      <c r="AE17" s="317" t="n">
        <v>0</v>
      </c>
      <c r="AF17" s="317" t="n">
        <v>0</v>
      </c>
      <c r="AG17" s="317" t="n">
        <v>543591</v>
      </c>
      <c r="AH17" s="317" t="n">
        <v>0</v>
      </c>
      <c r="AI17" s="317" t="n">
        <v>0</v>
      </c>
      <c r="AJ17" s="286" t="n">
        <v>4</v>
      </c>
      <c r="AK17" s="286" t="s">
        <v>706</v>
      </c>
      <c r="AL17" s="287" t="s">
        <v>62</v>
      </c>
      <c r="AM17" s="286"/>
      <c r="AN17" s="287" t="s">
        <v>96</v>
      </c>
      <c r="AO17" s="287" t="n">
        <v>105402.2949</v>
      </c>
      <c r="AP17" s="319" t="n">
        <f aca="false">AR17+AT17+AU17+AV17+AX17+AY17+AZ17+BD17+BF17+BG17+BH17+BJ17+BK17+(BL17+BM17+BN17)/1000+(0.1*BO17)</f>
        <v>32</v>
      </c>
      <c r="AQ17" s="319" t="n">
        <f aca="false">AR17+AT17+AU17+AV17+AX17+AY17+AZ17+BB17+BC17+BD17+BF17+BG17+BH17+BJ17+BK17+(BL17+BM17+BN17)/1000+(0.1*BO17)</f>
        <v>36</v>
      </c>
      <c r="AR17" s="285" t="n">
        <v>0</v>
      </c>
      <c r="AS17" s="285" t="n">
        <v>0</v>
      </c>
      <c r="AT17" s="285" t="n">
        <v>23</v>
      </c>
      <c r="AU17" s="285" t="n">
        <v>5</v>
      </c>
      <c r="AV17" s="285" t="n">
        <v>0</v>
      </c>
      <c r="AW17" s="285" t="n">
        <v>0</v>
      </c>
      <c r="AX17" s="285" t="n">
        <v>0</v>
      </c>
      <c r="AY17" s="285" t="n">
        <v>4</v>
      </c>
      <c r="AZ17" s="285" t="n">
        <v>0</v>
      </c>
      <c r="BA17" s="285" t="n">
        <v>0</v>
      </c>
      <c r="BB17" s="285" t="n">
        <v>3</v>
      </c>
      <c r="BC17" s="285" t="n">
        <v>1</v>
      </c>
      <c r="BD17" s="285" t="n">
        <v>0</v>
      </c>
      <c r="BE17" s="285" t="n">
        <v>0</v>
      </c>
      <c r="BF17" s="285" t="n">
        <v>0</v>
      </c>
      <c r="BG17" s="285" t="n">
        <v>0</v>
      </c>
      <c r="BH17" s="285" t="n">
        <v>0</v>
      </c>
      <c r="BI17" s="285" t="n">
        <v>0</v>
      </c>
      <c r="BJ17" s="285" t="n">
        <v>0</v>
      </c>
      <c r="BK17" s="285" t="n">
        <v>0</v>
      </c>
      <c r="BL17" s="285" t="n">
        <v>0</v>
      </c>
      <c r="BM17" s="285" t="n">
        <v>0</v>
      </c>
      <c r="BN17" s="285" t="n">
        <v>0</v>
      </c>
      <c r="BO17" s="285" t="n">
        <v>0</v>
      </c>
      <c r="BR17" s="290" t="n">
        <f aca="false">AR17*1000/0.072</f>
        <v>0</v>
      </c>
      <c r="BS17" s="290" t="n">
        <f aca="false">AT17*1000/0.072</f>
        <v>319444.444444445</v>
      </c>
      <c r="BT17" s="290" t="n">
        <f aca="false">AU17*1000/0.072</f>
        <v>69444.4444444445</v>
      </c>
      <c r="BU17" s="290" t="n">
        <f aca="false">SUM(BR17:BT17)</f>
        <v>388888.888888889</v>
      </c>
      <c r="BV17" s="290" t="n">
        <f aca="false">AV17*1000/5</f>
        <v>0</v>
      </c>
      <c r="BW17" s="290" t="n">
        <f aca="false">AX17*1000/5</f>
        <v>0</v>
      </c>
      <c r="BX17" s="290" t="n">
        <f aca="false">AY17*1000/5</f>
        <v>800</v>
      </c>
      <c r="BY17" s="290" t="n">
        <f aca="false">SUM(BV17:BX17)</f>
        <v>800</v>
      </c>
      <c r="CA17" s="290" t="n">
        <f aca="false">IF($AM17="n",0,BR17)</f>
        <v>0</v>
      </c>
      <c r="CB17" s="290" t="n">
        <f aca="false">IF($AM17="n",0,BS17)</f>
        <v>319444.444444445</v>
      </c>
      <c r="CC17" s="290" t="n">
        <f aca="false">IF($AM17="n",0,BT17)</f>
        <v>69444.4444444445</v>
      </c>
      <c r="CD17" s="290" t="n">
        <f aca="false">SUM(CA17:CC17)</f>
        <v>388888.888888889</v>
      </c>
      <c r="CE17" s="290" t="n">
        <f aca="false">IF($AM$2="n",0,BV17)</f>
        <v>0</v>
      </c>
      <c r="CF17" s="290" t="n">
        <f aca="false">IF($AM$2="n",0,BW17)</f>
        <v>0</v>
      </c>
      <c r="CG17" s="290" t="n">
        <f aca="false">IF($AM$2="n",0,BX17)</f>
        <v>800</v>
      </c>
      <c r="CH17" s="290" t="n">
        <f aca="false">SUM(CE17:CG17)</f>
        <v>800</v>
      </c>
    </row>
    <row r="18" customFormat="false" ht="15" hidden="false" customHeight="true" outlineLevel="0" collapsed="false">
      <c r="A18" s="285" t="n">
        <v>8680</v>
      </c>
      <c r="B18" s="285"/>
      <c r="C18" s="286" t="s">
        <v>99</v>
      </c>
      <c r="D18" s="287" t="s">
        <v>99</v>
      </c>
      <c r="E18" s="288" t="n">
        <f aca="false">IF(I18="regional",IF(R18*0.2975,S18*0.3484),S18*0.1939)</f>
        <v>125258.6244</v>
      </c>
      <c r="F18" s="288" t="n">
        <v>0</v>
      </c>
      <c r="G18" s="289" t="n">
        <f aca="false">E18+F18</f>
        <v>125258.6244</v>
      </c>
      <c r="H18" s="286"/>
      <c r="I18" s="287" t="s">
        <v>62</v>
      </c>
      <c r="J18" s="287" t="s">
        <v>49</v>
      </c>
      <c r="K18" s="287" t="s">
        <v>102</v>
      </c>
      <c r="L18" s="287"/>
      <c r="M18" s="317" t="n">
        <v>63</v>
      </c>
      <c r="N18" s="317" t="n">
        <v>0.952</v>
      </c>
      <c r="O18" s="317" t="n">
        <v>0.926</v>
      </c>
      <c r="P18" s="317" t="n">
        <v>0.941</v>
      </c>
      <c r="Q18" s="317" t="n">
        <v>0.901</v>
      </c>
      <c r="R18" s="317" t="n">
        <v>0</v>
      </c>
      <c r="S18" s="317" t="n">
        <v>645996</v>
      </c>
      <c r="T18" s="318" t="n">
        <f aca="false">IF(I18="regional",IF(R18&gt;0,R18*0.2975,S18*0.3484),S18*0.1939)</f>
        <v>125258.6244</v>
      </c>
      <c r="U18" s="317" t="n">
        <v>396866</v>
      </c>
      <c r="V18" s="317" t="n">
        <v>249130</v>
      </c>
      <c r="W18" s="317" t="n">
        <v>3250</v>
      </c>
      <c r="X18" s="317" t="n">
        <v>0</v>
      </c>
      <c r="Y18" s="317" t="n">
        <v>0</v>
      </c>
      <c r="Z18" s="317" t="n">
        <v>0</v>
      </c>
      <c r="AA18" s="317" t="n">
        <v>771254.6244</v>
      </c>
      <c r="AB18" s="317" t="n">
        <v>125258.6244</v>
      </c>
      <c r="AC18" s="317" t="n">
        <v>645996</v>
      </c>
      <c r="AD18" s="317" t="n">
        <v>0</v>
      </c>
      <c r="AE18" s="317" t="n">
        <v>0</v>
      </c>
      <c r="AF18" s="317" t="n">
        <v>0</v>
      </c>
      <c r="AG18" s="317" t="n">
        <v>645996</v>
      </c>
      <c r="AH18" s="317" t="n">
        <v>0</v>
      </c>
      <c r="AI18" s="317" t="n">
        <v>0</v>
      </c>
      <c r="AJ18" s="286" t="n">
        <v>4</v>
      </c>
      <c r="AK18" s="286" t="s">
        <v>720</v>
      </c>
      <c r="AL18" s="287" t="s">
        <v>62</v>
      </c>
      <c r="AM18" s="286"/>
      <c r="AN18" s="287" t="s">
        <v>99</v>
      </c>
      <c r="AO18" s="287" t="n">
        <v>125258.6244</v>
      </c>
      <c r="AP18" s="319" t="n">
        <f aca="false">AR18+AT18+AU18+AV18+AX18+AY18+AZ18+BD18+BF18+BG18+BH18+BJ18+BK18+(BL18+BM18+BN18)/1000+(0.1*BO18)</f>
        <v>70</v>
      </c>
      <c r="AQ18" s="319" t="n">
        <f aca="false">AR18+AT18+AU18+AV18+AX18+AY18+AZ18+BB18+BC18+BD18+BF18+BG18+BH18+BJ18+BK18+(BL18+BM18+BN18)/1000+(0.1*BO18)</f>
        <v>78</v>
      </c>
      <c r="AR18" s="285" t="n">
        <v>0</v>
      </c>
      <c r="AS18" s="285" t="n">
        <v>0</v>
      </c>
      <c r="AT18" s="285" t="n">
        <v>42</v>
      </c>
      <c r="AU18" s="285" t="n">
        <v>21</v>
      </c>
      <c r="AV18" s="285" t="n">
        <v>0</v>
      </c>
      <c r="AW18" s="285" t="n">
        <v>0</v>
      </c>
      <c r="AX18" s="285" t="n">
        <v>2</v>
      </c>
      <c r="AY18" s="285" t="n">
        <v>5</v>
      </c>
      <c r="AZ18" s="285" t="n">
        <v>0</v>
      </c>
      <c r="BA18" s="285" t="n">
        <v>3</v>
      </c>
      <c r="BB18" s="285" t="n">
        <v>8</v>
      </c>
      <c r="BC18" s="285" t="n">
        <v>0</v>
      </c>
      <c r="BD18" s="285" t="n">
        <v>0</v>
      </c>
      <c r="BE18" s="285" t="n">
        <v>0</v>
      </c>
      <c r="BF18" s="285" t="n">
        <v>0</v>
      </c>
      <c r="BG18" s="285" t="n">
        <v>0</v>
      </c>
      <c r="BH18" s="285" t="n">
        <v>0</v>
      </c>
      <c r="BI18" s="285" t="n">
        <v>0</v>
      </c>
      <c r="BJ18" s="285" t="n">
        <v>0</v>
      </c>
      <c r="BK18" s="285" t="n">
        <v>0</v>
      </c>
      <c r="BL18" s="285" t="n">
        <v>0</v>
      </c>
      <c r="BM18" s="285" t="n">
        <v>0</v>
      </c>
      <c r="BN18" s="285" t="n">
        <v>0</v>
      </c>
      <c r="BO18" s="285" t="n">
        <v>0</v>
      </c>
      <c r="BR18" s="290" t="n">
        <f aca="false">AR18*1000/0.072</f>
        <v>0</v>
      </c>
      <c r="BS18" s="290" t="n">
        <f aca="false">AT18*1000/0.072</f>
        <v>583333.333333333</v>
      </c>
      <c r="BT18" s="290" t="n">
        <f aca="false">AU18*1000/0.072</f>
        <v>291666.666666667</v>
      </c>
      <c r="BU18" s="290" t="n">
        <f aca="false">SUM(BR18:BT18)</f>
        <v>875000</v>
      </c>
      <c r="BV18" s="290" t="n">
        <f aca="false">AV18*1000/5</f>
        <v>0</v>
      </c>
      <c r="BW18" s="290" t="n">
        <f aca="false">AX18*1000/5</f>
        <v>400</v>
      </c>
      <c r="BX18" s="290" t="n">
        <f aca="false">AY18*1000/5</f>
        <v>1000</v>
      </c>
      <c r="BY18" s="290" t="n">
        <f aca="false">SUM(BV18:BX18)</f>
        <v>1400</v>
      </c>
      <c r="CA18" s="290" t="n">
        <f aca="false">IF($AM18="n",0,BR18)</f>
        <v>0</v>
      </c>
      <c r="CB18" s="290" t="n">
        <f aca="false">IF($AM18="n",0,BS18)</f>
        <v>583333.333333333</v>
      </c>
      <c r="CC18" s="290" t="n">
        <f aca="false">IF($AM18="n",0,BT18)</f>
        <v>291666.666666667</v>
      </c>
      <c r="CD18" s="290" t="n">
        <f aca="false">SUM(CA18:CC18)</f>
        <v>875000</v>
      </c>
      <c r="CE18" s="290" t="n">
        <f aca="false">IF($AM$2="n",0,BV18)</f>
        <v>0</v>
      </c>
      <c r="CF18" s="290" t="n">
        <f aca="false">IF($AM$2="n",0,BW18)</f>
        <v>400</v>
      </c>
      <c r="CG18" s="290" t="n">
        <f aca="false">IF($AM$2="n",0,BX18)</f>
        <v>1000</v>
      </c>
      <c r="CH18" s="290" t="n">
        <f aca="false">SUM(CE18:CG18)</f>
        <v>1400</v>
      </c>
    </row>
    <row r="19" customFormat="false" ht="15" hidden="false" customHeight="true" outlineLevel="0" collapsed="false">
      <c r="A19" s="285" t="n">
        <v>8142</v>
      </c>
      <c r="B19" s="285"/>
      <c r="C19" s="286" t="s">
        <v>103</v>
      </c>
      <c r="D19" s="287" t="s">
        <v>103</v>
      </c>
      <c r="E19" s="288" t="n">
        <f aca="false">IF(I19="regional",IF(R19*0.2975,S19*0.3484),S19*0.1939)</f>
        <v>371044.9548</v>
      </c>
      <c r="F19" s="288" t="n">
        <v>0</v>
      </c>
      <c r="G19" s="289" t="n">
        <f aca="false">E19+F19</f>
        <v>371044.9548</v>
      </c>
      <c r="H19" s="286"/>
      <c r="I19" s="287" t="s">
        <v>48</v>
      </c>
      <c r="J19" s="287" t="s">
        <v>49</v>
      </c>
      <c r="K19" s="287" t="s">
        <v>105</v>
      </c>
      <c r="L19" s="287"/>
      <c r="M19" s="317" t="n">
        <v>151</v>
      </c>
      <c r="N19" s="317" t="n">
        <v>0.883</v>
      </c>
      <c r="O19" s="317" t="n">
        <v>0.894</v>
      </c>
      <c r="P19" s="317" t="n">
        <v>0.944</v>
      </c>
      <c r="Q19" s="317" t="n">
        <v>0.869</v>
      </c>
      <c r="R19" s="317" t="n">
        <v>1199771</v>
      </c>
      <c r="S19" s="317" t="n">
        <v>1064997</v>
      </c>
      <c r="T19" s="318" t="n">
        <f aca="false">IF(I19="regional",IF(R19&gt;0,R19*0.2975,S19*0.3484),S19*0.1939)</f>
        <v>356931.8725</v>
      </c>
      <c r="U19" s="317" t="n">
        <v>762368</v>
      </c>
      <c r="V19" s="317" t="n">
        <v>302629</v>
      </c>
      <c r="W19" s="317" t="n">
        <v>5510</v>
      </c>
      <c r="X19" s="317" t="n">
        <v>0</v>
      </c>
      <c r="Y19" s="317" t="n">
        <v>0</v>
      </c>
      <c r="Z19" s="317" t="n">
        <v>0</v>
      </c>
      <c r="AA19" s="317" t="n">
        <v>1421928.873</v>
      </c>
      <c r="AB19" s="317" t="n">
        <v>356931.8725</v>
      </c>
      <c r="AC19" s="317" t="n">
        <v>1064997</v>
      </c>
      <c r="AD19" s="317" t="n">
        <v>0</v>
      </c>
      <c r="AE19" s="317" t="n">
        <v>0</v>
      </c>
      <c r="AF19" s="317" t="n">
        <v>0</v>
      </c>
      <c r="AG19" s="317" t="n">
        <v>1064997</v>
      </c>
      <c r="AH19" s="317" t="n">
        <v>0</v>
      </c>
      <c r="AI19" s="317" t="n">
        <v>0</v>
      </c>
      <c r="AJ19" s="286" t="s">
        <v>707</v>
      </c>
      <c r="AK19" s="286" t="s">
        <v>714</v>
      </c>
      <c r="AL19" s="287" t="s">
        <v>48</v>
      </c>
      <c r="AM19" s="286"/>
      <c r="AN19" s="287" t="s">
        <v>103</v>
      </c>
      <c r="AO19" s="287" t="n">
        <v>356931.8725</v>
      </c>
      <c r="AP19" s="319" t="n">
        <f aca="false">AR19+AT19+AU19+AV19+AX19+AY19+AZ19+BD19+BF19+BG19+BH19+BJ19+BK19+(BL19+BM19+BN19)/1000+(0.1*BO19)</f>
        <v>258.0001</v>
      </c>
      <c r="AQ19" s="319" t="n">
        <f aca="false">AR19+AT19+AU19+AV19+AX19+AY19+AZ19+BB19+BC19+BD19+BF19+BG19+BH19+BJ19+BK19+(BL19+BM19+BN19)/1000+(0.1*BO19)</f>
        <v>278.0001</v>
      </c>
      <c r="AR19" s="285" t="n">
        <v>0</v>
      </c>
      <c r="AS19" s="285" t="n">
        <v>0</v>
      </c>
      <c r="AT19" s="285" t="n">
        <v>164</v>
      </c>
      <c r="AU19" s="285" t="n">
        <v>-1</v>
      </c>
      <c r="AV19" s="285" t="n">
        <v>0</v>
      </c>
      <c r="AW19" s="285" t="n">
        <v>0</v>
      </c>
      <c r="AX19" s="285" t="n">
        <v>0</v>
      </c>
      <c r="AY19" s="285" t="n">
        <v>0</v>
      </c>
      <c r="AZ19" s="285" t="n">
        <v>0</v>
      </c>
      <c r="BA19" s="285" t="n">
        <v>0</v>
      </c>
      <c r="BB19" s="285" t="n">
        <v>20</v>
      </c>
      <c r="BC19" s="285" t="n">
        <v>0</v>
      </c>
      <c r="BD19" s="285" t="n">
        <v>0</v>
      </c>
      <c r="BE19" s="285" t="n">
        <v>0</v>
      </c>
      <c r="BF19" s="285" t="n">
        <v>0</v>
      </c>
      <c r="BG19" s="285" t="n">
        <v>0</v>
      </c>
      <c r="BH19" s="285" t="n">
        <v>0</v>
      </c>
      <c r="BI19" s="285" t="n">
        <v>0</v>
      </c>
      <c r="BJ19" s="285" t="n">
        <v>0</v>
      </c>
      <c r="BK19" s="285" t="n">
        <v>0</v>
      </c>
      <c r="BL19" s="285" t="n">
        <v>3949</v>
      </c>
      <c r="BM19" s="285" t="n">
        <v>0</v>
      </c>
      <c r="BN19" s="285" t="n">
        <v>0</v>
      </c>
      <c r="BO19" s="285" t="n">
        <v>910.511</v>
      </c>
      <c r="BR19" s="290" t="n">
        <f aca="false">AR19*1000/0.072</f>
        <v>0</v>
      </c>
      <c r="BS19" s="290" t="n">
        <f aca="false">AT19*1000/0.072</f>
        <v>2277777.77777778</v>
      </c>
      <c r="BT19" s="290" t="n">
        <f aca="false">AU19*1000/0.072</f>
        <v>-13888.8888888889</v>
      </c>
      <c r="BU19" s="290" t="n">
        <f aca="false">SUM(BR19:BT19)</f>
        <v>2263888.88888889</v>
      </c>
      <c r="BV19" s="290" t="n">
        <f aca="false">AV19*1000/5</f>
        <v>0</v>
      </c>
      <c r="BW19" s="290" t="n">
        <f aca="false">AX19*1000/5</f>
        <v>0</v>
      </c>
      <c r="BX19" s="290" t="n">
        <f aca="false">AY19*1000/5</f>
        <v>0</v>
      </c>
      <c r="BY19" s="290" t="n">
        <f aca="false">SUM(BV19:BX19)</f>
        <v>0</v>
      </c>
      <c r="CA19" s="290" t="n">
        <f aca="false">IF($AM19="n",0,BR19)</f>
        <v>0</v>
      </c>
      <c r="CB19" s="290" t="n">
        <f aca="false">IF($AM19="n",0,BS19)</f>
        <v>2277777.77777778</v>
      </c>
      <c r="CC19" s="290" t="n">
        <f aca="false">IF($AM19="n",0,BT19)</f>
        <v>-13888.8888888889</v>
      </c>
      <c r="CD19" s="290" t="n">
        <f aca="false">SUM(CA19:CC19)</f>
        <v>2263888.88888889</v>
      </c>
      <c r="CE19" s="290" t="n">
        <f aca="false">IF($AM$2="n",0,BV19)</f>
        <v>0</v>
      </c>
      <c r="CF19" s="290" t="n">
        <f aca="false">IF($AM$2="n",0,BW19)</f>
        <v>0</v>
      </c>
      <c r="CG19" s="290" t="n">
        <f aca="false">IF($AM$2="n",0,BX19)</f>
        <v>0</v>
      </c>
      <c r="CH19" s="290" t="n">
        <f aca="false">SUM(CE19:CG19)</f>
        <v>0</v>
      </c>
    </row>
    <row r="20" customFormat="false" ht="15" hidden="false" customHeight="true" outlineLevel="0" collapsed="false">
      <c r="A20" s="285" t="n">
        <v>4821</v>
      </c>
      <c r="B20" s="285" t="s">
        <v>44</v>
      </c>
      <c r="C20" s="286" t="s">
        <v>106</v>
      </c>
      <c r="D20" s="287" t="s">
        <v>106</v>
      </c>
      <c r="E20" s="288" t="n">
        <f aca="false">IF(I20="regional",IF(R20*0.2975,S20*0.3484),S20*0.1939)</f>
        <v>435500</v>
      </c>
      <c r="F20" s="288" t="n">
        <v>0</v>
      </c>
      <c r="G20" s="289" t="n">
        <f aca="false">E20+F20</f>
        <v>435500</v>
      </c>
      <c r="H20" s="286"/>
      <c r="I20" s="287" t="s">
        <v>48</v>
      </c>
      <c r="J20" s="287" t="s">
        <v>44</v>
      </c>
      <c r="K20" s="287" t="s">
        <v>109</v>
      </c>
      <c r="L20" s="287"/>
      <c r="M20" s="317" t="n">
        <v>181</v>
      </c>
      <c r="N20" s="317" t="n">
        <v>0.951</v>
      </c>
      <c r="O20" s="317" t="n">
        <v>0.977</v>
      </c>
      <c r="P20" s="317" t="n">
        <v>0.925</v>
      </c>
      <c r="Q20" s="317" t="n">
        <v>0.952</v>
      </c>
      <c r="R20" s="317" t="n">
        <v>813000</v>
      </c>
      <c r="S20" s="317" t="n">
        <v>1250000</v>
      </c>
      <c r="T20" s="318" t="n">
        <f aca="false">IF(I20="regional",IF(R20&gt;0,R20*0.2975,S20*0.3484),S20*0.1939)</f>
        <v>241867.5</v>
      </c>
      <c r="U20" s="317" t="n">
        <v>813000</v>
      </c>
      <c r="V20" s="317" t="n">
        <v>437000</v>
      </c>
      <c r="W20" s="317" t="n">
        <v>6115</v>
      </c>
      <c r="X20" s="317" t="n">
        <v>0</v>
      </c>
      <c r="Y20" s="317" t="n">
        <v>0</v>
      </c>
      <c r="Z20" s="317" t="n">
        <v>0</v>
      </c>
      <c r="AA20" s="317" t="n">
        <v>1491867.5</v>
      </c>
      <c r="AB20" s="317" t="n">
        <v>241867.5</v>
      </c>
      <c r="AC20" s="317" t="n">
        <v>1250000</v>
      </c>
      <c r="AD20" s="317" t="n">
        <v>0</v>
      </c>
      <c r="AE20" s="317" t="n">
        <v>0</v>
      </c>
      <c r="AF20" s="317" t="n">
        <v>1250000</v>
      </c>
      <c r="AG20" s="317" t="n">
        <v>0</v>
      </c>
      <c r="AH20" s="317" t="n">
        <v>2217000</v>
      </c>
      <c r="AI20" s="317" t="n">
        <v>1531000</v>
      </c>
      <c r="AJ20" s="286" t="s">
        <v>721</v>
      </c>
      <c r="AK20" s="286" t="s">
        <v>108</v>
      </c>
      <c r="AL20" s="287" t="s">
        <v>48</v>
      </c>
      <c r="AM20" s="286"/>
      <c r="AN20" s="287" t="s">
        <v>106</v>
      </c>
      <c r="AO20" s="287" t="n">
        <v>241867.5</v>
      </c>
      <c r="AP20" s="319" t="n">
        <f aca="false">AR20+AT20+AU20+AV20+AX20+AY20+AZ20+BD20+BF20+BG20+BH20+BJ20+BK20+(BL20+BM20+BN20)/1000+(0.1*BO20)</f>
        <v>333</v>
      </c>
      <c r="AQ20" s="319" t="n">
        <f aca="false">AR20+AT20+AU20+AV20+AX20+AY20+AZ20+BB20+BC20+BD20+BF20+BG20+BH20+BJ20+BK20+(BL20+BM20+BN20)/1000+(0.1*BO20)</f>
        <v>370</v>
      </c>
      <c r="AR20" s="285" t="n">
        <v>17</v>
      </c>
      <c r="AS20" s="285" t="n">
        <v>1531</v>
      </c>
      <c r="AT20" s="285" t="n">
        <v>291</v>
      </c>
      <c r="AU20" s="285" t="n">
        <v>0</v>
      </c>
      <c r="AV20" s="285" t="n">
        <v>0</v>
      </c>
      <c r="AW20" s="285" t="n">
        <v>0</v>
      </c>
      <c r="AX20" s="285" t="n">
        <v>0</v>
      </c>
      <c r="AY20" s="285" t="n">
        <v>0</v>
      </c>
      <c r="AZ20" s="285" t="n">
        <v>0</v>
      </c>
      <c r="BA20" s="285" t="n">
        <v>32</v>
      </c>
      <c r="BB20" s="285" t="n">
        <v>37</v>
      </c>
      <c r="BC20" s="285" t="n">
        <v>0</v>
      </c>
      <c r="BD20" s="285" t="n">
        <v>1</v>
      </c>
      <c r="BE20" s="285" t="n">
        <v>1</v>
      </c>
      <c r="BF20" s="285" t="n">
        <v>0</v>
      </c>
      <c r="BG20" s="285" t="n">
        <v>0</v>
      </c>
      <c r="BH20" s="285" t="n">
        <v>24</v>
      </c>
      <c r="BI20" s="285" t="n">
        <v>0</v>
      </c>
      <c r="BJ20" s="285" t="n">
        <v>0</v>
      </c>
      <c r="BK20" s="285" t="n">
        <v>0</v>
      </c>
      <c r="BL20" s="285" t="n">
        <v>0</v>
      </c>
      <c r="BM20" s="285" t="n">
        <v>0</v>
      </c>
      <c r="BN20" s="285" t="n">
        <v>0</v>
      </c>
      <c r="BO20" s="285" t="n">
        <v>0</v>
      </c>
      <c r="BR20" s="290" t="n">
        <f aca="false">AR20*1000/0.072</f>
        <v>236111.111111111</v>
      </c>
      <c r="BS20" s="290" t="n">
        <f aca="false">AT20*1000/0.072</f>
        <v>4041666.66666667</v>
      </c>
      <c r="BT20" s="290" t="n">
        <f aca="false">AU20*1000/0.072</f>
        <v>0</v>
      </c>
      <c r="BU20" s="290" t="n">
        <f aca="false">SUM(BR20:BT20)</f>
        <v>4277777.77777778</v>
      </c>
      <c r="BV20" s="290" t="n">
        <f aca="false">AV20*1000/5</f>
        <v>0</v>
      </c>
      <c r="BW20" s="290" t="n">
        <f aca="false">AX20*1000/5</f>
        <v>0</v>
      </c>
      <c r="BX20" s="290" t="n">
        <f aca="false">AY20*1000/5</f>
        <v>0</v>
      </c>
      <c r="BY20" s="290" t="n">
        <f aca="false">SUM(BV20:BX20)</f>
        <v>0</v>
      </c>
      <c r="CA20" s="290" t="n">
        <f aca="false">IF($AM20="n",0,BR20)</f>
        <v>236111.111111111</v>
      </c>
      <c r="CB20" s="290" t="n">
        <f aca="false">IF($AM20="n",0,BS20)</f>
        <v>4041666.66666667</v>
      </c>
      <c r="CC20" s="290" t="n">
        <f aca="false">IF($AM20="n",0,BT20)</f>
        <v>0</v>
      </c>
      <c r="CD20" s="290" t="n">
        <f aca="false">SUM(CA20:CC20)</f>
        <v>4277777.77777778</v>
      </c>
      <c r="CE20" s="290" t="n">
        <f aca="false">IF($AM$2="n",0,BV20)</f>
        <v>0</v>
      </c>
      <c r="CF20" s="290" t="n">
        <f aca="false">IF($AM$2="n",0,BW20)</f>
        <v>0</v>
      </c>
      <c r="CG20" s="290" t="n">
        <f aca="false">IF($AM$2="n",0,BX20)</f>
        <v>0</v>
      </c>
      <c r="CH20" s="290" t="n">
        <f aca="false">SUM(CE20:CG20)</f>
        <v>0</v>
      </c>
    </row>
    <row r="21" customFormat="false" ht="15" hidden="false" customHeight="true" outlineLevel="0" collapsed="false">
      <c r="A21" s="285" t="n">
        <v>323</v>
      </c>
      <c r="B21" s="285"/>
      <c r="C21" s="286" t="s">
        <v>110</v>
      </c>
      <c r="D21" s="287" t="s">
        <v>110</v>
      </c>
      <c r="E21" s="288" t="n">
        <f aca="false">IF(I21="regional",IF(R21*0.2975,S21*0.3484),S21*0.1939)</f>
        <v>52140.4856</v>
      </c>
      <c r="F21" s="288" t="n">
        <v>0</v>
      </c>
      <c r="G21" s="289" t="n">
        <f aca="false">E21+F21</f>
        <v>52140.4856</v>
      </c>
      <c r="H21" s="286"/>
      <c r="I21" s="287" t="s">
        <v>62</v>
      </c>
      <c r="J21" s="287" t="s">
        <v>49</v>
      </c>
      <c r="K21" s="287" t="s">
        <v>98</v>
      </c>
      <c r="L21" s="287"/>
      <c r="M21" s="317" t="n">
        <v>20</v>
      </c>
      <c r="N21" s="317" t="n">
        <v>0.582</v>
      </c>
      <c r="O21" s="317" t="n">
        <v>0.559</v>
      </c>
      <c r="P21" s="317" t="n">
        <v>0.658</v>
      </c>
      <c r="Q21" s="317" t="n">
        <v>0.629</v>
      </c>
      <c r="R21" s="317" t="n">
        <v>0</v>
      </c>
      <c r="S21" s="317" t="n">
        <v>268904</v>
      </c>
      <c r="T21" s="318" t="n">
        <f aca="false">IF(I21="regional",IF(R21&gt;0,R21*0.2975,S21*0.3484),S21*0.1939)</f>
        <v>52140.4856</v>
      </c>
      <c r="U21" s="317" t="n">
        <v>216491</v>
      </c>
      <c r="V21" s="317" t="n">
        <v>52413</v>
      </c>
      <c r="W21" s="317" t="n">
        <v>1345</v>
      </c>
      <c r="X21" s="317" t="n">
        <v>0</v>
      </c>
      <c r="Y21" s="317" t="n">
        <v>0</v>
      </c>
      <c r="Z21" s="317" t="n">
        <v>0</v>
      </c>
      <c r="AA21" s="317" t="n">
        <v>321044.4856</v>
      </c>
      <c r="AB21" s="317" t="n">
        <v>52140.4856</v>
      </c>
      <c r="AC21" s="317" t="n">
        <v>268904</v>
      </c>
      <c r="AD21" s="317" t="n">
        <v>0</v>
      </c>
      <c r="AE21" s="317" t="n">
        <v>0</v>
      </c>
      <c r="AF21" s="317" t="n">
        <v>0</v>
      </c>
      <c r="AG21" s="317" t="n">
        <v>268904</v>
      </c>
      <c r="AH21" s="317" t="n">
        <v>0</v>
      </c>
      <c r="AI21" s="317" t="n">
        <v>0</v>
      </c>
      <c r="AJ21" s="286" t="n">
        <v>4</v>
      </c>
      <c r="AK21" s="286" t="s">
        <v>706</v>
      </c>
      <c r="AL21" s="287" t="s">
        <v>62</v>
      </c>
      <c r="AM21" s="286"/>
      <c r="AN21" s="287" t="s">
        <v>110</v>
      </c>
      <c r="AO21" s="287" t="n">
        <v>52140.4856</v>
      </c>
      <c r="AP21" s="319" t="n">
        <f aca="false">AR21+AT21+AU21+AV21+AX21+AY21+AZ21+BD21+BF21+BG21+BH21+BJ21+BK21+(BL21+BM21+BN21)/1000+(0.1*BO21)</f>
        <v>28</v>
      </c>
      <c r="AQ21" s="319" t="n">
        <f aca="false">AR21+AT21+AU21+AV21+AX21+AY21+AZ21+BB21+BC21+BD21+BF21+BG21+BH21+BJ21+BK21+(BL21+BM21+BN21)/1000+(0.1*BO21)</f>
        <v>34</v>
      </c>
      <c r="AR21" s="285" t="n">
        <v>0</v>
      </c>
      <c r="AS21" s="285" t="n">
        <v>0</v>
      </c>
      <c r="AT21" s="285" t="n">
        <v>21</v>
      </c>
      <c r="AU21" s="285" t="n">
        <v>7</v>
      </c>
      <c r="AV21" s="285" t="n">
        <v>0</v>
      </c>
      <c r="AW21" s="285" t="n">
        <v>0</v>
      </c>
      <c r="AX21" s="285" t="n">
        <v>0</v>
      </c>
      <c r="AY21" s="285" t="n">
        <v>0</v>
      </c>
      <c r="AZ21" s="285" t="n">
        <v>0</v>
      </c>
      <c r="BA21" s="285" t="n">
        <v>3</v>
      </c>
      <c r="BB21" s="285" t="n">
        <v>6</v>
      </c>
      <c r="BC21" s="285" t="n">
        <v>0</v>
      </c>
      <c r="BD21" s="285" t="n">
        <v>0</v>
      </c>
      <c r="BE21" s="285" t="n">
        <v>0</v>
      </c>
      <c r="BF21" s="285" t="n">
        <v>0</v>
      </c>
      <c r="BG21" s="285" t="n">
        <v>0</v>
      </c>
      <c r="BH21" s="285" t="n">
        <v>0</v>
      </c>
      <c r="BI21" s="285" t="n">
        <v>0</v>
      </c>
      <c r="BJ21" s="285" t="n">
        <v>0</v>
      </c>
      <c r="BK21" s="285" t="n">
        <v>0</v>
      </c>
      <c r="BL21" s="285" t="n">
        <v>0</v>
      </c>
      <c r="BM21" s="285" t="n">
        <v>0</v>
      </c>
      <c r="BN21" s="285" t="n">
        <v>0</v>
      </c>
      <c r="BO21" s="285" t="n">
        <v>0</v>
      </c>
      <c r="BR21" s="290" t="n">
        <f aca="false">AR21*1000/0.072</f>
        <v>0</v>
      </c>
      <c r="BS21" s="290" t="n">
        <f aca="false">AT21*1000/0.072</f>
        <v>291666.666666667</v>
      </c>
      <c r="BT21" s="290" t="n">
        <f aca="false">AU21*1000/0.072</f>
        <v>97222.2222222222</v>
      </c>
      <c r="BU21" s="290" t="n">
        <f aca="false">SUM(BR21:BT21)</f>
        <v>388888.888888889</v>
      </c>
      <c r="BV21" s="290" t="n">
        <f aca="false">AV21*1000/5</f>
        <v>0</v>
      </c>
      <c r="BW21" s="290" t="n">
        <f aca="false">AX21*1000/5</f>
        <v>0</v>
      </c>
      <c r="BX21" s="290" t="n">
        <f aca="false">AY21*1000/5</f>
        <v>0</v>
      </c>
      <c r="BY21" s="290" t="n">
        <f aca="false">SUM(BV21:BX21)</f>
        <v>0</v>
      </c>
      <c r="CA21" s="290" t="n">
        <f aca="false">IF($AM21="n",0,BR21)</f>
        <v>0</v>
      </c>
      <c r="CB21" s="290" t="n">
        <f aca="false">IF($AM21="n",0,BS21)</f>
        <v>291666.666666667</v>
      </c>
      <c r="CC21" s="290" t="n">
        <f aca="false">IF($AM21="n",0,BT21)</f>
        <v>97222.2222222222</v>
      </c>
      <c r="CD21" s="290" t="n">
        <f aca="false">SUM(CA21:CC21)</f>
        <v>388888.888888889</v>
      </c>
      <c r="CE21" s="290" t="n">
        <f aca="false">IF($AM$2="n",0,BV21)</f>
        <v>0</v>
      </c>
      <c r="CF21" s="290" t="n">
        <f aca="false">IF($AM$2="n",0,BW21)</f>
        <v>0</v>
      </c>
      <c r="CG21" s="290" t="n">
        <f aca="false">IF($AM$2="n",0,BX21)</f>
        <v>0</v>
      </c>
      <c r="CH21" s="290" t="n">
        <f aca="false">SUM(CE21:CG21)</f>
        <v>0</v>
      </c>
    </row>
    <row r="22" customFormat="false" ht="15" hidden="false" customHeight="true" outlineLevel="0" collapsed="false">
      <c r="A22" s="285" t="n">
        <v>324</v>
      </c>
      <c r="B22" s="285"/>
      <c r="C22" s="286" t="s">
        <v>112</v>
      </c>
      <c r="D22" s="287" t="s">
        <v>112</v>
      </c>
      <c r="E22" s="288" t="n">
        <f aca="false">IF(I22="regional",IF(R22*0.2975,S22*0.3484),S22*0.1939)</f>
        <v>7930.7039</v>
      </c>
      <c r="F22" s="288" t="n">
        <v>0</v>
      </c>
      <c r="G22" s="289" t="n">
        <f aca="false">E22+F22</f>
        <v>7930.7039</v>
      </c>
      <c r="H22" s="286"/>
      <c r="I22" s="287" t="s">
        <v>62</v>
      </c>
      <c r="J22" s="287"/>
      <c r="K22" s="287" t="s">
        <v>115</v>
      </c>
      <c r="L22" s="287"/>
      <c r="M22" s="317" t="n">
        <v>8</v>
      </c>
      <c r="N22" s="317" t="n">
        <v>0.946</v>
      </c>
      <c r="O22" s="317" t="n">
        <v>0.946</v>
      </c>
      <c r="P22" s="317" t="n">
        <v>1</v>
      </c>
      <c r="Q22" s="317" t="n">
        <v>1</v>
      </c>
      <c r="R22" s="317" t="n">
        <v>0</v>
      </c>
      <c r="S22" s="317" t="n">
        <v>40901</v>
      </c>
      <c r="T22" s="318" t="n">
        <f aca="false">IF(I22="regional",IF(R22&gt;0,R22*0.2975,S22*0.3484),S22*0.1939)</f>
        <v>7930.7039</v>
      </c>
      <c r="U22" s="317" t="n">
        <v>0</v>
      </c>
      <c r="V22" s="317" t="n">
        <v>40901</v>
      </c>
      <c r="W22" s="317" t="n">
        <v>315</v>
      </c>
      <c r="X22" s="317" t="n">
        <v>0</v>
      </c>
      <c r="Y22" s="317" t="n">
        <v>0</v>
      </c>
      <c r="Z22" s="317" t="n">
        <v>0</v>
      </c>
      <c r="AA22" s="317" t="n">
        <v>48831.7039</v>
      </c>
      <c r="AB22" s="317" t="n">
        <v>7930.7039</v>
      </c>
      <c r="AC22" s="317" t="n">
        <v>40901</v>
      </c>
      <c r="AD22" s="317" t="n">
        <v>0</v>
      </c>
      <c r="AE22" s="317" t="n">
        <v>0</v>
      </c>
      <c r="AF22" s="317" t="n">
        <v>0</v>
      </c>
      <c r="AG22" s="317" t="n">
        <v>40901</v>
      </c>
      <c r="AH22" s="317" t="n">
        <v>0</v>
      </c>
      <c r="AI22" s="317" t="n">
        <v>0</v>
      </c>
      <c r="AJ22" s="286" t="n">
        <v>4</v>
      </c>
      <c r="AK22" s="286" t="s">
        <v>720</v>
      </c>
      <c r="AL22" s="287" t="s">
        <v>62</v>
      </c>
      <c r="AM22" s="286"/>
      <c r="AN22" s="287" t="s">
        <v>112</v>
      </c>
      <c r="AO22" s="287" t="n">
        <v>7930.7039</v>
      </c>
      <c r="AP22" s="319" t="n">
        <f aca="false">AR22+AT22+AU22+AV22+AX22+AY22+AZ22+BD22+BF22+BG22+BH22+BJ22+BK22+(BL22+BM22+BN22)/1000+(0.1*BO22)</f>
        <v>8</v>
      </c>
      <c r="AQ22" s="319" t="n">
        <f aca="false">AR22+AT22+AU22+AV22+AX22+AY22+AZ22+BB22+BC22+BD22+BF22+BG22+BH22+BJ22+BK22+(BL22+BM22+BN22)/1000+(0.1*BO22)</f>
        <v>8</v>
      </c>
      <c r="AR22" s="285" t="n">
        <v>0</v>
      </c>
      <c r="AS22" s="285" t="n">
        <v>0</v>
      </c>
      <c r="AT22" s="285" t="n">
        <v>8</v>
      </c>
      <c r="AU22" s="285" t="n">
        <v>0</v>
      </c>
      <c r="AV22" s="285" t="n">
        <v>0</v>
      </c>
      <c r="AW22" s="285" t="n">
        <v>0</v>
      </c>
      <c r="AX22" s="285" t="n">
        <v>0</v>
      </c>
      <c r="AY22" s="285" t="n">
        <v>0</v>
      </c>
      <c r="AZ22" s="285" t="n">
        <v>0</v>
      </c>
      <c r="BA22" s="285" t="n">
        <v>0</v>
      </c>
      <c r="BB22" s="285" t="n">
        <v>0</v>
      </c>
      <c r="BC22" s="285" t="n">
        <v>0</v>
      </c>
      <c r="BD22" s="285" t="n">
        <v>0</v>
      </c>
      <c r="BE22" s="285" t="n">
        <v>0</v>
      </c>
      <c r="BF22" s="285" t="n">
        <v>0</v>
      </c>
      <c r="BG22" s="285" t="n">
        <v>0</v>
      </c>
      <c r="BH22" s="285" t="n">
        <v>0</v>
      </c>
      <c r="BI22" s="285" t="n">
        <v>0</v>
      </c>
      <c r="BJ22" s="285" t="n">
        <v>0</v>
      </c>
      <c r="BK22" s="285" t="n">
        <v>0</v>
      </c>
      <c r="BL22" s="285" t="n">
        <v>0</v>
      </c>
      <c r="BM22" s="285" t="n">
        <v>0</v>
      </c>
      <c r="BN22" s="285" t="n">
        <v>0</v>
      </c>
      <c r="BO22" s="285" t="n">
        <v>0</v>
      </c>
      <c r="BR22" s="290" t="n">
        <f aca="false">AR22*1000/0.072</f>
        <v>0</v>
      </c>
      <c r="BS22" s="290" t="n">
        <f aca="false">AT22*1000/0.072</f>
        <v>111111.111111111</v>
      </c>
      <c r="BT22" s="290" t="n">
        <f aca="false">AU22*1000/0.072</f>
        <v>0</v>
      </c>
      <c r="BU22" s="290" t="n">
        <f aca="false">SUM(BR22:BT22)</f>
        <v>111111.111111111</v>
      </c>
      <c r="BV22" s="290" t="n">
        <f aca="false">AV22*1000/5</f>
        <v>0</v>
      </c>
      <c r="BW22" s="290" t="n">
        <f aca="false">AX22*1000/5</f>
        <v>0</v>
      </c>
      <c r="BX22" s="290" t="n">
        <f aca="false">AY22*1000/5</f>
        <v>0</v>
      </c>
      <c r="BY22" s="290" t="n">
        <f aca="false">SUM(BV22:BX22)</f>
        <v>0</v>
      </c>
      <c r="CA22" s="290" t="n">
        <f aca="false">IF($AM22="n",0,BR22)</f>
        <v>0</v>
      </c>
      <c r="CB22" s="290" t="n">
        <f aca="false">IF($AM22="n",0,BS22)</f>
        <v>111111.111111111</v>
      </c>
      <c r="CC22" s="290" t="n">
        <f aca="false">IF($AM22="n",0,BT22)</f>
        <v>0</v>
      </c>
      <c r="CD22" s="290" t="n">
        <f aca="false">SUM(CA22:CC22)</f>
        <v>111111.111111111</v>
      </c>
      <c r="CE22" s="290" t="n">
        <f aca="false">IF($AM$2="n",0,BV22)</f>
        <v>0</v>
      </c>
      <c r="CF22" s="290" t="n">
        <f aca="false">IF($AM$2="n",0,BW22)</f>
        <v>0</v>
      </c>
      <c r="CG22" s="290" t="n">
        <f aca="false">IF($AM$2="n",0,BX22)</f>
        <v>0</v>
      </c>
      <c r="CH22" s="290" t="n">
        <f aca="false">SUM(CE22:CG22)</f>
        <v>0</v>
      </c>
    </row>
    <row r="23" customFormat="false" ht="15" hidden="false" customHeight="true" outlineLevel="0" collapsed="false">
      <c r="A23" s="285" t="n">
        <v>344</v>
      </c>
      <c r="B23" s="285" t="s">
        <v>44</v>
      </c>
      <c r="C23" s="286" t="s">
        <v>116</v>
      </c>
      <c r="D23" s="287" t="s">
        <v>116</v>
      </c>
      <c r="E23" s="288" t="n">
        <f aca="false">IF(I23="regional",IF(R23*0.2975,S23*0.3484),S23*0.1939)</f>
        <v>199045.1008</v>
      </c>
      <c r="F23" s="288" t="n">
        <v>0</v>
      </c>
      <c r="G23" s="289" t="n">
        <f aca="false">E23+F23</f>
        <v>199045.1008</v>
      </c>
      <c r="H23" s="286"/>
      <c r="I23" s="287" t="s">
        <v>48</v>
      </c>
      <c r="J23" s="287" t="s">
        <v>44</v>
      </c>
      <c r="K23" s="287" t="s">
        <v>118</v>
      </c>
      <c r="L23" s="287"/>
      <c r="M23" s="317" t="n">
        <v>90</v>
      </c>
      <c r="N23" s="317" t="n">
        <v>0.818</v>
      </c>
      <c r="O23" s="317" t="n">
        <v>0.974</v>
      </c>
      <c r="P23" s="317" t="n">
        <v>0.963</v>
      </c>
      <c r="Q23" s="317" t="n">
        <v>0.95</v>
      </c>
      <c r="R23" s="317" t="n">
        <v>652078</v>
      </c>
      <c r="S23" s="317" t="n">
        <v>571312</v>
      </c>
      <c r="T23" s="318" t="n">
        <f aca="false">IF(I23="regional",IF(R23&gt;0,R23*0.2975,S23*0.3484),S23*0.1939)</f>
        <v>193993.205</v>
      </c>
      <c r="U23" s="317" t="n">
        <v>378599</v>
      </c>
      <c r="V23" s="317" t="n">
        <v>192713</v>
      </c>
      <c r="W23" s="317" t="n">
        <v>2865</v>
      </c>
      <c r="X23" s="317" t="n">
        <v>0</v>
      </c>
      <c r="Y23" s="317" t="n">
        <v>0</v>
      </c>
      <c r="Z23" s="317" t="n">
        <v>0</v>
      </c>
      <c r="AA23" s="317" t="n">
        <v>765305.205</v>
      </c>
      <c r="AB23" s="317" t="n">
        <v>193993.205</v>
      </c>
      <c r="AC23" s="317" t="n">
        <v>571312</v>
      </c>
      <c r="AD23" s="317" t="n">
        <v>0</v>
      </c>
      <c r="AE23" s="317" t="n">
        <v>0</v>
      </c>
      <c r="AF23" s="317" t="n">
        <v>571312</v>
      </c>
      <c r="AG23" s="317" t="n">
        <v>0</v>
      </c>
      <c r="AH23" s="317" t="n">
        <v>519000</v>
      </c>
      <c r="AI23" s="317" t="n">
        <v>452000</v>
      </c>
      <c r="AJ23" s="286" t="s">
        <v>707</v>
      </c>
      <c r="AK23" s="286" t="s">
        <v>708</v>
      </c>
      <c r="AL23" s="287" t="s">
        <v>48</v>
      </c>
      <c r="AM23" s="286"/>
      <c r="AN23" s="287" t="s">
        <v>116</v>
      </c>
      <c r="AO23" s="287" t="n">
        <v>193993.205</v>
      </c>
      <c r="AP23" s="319" t="n">
        <f aca="false">AR23+AT23+AU23+AV23+AX23+AY23+AZ23+BD23+BF23+BG23+BH23+BJ23+BK23+(BL23+BM23+BN23)/1000+(0.1*BO23)</f>
        <v>176.193175</v>
      </c>
      <c r="AQ23" s="319" t="n">
        <f aca="false">AR23+AT23+AU23+AV23+AX23+AY23+AZ23+BB23+BC23+BD23+BF23+BG23+BH23+BJ23+BK23+(BL23+BM23+BN23)/1000+(0.1*BO23)</f>
        <v>194.193175</v>
      </c>
      <c r="AR23" s="285" t="n">
        <v>0</v>
      </c>
      <c r="AS23" s="285" t="n">
        <v>452</v>
      </c>
      <c r="AT23" s="285" t="n">
        <v>120</v>
      </c>
      <c r="AU23" s="285" t="n">
        <v>0</v>
      </c>
      <c r="AV23" s="285" t="n">
        <v>0</v>
      </c>
      <c r="AW23" s="285" t="n">
        <v>0</v>
      </c>
      <c r="AX23" s="285" t="n">
        <v>0</v>
      </c>
      <c r="AY23" s="285" t="n">
        <v>0</v>
      </c>
      <c r="AZ23" s="285" t="n">
        <v>0</v>
      </c>
      <c r="BA23" s="285" t="n">
        <v>7</v>
      </c>
      <c r="BB23" s="285" t="n">
        <v>18</v>
      </c>
      <c r="BC23" s="285" t="n">
        <v>0</v>
      </c>
      <c r="BD23" s="285" t="n">
        <v>0</v>
      </c>
      <c r="BE23" s="285" t="n">
        <v>0</v>
      </c>
      <c r="BF23" s="285" t="n">
        <v>0</v>
      </c>
      <c r="BG23" s="285" t="n">
        <v>0</v>
      </c>
      <c r="BH23" s="285" t="n">
        <v>0</v>
      </c>
      <c r="BI23" s="285" t="n">
        <v>0</v>
      </c>
      <c r="BJ23" s="285" t="n">
        <v>0</v>
      </c>
      <c r="BK23" s="285" t="n">
        <v>0</v>
      </c>
      <c r="BL23" s="285" t="n">
        <v>9478</v>
      </c>
      <c r="BM23" s="285" t="n">
        <v>0</v>
      </c>
      <c r="BN23" s="285" t="n">
        <v>0</v>
      </c>
      <c r="BO23" s="285" t="n">
        <v>467.15175</v>
      </c>
      <c r="BR23" s="290" t="n">
        <f aca="false">AR23*1000/0.072</f>
        <v>0</v>
      </c>
      <c r="BS23" s="290" t="n">
        <f aca="false">AT23*1000/0.072</f>
        <v>1666666.66666667</v>
      </c>
      <c r="BT23" s="290" t="n">
        <f aca="false">AU23*1000/0.072</f>
        <v>0</v>
      </c>
      <c r="BU23" s="290" t="n">
        <f aca="false">SUM(BR23:BT23)</f>
        <v>1666666.66666667</v>
      </c>
      <c r="BV23" s="290" t="n">
        <f aca="false">AV23*1000/5</f>
        <v>0</v>
      </c>
      <c r="BW23" s="290" t="n">
        <f aca="false">AX23*1000/5</f>
        <v>0</v>
      </c>
      <c r="BX23" s="290" t="n">
        <f aca="false">AY23*1000/5</f>
        <v>0</v>
      </c>
      <c r="BY23" s="290" t="n">
        <f aca="false">SUM(BV23:BX23)</f>
        <v>0</v>
      </c>
      <c r="CA23" s="290" t="n">
        <f aca="false">IF($AM23="n",0,BR23)</f>
        <v>0</v>
      </c>
      <c r="CB23" s="290" t="n">
        <f aca="false">IF($AM23="n",0,BS23)</f>
        <v>1666666.66666667</v>
      </c>
      <c r="CC23" s="290" t="n">
        <f aca="false">IF($AM23="n",0,BT23)</f>
        <v>0</v>
      </c>
      <c r="CD23" s="290" t="n">
        <f aca="false">SUM(CA23:CC23)</f>
        <v>1666666.66666667</v>
      </c>
      <c r="CE23" s="290" t="n">
        <f aca="false">IF($AM$2="n",0,BV23)</f>
        <v>0</v>
      </c>
      <c r="CF23" s="290" t="n">
        <f aca="false">IF($AM$2="n",0,BW23)</f>
        <v>0</v>
      </c>
      <c r="CG23" s="290" t="n">
        <f aca="false">IF($AM$2="n",0,BX23)</f>
        <v>0</v>
      </c>
      <c r="CH23" s="290" t="n">
        <f aca="false">SUM(CE23:CG23)</f>
        <v>0</v>
      </c>
    </row>
    <row r="24" customFormat="false" ht="15" hidden="false" customHeight="true" outlineLevel="0" collapsed="false">
      <c r="A24" s="285" t="n">
        <v>8178</v>
      </c>
      <c r="B24" s="285"/>
      <c r="C24" s="286" t="s">
        <v>119</v>
      </c>
      <c r="D24" s="287" t="s">
        <v>119</v>
      </c>
      <c r="E24" s="288" t="n">
        <f aca="false">IF(I24="regional",IF(R24*0.2975,S24*0.3484),S24*0.1939)</f>
        <v>267676.7652</v>
      </c>
      <c r="F24" s="288" t="n">
        <v>0</v>
      </c>
      <c r="G24" s="289" t="n">
        <f aca="false">E24+F24</f>
        <v>267676.7652</v>
      </c>
      <c r="H24" s="286"/>
      <c r="I24" s="287" t="s">
        <v>48</v>
      </c>
      <c r="J24" s="287" t="s">
        <v>49</v>
      </c>
      <c r="K24" s="287" t="s">
        <v>90</v>
      </c>
      <c r="L24" s="287"/>
      <c r="M24" s="317" t="n">
        <v>76</v>
      </c>
      <c r="N24" s="317" t="n">
        <v>0.904</v>
      </c>
      <c r="O24" s="317" t="n">
        <v>0.939</v>
      </c>
      <c r="P24" s="317" t="n">
        <v>0.874</v>
      </c>
      <c r="Q24" s="317" t="n">
        <v>0.767</v>
      </c>
      <c r="R24" s="317" t="n">
        <v>857149</v>
      </c>
      <c r="S24" s="317" t="n">
        <v>768303</v>
      </c>
      <c r="T24" s="318" t="n">
        <f aca="false">IF(I24="regional",IF(R24&gt;0,R24*0.2975,S24*0.3484),S24*0.1939)</f>
        <v>255001.8275</v>
      </c>
      <c r="U24" s="317" t="n">
        <v>467626</v>
      </c>
      <c r="V24" s="317" t="n">
        <v>300677</v>
      </c>
      <c r="W24" s="317" t="n">
        <v>4248</v>
      </c>
      <c r="X24" s="317" t="n">
        <v>0</v>
      </c>
      <c r="Y24" s="317" t="n">
        <v>0</v>
      </c>
      <c r="Z24" s="317" t="n">
        <v>0</v>
      </c>
      <c r="AA24" s="317" t="n">
        <v>1023304.828</v>
      </c>
      <c r="AB24" s="317" t="n">
        <v>255001.8275</v>
      </c>
      <c r="AC24" s="317" t="n">
        <v>768303</v>
      </c>
      <c r="AD24" s="317" t="n">
        <v>0</v>
      </c>
      <c r="AE24" s="317" t="n">
        <v>0</v>
      </c>
      <c r="AF24" s="317" t="n">
        <v>0</v>
      </c>
      <c r="AG24" s="317" t="n">
        <v>768303</v>
      </c>
      <c r="AH24" s="317" t="n">
        <v>0</v>
      </c>
      <c r="AI24" s="317" t="n">
        <v>0</v>
      </c>
      <c r="AJ24" s="286" t="s">
        <v>715</v>
      </c>
      <c r="AK24" s="286" t="s">
        <v>716</v>
      </c>
      <c r="AL24" s="287" t="s">
        <v>48</v>
      </c>
      <c r="AM24" s="286"/>
      <c r="AN24" s="287" t="s">
        <v>119</v>
      </c>
      <c r="AO24" s="287" t="n">
        <v>255001.8275</v>
      </c>
      <c r="AP24" s="319" t="n">
        <f aca="false">AR24+AT24+AU24+AV24+AX24+AY24+AZ24+BD24+BF24+BG24+BH24+BJ24+BK24+(BL24+BM24+BN24)/1000+(0.1*BO24)</f>
        <v>117.023595</v>
      </c>
      <c r="AQ24" s="319" t="n">
        <f aca="false">AR24+AT24+AU24+AV24+AX24+AY24+AZ24+BB24+BC24+BD24+BF24+BG24+BH24+BJ24+BK24+(BL24+BM24+BN24)/1000+(0.1*BO24)</f>
        <v>138.023595</v>
      </c>
      <c r="AR24" s="285" t="n">
        <v>0</v>
      </c>
      <c r="AS24" s="285" t="n">
        <v>0</v>
      </c>
      <c r="AT24" s="285" t="n">
        <v>63</v>
      </c>
      <c r="AU24" s="285" t="n">
        <v>10</v>
      </c>
      <c r="AV24" s="285" t="n">
        <v>0</v>
      </c>
      <c r="AW24" s="285" t="n">
        <v>0</v>
      </c>
      <c r="AX24" s="285" t="n">
        <v>11</v>
      </c>
      <c r="AY24" s="285" t="n">
        <v>4</v>
      </c>
      <c r="AZ24" s="285" t="n">
        <v>0</v>
      </c>
      <c r="BA24" s="285" t="n">
        <v>0</v>
      </c>
      <c r="BB24" s="285" t="n">
        <v>18</v>
      </c>
      <c r="BC24" s="285" t="n">
        <v>3</v>
      </c>
      <c r="BD24" s="285" t="n">
        <v>0</v>
      </c>
      <c r="BE24" s="285" t="n">
        <v>0</v>
      </c>
      <c r="BF24" s="285" t="n">
        <v>0</v>
      </c>
      <c r="BG24" s="285" t="n">
        <v>0</v>
      </c>
      <c r="BH24" s="285" t="n">
        <v>0</v>
      </c>
      <c r="BI24" s="285" t="n">
        <v>0</v>
      </c>
      <c r="BJ24" s="285" t="n">
        <v>0</v>
      </c>
      <c r="BK24" s="285" t="n">
        <v>0</v>
      </c>
      <c r="BL24" s="285" t="n">
        <v>0</v>
      </c>
      <c r="BM24" s="285" t="n">
        <v>0</v>
      </c>
      <c r="BN24" s="285" t="n">
        <v>0</v>
      </c>
      <c r="BO24" s="285" t="n">
        <v>290.23595</v>
      </c>
      <c r="BR24" s="290" t="n">
        <f aca="false">AR24*1000/0.072</f>
        <v>0</v>
      </c>
      <c r="BS24" s="290" t="n">
        <f aca="false">AT24*1000/0.072</f>
        <v>875000</v>
      </c>
      <c r="BT24" s="290" t="n">
        <f aca="false">AU24*1000/0.072</f>
        <v>138888.888888889</v>
      </c>
      <c r="BU24" s="290" t="n">
        <f aca="false">SUM(BR24:BT24)</f>
        <v>1013888.88888889</v>
      </c>
      <c r="BV24" s="290" t="n">
        <f aca="false">AV24*1000/5</f>
        <v>0</v>
      </c>
      <c r="BW24" s="290" t="n">
        <f aca="false">AX24*1000/5</f>
        <v>2200</v>
      </c>
      <c r="BX24" s="290" t="n">
        <f aca="false">AY24*1000/5</f>
        <v>800</v>
      </c>
      <c r="BY24" s="290" t="n">
        <f aca="false">SUM(BV24:BX24)</f>
        <v>3000</v>
      </c>
      <c r="CA24" s="290" t="n">
        <f aca="false">IF($AM24="n",0,BR24)</f>
        <v>0</v>
      </c>
      <c r="CB24" s="290" t="n">
        <f aca="false">IF($AM24="n",0,BS24)</f>
        <v>875000</v>
      </c>
      <c r="CC24" s="290" t="n">
        <f aca="false">IF($AM24="n",0,BT24)</f>
        <v>138888.888888889</v>
      </c>
      <c r="CD24" s="290" t="n">
        <f aca="false">SUM(CA24:CC24)</f>
        <v>1013888.88888889</v>
      </c>
      <c r="CE24" s="290" t="n">
        <f aca="false">IF($AM$2="n",0,BV24)</f>
        <v>0</v>
      </c>
      <c r="CF24" s="290" t="n">
        <f aca="false">IF($AM$2="n",0,BW24)</f>
        <v>2200</v>
      </c>
      <c r="CG24" s="290" t="n">
        <f aca="false">IF($AM$2="n",0,BX24)</f>
        <v>800</v>
      </c>
      <c r="CH24" s="290" t="n">
        <f aca="false">SUM(CE24:CG24)</f>
        <v>3000</v>
      </c>
    </row>
    <row r="25" customFormat="false" ht="15" hidden="false" customHeight="true" outlineLevel="0" collapsed="false">
      <c r="A25" s="285" t="n">
        <v>339</v>
      </c>
      <c r="B25" s="285"/>
      <c r="C25" s="286" t="s">
        <v>121</v>
      </c>
      <c r="D25" s="287" t="s">
        <v>121</v>
      </c>
      <c r="E25" s="288" t="n">
        <f aca="false">IF(I25="regional",IF(R25*0.2975,S25*0.3484),S25*0.1939)</f>
        <v>25998.6937</v>
      </c>
      <c r="F25" s="288" t="n">
        <v>0</v>
      </c>
      <c r="G25" s="289" t="n">
        <f aca="false">E25+F25</f>
        <v>25998.6937</v>
      </c>
      <c r="H25" s="286"/>
      <c r="I25" s="287" t="s">
        <v>62</v>
      </c>
      <c r="J25" s="287" t="s">
        <v>49</v>
      </c>
      <c r="K25" s="287" t="s">
        <v>98</v>
      </c>
      <c r="L25" s="287"/>
      <c r="M25" s="317" t="n">
        <v>40</v>
      </c>
      <c r="N25" s="317" t="n">
        <v>0.802</v>
      </c>
      <c r="O25" s="317" t="n">
        <v>0.733</v>
      </c>
      <c r="P25" s="317" t="n">
        <v>0.797</v>
      </c>
      <c r="Q25" s="317" t="n">
        <v>0.807</v>
      </c>
      <c r="R25" s="317" t="n">
        <v>0</v>
      </c>
      <c r="S25" s="317" t="n">
        <v>134083</v>
      </c>
      <c r="T25" s="318" t="n">
        <f aca="false">IF(I25="regional",IF(R25&gt;0,R25*0.2975,S25*0.3484),S25*0.1939)</f>
        <v>25998.6937</v>
      </c>
      <c r="U25" s="317" t="n">
        <v>0</v>
      </c>
      <c r="V25" s="317" t="n">
        <v>134083</v>
      </c>
      <c r="W25" s="317" t="n">
        <v>910</v>
      </c>
      <c r="X25" s="317" t="n">
        <v>0</v>
      </c>
      <c r="Y25" s="317" t="n">
        <v>0</v>
      </c>
      <c r="Z25" s="317" t="n">
        <v>0</v>
      </c>
      <c r="AA25" s="317" t="n">
        <v>160081.6937</v>
      </c>
      <c r="AB25" s="317" t="n">
        <v>25998.6937</v>
      </c>
      <c r="AC25" s="317" t="n">
        <v>134083</v>
      </c>
      <c r="AD25" s="317" t="n">
        <v>0</v>
      </c>
      <c r="AE25" s="317" t="n">
        <v>0</v>
      </c>
      <c r="AF25" s="317" t="n">
        <v>0</v>
      </c>
      <c r="AG25" s="317" t="n">
        <v>134083</v>
      </c>
      <c r="AH25" s="317" t="n">
        <v>0</v>
      </c>
      <c r="AI25" s="317" t="n">
        <v>0</v>
      </c>
      <c r="AJ25" s="286" t="n">
        <v>4</v>
      </c>
      <c r="AK25" s="286" t="s">
        <v>706</v>
      </c>
      <c r="AL25" s="287" t="s">
        <v>62</v>
      </c>
      <c r="AM25" s="286"/>
      <c r="AN25" s="287" t="s">
        <v>121</v>
      </c>
      <c r="AO25" s="287" t="n">
        <v>25998.6937</v>
      </c>
      <c r="AP25" s="319" t="n">
        <f aca="false">AR25+AT25+AU25+AV25+AX25+AY25+AZ25+BD25+BF25+BG25+BH25+BJ25+BK25+(BL25+BM25+BN25)/1000+(0.1*BO25)</f>
        <v>58</v>
      </c>
      <c r="AQ25" s="319" t="n">
        <f aca="false">AR25+AT25+AU25+AV25+AX25+AY25+AZ25+BB25+BC25+BD25+BF25+BG25+BH25+BJ25+BK25+(BL25+BM25+BN25)/1000+(0.1*BO25)</f>
        <v>69</v>
      </c>
      <c r="AR25" s="285" t="n">
        <v>0</v>
      </c>
      <c r="AS25" s="285" t="n">
        <v>0</v>
      </c>
      <c r="AT25" s="285" t="n">
        <v>30</v>
      </c>
      <c r="AU25" s="285" t="n">
        <v>26</v>
      </c>
      <c r="AV25" s="285" t="n">
        <v>0</v>
      </c>
      <c r="AW25" s="285" t="n">
        <v>0</v>
      </c>
      <c r="AX25" s="285" t="n">
        <v>0</v>
      </c>
      <c r="AY25" s="285" t="n">
        <v>2</v>
      </c>
      <c r="AZ25" s="285" t="n">
        <v>0</v>
      </c>
      <c r="BA25" s="285" t="n">
        <v>18</v>
      </c>
      <c r="BB25" s="285" t="n">
        <v>11</v>
      </c>
      <c r="BC25" s="285" t="n">
        <v>0</v>
      </c>
      <c r="BD25" s="285" t="n">
        <v>0</v>
      </c>
      <c r="BE25" s="285" t="n">
        <v>0</v>
      </c>
      <c r="BF25" s="285" t="n">
        <v>0</v>
      </c>
      <c r="BG25" s="285" t="n">
        <v>0</v>
      </c>
      <c r="BH25" s="285" t="n">
        <v>0</v>
      </c>
      <c r="BI25" s="285" t="n">
        <v>0</v>
      </c>
      <c r="BJ25" s="285" t="n">
        <v>0</v>
      </c>
      <c r="BK25" s="285" t="n">
        <v>0</v>
      </c>
      <c r="BL25" s="285" t="n">
        <v>0</v>
      </c>
      <c r="BM25" s="285" t="n">
        <v>0</v>
      </c>
      <c r="BN25" s="285" t="n">
        <v>0</v>
      </c>
      <c r="BO25" s="285" t="n">
        <v>0</v>
      </c>
      <c r="BR25" s="290" t="n">
        <f aca="false">AR25*1000/0.072</f>
        <v>0</v>
      </c>
      <c r="BS25" s="290" t="n">
        <f aca="false">AT25*1000/0.072</f>
        <v>416666.666666667</v>
      </c>
      <c r="BT25" s="290" t="n">
        <f aca="false">AU25*1000/0.072</f>
        <v>361111.111111111</v>
      </c>
      <c r="BU25" s="290" t="n">
        <f aca="false">SUM(BR25:BT25)</f>
        <v>777777.777777778</v>
      </c>
      <c r="BV25" s="290" t="n">
        <f aca="false">AV25*1000/5</f>
        <v>0</v>
      </c>
      <c r="BW25" s="290" t="n">
        <f aca="false">AX25*1000/5</f>
        <v>0</v>
      </c>
      <c r="BX25" s="290" t="n">
        <f aca="false">AY25*1000/5</f>
        <v>400</v>
      </c>
      <c r="BY25" s="290" t="n">
        <f aca="false">SUM(BV25:BX25)</f>
        <v>400</v>
      </c>
      <c r="CA25" s="290" t="n">
        <f aca="false">IF($AM25="n",0,BR25)</f>
        <v>0</v>
      </c>
      <c r="CB25" s="290" t="n">
        <f aca="false">IF($AM25="n",0,BS25)</f>
        <v>416666.666666667</v>
      </c>
      <c r="CC25" s="290" t="n">
        <f aca="false">IF($AM25="n",0,BT25)</f>
        <v>361111.111111111</v>
      </c>
      <c r="CD25" s="290" t="n">
        <f aca="false">SUM(CA25:CC25)</f>
        <v>777777.777777778</v>
      </c>
      <c r="CE25" s="290" t="n">
        <f aca="false">IF($AM$2="n",0,BV25)</f>
        <v>0</v>
      </c>
      <c r="CF25" s="290" t="n">
        <f aca="false">IF($AM$2="n",0,BW25)</f>
        <v>0</v>
      </c>
      <c r="CG25" s="290" t="n">
        <f aca="false">IF($AM$2="n",0,BX25)</f>
        <v>400</v>
      </c>
      <c r="CH25" s="290" t="n">
        <f aca="false">SUM(CE25:CG25)</f>
        <v>400</v>
      </c>
    </row>
    <row r="26" customFormat="false" ht="15" hidden="false" customHeight="true" outlineLevel="0" collapsed="false">
      <c r="A26" s="285" t="n">
        <v>4822</v>
      </c>
      <c r="B26" s="285"/>
      <c r="C26" s="286" t="s">
        <v>125</v>
      </c>
      <c r="D26" s="287" t="s">
        <v>125</v>
      </c>
      <c r="E26" s="288" t="n">
        <f aca="false">IF(I26="regional",IF(R26*0.2975,S26*0.3484),S26*0.1939)</f>
        <v>437242</v>
      </c>
      <c r="F26" s="288" t="n">
        <v>0</v>
      </c>
      <c r="G26" s="289" t="n">
        <f aca="false">E26+F26</f>
        <v>437242</v>
      </c>
      <c r="H26" s="286"/>
      <c r="I26" s="287" t="s">
        <v>128</v>
      </c>
      <c r="J26" s="287"/>
      <c r="K26" s="287" t="s">
        <v>129</v>
      </c>
      <c r="L26" s="287"/>
      <c r="M26" s="317" t="n">
        <v>175</v>
      </c>
      <c r="N26" s="317" t="n">
        <v>0.965</v>
      </c>
      <c r="O26" s="317" t="n">
        <v>0.981</v>
      </c>
      <c r="P26" s="317" t="n">
        <v>0.925</v>
      </c>
      <c r="Q26" s="317" t="n">
        <v>0.952</v>
      </c>
      <c r="R26" s="317" t="n">
        <v>1580588</v>
      </c>
      <c r="S26" s="317" t="n">
        <v>1255000</v>
      </c>
      <c r="T26" s="318" t="n">
        <f aca="false">IF(I26="regional",IF(R26&gt;0,R26*0.2975,S26*0.3484),S26*0.1939)</f>
        <v>470224.93</v>
      </c>
      <c r="U26" s="317" t="n">
        <v>836500</v>
      </c>
      <c r="V26" s="317" t="n">
        <v>418500</v>
      </c>
      <c r="W26" s="317" t="n">
        <v>6000</v>
      </c>
      <c r="X26" s="317" t="n">
        <v>0</v>
      </c>
      <c r="Y26" s="317" t="n">
        <v>0</v>
      </c>
      <c r="Z26" s="317" t="n">
        <v>0</v>
      </c>
      <c r="AA26" s="317" t="n">
        <v>1725224.93</v>
      </c>
      <c r="AB26" s="317" t="n">
        <v>470224.93</v>
      </c>
      <c r="AC26" s="317" t="n">
        <v>1255000</v>
      </c>
      <c r="AD26" s="317" t="n">
        <v>0</v>
      </c>
      <c r="AE26" s="317" t="n">
        <v>0</v>
      </c>
      <c r="AF26" s="317" t="n">
        <v>0</v>
      </c>
      <c r="AG26" s="317" t="n">
        <v>1255000</v>
      </c>
      <c r="AH26" s="317" t="n">
        <v>0</v>
      </c>
      <c r="AI26" s="317" t="n">
        <v>0</v>
      </c>
      <c r="AJ26" s="286" t="n">
        <v>4</v>
      </c>
      <c r="AK26" s="286" t="s">
        <v>722</v>
      </c>
      <c r="AL26" s="287" t="s">
        <v>128</v>
      </c>
      <c r="AM26" s="286"/>
      <c r="AN26" s="287" t="s">
        <v>125</v>
      </c>
      <c r="AO26" s="287" t="n">
        <v>470224.93</v>
      </c>
      <c r="AP26" s="319" t="n">
        <f aca="false">AR26+AT26+AU26+AV26+AX26+AY26+AZ26+BD26+BF26+BG26+BH26+BJ26+BK26+(BL26+BM26+BN26)/1000+(0.1*BO26)</f>
        <v>477.830865</v>
      </c>
      <c r="AQ26" s="319" t="n">
        <f aca="false">AR26+AT26+AU26+AV26+AX26+AY26+AZ26+BB26+BC26+BD26+BF26+BG26+BH26+BJ26+BK26+(BL26+BM26+BN26)/1000+(0.1*BO26)</f>
        <v>504.830865</v>
      </c>
      <c r="AR26" s="285" t="n">
        <v>0</v>
      </c>
      <c r="AS26" s="285" t="n">
        <v>0</v>
      </c>
      <c r="AT26" s="285" t="n">
        <v>431</v>
      </c>
      <c r="AU26" s="285" t="n">
        <v>1</v>
      </c>
      <c r="AV26" s="285" t="n">
        <v>0</v>
      </c>
      <c r="AW26" s="285" t="n">
        <v>0</v>
      </c>
      <c r="AX26" s="285" t="n">
        <v>27</v>
      </c>
      <c r="AY26" s="285" t="n">
        <v>0</v>
      </c>
      <c r="AZ26" s="285" t="n">
        <v>0</v>
      </c>
      <c r="BA26" s="285" t="n">
        <v>0</v>
      </c>
      <c r="BB26" s="285" t="n">
        <v>27</v>
      </c>
      <c r="BC26" s="285" t="n">
        <v>0</v>
      </c>
      <c r="BD26" s="285" t="n">
        <v>0</v>
      </c>
      <c r="BE26" s="285" t="n">
        <v>0</v>
      </c>
      <c r="BF26" s="285" t="n">
        <v>0</v>
      </c>
      <c r="BG26" s="285" t="n">
        <v>0</v>
      </c>
      <c r="BH26" s="285" t="n">
        <v>0</v>
      </c>
      <c r="BI26" s="285" t="n">
        <v>0</v>
      </c>
      <c r="BJ26" s="285" t="n">
        <v>0</v>
      </c>
      <c r="BK26" s="285" t="n">
        <v>0</v>
      </c>
      <c r="BL26" s="285" t="n">
        <v>0</v>
      </c>
      <c r="BM26" s="285" t="n">
        <v>0</v>
      </c>
      <c r="BN26" s="285" t="n">
        <v>0</v>
      </c>
      <c r="BO26" s="285" t="n">
        <v>188.30865</v>
      </c>
      <c r="BR26" s="290" t="n">
        <f aca="false">AR26*1000/0.072</f>
        <v>0</v>
      </c>
      <c r="BS26" s="290" t="n">
        <f aca="false">AT26*1000/0.072</f>
        <v>5986111.11111111</v>
      </c>
      <c r="BT26" s="290" t="n">
        <f aca="false">AU26*1000/0.072</f>
        <v>13888.8888888889</v>
      </c>
      <c r="BU26" s="290" t="n">
        <f aca="false">SUM(BR26:BT26)</f>
        <v>6000000</v>
      </c>
      <c r="BV26" s="290" t="n">
        <f aca="false">AV26*1000/5</f>
        <v>0</v>
      </c>
      <c r="BW26" s="290" t="n">
        <f aca="false">AX26*1000/5</f>
        <v>5400</v>
      </c>
      <c r="BX26" s="290" t="n">
        <f aca="false">AY26*1000/5</f>
        <v>0</v>
      </c>
      <c r="BY26" s="290" t="n">
        <f aca="false">SUM(BV26:BX26)</f>
        <v>5400</v>
      </c>
      <c r="CA26" s="290" t="n">
        <f aca="false">IF($AM26="n",0,BR26)</f>
        <v>0</v>
      </c>
      <c r="CB26" s="290" t="n">
        <f aca="false">IF($AM26="n",0,BS26)</f>
        <v>5986111.11111111</v>
      </c>
      <c r="CC26" s="290" t="n">
        <f aca="false">IF($AM26="n",0,BT26)</f>
        <v>13888.8888888889</v>
      </c>
      <c r="CD26" s="290" t="n">
        <f aca="false">SUM(CA26:CC26)</f>
        <v>6000000</v>
      </c>
      <c r="CE26" s="290" t="n">
        <f aca="false">IF($AM$2="n",0,BV26)</f>
        <v>0</v>
      </c>
      <c r="CF26" s="290" t="n">
        <f aca="false">IF($AM$2="n",0,BW26)</f>
        <v>5400</v>
      </c>
      <c r="CG26" s="290" t="n">
        <f aca="false">IF($AM$2="n",0,BX26)</f>
        <v>0</v>
      </c>
      <c r="CH26" s="290" t="n">
        <f aca="false">SUM(CE26:CG26)</f>
        <v>5400</v>
      </c>
    </row>
    <row r="27" customFormat="false" ht="15" hidden="false" customHeight="true" outlineLevel="0" collapsed="false">
      <c r="A27" s="285" t="n">
        <v>8700</v>
      </c>
      <c r="B27" s="285" t="s">
        <v>44</v>
      </c>
      <c r="C27" s="286" t="s">
        <v>131</v>
      </c>
      <c r="D27" s="287" t="s">
        <v>131</v>
      </c>
      <c r="E27" s="288" t="n">
        <f aca="false">IF(I27="regional",IF(R27*0.2975,S27*0.3484),S27*0.1939)</f>
        <v>498259.7308</v>
      </c>
      <c r="F27" s="288" t="n">
        <v>0</v>
      </c>
      <c r="G27" s="289" t="n">
        <f aca="false">E27+F27</f>
        <v>498259.7308</v>
      </c>
      <c r="H27" s="286"/>
      <c r="I27" s="287" t="s">
        <v>48</v>
      </c>
      <c r="J27" s="287" t="s">
        <v>44</v>
      </c>
      <c r="K27" s="287" t="s">
        <v>115</v>
      </c>
      <c r="L27" s="287"/>
      <c r="M27" s="317" t="n">
        <v>125</v>
      </c>
      <c r="N27" s="317" t="n">
        <v>0.879</v>
      </c>
      <c r="O27" s="317" t="n">
        <v>0.852</v>
      </c>
      <c r="P27" s="317" t="n">
        <v>0.875</v>
      </c>
      <c r="Q27" s="317" t="n">
        <v>0.938</v>
      </c>
      <c r="R27" s="317" t="n">
        <v>1445650</v>
      </c>
      <c r="S27" s="317" t="n">
        <v>1430137</v>
      </c>
      <c r="T27" s="318" t="n">
        <f aca="false">IF(I27="regional",IF(R27&gt;0,R27*0.2975,S27*0.3484),S27*0.1939)</f>
        <v>430080.875</v>
      </c>
      <c r="U27" s="317" t="n">
        <v>1078896</v>
      </c>
      <c r="V27" s="317" t="n">
        <v>351241</v>
      </c>
      <c r="W27" s="317" t="n">
        <v>7558</v>
      </c>
      <c r="X27" s="317" t="n">
        <v>0</v>
      </c>
      <c r="Y27" s="317" t="n">
        <v>0</v>
      </c>
      <c r="Z27" s="317" t="n">
        <v>0</v>
      </c>
      <c r="AA27" s="317" t="n">
        <v>1860217.875</v>
      </c>
      <c r="AB27" s="317" t="n">
        <v>430080.875</v>
      </c>
      <c r="AC27" s="317" t="n">
        <v>1430137</v>
      </c>
      <c r="AD27" s="317" t="n">
        <v>0</v>
      </c>
      <c r="AE27" s="317" t="n">
        <v>0</v>
      </c>
      <c r="AF27" s="317" t="n">
        <v>1430137</v>
      </c>
      <c r="AG27" s="317" t="n">
        <v>0</v>
      </c>
      <c r="AH27" s="317" t="n">
        <v>527000</v>
      </c>
      <c r="AI27" s="317" t="n">
        <v>519000</v>
      </c>
      <c r="AJ27" s="286" t="n">
        <v>4</v>
      </c>
      <c r="AK27" s="286" t="s">
        <v>720</v>
      </c>
      <c r="AL27" s="287" t="s">
        <v>48</v>
      </c>
      <c r="AM27" s="286"/>
      <c r="AN27" s="287" t="s">
        <v>131</v>
      </c>
      <c r="AO27" s="287" t="n">
        <v>430080.875</v>
      </c>
      <c r="AP27" s="319" t="n">
        <f aca="false">AR27+AT27+AU27+AV27+AX27+AY27+AZ27+BD27+BF27+BG27+BH27+BJ27+BK27+(BL27+BM27+BN27)/1000+(0.1*BO27)</f>
        <v>158.6151</v>
      </c>
      <c r="AQ27" s="319" t="n">
        <f aca="false">AR27+AT27+AU27+AV27+AX27+AY27+AZ27+BB27+BC27+BD27+BF27+BG27+BH27+BJ27+BK27+(BL27+BM27+BN27)/1000+(0.1*BO27)</f>
        <v>163.6151</v>
      </c>
      <c r="AR27" s="285" t="n">
        <v>19</v>
      </c>
      <c r="AS27" s="285" t="n">
        <v>519</v>
      </c>
      <c r="AT27" s="285" t="n">
        <v>49</v>
      </c>
      <c r="AU27" s="285" t="n">
        <v>30</v>
      </c>
      <c r="AV27" s="285" t="n">
        <v>0</v>
      </c>
      <c r="AW27" s="285" t="n">
        <v>0</v>
      </c>
      <c r="AX27" s="285" t="n">
        <v>4</v>
      </c>
      <c r="AY27" s="285" t="n">
        <v>3</v>
      </c>
      <c r="AZ27" s="285" t="n">
        <v>0</v>
      </c>
      <c r="BA27" s="285" t="n">
        <v>0</v>
      </c>
      <c r="BB27" s="285" t="n">
        <v>4</v>
      </c>
      <c r="BC27" s="285" t="n">
        <v>1</v>
      </c>
      <c r="BD27" s="285" t="n">
        <v>0</v>
      </c>
      <c r="BE27" s="285" t="n">
        <v>0</v>
      </c>
      <c r="BF27" s="285" t="n">
        <v>0</v>
      </c>
      <c r="BG27" s="285" t="n">
        <v>0</v>
      </c>
      <c r="BH27" s="285" t="n">
        <v>0</v>
      </c>
      <c r="BI27" s="285" t="n">
        <v>0</v>
      </c>
      <c r="BJ27" s="285" t="n">
        <v>0</v>
      </c>
      <c r="BK27" s="285" t="n">
        <v>0</v>
      </c>
      <c r="BL27" s="285" t="n">
        <v>0</v>
      </c>
      <c r="BM27" s="285" t="n">
        <v>0</v>
      </c>
      <c r="BN27" s="285" t="n">
        <v>0</v>
      </c>
      <c r="BO27" s="285" t="n">
        <v>536.151</v>
      </c>
      <c r="BR27" s="290" t="n">
        <f aca="false">AR27*1000/0.072</f>
        <v>263888.888888889</v>
      </c>
      <c r="BS27" s="290" t="n">
        <f aca="false">AT27*1000/0.072</f>
        <v>680555.555555556</v>
      </c>
      <c r="BT27" s="290" t="n">
        <f aca="false">AU27*1000/0.072</f>
        <v>416666.666666667</v>
      </c>
      <c r="BU27" s="290" t="n">
        <f aca="false">SUM(BR27:BT27)</f>
        <v>1361111.11111111</v>
      </c>
      <c r="BV27" s="290" t="n">
        <f aca="false">AV27*1000/5</f>
        <v>0</v>
      </c>
      <c r="BW27" s="290" t="n">
        <f aca="false">AX27*1000/5</f>
        <v>800</v>
      </c>
      <c r="BX27" s="290" t="n">
        <f aca="false">AY27*1000/5</f>
        <v>600</v>
      </c>
      <c r="BY27" s="290" t="n">
        <f aca="false">SUM(BV27:BX27)</f>
        <v>1400</v>
      </c>
      <c r="CA27" s="290" t="n">
        <f aca="false">IF($AM27="n",0,BR27)</f>
        <v>263888.888888889</v>
      </c>
      <c r="CB27" s="290" t="n">
        <f aca="false">IF($AM27="n",0,BS27)</f>
        <v>680555.555555556</v>
      </c>
      <c r="CC27" s="290" t="n">
        <f aca="false">IF($AM27="n",0,BT27)</f>
        <v>416666.666666667</v>
      </c>
      <c r="CD27" s="290" t="n">
        <f aca="false">SUM(CA27:CC27)</f>
        <v>1361111.11111111</v>
      </c>
      <c r="CE27" s="290" t="n">
        <f aca="false">IF($AM$2="n",0,BV27)</f>
        <v>0</v>
      </c>
      <c r="CF27" s="290" t="n">
        <f aca="false">IF($AM$2="n",0,BW27)</f>
        <v>800</v>
      </c>
      <c r="CG27" s="290" t="n">
        <f aca="false">IF($AM$2="n",0,BX27)</f>
        <v>600</v>
      </c>
      <c r="CH27" s="290" t="n">
        <f aca="false">SUM(CE27:CG27)</f>
        <v>1400</v>
      </c>
    </row>
    <row r="28" customFormat="false" ht="15" hidden="false" customHeight="true" outlineLevel="0" collapsed="false">
      <c r="A28" s="285" t="n">
        <v>512</v>
      </c>
      <c r="B28" s="285"/>
      <c r="C28" s="286" t="s">
        <v>132</v>
      </c>
      <c r="D28" s="287" t="s">
        <v>132</v>
      </c>
      <c r="E28" s="288" t="n">
        <f aca="false">IF(I28="regional",IF(R28*0.2975,S28*0.3484),S28*0.1939)</f>
        <v>6325.4058</v>
      </c>
      <c r="F28" s="288" t="n">
        <v>0</v>
      </c>
      <c r="G28" s="289" t="n">
        <f aca="false">E28+F28</f>
        <v>6325.4058</v>
      </c>
      <c r="H28" s="286"/>
      <c r="I28" s="287" t="s">
        <v>62</v>
      </c>
      <c r="J28" s="287"/>
      <c r="K28" s="287" t="s">
        <v>134</v>
      </c>
      <c r="L28" s="287"/>
      <c r="M28" s="317" t="n">
        <v>0</v>
      </c>
      <c r="N28" s="317" t="n">
        <v>1</v>
      </c>
      <c r="O28" s="317" t="n">
        <v>1</v>
      </c>
      <c r="P28" s="317" t="n">
        <v>1</v>
      </c>
      <c r="Q28" s="317" t="n">
        <v>1</v>
      </c>
      <c r="R28" s="317" t="n">
        <v>0</v>
      </c>
      <c r="S28" s="317" t="n">
        <v>32622</v>
      </c>
      <c r="T28" s="318" t="n">
        <f aca="false">IF(I28="regional",IF(R28&gt;0,R28*0.2975,S28*0.3484),S28*0.1939)</f>
        <v>6325.4058</v>
      </c>
      <c r="U28" s="317" t="n">
        <v>32622</v>
      </c>
      <c r="V28" s="317" t="n">
        <v>0</v>
      </c>
      <c r="W28" s="317" t="n">
        <v>200</v>
      </c>
      <c r="X28" s="317" t="n">
        <v>0</v>
      </c>
      <c r="Y28" s="317" t="n">
        <v>0</v>
      </c>
      <c r="Z28" s="317" t="n">
        <v>0</v>
      </c>
      <c r="AA28" s="317" t="n">
        <v>38947.4058</v>
      </c>
      <c r="AB28" s="317" t="n">
        <v>6325.4058</v>
      </c>
      <c r="AC28" s="317" t="n">
        <v>32622</v>
      </c>
      <c r="AD28" s="317" t="n">
        <v>0</v>
      </c>
      <c r="AE28" s="317" t="n">
        <v>0</v>
      </c>
      <c r="AF28" s="317" t="n">
        <v>0</v>
      </c>
      <c r="AG28" s="317" t="n">
        <v>32622</v>
      </c>
      <c r="AH28" s="317" t="n">
        <v>0</v>
      </c>
      <c r="AI28" s="317" t="n">
        <v>0</v>
      </c>
      <c r="AJ28" s="286" t="s">
        <v>707</v>
      </c>
      <c r="AK28" s="286" t="s">
        <v>708</v>
      </c>
      <c r="AL28" s="287" t="s">
        <v>62</v>
      </c>
      <c r="AM28" s="286"/>
      <c r="AN28" s="287" t="s">
        <v>132</v>
      </c>
      <c r="AO28" s="287" t="n">
        <v>6325.4058</v>
      </c>
      <c r="AP28" s="319" t="n">
        <f aca="false">AR28+AT28+AU28+AV28+AX28+AY28+AZ28+BD28+BF28+BG28+BH28+BJ28+BK28+(BL28+BM28+BN28)/1000+(0.1*BO28)</f>
        <v>81.1793</v>
      </c>
      <c r="AQ28" s="319" t="n">
        <f aca="false">AR28+AT28+AU28+AV28+AX28+AY28+AZ28+BB28+BC28+BD28+BF28+BG28+BH28+BJ28+BK28+(BL28+BM28+BN28)/1000+(0.1*BO28)</f>
        <v>81.1793</v>
      </c>
      <c r="AR28" s="285" t="n">
        <v>0</v>
      </c>
      <c r="AS28" s="285" t="n">
        <v>0</v>
      </c>
      <c r="AT28" s="285" t="n">
        <v>7</v>
      </c>
      <c r="AU28" s="285" t="n">
        <v>0</v>
      </c>
      <c r="AV28" s="285" t="n">
        <v>0</v>
      </c>
      <c r="AW28" s="285" t="n">
        <v>0</v>
      </c>
      <c r="AX28" s="285" t="n">
        <v>0</v>
      </c>
      <c r="AY28" s="285" t="n">
        <v>0</v>
      </c>
      <c r="AZ28" s="285" t="n">
        <v>0</v>
      </c>
      <c r="BA28" s="285" t="n">
        <v>0</v>
      </c>
      <c r="BB28" s="285" t="n">
        <v>0</v>
      </c>
      <c r="BC28" s="285" t="n">
        <v>0</v>
      </c>
      <c r="BD28" s="285" t="n">
        <v>73</v>
      </c>
      <c r="BE28" s="285" t="n">
        <v>0</v>
      </c>
      <c r="BF28" s="285" t="n">
        <v>0</v>
      </c>
      <c r="BG28" s="285" t="n">
        <v>0</v>
      </c>
      <c r="BH28" s="285" t="n">
        <v>0</v>
      </c>
      <c r="BI28" s="285" t="n">
        <v>0</v>
      </c>
      <c r="BJ28" s="285" t="n">
        <v>0</v>
      </c>
      <c r="BK28" s="285" t="n">
        <v>0</v>
      </c>
      <c r="BL28" s="285" t="n">
        <v>0</v>
      </c>
      <c r="BM28" s="285" t="n">
        <v>0</v>
      </c>
      <c r="BN28" s="285" t="n">
        <v>0</v>
      </c>
      <c r="BO28" s="285" t="n">
        <v>11.793</v>
      </c>
      <c r="BR28" s="290" t="n">
        <f aca="false">AR28*1000/0.072</f>
        <v>0</v>
      </c>
      <c r="BS28" s="290" t="n">
        <f aca="false">AT28*1000/0.072</f>
        <v>97222.2222222222</v>
      </c>
      <c r="BT28" s="290" t="n">
        <f aca="false">AU28*1000/0.072</f>
        <v>0</v>
      </c>
      <c r="BU28" s="290" t="n">
        <f aca="false">SUM(BR28:BT28)</f>
        <v>97222.2222222222</v>
      </c>
      <c r="BV28" s="290" t="n">
        <f aca="false">AV28*1000/5</f>
        <v>0</v>
      </c>
      <c r="BW28" s="290" t="n">
        <f aca="false">AX28*1000/5</f>
        <v>0</v>
      </c>
      <c r="BX28" s="290" t="n">
        <f aca="false">AY28*1000/5</f>
        <v>0</v>
      </c>
      <c r="BY28" s="290" t="n">
        <f aca="false">SUM(BV28:BX28)</f>
        <v>0</v>
      </c>
      <c r="CA28" s="290" t="n">
        <f aca="false">IF($AM28="n",0,BR28)</f>
        <v>0</v>
      </c>
      <c r="CB28" s="290" t="n">
        <f aca="false">IF($AM28="n",0,BS28)</f>
        <v>97222.2222222222</v>
      </c>
      <c r="CC28" s="290" t="n">
        <f aca="false">IF($AM28="n",0,BT28)</f>
        <v>0</v>
      </c>
      <c r="CD28" s="290" t="n">
        <f aca="false">SUM(CA28:CC28)</f>
        <v>97222.2222222222</v>
      </c>
      <c r="CE28" s="290" t="n">
        <f aca="false">IF($AM$2="n",0,BV28)</f>
        <v>0</v>
      </c>
      <c r="CF28" s="290" t="n">
        <f aca="false">IF($AM$2="n",0,BW28)</f>
        <v>0</v>
      </c>
      <c r="CG28" s="290" t="n">
        <f aca="false">IF($AM$2="n",0,BX28)</f>
        <v>0</v>
      </c>
      <c r="CH28" s="290" t="n">
        <f aca="false">SUM(CE28:CG28)</f>
        <v>0</v>
      </c>
    </row>
    <row r="29" customFormat="false" ht="15" hidden="false" customHeight="true" outlineLevel="0" collapsed="false">
      <c r="A29" s="285" t="n">
        <v>8245</v>
      </c>
      <c r="B29" s="285"/>
      <c r="C29" s="286" t="s">
        <v>135</v>
      </c>
      <c r="D29" s="287" t="s">
        <v>135</v>
      </c>
      <c r="E29" s="288" t="n">
        <f aca="false">IF(I29="regional",IF(R29*0.2975,S29*0.3484),S29*0.1939)</f>
        <v>448547.9284</v>
      </c>
      <c r="F29" s="288" t="n">
        <v>0</v>
      </c>
      <c r="G29" s="289" t="n">
        <f aca="false">E29+F29</f>
        <v>448547.9284</v>
      </c>
      <c r="H29" s="286" t="s">
        <v>44</v>
      </c>
      <c r="I29" s="287" t="s">
        <v>48</v>
      </c>
      <c r="J29" s="287" t="s">
        <v>49</v>
      </c>
      <c r="K29" s="287" t="s">
        <v>138</v>
      </c>
      <c r="L29" s="287"/>
      <c r="M29" s="317" t="n">
        <v>190</v>
      </c>
      <c r="N29" s="317" t="n">
        <v>0.88</v>
      </c>
      <c r="O29" s="317" t="n">
        <v>0.893</v>
      </c>
      <c r="P29" s="317" t="n">
        <v>0.849</v>
      </c>
      <c r="Q29" s="317" t="n">
        <v>0.855</v>
      </c>
      <c r="R29" s="317" t="n">
        <v>1447842</v>
      </c>
      <c r="S29" s="317" t="n">
        <v>1287451</v>
      </c>
      <c r="T29" s="318" t="n">
        <f aca="false">IF(I29="regional",IF(R29&gt;0,R29*0.2975,S29*0.3484),S29*0.1939)</f>
        <v>430732.995</v>
      </c>
      <c r="U29" s="317" t="n">
        <v>816613</v>
      </c>
      <c r="V29" s="317" t="n">
        <v>470838</v>
      </c>
      <c r="W29" s="317" t="n">
        <v>5760</v>
      </c>
      <c r="X29" s="317" t="n">
        <v>0</v>
      </c>
      <c r="Y29" s="317" t="n">
        <v>0</v>
      </c>
      <c r="Z29" s="317" t="n">
        <v>0</v>
      </c>
      <c r="AA29" s="317" t="n">
        <v>1718183.995</v>
      </c>
      <c r="AB29" s="317" t="n">
        <v>430732.995</v>
      </c>
      <c r="AC29" s="317" t="n">
        <v>1287451</v>
      </c>
      <c r="AD29" s="317" t="n">
        <v>0</v>
      </c>
      <c r="AE29" s="317" t="n">
        <v>0</v>
      </c>
      <c r="AF29" s="317" t="n">
        <v>0</v>
      </c>
      <c r="AG29" s="317" t="n">
        <v>1287451</v>
      </c>
      <c r="AH29" s="317" t="n">
        <v>0</v>
      </c>
      <c r="AI29" s="317" t="n">
        <v>0</v>
      </c>
      <c r="AJ29" s="286" t="s">
        <v>715</v>
      </c>
      <c r="AK29" s="286" t="s">
        <v>716</v>
      </c>
      <c r="AL29" s="287" t="s">
        <v>48</v>
      </c>
      <c r="AM29" s="286"/>
      <c r="AN29" s="287" t="s">
        <v>135</v>
      </c>
      <c r="AO29" s="287" t="n">
        <v>430732.995</v>
      </c>
      <c r="AP29" s="319" t="n">
        <f aca="false">AR29+AT29+AU29+AV29+AX29+AY29+AZ29+BD29+BF29+BG29+BH29+BJ29+BK29+(BL29+BM29+BN29)/1000+(0.1*BO29)</f>
        <v>730.5747</v>
      </c>
      <c r="AQ29" s="319" t="n">
        <f aca="false">AR29+AT29+AU29+AV29+AX29+AY29+AZ29+BB29+BC29+BD29+BF29+BG29+BH29+BJ29+BK29+(BL29+BM29+BN29)/1000+(0.1*BO29)</f>
        <v>902.5747</v>
      </c>
      <c r="AR29" s="285" t="n">
        <v>0</v>
      </c>
      <c r="AS29" s="285" t="n">
        <v>0</v>
      </c>
      <c r="AT29" s="285" t="n">
        <v>443</v>
      </c>
      <c r="AU29" s="285" t="n">
        <v>116</v>
      </c>
      <c r="AV29" s="285" t="n">
        <v>0</v>
      </c>
      <c r="AW29" s="285" t="n">
        <v>0</v>
      </c>
      <c r="AX29" s="285" t="n">
        <v>31</v>
      </c>
      <c r="AY29" s="285" t="n">
        <v>4</v>
      </c>
      <c r="AZ29" s="285" t="n">
        <v>0</v>
      </c>
      <c r="BA29" s="285" t="n">
        <v>0</v>
      </c>
      <c r="BB29" s="285" t="n">
        <v>158</v>
      </c>
      <c r="BC29" s="285" t="n">
        <v>14</v>
      </c>
      <c r="BD29" s="285" t="n">
        <v>0</v>
      </c>
      <c r="BE29" s="285" t="n">
        <v>0</v>
      </c>
      <c r="BF29" s="285" t="n">
        <v>0</v>
      </c>
      <c r="BG29" s="285" t="n">
        <v>0</v>
      </c>
      <c r="BH29" s="285" t="n">
        <v>19</v>
      </c>
      <c r="BI29" s="285" t="n">
        <v>0</v>
      </c>
      <c r="BJ29" s="285" t="n">
        <v>0</v>
      </c>
      <c r="BK29" s="285" t="n">
        <v>0</v>
      </c>
      <c r="BL29" s="285" t="n">
        <v>0</v>
      </c>
      <c r="BM29" s="285" t="n">
        <v>0</v>
      </c>
      <c r="BN29" s="285" t="n">
        <v>0</v>
      </c>
      <c r="BO29" s="285" t="n">
        <v>1175.747</v>
      </c>
      <c r="BR29" s="290" t="n">
        <f aca="false">AR29*1000/0.072</f>
        <v>0</v>
      </c>
      <c r="BS29" s="290" t="n">
        <f aca="false">AT29*1000/0.072</f>
        <v>6152777.77777778</v>
      </c>
      <c r="BT29" s="290" t="n">
        <f aca="false">AU29*1000/0.072</f>
        <v>1611111.11111111</v>
      </c>
      <c r="BU29" s="290" t="n">
        <f aca="false">SUM(BR29:BT29)</f>
        <v>7763888.88888889</v>
      </c>
      <c r="BV29" s="290" t="n">
        <f aca="false">AV29*1000/5</f>
        <v>0</v>
      </c>
      <c r="BW29" s="290" t="n">
        <f aca="false">AX29*1000/5</f>
        <v>6200</v>
      </c>
      <c r="BX29" s="290" t="n">
        <f aca="false">AY29*1000/5</f>
        <v>800</v>
      </c>
      <c r="BY29" s="290" t="n">
        <f aca="false">SUM(BV29:BX29)</f>
        <v>7000</v>
      </c>
      <c r="CA29" s="290" t="n">
        <f aca="false">IF($AM29="n",0,BR29)</f>
        <v>0</v>
      </c>
      <c r="CB29" s="290" t="n">
        <f aca="false">IF($AM29="n",0,BS29)</f>
        <v>6152777.77777778</v>
      </c>
      <c r="CC29" s="290" t="n">
        <f aca="false">IF($AM29="n",0,BT29)</f>
        <v>1611111.11111111</v>
      </c>
      <c r="CD29" s="290" t="n">
        <f aca="false">SUM(CA29:CC29)</f>
        <v>7763888.88888889</v>
      </c>
      <c r="CE29" s="290" t="n">
        <f aca="false">IF($AM$2="n",0,BV29)</f>
        <v>0</v>
      </c>
      <c r="CF29" s="290" t="n">
        <f aca="false">IF($AM$2="n",0,BW29)</f>
        <v>6200</v>
      </c>
      <c r="CG29" s="290" t="n">
        <f aca="false">IF($AM$2="n",0,BX29)</f>
        <v>800</v>
      </c>
      <c r="CH29" s="290" t="n">
        <f aca="false">SUM(CE29:CG29)</f>
        <v>7000</v>
      </c>
    </row>
    <row r="30" customFormat="false" ht="15" hidden="false" customHeight="true" outlineLevel="0" collapsed="false">
      <c r="A30" s="285" t="n">
        <v>513</v>
      </c>
      <c r="B30" s="285"/>
      <c r="C30" s="286" t="s">
        <v>139</v>
      </c>
      <c r="D30" s="287" t="s">
        <v>139</v>
      </c>
      <c r="E30" s="288" t="n">
        <f aca="false">IF(I30="regional",IF(R30*0.2975,S30*0.3484),S30*0.1939)</f>
        <v>143297.6168</v>
      </c>
      <c r="F30" s="288" t="n">
        <v>0</v>
      </c>
      <c r="G30" s="289" t="n">
        <f aca="false">E30+F30</f>
        <v>143297.6168</v>
      </c>
      <c r="H30" s="286"/>
      <c r="I30" s="287" t="s">
        <v>48</v>
      </c>
      <c r="J30" s="287" t="s">
        <v>49</v>
      </c>
      <c r="K30" s="287" t="s">
        <v>141</v>
      </c>
      <c r="L30" s="287"/>
      <c r="M30" s="317" t="n">
        <v>54</v>
      </c>
      <c r="N30" s="317" t="n">
        <v>0.784</v>
      </c>
      <c r="O30" s="317" t="n">
        <v>0.787</v>
      </c>
      <c r="P30" s="317" t="n">
        <v>0.838</v>
      </c>
      <c r="Q30" s="317" t="n">
        <v>0.52</v>
      </c>
      <c r="R30" s="317" t="n">
        <v>449345</v>
      </c>
      <c r="S30" s="317" t="n">
        <v>411302</v>
      </c>
      <c r="T30" s="318" t="n">
        <f aca="false">IF(I30="regional",IF(R30&gt;0,R30*0.2975,S30*0.3484),S30*0.1939)</f>
        <v>133680.1375</v>
      </c>
      <c r="U30" s="317" t="n">
        <v>301514</v>
      </c>
      <c r="V30" s="317" t="n">
        <v>109788</v>
      </c>
      <c r="W30" s="317" t="n">
        <v>2575</v>
      </c>
      <c r="X30" s="317" t="n">
        <v>0</v>
      </c>
      <c r="Y30" s="317" t="n">
        <v>0</v>
      </c>
      <c r="Z30" s="317" t="n">
        <v>0</v>
      </c>
      <c r="AA30" s="317" t="n">
        <v>544982.1375</v>
      </c>
      <c r="AB30" s="317" t="n">
        <v>133680.1375</v>
      </c>
      <c r="AC30" s="317" t="n">
        <v>411302</v>
      </c>
      <c r="AD30" s="317" t="n">
        <v>0</v>
      </c>
      <c r="AE30" s="317" t="n">
        <v>0</v>
      </c>
      <c r="AF30" s="317" t="n">
        <v>0</v>
      </c>
      <c r="AG30" s="317" t="n">
        <v>411302</v>
      </c>
      <c r="AH30" s="317" t="n">
        <v>0</v>
      </c>
      <c r="AI30" s="317" t="n">
        <v>0</v>
      </c>
      <c r="AJ30" s="286" t="n">
        <v>4</v>
      </c>
      <c r="AK30" s="286" t="s">
        <v>720</v>
      </c>
      <c r="AL30" s="287" t="s">
        <v>723</v>
      </c>
      <c r="AM30" s="286"/>
      <c r="AN30" s="287" t="s">
        <v>139</v>
      </c>
      <c r="AO30" s="287" t="n">
        <v>133680.1375</v>
      </c>
      <c r="AP30" s="319" t="n">
        <f aca="false">AR30+AT30+AU30+AV30+AX30+AY30+AZ30+BD30+BF30+BG30+BH30+BJ30+BK30+(BL30+BM30+BN30)/1000+(0.1*BO30)</f>
        <v>163</v>
      </c>
      <c r="AQ30" s="319" t="n">
        <f aca="false">AR30+AT30+AU30+AV30+AX30+AY30+AZ30+BB30+BC30+BD30+BF30+BG30+BH30+BJ30+BK30+(BL30+BM30+BN30)/1000+(0.1*BO30)</f>
        <v>169</v>
      </c>
      <c r="AR30" s="285" t="n">
        <v>41</v>
      </c>
      <c r="AS30" s="285" t="n">
        <v>0</v>
      </c>
      <c r="AT30" s="285" t="n">
        <v>109</v>
      </c>
      <c r="AU30" s="285" t="n">
        <v>13</v>
      </c>
      <c r="AV30" s="285" t="n">
        <v>0</v>
      </c>
      <c r="AW30" s="285" t="n">
        <v>5</v>
      </c>
      <c r="AX30" s="285" t="n">
        <v>0</v>
      </c>
      <c r="AY30" s="285" t="n">
        <v>0</v>
      </c>
      <c r="AZ30" s="285" t="n">
        <v>0</v>
      </c>
      <c r="BA30" s="285" t="n">
        <v>10</v>
      </c>
      <c r="BB30" s="285" t="n">
        <v>6</v>
      </c>
      <c r="BC30" s="285" t="n">
        <v>0</v>
      </c>
      <c r="BD30" s="285" t="n">
        <v>0</v>
      </c>
      <c r="BE30" s="285" t="n">
        <v>0</v>
      </c>
      <c r="BF30" s="285" t="n">
        <v>0</v>
      </c>
      <c r="BG30" s="285" t="n">
        <v>0</v>
      </c>
      <c r="BH30" s="285" t="n">
        <v>0</v>
      </c>
      <c r="BI30" s="285" t="n">
        <v>0</v>
      </c>
      <c r="BJ30" s="285" t="n">
        <v>0</v>
      </c>
      <c r="BK30" s="285" t="n">
        <v>0</v>
      </c>
      <c r="BL30" s="285" t="n">
        <v>0</v>
      </c>
      <c r="BM30" s="285" t="n">
        <v>0</v>
      </c>
      <c r="BN30" s="285" t="n">
        <v>0</v>
      </c>
      <c r="BO30" s="285" t="n">
        <v>0</v>
      </c>
      <c r="BR30" s="290" t="n">
        <f aca="false">AR30*1000/0.072</f>
        <v>569444.444444445</v>
      </c>
      <c r="BS30" s="290" t="n">
        <f aca="false">AT30*1000/0.072</f>
        <v>1513888.88888889</v>
      </c>
      <c r="BT30" s="290" t="n">
        <f aca="false">AU30*1000/0.072</f>
        <v>180555.555555556</v>
      </c>
      <c r="BU30" s="290" t="n">
        <f aca="false">SUM(BR30:BT30)</f>
        <v>2263888.88888889</v>
      </c>
      <c r="BV30" s="290" t="n">
        <f aca="false">AV30*1000/5</f>
        <v>0</v>
      </c>
      <c r="BW30" s="290" t="n">
        <f aca="false">AX30*1000/5</f>
        <v>0</v>
      </c>
      <c r="BX30" s="290" t="n">
        <f aca="false">AY30*1000/5</f>
        <v>0</v>
      </c>
      <c r="BY30" s="290" t="n">
        <f aca="false">SUM(BV30:BX30)</f>
        <v>0</v>
      </c>
      <c r="CA30" s="290" t="n">
        <f aca="false">IF($AM30="n",0,BR30)</f>
        <v>569444.444444445</v>
      </c>
      <c r="CB30" s="290" t="n">
        <f aca="false">IF($AM30="n",0,BS30)</f>
        <v>1513888.88888889</v>
      </c>
      <c r="CC30" s="290" t="n">
        <f aca="false">IF($AM30="n",0,BT30)</f>
        <v>180555.555555556</v>
      </c>
      <c r="CD30" s="290" t="n">
        <f aca="false">SUM(CA30:CC30)</f>
        <v>2263888.88888889</v>
      </c>
      <c r="CE30" s="290" t="n">
        <f aca="false">IF($AM$2="n",0,BV30)</f>
        <v>0</v>
      </c>
      <c r="CF30" s="290" t="n">
        <f aca="false">IF($AM$2="n",0,BW30)</f>
        <v>0</v>
      </c>
      <c r="CG30" s="290" t="n">
        <f aca="false">IF($AM$2="n",0,BX30)</f>
        <v>0</v>
      </c>
      <c r="CH30" s="290" t="n">
        <f aca="false">SUM(CE30:CG30)</f>
        <v>0</v>
      </c>
    </row>
    <row r="31" customFormat="false" ht="15" hidden="false" customHeight="true" outlineLevel="0" collapsed="false">
      <c r="A31" s="285" t="n">
        <v>516</v>
      </c>
      <c r="B31" s="285"/>
      <c r="C31" s="286" t="s">
        <v>142</v>
      </c>
      <c r="D31" s="287" t="s">
        <v>142</v>
      </c>
      <c r="E31" s="288" t="n">
        <f aca="false">IF(I31="regional",IF(R31*0.2975,S31*0.3484),S31*0.1939)</f>
        <v>89346.9871</v>
      </c>
      <c r="F31" s="288" t="n">
        <v>0</v>
      </c>
      <c r="G31" s="289" t="n">
        <f aca="false">E31+F31</f>
        <v>89346.9871</v>
      </c>
      <c r="H31" s="286"/>
      <c r="I31" s="287" t="s">
        <v>62</v>
      </c>
      <c r="J31" s="287" t="s">
        <v>49</v>
      </c>
      <c r="K31" s="287" t="s">
        <v>144</v>
      </c>
      <c r="L31" s="287"/>
      <c r="M31" s="317" t="n">
        <v>41</v>
      </c>
      <c r="N31" s="317" t="n">
        <v>1</v>
      </c>
      <c r="O31" s="317" t="n">
        <v>1</v>
      </c>
      <c r="P31" s="317" t="n">
        <v>1</v>
      </c>
      <c r="Q31" s="317" t="n">
        <v>0.381</v>
      </c>
      <c r="R31" s="317" t="n">
        <v>0</v>
      </c>
      <c r="S31" s="317" t="n">
        <v>460789</v>
      </c>
      <c r="T31" s="318" t="n">
        <f aca="false">IF(I31="regional",IF(R31&gt;0,R31*0.2975,S31*0.3484),S31*0.1939)</f>
        <v>89346.9871</v>
      </c>
      <c r="U31" s="317" t="n">
        <v>127899</v>
      </c>
      <c r="V31" s="317" t="n">
        <v>332890</v>
      </c>
      <c r="W31" s="317" t="n">
        <v>2300</v>
      </c>
      <c r="X31" s="317" t="n">
        <v>0</v>
      </c>
      <c r="Y31" s="317" t="n">
        <v>0</v>
      </c>
      <c r="Z31" s="317" t="n">
        <v>0</v>
      </c>
      <c r="AA31" s="317" t="n">
        <v>550135.9871</v>
      </c>
      <c r="AB31" s="317" t="n">
        <v>89346.9871</v>
      </c>
      <c r="AC31" s="317" t="n">
        <v>460789</v>
      </c>
      <c r="AD31" s="317" t="n">
        <v>0</v>
      </c>
      <c r="AE31" s="317" t="n">
        <v>0</v>
      </c>
      <c r="AF31" s="317" t="n">
        <v>0</v>
      </c>
      <c r="AG31" s="317" t="n">
        <v>460789</v>
      </c>
      <c r="AH31" s="317" t="n">
        <v>0</v>
      </c>
      <c r="AI31" s="317" t="n">
        <v>0</v>
      </c>
      <c r="AJ31" s="286" t="s">
        <v>707</v>
      </c>
      <c r="AK31" s="286" t="s">
        <v>712</v>
      </c>
      <c r="AL31" s="287" t="s">
        <v>62</v>
      </c>
      <c r="AM31" s="286"/>
      <c r="AN31" s="287" t="s">
        <v>142</v>
      </c>
      <c r="AO31" s="287" t="n">
        <v>89346.9871</v>
      </c>
      <c r="AP31" s="319" t="n">
        <f aca="false">AR31+AT31+AU31+AV31+AX31+AY31+AZ31+BD31+BF31+BG31+BH31+BJ31+BK31+(BL31+BM31+BN31)/1000+(0.1*BO31)</f>
        <v>1</v>
      </c>
      <c r="AQ31" s="319" t="n">
        <f aca="false">AR31+AT31+AU31+AV31+AX31+AY31+AZ31+BB31+BC31+BD31+BF31+BG31+BH31+BJ31+BK31+(BL31+BM31+BN31)/1000+(0.1*BO31)</f>
        <v>1</v>
      </c>
      <c r="AR31" s="285" t="n">
        <v>0</v>
      </c>
      <c r="AS31" s="285" t="n">
        <v>0</v>
      </c>
      <c r="AT31" s="285" t="n">
        <v>1</v>
      </c>
      <c r="AU31" s="285" t="n">
        <v>0</v>
      </c>
      <c r="AV31" s="285" t="n">
        <v>0</v>
      </c>
      <c r="AW31" s="285" t="n">
        <v>0</v>
      </c>
      <c r="AX31" s="285" t="n">
        <v>0</v>
      </c>
      <c r="AY31" s="285" t="n">
        <v>0</v>
      </c>
      <c r="AZ31" s="285" t="n">
        <v>0</v>
      </c>
      <c r="BA31" s="285" t="n">
        <v>0</v>
      </c>
      <c r="BB31" s="285" t="n">
        <v>0</v>
      </c>
      <c r="BC31" s="285" t="n">
        <v>0</v>
      </c>
      <c r="BD31" s="285" t="n">
        <v>0</v>
      </c>
      <c r="BE31" s="285" t="n">
        <v>0</v>
      </c>
      <c r="BF31" s="285" t="n">
        <v>0</v>
      </c>
      <c r="BG31" s="285" t="n">
        <v>0</v>
      </c>
      <c r="BH31" s="285" t="n">
        <v>0</v>
      </c>
      <c r="BI31" s="285" t="n">
        <v>0</v>
      </c>
      <c r="BJ31" s="285" t="n">
        <v>0</v>
      </c>
      <c r="BK31" s="285" t="n">
        <v>0</v>
      </c>
      <c r="BL31" s="285" t="n">
        <v>0</v>
      </c>
      <c r="BM31" s="285" t="n">
        <v>0</v>
      </c>
      <c r="BN31" s="285" t="n">
        <v>0</v>
      </c>
      <c r="BO31" s="285" t="n">
        <v>0</v>
      </c>
      <c r="BR31" s="290" t="n">
        <f aca="false">AR31*1000/0.072</f>
        <v>0</v>
      </c>
      <c r="BS31" s="290" t="n">
        <f aca="false">AT31*1000/0.072</f>
        <v>13888.8888888889</v>
      </c>
      <c r="BT31" s="290" t="n">
        <f aca="false">AU31*1000/0.072</f>
        <v>0</v>
      </c>
      <c r="BU31" s="290" t="n">
        <f aca="false">SUM(BR31:BT31)</f>
        <v>13888.8888888889</v>
      </c>
      <c r="BV31" s="290" t="n">
        <f aca="false">AV31*1000/5</f>
        <v>0</v>
      </c>
      <c r="BW31" s="290" t="n">
        <f aca="false">AX31*1000/5</f>
        <v>0</v>
      </c>
      <c r="BX31" s="290" t="n">
        <f aca="false">AY31*1000/5</f>
        <v>0</v>
      </c>
      <c r="BY31" s="290" t="n">
        <f aca="false">SUM(BV31:BX31)</f>
        <v>0</v>
      </c>
      <c r="CA31" s="290" t="n">
        <f aca="false">IF($AM31="n",0,BR31)</f>
        <v>0</v>
      </c>
      <c r="CB31" s="290" t="n">
        <f aca="false">IF($AM31="n",0,BS31)</f>
        <v>13888.8888888889</v>
      </c>
      <c r="CC31" s="290" t="n">
        <f aca="false">IF($AM31="n",0,BT31)</f>
        <v>0</v>
      </c>
      <c r="CD31" s="290" t="n">
        <f aca="false">SUM(CA31:CC31)</f>
        <v>13888.8888888889</v>
      </c>
      <c r="CE31" s="290" t="n">
        <f aca="false">IF($AM$2="n",0,BV31)</f>
        <v>0</v>
      </c>
      <c r="CF31" s="290" t="n">
        <f aca="false">IF($AM$2="n",0,BW31)</f>
        <v>0</v>
      </c>
      <c r="CG31" s="290" t="n">
        <f aca="false">IF($AM$2="n",0,BX31)</f>
        <v>0</v>
      </c>
      <c r="CH31" s="290" t="n">
        <f aca="false">SUM(CE31:CG31)</f>
        <v>0</v>
      </c>
    </row>
    <row r="32" customFormat="false" ht="15" hidden="false" customHeight="true" outlineLevel="0" collapsed="false">
      <c r="A32" s="285" t="n">
        <v>4661</v>
      </c>
      <c r="B32" s="285" t="s">
        <v>44</v>
      </c>
      <c r="C32" s="286" t="s">
        <v>145</v>
      </c>
      <c r="D32" s="287" t="s">
        <v>145</v>
      </c>
      <c r="E32" s="288" t="n">
        <f aca="false">IF(I32="regional",IF(R32*0.2975,S32*0.3484),S32*0.1939)</f>
        <v>199847.1176</v>
      </c>
      <c r="F32" s="288" t="n">
        <v>0</v>
      </c>
      <c r="G32" s="289" t="n">
        <f aca="false">E32+F32</f>
        <v>199847.1176</v>
      </c>
      <c r="H32" s="286"/>
      <c r="I32" s="287" t="s">
        <v>48</v>
      </c>
      <c r="J32" s="287" t="s">
        <v>44</v>
      </c>
      <c r="K32" s="287" t="s">
        <v>148</v>
      </c>
      <c r="L32" s="287"/>
      <c r="M32" s="317" t="n">
        <v>86</v>
      </c>
      <c r="N32" s="317" t="n">
        <v>0.926</v>
      </c>
      <c r="O32" s="317" t="n">
        <v>0.946</v>
      </c>
      <c r="P32" s="317" t="n">
        <v>0.928</v>
      </c>
      <c r="Q32" s="317" t="n">
        <v>0.952</v>
      </c>
      <c r="R32" s="317" t="n">
        <v>651334</v>
      </c>
      <c r="S32" s="317" t="n">
        <v>573614</v>
      </c>
      <c r="T32" s="318" t="n">
        <f aca="false">IF(I32="regional",IF(R32&gt;0,R32*0.2975,S32*0.3484),S32*0.1939)</f>
        <v>193771.865</v>
      </c>
      <c r="U32" s="317" t="n">
        <v>381153</v>
      </c>
      <c r="V32" s="317" t="n">
        <v>192461</v>
      </c>
      <c r="W32" s="317" t="n">
        <v>3375</v>
      </c>
      <c r="X32" s="317" t="n">
        <v>0</v>
      </c>
      <c r="Y32" s="317" t="n">
        <v>0</v>
      </c>
      <c r="Z32" s="317" t="n">
        <v>0</v>
      </c>
      <c r="AA32" s="317" t="n">
        <v>767385.865</v>
      </c>
      <c r="AB32" s="317" t="n">
        <v>193771.865</v>
      </c>
      <c r="AC32" s="317" t="n">
        <v>573614</v>
      </c>
      <c r="AD32" s="317" t="n">
        <v>0</v>
      </c>
      <c r="AE32" s="317" t="n">
        <v>0</v>
      </c>
      <c r="AF32" s="317" t="n">
        <v>573614</v>
      </c>
      <c r="AG32" s="317" t="n">
        <v>0</v>
      </c>
      <c r="AH32" s="317" t="n">
        <v>540000</v>
      </c>
      <c r="AI32" s="317" t="n">
        <v>321000</v>
      </c>
      <c r="AJ32" s="286" t="s">
        <v>707</v>
      </c>
      <c r="AK32" s="286" t="s">
        <v>712</v>
      </c>
      <c r="AL32" s="287" t="s">
        <v>48</v>
      </c>
      <c r="AM32" s="286"/>
      <c r="AN32" s="287" t="s">
        <v>145</v>
      </c>
      <c r="AO32" s="287" t="n">
        <v>193771.865</v>
      </c>
      <c r="AP32" s="319" t="n">
        <f aca="false">AR32+AT32+AU32+AV32+AX32+AY32+AZ32+BD32+BF32+BG32+BH32+BJ32+BK32+(BL32+BM32+BN32)/1000+(0.1*BO32)</f>
        <v>151.3286</v>
      </c>
      <c r="AQ32" s="319" t="n">
        <f aca="false">AR32+AT32+AU32+AV32+AX32+AY32+AZ32+BB32+BC32+BD32+BF32+BG32+BH32+BJ32+BK32+(BL32+BM32+BN32)/1000+(0.1*BO32)</f>
        <v>151.3286</v>
      </c>
      <c r="AR32" s="285" t="n">
        <v>0</v>
      </c>
      <c r="AS32" s="285" t="n">
        <v>321</v>
      </c>
      <c r="AT32" s="285" t="n">
        <v>113</v>
      </c>
      <c r="AU32" s="285" t="n">
        <v>0</v>
      </c>
      <c r="AV32" s="285" t="n">
        <v>0</v>
      </c>
      <c r="AW32" s="285" t="n">
        <v>0</v>
      </c>
      <c r="AX32" s="285" t="n">
        <v>0</v>
      </c>
      <c r="AY32" s="285" t="n">
        <v>0</v>
      </c>
      <c r="AZ32" s="285" t="n">
        <v>0</v>
      </c>
      <c r="BA32" s="285" t="n">
        <v>34</v>
      </c>
      <c r="BB32" s="285" t="n">
        <v>0</v>
      </c>
      <c r="BC32" s="285" t="n">
        <v>0</v>
      </c>
      <c r="BD32" s="285" t="n">
        <v>0</v>
      </c>
      <c r="BE32" s="285" t="n">
        <v>0</v>
      </c>
      <c r="BF32" s="285" t="n">
        <v>0</v>
      </c>
      <c r="BG32" s="285" t="n">
        <v>0</v>
      </c>
      <c r="BH32" s="285" t="n">
        <v>15</v>
      </c>
      <c r="BI32" s="285" t="n">
        <v>0</v>
      </c>
      <c r="BJ32" s="285" t="n">
        <v>0</v>
      </c>
      <c r="BK32" s="285" t="n">
        <v>0</v>
      </c>
      <c r="BL32" s="285" t="n">
        <v>0</v>
      </c>
      <c r="BM32" s="285" t="n">
        <v>0</v>
      </c>
      <c r="BN32" s="285" t="n">
        <v>0</v>
      </c>
      <c r="BO32" s="285" t="n">
        <v>233.286</v>
      </c>
      <c r="BR32" s="290" t="n">
        <f aca="false">AR32*1000/0.072</f>
        <v>0</v>
      </c>
      <c r="BS32" s="290" t="n">
        <f aca="false">AT32*1000/0.072</f>
        <v>1569444.44444444</v>
      </c>
      <c r="BT32" s="290" t="n">
        <f aca="false">AU32*1000/0.072</f>
        <v>0</v>
      </c>
      <c r="BU32" s="290" t="n">
        <f aca="false">SUM(BR32:BT32)</f>
        <v>1569444.44444444</v>
      </c>
      <c r="BV32" s="290" t="n">
        <f aca="false">AV32*1000/5</f>
        <v>0</v>
      </c>
      <c r="BW32" s="290" t="n">
        <f aca="false">AX32*1000/5</f>
        <v>0</v>
      </c>
      <c r="BX32" s="290" t="n">
        <f aca="false">AY32*1000/5</f>
        <v>0</v>
      </c>
      <c r="BY32" s="290" t="n">
        <f aca="false">SUM(BV32:BX32)</f>
        <v>0</v>
      </c>
      <c r="CA32" s="290" t="n">
        <f aca="false">IF($AM32="n",0,BR32)</f>
        <v>0</v>
      </c>
      <c r="CB32" s="290" t="n">
        <f aca="false">IF($AM32="n",0,BS32)</f>
        <v>1569444.44444444</v>
      </c>
      <c r="CC32" s="290" t="n">
        <f aca="false">IF($AM32="n",0,BT32)</f>
        <v>0</v>
      </c>
      <c r="CD32" s="290" t="n">
        <f aca="false">SUM(CA32:CC32)</f>
        <v>1569444.44444444</v>
      </c>
      <c r="CE32" s="290" t="n">
        <f aca="false">IF($AM$2="n",0,BV32)</f>
        <v>0</v>
      </c>
      <c r="CF32" s="290" t="n">
        <f aca="false">IF($AM$2="n",0,BW32)</f>
        <v>0</v>
      </c>
      <c r="CG32" s="290" t="n">
        <f aca="false">IF($AM$2="n",0,BX32)</f>
        <v>0</v>
      </c>
      <c r="CH32" s="290" t="n">
        <f aca="false">SUM(CE32:CG32)</f>
        <v>0</v>
      </c>
    </row>
    <row r="33" customFormat="false" ht="15" hidden="false" customHeight="true" outlineLevel="0" collapsed="false">
      <c r="A33" s="285" t="n">
        <v>8250</v>
      </c>
      <c r="B33" s="285"/>
      <c r="C33" s="286" t="s">
        <v>149</v>
      </c>
      <c r="D33" s="287" t="s">
        <v>149</v>
      </c>
      <c r="E33" s="288" t="n">
        <f aca="false">IF(I33="regional",IF(R33*0.2975,S33*0.3484),S33*0.1939)</f>
        <v>149007.196</v>
      </c>
      <c r="F33" s="288" t="n">
        <v>0</v>
      </c>
      <c r="G33" s="289" t="n">
        <f aca="false">E33+F33</f>
        <v>149007.196</v>
      </c>
      <c r="H33" s="286"/>
      <c r="I33" s="287" t="s">
        <v>48</v>
      </c>
      <c r="J33" s="287" t="s">
        <v>49</v>
      </c>
      <c r="K33" s="287" t="s">
        <v>152</v>
      </c>
      <c r="L33" s="287"/>
      <c r="M33" s="317" t="n">
        <v>72</v>
      </c>
      <c r="N33" s="317" t="n">
        <v>0.749</v>
      </c>
      <c r="O33" s="317" t="n">
        <v>0.746</v>
      </c>
      <c r="P33" s="317" t="n">
        <v>0.692</v>
      </c>
      <c r="Q33" s="317" t="n">
        <v>0.632</v>
      </c>
      <c r="R33" s="317" t="n">
        <v>530152</v>
      </c>
      <c r="S33" s="317" t="n">
        <v>427690</v>
      </c>
      <c r="T33" s="318" t="n">
        <f aca="false">IF(I33="regional",IF(R33&gt;0,R33*0.2975,S33*0.3484),S33*0.1939)</f>
        <v>157720.22</v>
      </c>
      <c r="U33" s="317" t="n">
        <v>213572</v>
      </c>
      <c r="V33" s="317" t="n">
        <v>214118</v>
      </c>
      <c r="W33" s="317" t="n">
        <v>2692</v>
      </c>
      <c r="X33" s="317" t="n">
        <v>0</v>
      </c>
      <c r="Y33" s="317" t="n">
        <v>0</v>
      </c>
      <c r="Z33" s="317" t="n">
        <v>0</v>
      </c>
      <c r="AA33" s="317" t="n">
        <v>585410.22</v>
      </c>
      <c r="AB33" s="317" t="n">
        <v>157720.22</v>
      </c>
      <c r="AC33" s="317" t="n">
        <v>427690</v>
      </c>
      <c r="AD33" s="317" t="n">
        <v>0</v>
      </c>
      <c r="AE33" s="317" t="n">
        <v>0</v>
      </c>
      <c r="AF33" s="317" t="n">
        <v>0</v>
      </c>
      <c r="AG33" s="317" t="n">
        <v>427690</v>
      </c>
      <c r="AH33" s="317" t="n">
        <v>0</v>
      </c>
      <c r="AI33" s="317" t="n">
        <v>0</v>
      </c>
      <c r="AJ33" s="286" t="n">
        <v>4</v>
      </c>
      <c r="AK33" s="286" t="s">
        <v>724</v>
      </c>
      <c r="AL33" s="287" t="s">
        <v>48</v>
      </c>
      <c r="AM33" s="286"/>
      <c r="AN33" s="287" t="s">
        <v>149</v>
      </c>
      <c r="AO33" s="287" t="n">
        <v>157720.22</v>
      </c>
      <c r="AP33" s="319" t="n">
        <f aca="false">AR33+AT33+AU33+AV33+AX33+AY33+AZ33+BD33+BF33+BG33+BH33+BJ33+BK33+(BL33+BM33+BN33)/1000+(0.1*BO33)</f>
        <v>226</v>
      </c>
      <c r="AQ33" s="319" t="n">
        <f aca="false">AR33+AT33+AU33+AV33+AX33+AY33+AZ33+BB33+BC33+BD33+BF33+BG33+BH33+BJ33+BK33+(BL33+BM33+BN33)/1000+(0.1*BO33)</f>
        <v>244</v>
      </c>
      <c r="AR33" s="285" t="n">
        <v>0</v>
      </c>
      <c r="AS33" s="285" t="n">
        <v>0</v>
      </c>
      <c r="AT33" s="285" t="n">
        <v>166</v>
      </c>
      <c r="AU33" s="285" t="n">
        <v>28</v>
      </c>
      <c r="AV33" s="285" t="n">
        <v>0</v>
      </c>
      <c r="AW33" s="285" t="n">
        <v>0</v>
      </c>
      <c r="AX33" s="285" t="n">
        <v>23</v>
      </c>
      <c r="AY33" s="285" t="n">
        <v>9</v>
      </c>
      <c r="AZ33" s="285" t="n">
        <v>0</v>
      </c>
      <c r="BA33" s="285" t="n">
        <v>0</v>
      </c>
      <c r="BB33" s="285" t="n">
        <v>15</v>
      </c>
      <c r="BC33" s="285" t="n">
        <v>3</v>
      </c>
      <c r="BD33" s="285" t="n">
        <v>0</v>
      </c>
      <c r="BE33" s="285" t="n">
        <v>0</v>
      </c>
      <c r="BF33" s="285" t="n">
        <v>0</v>
      </c>
      <c r="BG33" s="285" t="n">
        <v>0</v>
      </c>
      <c r="BH33" s="285" t="n">
        <v>0</v>
      </c>
      <c r="BI33" s="285" t="n">
        <v>0</v>
      </c>
      <c r="BJ33" s="285" t="n">
        <v>0</v>
      </c>
      <c r="BK33" s="285" t="n">
        <v>0</v>
      </c>
      <c r="BL33" s="285" t="n">
        <v>0</v>
      </c>
      <c r="BM33" s="285" t="n">
        <v>0</v>
      </c>
      <c r="BN33" s="285" t="n">
        <v>0</v>
      </c>
      <c r="BO33" s="285" t="n">
        <v>0</v>
      </c>
      <c r="BR33" s="290" t="n">
        <f aca="false">AR33*1000/0.072</f>
        <v>0</v>
      </c>
      <c r="BS33" s="290" t="n">
        <f aca="false">AT33*1000/0.072</f>
        <v>2305555.55555556</v>
      </c>
      <c r="BT33" s="290" t="n">
        <f aca="false">AU33*1000/0.072</f>
        <v>388888.888888889</v>
      </c>
      <c r="BU33" s="290" t="n">
        <f aca="false">SUM(BR33:BT33)</f>
        <v>2694444.44444444</v>
      </c>
      <c r="BV33" s="290" t="n">
        <f aca="false">AV33*1000/5</f>
        <v>0</v>
      </c>
      <c r="BW33" s="290" t="n">
        <f aca="false">AX33*1000/5</f>
        <v>4600</v>
      </c>
      <c r="BX33" s="290" t="n">
        <f aca="false">AY33*1000/5</f>
        <v>1800</v>
      </c>
      <c r="BY33" s="290" t="n">
        <f aca="false">SUM(BV33:BX33)</f>
        <v>6400</v>
      </c>
      <c r="CA33" s="290" t="n">
        <f aca="false">IF($AM33="n",0,BR33)</f>
        <v>0</v>
      </c>
      <c r="CB33" s="290" t="n">
        <f aca="false">IF($AM33="n",0,BS33)</f>
        <v>2305555.55555556</v>
      </c>
      <c r="CC33" s="290" t="n">
        <f aca="false">IF($AM33="n",0,BT33)</f>
        <v>388888.888888889</v>
      </c>
      <c r="CD33" s="290" t="n">
        <f aca="false">SUM(CA33:CC33)</f>
        <v>2694444.44444444</v>
      </c>
      <c r="CE33" s="290" t="n">
        <f aca="false">IF($AM$2="n",0,BV33)</f>
        <v>0</v>
      </c>
      <c r="CF33" s="290" t="n">
        <f aca="false">IF($AM$2="n",0,BW33)</f>
        <v>4600</v>
      </c>
      <c r="CG33" s="290" t="n">
        <f aca="false">IF($AM$2="n",0,BX33)</f>
        <v>1800</v>
      </c>
      <c r="CH33" s="290" t="n">
        <f aca="false">SUM(CE33:CG33)</f>
        <v>6400</v>
      </c>
    </row>
    <row r="34" customFormat="false" ht="15" hidden="false" customHeight="true" outlineLevel="0" collapsed="false">
      <c r="A34" s="285" t="n">
        <v>8253</v>
      </c>
      <c r="B34" s="285" t="s">
        <v>44</v>
      </c>
      <c r="C34" s="286" t="s">
        <v>153</v>
      </c>
      <c r="D34" s="287" t="s">
        <v>153</v>
      </c>
      <c r="E34" s="288" t="n">
        <f aca="false">IF(I34="regional",IF(R34*0.2975,S34*0.3484),S34*0.1939)</f>
        <v>218015.1324</v>
      </c>
      <c r="F34" s="288" t="n">
        <v>0</v>
      </c>
      <c r="G34" s="289" t="n">
        <f aca="false">E34+F34</f>
        <v>218015.1324</v>
      </c>
      <c r="H34" s="286"/>
      <c r="I34" s="287" t="s">
        <v>48</v>
      </c>
      <c r="J34" s="287" t="s">
        <v>44</v>
      </c>
      <c r="K34" s="287" t="s">
        <v>155</v>
      </c>
      <c r="L34" s="287"/>
      <c r="M34" s="317" t="n">
        <v>77</v>
      </c>
      <c r="N34" s="317" t="n">
        <v>0.944</v>
      </c>
      <c r="O34" s="317" t="n">
        <v>0.975</v>
      </c>
      <c r="P34" s="317" t="n">
        <v>0.978</v>
      </c>
      <c r="Q34" s="317" t="n">
        <v>0.906</v>
      </c>
      <c r="R34" s="317" t="n">
        <v>540019</v>
      </c>
      <c r="S34" s="317" t="n">
        <v>625761</v>
      </c>
      <c r="T34" s="318" t="n">
        <f aca="false">IF(I34="regional",IF(R34&gt;0,R34*0.2975,S34*0.3484),S34*0.1939)</f>
        <v>160655.6525</v>
      </c>
      <c r="U34" s="317" t="n">
        <v>361767</v>
      </c>
      <c r="V34" s="317" t="n">
        <v>263994</v>
      </c>
      <c r="W34" s="317" t="n">
        <v>3224</v>
      </c>
      <c r="X34" s="317" t="n">
        <v>0</v>
      </c>
      <c r="Y34" s="317" t="n">
        <v>0</v>
      </c>
      <c r="Z34" s="317" t="n">
        <v>0</v>
      </c>
      <c r="AA34" s="317" t="n">
        <v>786416.6525</v>
      </c>
      <c r="AB34" s="317" t="n">
        <v>160655.6525</v>
      </c>
      <c r="AC34" s="317" t="n">
        <v>625761</v>
      </c>
      <c r="AD34" s="317" t="n">
        <v>0</v>
      </c>
      <c r="AE34" s="317" t="n">
        <v>0</v>
      </c>
      <c r="AF34" s="317" t="n">
        <v>625761</v>
      </c>
      <c r="AG34" s="317" t="n">
        <v>0</v>
      </c>
      <c r="AH34" s="317" t="n">
        <v>589000</v>
      </c>
      <c r="AI34" s="317" t="n">
        <v>559000</v>
      </c>
      <c r="AJ34" s="286" t="s">
        <v>715</v>
      </c>
      <c r="AK34" s="286" t="s">
        <v>716</v>
      </c>
      <c r="AL34" s="287" t="s">
        <v>48</v>
      </c>
      <c r="AM34" s="286"/>
      <c r="AN34" s="287" t="s">
        <v>153</v>
      </c>
      <c r="AO34" s="287" t="n">
        <v>160655.6525</v>
      </c>
      <c r="AP34" s="319" t="n">
        <f aca="false">AR34+AT34+AU34+AV34+AX34+AY34+AZ34+BD34+BF34+BG34+BH34+BJ34+BK34+(BL34+BM34+BN34)/1000+(0.1*BO34)</f>
        <v>253.751</v>
      </c>
      <c r="AQ34" s="319" t="n">
        <f aca="false">AR34+AT34+AU34+AV34+AX34+AY34+AZ34+BB34+BC34+BD34+BF34+BG34+BH34+BJ34+BK34+(BL34+BM34+BN34)/1000+(0.1*BO34)</f>
        <v>273.751</v>
      </c>
      <c r="AR34" s="285" t="n">
        <v>0</v>
      </c>
      <c r="AS34" s="285" t="n">
        <v>559</v>
      </c>
      <c r="AT34" s="285" t="n">
        <v>213</v>
      </c>
      <c r="AU34" s="285" t="n">
        <v>-30</v>
      </c>
      <c r="AV34" s="285" t="n">
        <v>0</v>
      </c>
      <c r="AW34" s="285" t="n">
        <v>0</v>
      </c>
      <c r="AX34" s="285" t="n">
        <v>24</v>
      </c>
      <c r="AY34" s="285" t="n">
        <v>0</v>
      </c>
      <c r="AZ34" s="285" t="n">
        <v>0</v>
      </c>
      <c r="BA34" s="285" t="n">
        <v>19</v>
      </c>
      <c r="BB34" s="285" t="n">
        <v>20</v>
      </c>
      <c r="BC34" s="285" t="n">
        <v>0</v>
      </c>
      <c r="BD34" s="285" t="n">
        <v>0</v>
      </c>
      <c r="BE34" s="285" t="n">
        <v>0</v>
      </c>
      <c r="BF34" s="285" t="n">
        <v>0</v>
      </c>
      <c r="BG34" s="285" t="n">
        <v>0</v>
      </c>
      <c r="BH34" s="285" t="n">
        <v>0</v>
      </c>
      <c r="BI34" s="285" t="n">
        <v>0</v>
      </c>
      <c r="BJ34" s="285" t="n">
        <v>0</v>
      </c>
      <c r="BK34" s="285" t="n">
        <v>0</v>
      </c>
      <c r="BL34" s="285" t="n">
        <v>0</v>
      </c>
      <c r="BM34" s="285" t="n">
        <v>0</v>
      </c>
      <c r="BN34" s="285" t="n">
        <v>0</v>
      </c>
      <c r="BO34" s="285" t="n">
        <v>467.51</v>
      </c>
      <c r="BR34" s="290" t="n">
        <f aca="false">AR34*1000/0.072</f>
        <v>0</v>
      </c>
      <c r="BS34" s="290" t="n">
        <f aca="false">AT34*1000/0.072</f>
        <v>2958333.33333333</v>
      </c>
      <c r="BT34" s="290" t="n">
        <f aca="false">AU34*1000/0.072</f>
        <v>-416666.666666667</v>
      </c>
      <c r="BU34" s="290" t="n">
        <f aca="false">SUM(BR34:BT34)</f>
        <v>2541666.66666667</v>
      </c>
      <c r="BV34" s="290" t="n">
        <f aca="false">AV34*1000/5</f>
        <v>0</v>
      </c>
      <c r="BW34" s="290" t="n">
        <f aca="false">AX34*1000/5</f>
        <v>4800</v>
      </c>
      <c r="BX34" s="290" t="n">
        <f aca="false">AY34*1000/5</f>
        <v>0</v>
      </c>
      <c r="BY34" s="290" t="n">
        <f aca="false">SUM(BV34:BX34)</f>
        <v>4800</v>
      </c>
      <c r="CA34" s="290" t="n">
        <f aca="false">IF($AM34="n",0,BR34)</f>
        <v>0</v>
      </c>
      <c r="CB34" s="290" t="n">
        <f aca="false">IF($AM34="n",0,BS34)</f>
        <v>2958333.33333333</v>
      </c>
      <c r="CC34" s="290" t="n">
        <f aca="false">IF($AM34="n",0,BT34)</f>
        <v>-416666.666666667</v>
      </c>
      <c r="CD34" s="290" t="n">
        <f aca="false">SUM(CA34:CC34)</f>
        <v>2541666.66666667</v>
      </c>
      <c r="CE34" s="290" t="n">
        <f aca="false">IF($AM$2="n",0,BV34)</f>
        <v>0</v>
      </c>
      <c r="CF34" s="290" t="n">
        <f aca="false">IF($AM$2="n",0,BW34)</f>
        <v>4800</v>
      </c>
      <c r="CG34" s="290" t="n">
        <f aca="false">IF($AM$2="n",0,BX34)</f>
        <v>0</v>
      </c>
      <c r="CH34" s="290" t="n">
        <f aca="false">SUM(CE34:CG34)</f>
        <v>4800</v>
      </c>
    </row>
    <row r="35" customFormat="false" ht="15" hidden="false" customHeight="true" outlineLevel="0" collapsed="false">
      <c r="A35" s="285" t="n">
        <v>8266</v>
      </c>
      <c r="B35" s="285"/>
      <c r="C35" s="286" t="s">
        <v>156</v>
      </c>
      <c r="D35" s="287" t="s">
        <v>156</v>
      </c>
      <c r="E35" s="288" t="n">
        <f aca="false">IF(I35="regional",IF(R35*0.2975,S35*0.3484),S35*0.1939)</f>
        <v>57554.1736</v>
      </c>
      <c r="F35" s="288" t="n">
        <v>0</v>
      </c>
      <c r="G35" s="289" t="n">
        <f aca="false">E35+F35</f>
        <v>57554.1736</v>
      </c>
      <c r="H35" s="286"/>
      <c r="I35" s="287" t="s">
        <v>62</v>
      </c>
      <c r="J35" s="287" t="s">
        <v>49</v>
      </c>
      <c r="K35" s="287" t="s">
        <v>148</v>
      </c>
      <c r="L35" s="287"/>
      <c r="M35" s="317" t="n">
        <v>0</v>
      </c>
      <c r="N35" s="317" t="n">
        <v>1</v>
      </c>
      <c r="O35" s="317" t="n">
        <v>1</v>
      </c>
      <c r="P35" s="317" t="n">
        <v>0.943</v>
      </c>
      <c r="Q35" s="317" t="n">
        <v>0.977</v>
      </c>
      <c r="R35" s="317" t="n">
        <v>0</v>
      </c>
      <c r="S35" s="317" t="n">
        <v>296824</v>
      </c>
      <c r="T35" s="318" t="n">
        <f aca="false">IF(I35="regional",IF(R35&gt;0,R35*0.2975,S35*0.3484),S35*0.1939)</f>
        <v>57554.1736</v>
      </c>
      <c r="U35" s="317" t="n">
        <v>235962</v>
      </c>
      <c r="V35" s="317" t="n">
        <v>60862</v>
      </c>
      <c r="W35" s="317" t="n">
        <v>1500</v>
      </c>
      <c r="X35" s="317" t="n">
        <v>0</v>
      </c>
      <c r="Y35" s="317" t="n">
        <v>0</v>
      </c>
      <c r="Z35" s="317" t="n">
        <v>0</v>
      </c>
      <c r="AA35" s="317" t="n">
        <v>354378.1736</v>
      </c>
      <c r="AB35" s="317" t="n">
        <v>57554.1736</v>
      </c>
      <c r="AC35" s="317" t="n">
        <v>296824</v>
      </c>
      <c r="AD35" s="317" t="n">
        <v>0</v>
      </c>
      <c r="AE35" s="317" t="n">
        <v>0</v>
      </c>
      <c r="AF35" s="317" t="n">
        <v>0</v>
      </c>
      <c r="AG35" s="317" t="n">
        <v>296824</v>
      </c>
      <c r="AH35" s="317" t="n">
        <v>0</v>
      </c>
      <c r="AI35" s="317" t="n">
        <v>0</v>
      </c>
      <c r="AJ35" s="286" t="s">
        <v>707</v>
      </c>
      <c r="AK35" s="286" t="s">
        <v>712</v>
      </c>
      <c r="AL35" s="287" t="s">
        <v>62</v>
      </c>
      <c r="AM35" s="286"/>
      <c r="AN35" s="287" t="s">
        <v>156</v>
      </c>
      <c r="AO35" s="287" t="n">
        <v>57554.1736</v>
      </c>
      <c r="AP35" s="319" t="n">
        <f aca="false">AR35+AT35+AU35+AV35+AX35+AY35+AZ35+BD35+BF35+BG35+BH35+BJ35+BK35+(BL35+BM35+BN35)/1000+(0.1*BO35)</f>
        <v>27.7175</v>
      </c>
      <c r="AQ35" s="319" t="n">
        <f aca="false">AR35+AT35+AU35+AV35+AX35+AY35+AZ35+BB35+BC35+BD35+BF35+BG35+BH35+BJ35+BK35+(BL35+BM35+BN35)/1000+(0.1*BO35)</f>
        <v>23.7175</v>
      </c>
      <c r="AR35" s="285" t="n">
        <v>0</v>
      </c>
      <c r="AS35" s="285" t="n">
        <v>0</v>
      </c>
      <c r="AT35" s="285" t="n">
        <v>21</v>
      </c>
      <c r="AU35" s="285" t="n">
        <v>0</v>
      </c>
      <c r="AV35" s="285" t="n">
        <v>0</v>
      </c>
      <c r="AW35" s="285" t="n">
        <v>0</v>
      </c>
      <c r="AX35" s="285" t="n">
        <v>0</v>
      </c>
      <c r="AY35" s="285" t="n">
        <v>0</v>
      </c>
      <c r="AZ35" s="285" t="n">
        <v>0</v>
      </c>
      <c r="BA35" s="285" t="n">
        <v>0</v>
      </c>
      <c r="BB35" s="285" t="n">
        <v>-4</v>
      </c>
      <c r="BC35" s="285" t="n">
        <v>0</v>
      </c>
      <c r="BD35" s="285" t="n">
        <v>0</v>
      </c>
      <c r="BE35" s="285" t="n">
        <v>0</v>
      </c>
      <c r="BF35" s="285" t="n">
        <v>0</v>
      </c>
      <c r="BG35" s="285" t="n">
        <v>0</v>
      </c>
      <c r="BH35" s="285" t="n">
        <v>0</v>
      </c>
      <c r="BI35" s="285" t="n">
        <v>0</v>
      </c>
      <c r="BJ35" s="285" t="n">
        <v>0</v>
      </c>
      <c r="BK35" s="285" t="n">
        <v>0</v>
      </c>
      <c r="BL35" s="285" t="n">
        <v>0</v>
      </c>
      <c r="BM35" s="285" t="n">
        <v>0</v>
      </c>
      <c r="BN35" s="285" t="n">
        <v>0</v>
      </c>
      <c r="BO35" s="285" t="n">
        <v>67.175</v>
      </c>
      <c r="BR35" s="290" t="n">
        <f aca="false">AR35*1000/0.072</f>
        <v>0</v>
      </c>
      <c r="BS35" s="290" t="n">
        <f aca="false">AT35*1000/0.072</f>
        <v>291666.666666667</v>
      </c>
      <c r="BT35" s="290" t="n">
        <f aca="false">AU35*1000/0.072</f>
        <v>0</v>
      </c>
      <c r="BU35" s="290" t="n">
        <f aca="false">SUM(BR35:BT35)</f>
        <v>291666.666666667</v>
      </c>
      <c r="BV35" s="290" t="n">
        <f aca="false">AV35*1000/5</f>
        <v>0</v>
      </c>
      <c r="BW35" s="290" t="n">
        <f aca="false">AX35*1000/5</f>
        <v>0</v>
      </c>
      <c r="BX35" s="290" t="n">
        <f aca="false">AY35*1000/5</f>
        <v>0</v>
      </c>
      <c r="BY35" s="290" t="n">
        <f aca="false">SUM(BV35:BX35)</f>
        <v>0</v>
      </c>
      <c r="CA35" s="290" t="n">
        <f aca="false">IF($AM35="n",0,BR35)</f>
        <v>0</v>
      </c>
      <c r="CB35" s="290" t="n">
        <f aca="false">IF($AM35="n",0,BS35)</f>
        <v>291666.666666667</v>
      </c>
      <c r="CC35" s="290" t="n">
        <f aca="false">IF($AM35="n",0,BT35)</f>
        <v>0</v>
      </c>
      <c r="CD35" s="290" t="n">
        <f aca="false">SUM(CA35:CC35)</f>
        <v>291666.666666667</v>
      </c>
      <c r="CE35" s="290" t="n">
        <f aca="false">IF($AM$2="n",0,BV35)</f>
        <v>0</v>
      </c>
      <c r="CF35" s="290" t="n">
        <f aca="false">IF($AM$2="n",0,BW35)</f>
        <v>0</v>
      </c>
      <c r="CG35" s="290" t="n">
        <f aca="false">IF($AM$2="n",0,BX35)</f>
        <v>0</v>
      </c>
      <c r="CH35" s="290" t="n">
        <f aca="false">SUM(CE35:CG35)</f>
        <v>0</v>
      </c>
    </row>
    <row r="36" customFormat="false" ht="15" hidden="false" customHeight="true" outlineLevel="0" collapsed="false">
      <c r="A36" s="285" t="n">
        <v>9888</v>
      </c>
      <c r="B36" s="285" t="s">
        <v>44</v>
      </c>
      <c r="C36" s="286" t="s">
        <v>158</v>
      </c>
      <c r="D36" s="287" t="s">
        <v>158</v>
      </c>
      <c r="E36" s="288" t="n">
        <f aca="false">IF(I36="regional",IF(R36*0.2975,S36*0.3484),S36*0.1939)</f>
        <v>245422.7152</v>
      </c>
      <c r="F36" s="288" t="n">
        <v>0</v>
      </c>
      <c r="G36" s="289" t="n">
        <f aca="false">E36+F36</f>
        <v>245422.7152</v>
      </c>
      <c r="H36" s="286" t="s">
        <v>49</v>
      </c>
      <c r="I36" s="287" t="s">
        <v>48</v>
      </c>
      <c r="J36" s="287" t="s">
        <v>44</v>
      </c>
      <c r="K36" s="287" t="s">
        <v>148</v>
      </c>
      <c r="L36" s="287"/>
      <c r="M36" s="317" t="n">
        <v>132</v>
      </c>
      <c r="N36" s="317" t="n">
        <v>0.853</v>
      </c>
      <c r="O36" s="317" t="n">
        <v>0.853</v>
      </c>
      <c r="P36" s="317" t="n">
        <v>0.831</v>
      </c>
      <c r="Q36" s="317" t="n">
        <v>0.761</v>
      </c>
      <c r="R36" s="317" t="n">
        <v>743297</v>
      </c>
      <c r="S36" s="317" t="n">
        <v>704428</v>
      </c>
      <c r="T36" s="318" t="n">
        <f aca="false">IF(I36="regional",IF(R36&gt;0,R36*0.2975,S36*0.3484),S36*0.1939)</f>
        <v>221130.8575</v>
      </c>
      <c r="U36" s="317" t="n">
        <v>429463</v>
      </c>
      <c r="V36" s="317" t="n">
        <v>274965</v>
      </c>
      <c r="W36" s="317" t="n">
        <v>3525</v>
      </c>
      <c r="X36" s="317" t="n">
        <v>0</v>
      </c>
      <c r="Y36" s="317" t="n">
        <v>0</v>
      </c>
      <c r="Z36" s="317" t="n">
        <v>0</v>
      </c>
      <c r="AA36" s="317" t="n">
        <v>925558.8575</v>
      </c>
      <c r="AB36" s="317" t="n">
        <v>221130.8575</v>
      </c>
      <c r="AC36" s="317" t="n">
        <v>704428</v>
      </c>
      <c r="AD36" s="317" t="n">
        <v>0</v>
      </c>
      <c r="AE36" s="317" t="n">
        <v>0</v>
      </c>
      <c r="AF36" s="317" t="n">
        <v>704428</v>
      </c>
      <c r="AG36" s="317" t="n">
        <v>0</v>
      </c>
      <c r="AH36" s="317" t="n">
        <v>763000</v>
      </c>
      <c r="AI36" s="317" t="n">
        <v>589000</v>
      </c>
      <c r="AJ36" s="286" t="s">
        <v>707</v>
      </c>
      <c r="AK36" s="286" t="s">
        <v>712</v>
      </c>
      <c r="AL36" s="287" t="s">
        <v>48</v>
      </c>
      <c r="AM36" s="286" t="s">
        <v>49</v>
      </c>
      <c r="AN36" s="287" t="s">
        <v>158</v>
      </c>
      <c r="AO36" s="287" t="n">
        <v>221130.8575</v>
      </c>
      <c r="AP36" s="319" t="n">
        <f aca="false">AR36+AT36+AU36+AV36+AX36+AY36+AZ36+BD36+BF36+BG36+BH36+BJ36+BK36+(BL36+BM36+BN36)/1000+(0.1*BO36)</f>
        <v>241.9283</v>
      </c>
      <c r="AQ36" s="319" t="n">
        <f aca="false">AR36+AT36+AU36+AV36+AX36+AY36+AZ36+BB36+BC36+BD36+BF36+BG36+BH36+BJ36+BK36+(BL36+BM36+BN36)/1000+(0.1*BO36)</f>
        <v>269.9283</v>
      </c>
      <c r="AR36" s="285" t="n">
        <v>0</v>
      </c>
      <c r="AS36" s="285" t="n">
        <v>589</v>
      </c>
      <c r="AT36" s="285" t="n">
        <v>155</v>
      </c>
      <c r="AU36" s="285" t="n">
        <v>0</v>
      </c>
      <c r="AV36" s="285" t="n">
        <v>0</v>
      </c>
      <c r="AW36" s="285" t="n">
        <v>0</v>
      </c>
      <c r="AX36" s="285" t="n">
        <v>14</v>
      </c>
      <c r="AY36" s="285" t="n">
        <v>0</v>
      </c>
      <c r="AZ36" s="285" t="n">
        <v>0</v>
      </c>
      <c r="BA36" s="285" t="n">
        <v>0</v>
      </c>
      <c r="BB36" s="285" t="n">
        <v>28</v>
      </c>
      <c r="BC36" s="285" t="n">
        <v>0</v>
      </c>
      <c r="BD36" s="285" t="n">
        <v>0</v>
      </c>
      <c r="BE36" s="285" t="n">
        <v>0</v>
      </c>
      <c r="BF36" s="285" t="n">
        <v>0</v>
      </c>
      <c r="BG36" s="285" t="n">
        <v>0</v>
      </c>
      <c r="BH36" s="285" t="n">
        <v>0</v>
      </c>
      <c r="BI36" s="285" t="n">
        <v>0</v>
      </c>
      <c r="BJ36" s="285" t="n">
        <v>0</v>
      </c>
      <c r="BK36" s="285" t="n">
        <v>0</v>
      </c>
      <c r="BL36" s="285" t="n">
        <v>0</v>
      </c>
      <c r="BM36" s="285" t="n">
        <v>0</v>
      </c>
      <c r="BN36" s="285" t="n">
        <v>0</v>
      </c>
      <c r="BO36" s="285" t="n">
        <v>729.283</v>
      </c>
      <c r="BR36" s="290" t="n">
        <f aca="false">AR36*1000/0.072</f>
        <v>0</v>
      </c>
      <c r="BS36" s="290" t="n">
        <f aca="false">AT36*1000/0.072</f>
        <v>2152777.77777778</v>
      </c>
      <c r="BT36" s="290" t="n">
        <f aca="false">AU36*1000/0.072</f>
        <v>0</v>
      </c>
      <c r="BU36" s="290" t="n">
        <f aca="false">SUM(BR36:BT36)</f>
        <v>2152777.77777778</v>
      </c>
      <c r="BV36" s="290" t="n">
        <f aca="false">AV36*1000/5</f>
        <v>0</v>
      </c>
      <c r="BW36" s="290" t="n">
        <f aca="false">AX36*1000/5</f>
        <v>2800</v>
      </c>
      <c r="BX36" s="290" t="n">
        <f aca="false">AY36*1000/5</f>
        <v>0</v>
      </c>
      <c r="BY36" s="290" t="n">
        <f aca="false">SUM(BV36:BX36)</f>
        <v>2800</v>
      </c>
      <c r="CA36" s="290" t="n">
        <f aca="false">IF($AM36="n",0,BR36)</f>
        <v>0</v>
      </c>
      <c r="CB36" s="290" t="n">
        <f aca="false">IF($AM36="n",0,BS36)</f>
        <v>0</v>
      </c>
      <c r="CC36" s="290" t="n">
        <f aca="false">IF($AM36="n",0,BT36)</f>
        <v>0</v>
      </c>
      <c r="CD36" s="290" t="n">
        <f aca="false">SUM(CA36:CC36)</f>
        <v>0</v>
      </c>
      <c r="CE36" s="290" t="n">
        <f aca="false">IF($AM$2="n",0,BV36)</f>
        <v>0</v>
      </c>
      <c r="CF36" s="290" t="n">
        <f aca="false">IF($AM$2="n",0,BW36)</f>
        <v>2800</v>
      </c>
      <c r="CG36" s="290" t="n">
        <f aca="false">IF($AM$2="n",0,BX36)</f>
        <v>0</v>
      </c>
      <c r="CH36" s="290" t="n">
        <f aca="false">SUM(CE36:CG36)</f>
        <v>2800</v>
      </c>
    </row>
    <row r="37" customFormat="false" ht="15" hidden="false" customHeight="true" outlineLevel="0" collapsed="false">
      <c r="A37" s="285" t="n">
        <v>511</v>
      </c>
      <c r="B37" s="285" t="s">
        <v>44</v>
      </c>
      <c r="C37" s="286" t="s">
        <v>159</v>
      </c>
      <c r="D37" s="287" t="s">
        <v>159</v>
      </c>
      <c r="E37" s="288" t="n">
        <f aca="false">IF(I37="regional",IF(R37*0.2975,S37*0.3484),S37*0.1939)</f>
        <v>407128.7428</v>
      </c>
      <c r="F37" s="288" t="n">
        <v>561163</v>
      </c>
      <c r="G37" s="289" t="n">
        <f aca="false">E37+F37</f>
        <v>968291.7428</v>
      </c>
      <c r="H37" s="286"/>
      <c r="I37" s="287" t="s">
        <v>48</v>
      </c>
      <c r="J37" s="287" t="s">
        <v>44</v>
      </c>
      <c r="K37" s="287" t="s">
        <v>160</v>
      </c>
      <c r="L37" s="287" t="s">
        <v>44</v>
      </c>
      <c r="M37" s="317" t="n">
        <v>146</v>
      </c>
      <c r="N37" s="317" t="n">
        <v>0.924</v>
      </c>
      <c r="O37" s="317" t="n">
        <v>0.972</v>
      </c>
      <c r="P37" s="317" t="n">
        <v>0.933</v>
      </c>
      <c r="Q37" s="317" t="n">
        <v>0.894</v>
      </c>
      <c r="R37" s="317" t="n">
        <v>1446933</v>
      </c>
      <c r="S37" s="317" t="n">
        <v>1168567</v>
      </c>
      <c r="T37" s="318" t="n">
        <f aca="false">IF(I37="regional",IF(R37&gt;0,R37*0.2975,S37*0.3484),S37*0.1939)</f>
        <v>430462.5675</v>
      </c>
      <c r="U37" s="317" t="n">
        <v>793716</v>
      </c>
      <c r="V37" s="317" t="n">
        <v>374851</v>
      </c>
      <c r="W37" s="317" t="n">
        <v>6000</v>
      </c>
      <c r="X37" s="317" t="n">
        <v>991625.5675</v>
      </c>
      <c r="Y37" s="317" t="n">
        <v>430462.5675</v>
      </c>
      <c r="Z37" s="317" t="n">
        <v>561163</v>
      </c>
      <c r="AA37" s="317" t="n">
        <v>607404</v>
      </c>
      <c r="AB37" s="317" t="n">
        <v>0</v>
      </c>
      <c r="AC37" s="317" t="n">
        <v>607404</v>
      </c>
      <c r="AD37" s="317" t="n">
        <v>561163</v>
      </c>
      <c r="AE37" s="317" t="n">
        <v>0</v>
      </c>
      <c r="AF37" s="317" t="n">
        <v>607404</v>
      </c>
      <c r="AG37" s="317" t="n">
        <v>0</v>
      </c>
      <c r="AH37" s="317" t="n">
        <v>1182000</v>
      </c>
      <c r="AI37" s="317" t="n">
        <v>990000</v>
      </c>
      <c r="AJ37" s="286" t="s">
        <v>707</v>
      </c>
      <c r="AK37" s="286" t="s">
        <v>708</v>
      </c>
      <c r="AL37" s="287" t="s">
        <v>48</v>
      </c>
      <c r="AM37" s="286"/>
      <c r="AN37" s="287" t="s">
        <v>159</v>
      </c>
      <c r="AO37" s="287" t="n">
        <v>991625.5675</v>
      </c>
      <c r="AP37" s="319" t="n">
        <f aca="false">AR37+AT37+AU37+AV37+AX37+AY37+AZ37+BD37+BF37+BG37+BH37+BJ37+BK37+(BL37+BM37+BN37)/1000+(0.1*BO37)</f>
        <v>952.4919</v>
      </c>
      <c r="AQ37" s="319" t="n">
        <f aca="false">AR37+AT37+AU37+AV37+AX37+AY37+AZ37+BB37+BC37+BD37+BF37+BG37+BH37+BJ37+BK37+(BL37+BM37+BN37)/1000+(0.1*BO37)</f>
        <v>979.4919</v>
      </c>
      <c r="AR37" s="285" t="n">
        <v>472</v>
      </c>
      <c r="AS37" s="285" t="n">
        <v>990</v>
      </c>
      <c r="AT37" s="285" t="n">
        <v>176</v>
      </c>
      <c r="AU37" s="285" t="n">
        <v>0</v>
      </c>
      <c r="AV37" s="285" t="n">
        <v>0</v>
      </c>
      <c r="AW37" s="285" t="n">
        <v>0</v>
      </c>
      <c r="AX37" s="285" t="n">
        <v>0</v>
      </c>
      <c r="AY37" s="285" t="n">
        <v>0</v>
      </c>
      <c r="AZ37" s="285" t="n">
        <v>13</v>
      </c>
      <c r="BA37" s="285" t="n">
        <v>37</v>
      </c>
      <c r="BB37" s="285" t="n">
        <v>27</v>
      </c>
      <c r="BC37" s="285" t="n">
        <v>0</v>
      </c>
      <c r="BD37" s="285" t="n">
        <v>73</v>
      </c>
      <c r="BE37" s="285" t="n">
        <v>0</v>
      </c>
      <c r="BF37" s="285" t="n">
        <v>0</v>
      </c>
      <c r="BG37" s="285" t="n">
        <v>0</v>
      </c>
      <c r="BH37" s="285" t="n">
        <v>35</v>
      </c>
      <c r="BI37" s="285" t="n">
        <v>3</v>
      </c>
      <c r="BJ37" s="285" t="n">
        <v>0</v>
      </c>
      <c r="BK37" s="285" t="n">
        <v>0</v>
      </c>
      <c r="BL37" s="285" t="n">
        <v>13964</v>
      </c>
      <c r="BM37" s="285" t="n">
        <v>72134</v>
      </c>
      <c r="BN37" s="285" t="n">
        <v>16000</v>
      </c>
      <c r="BO37" s="285" t="n">
        <v>813.939</v>
      </c>
      <c r="BR37" s="290" t="n">
        <f aca="false">AR37*1000/0.072</f>
        <v>6555555.55555556</v>
      </c>
      <c r="BS37" s="290" t="n">
        <f aca="false">AT37*1000/0.072</f>
        <v>2444444.44444444</v>
      </c>
      <c r="BT37" s="290" t="n">
        <f aca="false">AU37*1000/0.072</f>
        <v>0</v>
      </c>
      <c r="BU37" s="290" t="n">
        <f aca="false">SUM(BR37:BT37)</f>
        <v>9000000</v>
      </c>
      <c r="BV37" s="290" t="n">
        <f aca="false">AV37*1000/5</f>
        <v>0</v>
      </c>
      <c r="BW37" s="290" t="n">
        <f aca="false">AX37*1000/5</f>
        <v>0</v>
      </c>
      <c r="BX37" s="290" t="n">
        <f aca="false">AY37*1000/5</f>
        <v>0</v>
      </c>
      <c r="BY37" s="290" t="n">
        <f aca="false">SUM(BV37:BX37)</f>
        <v>0</v>
      </c>
      <c r="CA37" s="290" t="n">
        <f aca="false">IF($AM37="n",0,BR37)</f>
        <v>6555555.55555556</v>
      </c>
      <c r="CB37" s="290" t="n">
        <f aca="false">IF($AM37="n",0,BS37)</f>
        <v>2444444.44444444</v>
      </c>
      <c r="CC37" s="290" t="n">
        <f aca="false">IF($AM37="n",0,BT37)</f>
        <v>0</v>
      </c>
      <c r="CD37" s="290" t="n">
        <f aca="false">SUM(CA37:CC37)</f>
        <v>9000000</v>
      </c>
      <c r="CE37" s="290" t="n">
        <f aca="false">IF($AM$2="n",0,BV37)</f>
        <v>0</v>
      </c>
      <c r="CF37" s="290" t="n">
        <f aca="false">IF($AM$2="n",0,BW37)</f>
        <v>0</v>
      </c>
      <c r="CG37" s="290" t="n">
        <f aca="false">IF($AM$2="n",0,BX37)</f>
        <v>0</v>
      </c>
      <c r="CH37" s="290" t="n">
        <f aca="false">SUM(CE37:CG37)</f>
        <v>0</v>
      </c>
    </row>
    <row r="38" customFormat="false" ht="15" hidden="false" customHeight="true" outlineLevel="0" collapsed="false">
      <c r="A38" s="285" t="n">
        <v>564</v>
      </c>
      <c r="B38" s="285" t="s">
        <v>44</v>
      </c>
      <c r="C38" s="286" t="s">
        <v>161</v>
      </c>
      <c r="D38" s="287" t="s">
        <v>161</v>
      </c>
      <c r="E38" s="288" t="n">
        <f aca="false">IF(I38="regional",IF(R38*0.2975,S38*0.3484),S38*0.1939)</f>
        <v>275212.6572</v>
      </c>
      <c r="F38" s="288" t="n">
        <v>0</v>
      </c>
      <c r="G38" s="289" t="n">
        <f aca="false">E38+F38</f>
        <v>275212.6572</v>
      </c>
      <c r="H38" s="286" t="s">
        <v>49</v>
      </c>
      <c r="I38" s="287" t="s">
        <v>48</v>
      </c>
      <c r="J38" s="287" t="s">
        <v>44</v>
      </c>
      <c r="K38" s="287" t="s">
        <v>115</v>
      </c>
      <c r="L38" s="287"/>
      <c r="M38" s="317" t="n">
        <v>90</v>
      </c>
      <c r="N38" s="317" t="n">
        <v>0.961</v>
      </c>
      <c r="O38" s="317" t="n">
        <v>0.946</v>
      </c>
      <c r="P38" s="317" t="n">
        <v>0.962</v>
      </c>
      <c r="Q38" s="317" t="n">
        <v>0.944</v>
      </c>
      <c r="R38" s="317" t="n">
        <v>1126844</v>
      </c>
      <c r="S38" s="317" t="n">
        <v>789933</v>
      </c>
      <c r="T38" s="318" t="n">
        <f aca="false">IF(I38="regional",IF(R38&gt;0,R38*0.2975,S38*0.3484),S38*0.1939)</f>
        <v>335236.09</v>
      </c>
      <c r="U38" s="317" t="n">
        <v>350000</v>
      </c>
      <c r="V38" s="317" t="n">
        <v>439933</v>
      </c>
      <c r="W38" s="317" t="n">
        <v>3000</v>
      </c>
      <c r="X38" s="317" t="n">
        <v>0</v>
      </c>
      <c r="Y38" s="317" t="n">
        <v>0</v>
      </c>
      <c r="Z38" s="317" t="n">
        <v>0</v>
      </c>
      <c r="AA38" s="317" t="n">
        <v>1125169.09</v>
      </c>
      <c r="AB38" s="317" t="n">
        <v>335236.09</v>
      </c>
      <c r="AC38" s="317" t="n">
        <v>789933</v>
      </c>
      <c r="AD38" s="317" t="n">
        <v>0</v>
      </c>
      <c r="AE38" s="317" t="n">
        <v>0</v>
      </c>
      <c r="AF38" s="317" t="n">
        <v>789933</v>
      </c>
      <c r="AG38" s="317" t="n">
        <v>0</v>
      </c>
      <c r="AH38" s="317" t="n">
        <v>794000</v>
      </c>
      <c r="AI38" s="317" t="n">
        <v>652000</v>
      </c>
      <c r="AJ38" s="286" t="n">
        <v>4</v>
      </c>
      <c r="AK38" s="286" t="s">
        <v>720</v>
      </c>
      <c r="AL38" s="287" t="s">
        <v>48</v>
      </c>
      <c r="AM38" s="286" t="s">
        <v>49</v>
      </c>
      <c r="AN38" s="287" t="s">
        <v>161</v>
      </c>
      <c r="AO38" s="287" t="n">
        <v>335236.09</v>
      </c>
      <c r="AP38" s="319" t="n">
        <f aca="false">AR38+AT38+AU38+AV38+AX38+AY38+AZ38+BD38+BF38+BG38+BH38+BJ38+BK38+(BL38+BM38+BN38)/1000+(0.1*BO38)</f>
        <v>1774</v>
      </c>
      <c r="AQ38" s="319" t="n">
        <f aca="false">AR38+AT38+AU38+AV38+AX38+AY38+AZ38+BB38+BC38+BD38+BF38+BG38+BH38+BJ38+BK38+(BL38+BM38+BN38)/1000+(0.1*BO38)</f>
        <v>1815</v>
      </c>
      <c r="AR38" s="302" t="n">
        <v>344</v>
      </c>
      <c r="AS38" s="302" t="n">
        <v>652</v>
      </c>
      <c r="AT38" s="302" t="n">
        <v>164</v>
      </c>
      <c r="AU38" s="302" t="n">
        <v>0</v>
      </c>
      <c r="AV38" s="285" t="n">
        <v>0</v>
      </c>
      <c r="AW38" s="285" t="n">
        <v>0</v>
      </c>
      <c r="AX38" s="285" t="n">
        <v>1</v>
      </c>
      <c r="AY38" s="285" t="n">
        <v>0</v>
      </c>
      <c r="AZ38" s="302" t="n">
        <v>1107</v>
      </c>
      <c r="BA38" s="302" t="n">
        <v>52</v>
      </c>
      <c r="BB38" s="302" t="n">
        <v>41</v>
      </c>
      <c r="BC38" s="302" t="n">
        <v>0</v>
      </c>
      <c r="BD38" s="285" t="n">
        <v>46</v>
      </c>
      <c r="BE38" s="285" t="n">
        <v>0</v>
      </c>
      <c r="BF38" s="285" t="n">
        <v>0</v>
      </c>
      <c r="BG38" s="285" t="n">
        <v>0</v>
      </c>
      <c r="BH38" s="285" t="n">
        <v>112</v>
      </c>
      <c r="BI38" s="285" t="n">
        <v>1</v>
      </c>
      <c r="BJ38" s="285" t="n">
        <v>0</v>
      </c>
      <c r="BK38" s="285" t="n">
        <v>0</v>
      </c>
      <c r="BL38" s="285" t="n">
        <v>0</v>
      </c>
      <c r="BM38" s="285" t="n">
        <v>0</v>
      </c>
      <c r="BN38" s="285" t="n">
        <v>0</v>
      </c>
      <c r="BO38" s="285" t="n">
        <v>0</v>
      </c>
      <c r="BP38" s="324"/>
      <c r="BR38" s="290" t="n">
        <f aca="false">AR38*1000/0.072</f>
        <v>4777777.77777778</v>
      </c>
      <c r="BS38" s="290" t="n">
        <f aca="false">AT38*1000/0.072</f>
        <v>2277777.77777778</v>
      </c>
      <c r="BT38" s="290" t="n">
        <f aca="false">AU38*1000/0.072</f>
        <v>0</v>
      </c>
      <c r="BU38" s="290" t="n">
        <f aca="false">SUM(BR38:BT38)</f>
        <v>7055555.55555556</v>
      </c>
      <c r="BV38" s="290" t="n">
        <f aca="false">AV38*1000/5</f>
        <v>0</v>
      </c>
      <c r="BW38" s="290" t="n">
        <f aca="false">AX38*1000/5</f>
        <v>200</v>
      </c>
      <c r="BX38" s="290" t="n">
        <f aca="false">AY38*1000/5</f>
        <v>0</v>
      </c>
      <c r="BY38" s="290" t="n">
        <f aca="false">SUM(BV38:BX38)</f>
        <v>200</v>
      </c>
      <c r="CA38" s="290" t="n">
        <f aca="false">IF($AM38="n",0,BR38)</f>
        <v>0</v>
      </c>
      <c r="CB38" s="290" t="n">
        <f aca="false">IF($AM38="n",0,BS38)</f>
        <v>0</v>
      </c>
      <c r="CC38" s="290" t="n">
        <f aca="false">IF($AM38="n",0,BT38)</f>
        <v>0</v>
      </c>
      <c r="CD38" s="290" t="n">
        <f aca="false">SUM(CA38:CC38)</f>
        <v>0</v>
      </c>
      <c r="CE38" s="290" t="n">
        <f aca="false">IF($AM$2="n",0,BV38)</f>
        <v>0</v>
      </c>
      <c r="CF38" s="290" t="n">
        <f aca="false">IF($AM$2="n",0,BW38)</f>
        <v>200</v>
      </c>
      <c r="CG38" s="290" t="n">
        <f aca="false">IF($AM$2="n",0,BX38)</f>
        <v>0</v>
      </c>
      <c r="CH38" s="290" t="n">
        <f aca="false">SUM(CE38:CG38)</f>
        <v>200</v>
      </c>
      <c r="CJ38" s="330"/>
      <c r="CK38" s="330"/>
      <c r="CL38" s="330"/>
      <c r="CM38" s="330"/>
      <c r="CN38" s="330"/>
      <c r="CO38" s="330"/>
      <c r="CP38" s="330"/>
      <c r="CQ38" s="330"/>
      <c r="CR38" s="330"/>
      <c r="CS38" s="330"/>
      <c r="CT38" s="330"/>
      <c r="CU38" s="330"/>
      <c r="CV38" s="330"/>
      <c r="CW38" s="330"/>
      <c r="CX38" s="330"/>
      <c r="CY38" s="330"/>
      <c r="CZ38" s="330"/>
      <c r="DA38" s="330"/>
      <c r="DB38" s="330"/>
      <c r="DC38" s="330"/>
      <c r="DD38" s="330"/>
      <c r="DE38" s="330"/>
      <c r="DF38" s="330"/>
      <c r="DG38" s="330"/>
      <c r="DH38" s="330"/>
      <c r="DI38" s="330"/>
      <c r="DJ38" s="330"/>
      <c r="DK38" s="330"/>
      <c r="DL38" s="330"/>
      <c r="DM38" s="330"/>
      <c r="DN38" s="330"/>
      <c r="DO38" s="330"/>
      <c r="DP38" s="330"/>
      <c r="DQ38" s="330"/>
      <c r="DR38" s="330"/>
      <c r="DS38" s="330"/>
      <c r="DT38" s="330"/>
      <c r="DU38" s="330"/>
      <c r="DV38" s="330"/>
      <c r="DW38" s="330"/>
      <c r="DX38" s="330"/>
      <c r="DY38" s="330"/>
      <c r="DZ38" s="330"/>
      <c r="EA38" s="330"/>
      <c r="EB38" s="330"/>
      <c r="EC38" s="330"/>
      <c r="ED38" s="330"/>
      <c r="EE38" s="330"/>
      <c r="EF38" s="330"/>
      <c r="EG38" s="330"/>
      <c r="EH38" s="330"/>
      <c r="EI38" s="330"/>
      <c r="EJ38" s="330"/>
      <c r="EK38" s="330"/>
      <c r="EL38" s="330"/>
      <c r="EM38" s="330"/>
      <c r="EN38" s="330"/>
      <c r="EO38" s="330"/>
      <c r="EP38" s="330"/>
      <c r="EQ38" s="330"/>
      <c r="ER38" s="330"/>
      <c r="ES38" s="330"/>
      <c r="ET38" s="330"/>
      <c r="EU38" s="330"/>
      <c r="EV38" s="330"/>
      <c r="EW38" s="330"/>
      <c r="EX38" s="330"/>
      <c r="EY38" s="330"/>
      <c r="EZ38" s="330"/>
      <c r="FA38" s="330"/>
      <c r="FB38" s="330"/>
      <c r="FC38" s="330"/>
      <c r="FD38" s="330"/>
      <c r="FE38" s="330"/>
      <c r="FF38" s="330"/>
      <c r="FG38" s="330"/>
      <c r="FH38" s="330"/>
      <c r="FI38" s="330"/>
      <c r="FJ38" s="330"/>
      <c r="FK38" s="330"/>
      <c r="FL38" s="330"/>
      <c r="FM38" s="330"/>
      <c r="FN38" s="330"/>
      <c r="FO38" s="330"/>
      <c r="FP38" s="330"/>
      <c r="FQ38" s="330"/>
      <c r="FR38" s="330"/>
      <c r="FS38" s="330"/>
      <c r="FT38" s="330"/>
      <c r="FU38" s="330"/>
      <c r="FV38" s="330"/>
      <c r="FW38" s="330"/>
      <c r="FX38" s="330"/>
      <c r="FY38" s="330"/>
      <c r="FZ38" s="330"/>
      <c r="GA38" s="330"/>
      <c r="GB38" s="330"/>
      <c r="GC38" s="330"/>
      <c r="GD38" s="330"/>
      <c r="GE38" s="330"/>
      <c r="GF38" s="330"/>
      <c r="GG38" s="330"/>
      <c r="GH38" s="330"/>
      <c r="GI38" s="330"/>
      <c r="GJ38" s="330"/>
      <c r="GK38" s="330"/>
      <c r="GL38" s="330"/>
      <c r="GM38" s="330"/>
      <c r="GN38" s="330"/>
      <c r="GO38" s="330"/>
      <c r="GP38" s="330"/>
      <c r="GQ38" s="330"/>
      <c r="GR38" s="330"/>
      <c r="GS38" s="330"/>
      <c r="GT38" s="330"/>
      <c r="GU38" s="330"/>
      <c r="GV38" s="330"/>
      <c r="GW38" s="330"/>
      <c r="GX38" s="330"/>
      <c r="GY38" s="330"/>
      <c r="GZ38" s="330"/>
      <c r="HA38" s="330"/>
      <c r="HB38" s="330"/>
      <c r="HC38" s="330"/>
      <c r="HD38" s="330"/>
      <c r="HE38" s="330"/>
      <c r="HF38" s="330"/>
      <c r="HG38" s="330"/>
      <c r="HH38" s="330"/>
      <c r="HI38" s="330"/>
      <c r="HJ38" s="330"/>
      <c r="HK38" s="330"/>
      <c r="HL38" s="330"/>
      <c r="HM38" s="330"/>
      <c r="HN38" s="330"/>
      <c r="HO38" s="330"/>
      <c r="HP38" s="330"/>
      <c r="HQ38" s="330"/>
      <c r="HR38" s="330"/>
      <c r="HS38" s="330"/>
      <c r="HT38" s="330"/>
      <c r="HU38" s="330"/>
      <c r="HV38" s="330"/>
      <c r="HW38" s="330"/>
      <c r="HX38" s="330"/>
      <c r="HY38" s="330"/>
      <c r="HZ38" s="330"/>
      <c r="IA38" s="330"/>
      <c r="IB38" s="330"/>
      <c r="IC38" s="330"/>
      <c r="ID38" s="330"/>
      <c r="IE38" s="330"/>
      <c r="IF38" s="330"/>
      <c r="IG38" s="330"/>
      <c r="IH38" s="330"/>
      <c r="II38" s="330"/>
      <c r="IJ38" s="330"/>
      <c r="IK38" s="330"/>
      <c r="IL38" s="330"/>
      <c r="IM38" s="330"/>
      <c r="IN38" s="330"/>
      <c r="IO38" s="330"/>
      <c r="IP38" s="330"/>
      <c r="IQ38" s="330"/>
      <c r="IR38" s="330"/>
      <c r="IS38" s="330"/>
      <c r="IT38" s="330"/>
      <c r="IU38" s="330"/>
      <c r="IV38" s="330"/>
      <c r="IW38" s="330"/>
    </row>
    <row r="39" customFormat="false" ht="15" hidden="false" customHeight="true" outlineLevel="0" collapsed="false">
      <c r="A39" s="298" t="n">
        <v>566</v>
      </c>
      <c r="B39" s="298"/>
      <c r="C39" s="299" t="s">
        <v>161</v>
      </c>
      <c r="D39" s="293" t="s">
        <v>161</v>
      </c>
      <c r="E39" s="288" t="n">
        <f aca="false">IF(I39="regional",IF(R39*0.2975,S39*0.3484),S39*0.1939)</f>
        <v>0</v>
      </c>
      <c r="F39" s="294"/>
      <c r="G39" s="289" t="n">
        <f aca="false">E39+F39</f>
        <v>0</v>
      </c>
      <c r="H39" s="292" t="s">
        <v>49</v>
      </c>
      <c r="I39" s="293" t="s">
        <v>718</v>
      </c>
      <c r="J39" s="293"/>
      <c r="K39" s="293"/>
      <c r="L39" s="293"/>
      <c r="M39" s="320"/>
      <c r="N39" s="320"/>
      <c r="O39" s="320"/>
      <c r="P39" s="320"/>
      <c r="Q39" s="320"/>
      <c r="R39" s="320"/>
      <c r="S39" s="320"/>
      <c r="T39" s="318" t="n">
        <f aca="false">IF(I39="regional",IF(R39&gt;0,R39*0.2975,S39*0.3484),S39*0.1939)</f>
        <v>0</v>
      </c>
      <c r="U39" s="320"/>
      <c r="V39" s="320"/>
      <c r="W39" s="320"/>
      <c r="X39" s="320"/>
      <c r="Y39" s="320"/>
      <c r="Z39" s="320"/>
      <c r="AA39" s="320"/>
      <c r="AB39" s="320"/>
      <c r="AC39" s="320"/>
      <c r="AD39" s="320"/>
      <c r="AE39" s="320"/>
      <c r="AF39" s="320"/>
      <c r="AG39" s="320"/>
      <c r="AH39" s="320"/>
      <c r="AI39" s="320"/>
      <c r="AJ39" s="292" t="n">
        <v>4</v>
      </c>
      <c r="AK39" s="292" t="s">
        <v>720</v>
      </c>
      <c r="AL39" s="328" t="s">
        <v>718</v>
      </c>
      <c r="AM39" s="292" t="s">
        <v>49</v>
      </c>
      <c r="AN39" s="328" t="s">
        <v>725</v>
      </c>
      <c r="AO39" s="328" t="n">
        <v>0</v>
      </c>
      <c r="AP39" s="329" t="n">
        <v>0</v>
      </c>
      <c r="AQ39" s="319" t="n">
        <f aca="false">AR39+AT39+AU39+AV39+AX39+AY39+AZ39+BB39+BC39+BD39+BF39+BG39+BH39+BJ39+BK39+(BL39+BM39+BN39)/1000+(0.1*BO39)</f>
        <v>77</v>
      </c>
      <c r="AR39" s="185" t="n">
        <v>44</v>
      </c>
      <c r="AS39" s="185" t="n">
        <v>0</v>
      </c>
      <c r="AT39" s="185" t="n">
        <v>24</v>
      </c>
      <c r="AU39" s="185" t="n">
        <v>0</v>
      </c>
      <c r="AV39" s="291" t="n">
        <v>0</v>
      </c>
      <c r="AW39" s="291" t="n">
        <v>0</v>
      </c>
      <c r="AX39" s="291" t="n">
        <v>0</v>
      </c>
      <c r="AY39" s="291" t="n">
        <v>0</v>
      </c>
      <c r="AZ39" s="185" t="n">
        <v>0</v>
      </c>
      <c r="BA39" s="185" t="n">
        <v>0</v>
      </c>
      <c r="BB39" s="185" t="n">
        <v>9</v>
      </c>
      <c r="BC39" s="185" t="n">
        <v>0</v>
      </c>
      <c r="BD39" s="291" t="n">
        <v>0</v>
      </c>
      <c r="BE39" s="291" t="n">
        <v>0</v>
      </c>
      <c r="BF39" s="291" t="n">
        <v>0</v>
      </c>
      <c r="BG39" s="291" t="n">
        <v>0</v>
      </c>
      <c r="BH39" s="291" t="n">
        <v>0</v>
      </c>
      <c r="BI39" s="291" t="n">
        <v>0</v>
      </c>
      <c r="BJ39" s="291" t="n">
        <v>0</v>
      </c>
      <c r="BK39" s="291" t="n">
        <v>0</v>
      </c>
      <c r="BL39" s="291" t="n">
        <v>0</v>
      </c>
      <c r="BM39" s="291" t="n">
        <v>0</v>
      </c>
      <c r="BN39" s="291" t="n">
        <v>0</v>
      </c>
      <c r="BO39" s="298" t="n">
        <v>0</v>
      </c>
      <c r="BR39" s="290" t="n">
        <f aca="false">AR39*1000/0.072</f>
        <v>611111.111111111</v>
      </c>
      <c r="BS39" s="290" t="n">
        <f aca="false">AT39*1000/0.072</f>
        <v>333333.333333333</v>
      </c>
      <c r="BT39" s="290" t="n">
        <f aca="false">AU39*1000/0.072</f>
        <v>0</v>
      </c>
      <c r="BU39" s="290" t="n">
        <f aca="false">SUM(BR39:BT39)</f>
        <v>944444.444444445</v>
      </c>
      <c r="BV39" s="290" t="n">
        <f aca="false">AV39*1000/5</f>
        <v>0</v>
      </c>
      <c r="BW39" s="290" t="n">
        <f aca="false">AX39*1000/5</f>
        <v>0</v>
      </c>
      <c r="BX39" s="290" t="n">
        <f aca="false">AY39*1000/5</f>
        <v>0</v>
      </c>
      <c r="BY39" s="290" t="n">
        <f aca="false">SUM(BV39:BX39)</f>
        <v>0</v>
      </c>
      <c r="CA39" s="290" t="n">
        <f aca="false">IF($AM39="n",0,BR39)</f>
        <v>0</v>
      </c>
      <c r="CB39" s="290" t="n">
        <f aca="false">IF($AM39="n",0,BS39)</f>
        <v>0</v>
      </c>
      <c r="CC39" s="290" t="n">
        <f aca="false">IF($AM39="n",0,BT39)</f>
        <v>0</v>
      </c>
      <c r="CD39" s="290" t="n">
        <f aca="false">SUM(CA39:CC39)</f>
        <v>0</v>
      </c>
      <c r="CE39" s="290" t="n">
        <f aca="false">IF($AM$2="n",0,BV39)</f>
        <v>0</v>
      </c>
      <c r="CF39" s="290" t="n">
        <f aca="false">IF($AM$2="n",0,BW39)</f>
        <v>0</v>
      </c>
      <c r="CG39" s="290" t="n">
        <f aca="false">IF($AM$2="n",0,BX39)</f>
        <v>0</v>
      </c>
      <c r="CH39" s="290" t="n">
        <f aca="false">SUM(CE39:CG39)</f>
        <v>0</v>
      </c>
    </row>
    <row r="40" customFormat="false" ht="15" hidden="false" customHeight="true" outlineLevel="0" collapsed="false">
      <c r="A40" s="285" t="n">
        <v>526</v>
      </c>
      <c r="B40" s="285" t="s">
        <v>44</v>
      </c>
      <c r="C40" s="286" t="s">
        <v>726</v>
      </c>
      <c r="D40" s="287" t="s">
        <v>162</v>
      </c>
      <c r="E40" s="288" t="n">
        <f aca="false">IF(I40="regional",IF(R40*0.2975,S40*0.3484),S40*0.1939)</f>
        <v>0</v>
      </c>
      <c r="F40" s="288" t="n">
        <v>137606</v>
      </c>
      <c r="G40" s="289" t="n">
        <f aca="false">E40+F40</f>
        <v>137606</v>
      </c>
      <c r="H40" s="286" t="s">
        <v>49</v>
      </c>
      <c r="I40" s="287" t="s">
        <v>48</v>
      </c>
      <c r="J40" s="287" t="s">
        <v>44</v>
      </c>
      <c r="K40" s="287" t="s">
        <v>115</v>
      </c>
      <c r="L40" s="287" t="s">
        <v>44</v>
      </c>
      <c r="M40" s="317" t="n">
        <v>10</v>
      </c>
      <c r="N40" s="317" t="n">
        <v>0.55</v>
      </c>
      <c r="O40" s="317" t="n">
        <v>0.55</v>
      </c>
      <c r="P40" s="317" t="n">
        <v>0.536</v>
      </c>
      <c r="Q40" s="317" t="n">
        <v>0.777</v>
      </c>
      <c r="R40" s="317" t="n">
        <v>0</v>
      </c>
      <c r="S40" s="317" t="n">
        <v>69958</v>
      </c>
      <c r="T40" s="318" t="n">
        <f aca="false">IF(I40="regional",IF(R40&gt;0,R40*0.2975,S40*0.3484),S40*0.1939)</f>
        <v>24373.3672</v>
      </c>
      <c r="U40" s="317" t="n">
        <v>0</v>
      </c>
      <c r="V40" s="317" t="n">
        <v>69958</v>
      </c>
      <c r="W40" s="317" t="n">
        <v>0</v>
      </c>
      <c r="X40" s="317" t="n">
        <v>161979.3672</v>
      </c>
      <c r="Y40" s="317" t="n">
        <v>24373.3672</v>
      </c>
      <c r="Z40" s="317" t="n">
        <v>137606</v>
      </c>
      <c r="AA40" s="317" t="n">
        <v>-67648</v>
      </c>
      <c r="AB40" s="317" t="n">
        <v>0</v>
      </c>
      <c r="AC40" s="317" t="n">
        <v>-67648</v>
      </c>
      <c r="AD40" s="317" t="n">
        <v>137606</v>
      </c>
      <c r="AE40" s="317" t="n">
        <v>0</v>
      </c>
      <c r="AF40" s="317" t="n">
        <v>-67648</v>
      </c>
      <c r="AG40" s="317" t="n">
        <v>0</v>
      </c>
      <c r="AH40" s="317" t="n">
        <v>47000</v>
      </c>
      <c r="AI40" s="317" t="n">
        <v>39000</v>
      </c>
      <c r="AJ40" s="286" t="n">
        <v>4</v>
      </c>
      <c r="AK40" s="286" t="s">
        <v>720</v>
      </c>
      <c r="AL40" s="287" t="s">
        <v>48</v>
      </c>
      <c r="AM40" s="286" t="s">
        <v>49</v>
      </c>
      <c r="AN40" s="287" t="s">
        <v>162</v>
      </c>
      <c r="AO40" s="287" t="n">
        <v>161979.3672</v>
      </c>
      <c r="AP40" s="319" t="n">
        <f aca="false">AR40+AT40+AU40+AV40+AX40+AY40+AZ40+BD40+BF40+BG40+BH40+BJ40+BK40+(BL40+BM40+BN40)/1000+(0.1*BO40)</f>
        <v>415.496</v>
      </c>
      <c r="AQ40" s="319" t="n">
        <f aca="false">AR40+AT40+AU40+AV40+AX40+AY40+AZ40+BB40+BC40+BD40+BF40+BG40+BH40+BJ40+BK40+(BL40+BM40+BN40)/1000+(0.1*BO40)</f>
        <v>426.496</v>
      </c>
      <c r="AR40" s="285" t="n">
        <v>206</v>
      </c>
      <c r="AS40" s="285" t="n">
        <v>39</v>
      </c>
      <c r="AT40" s="285" t="n">
        <v>46</v>
      </c>
      <c r="AU40" s="285" t="n">
        <v>0</v>
      </c>
      <c r="AV40" s="285" t="n">
        <v>0</v>
      </c>
      <c r="AW40" s="285" t="n">
        <v>0</v>
      </c>
      <c r="AX40" s="285" t="n">
        <v>0</v>
      </c>
      <c r="AY40" s="285" t="n">
        <v>0</v>
      </c>
      <c r="AZ40" s="285" t="n">
        <v>0</v>
      </c>
      <c r="BA40" s="285" t="n">
        <v>3</v>
      </c>
      <c r="BB40" s="285" t="n">
        <v>11</v>
      </c>
      <c r="BC40" s="285" t="n">
        <v>0</v>
      </c>
      <c r="BD40" s="285" t="n">
        <v>17</v>
      </c>
      <c r="BE40" s="285" t="n">
        <v>0</v>
      </c>
      <c r="BF40" s="285" t="n">
        <v>0</v>
      </c>
      <c r="BG40" s="285" t="n">
        <v>0</v>
      </c>
      <c r="BH40" s="285" t="n">
        <v>55</v>
      </c>
      <c r="BI40" s="285" t="n">
        <v>1</v>
      </c>
      <c r="BJ40" s="285" t="n">
        <v>0</v>
      </c>
      <c r="BK40" s="285" t="n">
        <v>0</v>
      </c>
      <c r="BL40" s="285" t="n">
        <v>20631</v>
      </c>
      <c r="BM40" s="285" t="n">
        <v>0</v>
      </c>
      <c r="BN40" s="285" t="n">
        <v>70865</v>
      </c>
      <c r="BO40" s="285" t="n">
        <v>0</v>
      </c>
      <c r="BR40" s="290" t="n">
        <f aca="false">AR40*1000/0.072</f>
        <v>2861111.11111111</v>
      </c>
      <c r="BS40" s="290" t="n">
        <f aca="false">AT40*1000/0.072</f>
        <v>638888.888888889</v>
      </c>
      <c r="BT40" s="290" t="n">
        <f aca="false">AU40*1000/0.072</f>
        <v>0</v>
      </c>
      <c r="BU40" s="290" t="n">
        <f aca="false">SUM(BR40:BT40)</f>
        <v>3500000</v>
      </c>
      <c r="BV40" s="290" t="n">
        <f aca="false">AV40*1000/5</f>
        <v>0</v>
      </c>
      <c r="BW40" s="290" t="n">
        <f aca="false">AX40*1000/5</f>
        <v>0</v>
      </c>
      <c r="BX40" s="290" t="n">
        <f aca="false">AY40*1000/5</f>
        <v>0</v>
      </c>
      <c r="BY40" s="290" t="n">
        <f aca="false">SUM(BV40:BX40)</f>
        <v>0</v>
      </c>
      <c r="CA40" s="290" t="n">
        <f aca="false">IF($AM40="n",0,BR40)</f>
        <v>0</v>
      </c>
      <c r="CB40" s="290" t="n">
        <f aca="false">IF($AM40="n",0,BS40)</f>
        <v>0</v>
      </c>
      <c r="CC40" s="290" t="n">
        <f aca="false">IF($AM40="n",0,BT40)</f>
        <v>0</v>
      </c>
      <c r="CD40" s="290" t="n">
        <f aca="false">SUM(CA40:CC40)</f>
        <v>0</v>
      </c>
      <c r="CE40" s="290" t="n">
        <f aca="false">IF($AM$2="n",0,BV40)</f>
        <v>0</v>
      </c>
      <c r="CF40" s="290" t="n">
        <f aca="false">IF($AM$2="n",0,BW40)</f>
        <v>0</v>
      </c>
      <c r="CG40" s="290" t="n">
        <f aca="false">IF($AM$2="n",0,BX40)</f>
        <v>0</v>
      </c>
      <c r="CH40" s="290" t="n">
        <f aca="false">SUM(CE40:CG40)</f>
        <v>0</v>
      </c>
    </row>
    <row r="41" customFormat="false" ht="15" hidden="false" customHeight="true" outlineLevel="0" collapsed="false">
      <c r="A41" s="285" t="n">
        <v>548</v>
      </c>
      <c r="B41" s="285"/>
      <c r="C41" s="286" t="s">
        <v>163</v>
      </c>
      <c r="D41" s="287" t="s">
        <v>163</v>
      </c>
      <c r="E41" s="288" t="n">
        <f aca="false">IF(I41="regional",IF(R41*0.2975,S41*0.3484),S41*0.1939)</f>
        <v>50647.8434</v>
      </c>
      <c r="F41" s="288" t="n">
        <v>0</v>
      </c>
      <c r="G41" s="289" t="n">
        <f aca="false">E41+F41</f>
        <v>50647.8434</v>
      </c>
      <c r="H41" s="286" t="s">
        <v>49</v>
      </c>
      <c r="I41" s="287" t="s">
        <v>62</v>
      </c>
      <c r="J41" s="287"/>
      <c r="K41" s="287" t="s">
        <v>165</v>
      </c>
      <c r="L41" s="287"/>
      <c r="M41" s="317" t="n">
        <v>0</v>
      </c>
      <c r="N41" s="317" t="n">
        <v>0.938</v>
      </c>
      <c r="O41" s="317" t="n">
        <v>0.952</v>
      </c>
      <c r="P41" s="317" t="n">
        <v>0.996</v>
      </c>
      <c r="Q41" s="317" t="n">
        <v>0.973</v>
      </c>
      <c r="R41" s="317" t="n">
        <v>0</v>
      </c>
      <c r="S41" s="317" t="n">
        <v>261206</v>
      </c>
      <c r="T41" s="318" t="n">
        <f aca="false">IF(I41="regional",IF(R41&gt;0,R41*0.2975,S41*0.3484),S41*0.1939)</f>
        <v>50647.8434</v>
      </c>
      <c r="U41" s="317" t="n">
        <v>206680</v>
      </c>
      <c r="V41" s="317" t="n">
        <v>54526</v>
      </c>
      <c r="W41" s="317" t="n">
        <v>1262</v>
      </c>
      <c r="X41" s="317" t="n">
        <v>0</v>
      </c>
      <c r="Y41" s="317" t="n">
        <v>0</v>
      </c>
      <c r="Z41" s="317" t="n">
        <v>0</v>
      </c>
      <c r="AA41" s="317" t="n">
        <v>311853.8434</v>
      </c>
      <c r="AB41" s="317" t="n">
        <v>50647.8434</v>
      </c>
      <c r="AC41" s="317" t="n">
        <v>261206</v>
      </c>
      <c r="AD41" s="317" t="n">
        <v>0</v>
      </c>
      <c r="AE41" s="317" t="n">
        <v>0</v>
      </c>
      <c r="AF41" s="317" t="n">
        <v>0</v>
      </c>
      <c r="AG41" s="317" t="n">
        <v>261206</v>
      </c>
      <c r="AH41" s="317" t="n">
        <v>0</v>
      </c>
      <c r="AI41" s="317" t="n">
        <v>0</v>
      </c>
      <c r="AJ41" s="286" t="n">
        <v>4</v>
      </c>
      <c r="AK41" s="286" t="s">
        <v>724</v>
      </c>
      <c r="AL41" s="287" t="s">
        <v>62</v>
      </c>
      <c r="AM41" s="286" t="s">
        <v>49</v>
      </c>
      <c r="AN41" s="287" t="s">
        <v>163</v>
      </c>
      <c r="AO41" s="287" t="n">
        <v>50647.8434</v>
      </c>
      <c r="AP41" s="319" t="n">
        <f aca="false">AR41+AT41+AU41+AV41+AX41+AY41+AZ41+BD41+BF41+BG41+BH41+BJ41+BK41+(BL41+BM41+BN41)/1000+(0.1*BO41)</f>
        <v>32</v>
      </c>
      <c r="AQ41" s="319" t="n">
        <f aca="false">AR41+AT41+AU41+AV41+AX41+AY41+AZ41+BB41+BC41+BD41+BF41+BG41+BH41+BJ41+BK41+(BL41+BM41+BN41)/1000+(0.1*BO41)</f>
        <v>32</v>
      </c>
      <c r="AR41" s="285" t="n">
        <v>0</v>
      </c>
      <c r="AS41" s="285" t="n">
        <v>0</v>
      </c>
      <c r="AT41" s="285" t="n">
        <v>32</v>
      </c>
      <c r="AU41" s="285" t="n">
        <v>0</v>
      </c>
      <c r="AV41" s="285" t="n">
        <v>0</v>
      </c>
      <c r="AW41" s="285" t="n">
        <v>0</v>
      </c>
      <c r="AX41" s="285" t="n">
        <v>0</v>
      </c>
      <c r="AY41" s="285" t="n">
        <v>0</v>
      </c>
      <c r="AZ41" s="285" t="n">
        <v>0</v>
      </c>
      <c r="BA41" s="285" t="n">
        <v>23</v>
      </c>
      <c r="BB41" s="285" t="n">
        <v>0</v>
      </c>
      <c r="BC41" s="285" t="n">
        <v>0</v>
      </c>
      <c r="BD41" s="285" t="n">
        <v>0</v>
      </c>
      <c r="BE41" s="285" t="n">
        <v>0</v>
      </c>
      <c r="BF41" s="285" t="n">
        <v>0</v>
      </c>
      <c r="BG41" s="285" t="n">
        <v>0</v>
      </c>
      <c r="BH41" s="285" t="n">
        <v>0</v>
      </c>
      <c r="BI41" s="285" t="n">
        <v>0</v>
      </c>
      <c r="BJ41" s="285" t="n">
        <v>0</v>
      </c>
      <c r="BK41" s="285" t="n">
        <v>0</v>
      </c>
      <c r="BL41" s="285" t="n">
        <v>0</v>
      </c>
      <c r="BM41" s="285" t="n">
        <v>0</v>
      </c>
      <c r="BN41" s="285" t="n">
        <v>0</v>
      </c>
      <c r="BO41" s="285" t="n">
        <v>0</v>
      </c>
      <c r="BR41" s="290" t="n">
        <f aca="false">AR41*1000/0.072</f>
        <v>0</v>
      </c>
      <c r="BS41" s="290" t="n">
        <f aca="false">AT41*1000/0.072</f>
        <v>444444.444444445</v>
      </c>
      <c r="BT41" s="290" t="n">
        <f aca="false">AU41*1000/0.072</f>
        <v>0</v>
      </c>
      <c r="BU41" s="290" t="n">
        <f aca="false">SUM(BR41:BT41)</f>
        <v>444444.444444445</v>
      </c>
      <c r="BV41" s="290" t="n">
        <f aca="false">AV41*1000/5</f>
        <v>0</v>
      </c>
      <c r="BW41" s="290" t="n">
        <f aca="false">AX41*1000/5</f>
        <v>0</v>
      </c>
      <c r="BX41" s="290" t="n">
        <f aca="false">AY41*1000/5</f>
        <v>0</v>
      </c>
      <c r="BY41" s="290" t="n">
        <f aca="false">SUM(BV41:BX41)</f>
        <v>0</v>
      </c>
      <c r="CA41" s="290" t="n">
        <f aca="false">IF($AM41="n",0,BR41)</f>
        <v>0</v>
      </c>
      <c r="CB41" s="290" t="n">
        <f aca="false">IF($AM41="n",0,BS41)</f>
        <v>0</v>
      </c>
      <c r="CC41" s="290" t="n">
        <f aca="false">IF($AM41="n",0,BT41)</f>
        <v>0</v>
      </c>
      <c r="CD41" s="290" t="n">
        <f aca="false">SUM(CA41:CC41)</f>
        <v>0</v>
      </c>
      <c r="CE41" s="290" t="n">
        <f aca="false">IF($AM$2="n",0,BV41)</f>
        <v>0</v>
      </c>
      <c r="CF41" s="290" t="n">
        <f aca="false">IF($AM$2="n",0,BW41)</f>
        <v>0</v>
      </c>
      <c r="CG41" s="290" t="n">
        <f aca="false">IF($AM$2="n",0,BX41)</f>
        <v>0</v>
      </c>
      <c r="CH41" s="290" t="n">
        <f aca="false">SUM(CE41:CG41)</f>
        <v>0</v>
      </c>
    </row>
    <row r="42" customFormat="false" ht="15" hidden="false" customHeight="true" outlineLevel="0" collapsed="false">
      <c r="A42" s="285" t="n">
        <v>540</v>
      </c>
      <c r="B42" s="285" t="s">
        <v>44</v>
      </c>
      <c r="C42" s="286" t="s">
        <v>168</v>
      </c>
      <c r="D42" s="287" t="s">
        <v>168</v>
      </c>
      <c r="E42" s="288" t="n">
        <f aca="false">IF(I42="regional",IF(R42*0.2975,S42*0.3484),S42*0.1939)</f>
        <v>242178.4144</v>
      </c>
      <c r="F42" s="288" t="n">
        <v>0</v>
      </c>
      <c r="G42" s="289" t="n">
        <f aca="false">E42+F42</f>
        <v>242178.4144</v>
      </c>
      <c r="H42" s="286"/>
      <c r="I42" s="287" t="s">
        <v>48</v>
      </c>
      <c r="J42" s="287" t="s">
        <v>44</v>
      </c>
      <c r="K42" s="287" t="s">
        <v>170</v>
      </c>
      <c r="L42" s="287"/>
      <c r="M42" s="317" t="n">
        <v>101</v>
      </c>
      <c r="N42" s="317" t="n">
        <v>0.913</v>
      </c>
      <c r="O42" s="317" t="n">
        <v>0.918</v>
      </c>
      <c r="P42" s="317" t="n">
        <v>0.858</v>
      </c>
      <c r="Q42" s="317" t="n">
        <v>0.861</v>
      </c>
      <c r="R42" s="317" t="n">
        <v>812507</v>
      </c>
      <c r="S42" s="317" t="n">
        <v>695116</v>
      </c>
      <c r="T42" s="318" t="n">
        <f aca="false">IF(I42="regional",IF(R42&gt;0,R42*0.2975,S42*0.3484),S42*0.1939)</f>
        <v>241720.8325</v>
      </c>
      <c r="U42" s="317" t="n">
        <v>440253</v>
      </c>
      <c r="V42" s="317" t="n">
        <v>254863</v>
      </c>
      <c r="W42" s="317" t="n">
        <v>3568</v>
      </c>
      <c r="X42" s="317" t="n">
        <v>0</v>
      </c>
      <c r="Y42" s="317" t="n">
        <v>0</v>
      </c>
      <c r="Z42" s="317" t="n">
        <v>0</v>
      </c>
      <c r="AA42" s="317" t="n">
        <v>936836.8325</v>
      </c>
      <c r="AB42" s="317" t="n">
        <v>241720.8325</v>
      </c>
      <c r="AC42" s="317" t="n">
        <v>695116</v>
      </c>
      <c r="AD42" s="317" t="n">
        <v>0</v>
      </c>
      <c r="AE42" s="317" t="n">
        <v>0</v>
      </c>
      <c r="AF42" s="317" t="n">
        <v>695116</v>
      </c>
      <c r="AG42" s="317" t="n">
        <v>0</v>
      </c>
      <c r="AH42" s="317" t="n">
        <v>341000</v>
      </c>
      <c r="AI42" s="317" t="n">
        <v>282000</v>
      </c>
      <c r="AJ42" s="286" t="n">
        <v>4</v>
      </c>
      <c r="AK42" s="286" t="s">
        <v>720</v>
      </c>
      <c r="AL42" s="287" t="s">
        <v>48</v>
      </c>
      <c r="AM42" s="286"/>
      <c r="AN42" s="287" t="s">
        <v>168</v>
      </c>
      <c r="AO42" s="287" t="n">
        <v>241720.8325</v>
      </c>
      <c r="AP42" s="319" t="n">
        <f aca="false">AR42+AT42+AU42+AV42+AX42+AY42+AZ42+BD42+BF42+BG42+BH42+BJ42+BK42+(BL42+BM42+BN42)/1000+(0.1*BO42)</f>
        <v>129.26</v>
      </c>
      <c r="AQ42" s="319" t="n">
        <f aca="false">AR42+AT42+AU42+AV42+AX42+AY42+AZ42+BB42+BC42+BD42+BF42+BG42+BH42+BJ42+BK42+(BL42+BM42+BN42)/1000+(0.1*BO42)</f>
        <v>144.26</v>
      </c>
      <c r="AR42" s="285" t="n">
        <v>29</v>
      </c>
      <c r="AS42" s="285" t="n">
        <v>282</v>
      </c>
      <c r="AT42" s="285" t="n">
        <v>63</v>
      </c>
      <c r="AU42" s="285" t="n">
        <v>13</v>
      </c>
      <c r="AV42" s="285" t="n">
        <v>0</v>
      </c>
      <c r="AW42" s="285" t="n">
        <v>0</v>
      </c>
      <c r="AX42" s="285" t="n">
        <v>4</v>
      </c>
      <c r="AY42" s="285" t="n">
        <v>5</v>
      </c>
      <c r="AZ42" s="285" t="n">
        <v>0</v>
      </c>
      <c r="BA42" s="285" t="n">
        <v>13</v>
      </c>
      <c r="BB42" s="285" t="n">
        <v>13</v>
      </c>
      <c r="BC42" s="285" t="n">
        <v>2</v>
      </c>
      <c r="BD42" s="285" t="n">
        <v>-2</v>
      </c>
      <c r="BE42" s="285" t="n">
        <v>0</v>
      </c>
      <c r="BF42" s="285" t="n">
        <v>0</v>
      </c>
      <c r="BG42" s="285" t="n">
        <v>0</v>
      </c>
      <c r="BH42" s="285" t="n">
        <v>0</v>
      </c>
      <c r="BI42" s="285" t="n">
        <v>1</v>
      </c>
      <c r="BJ42" s="285" t="n">
        <v>0</v>
      </c>
      <c r="BK42" s="285" t="n">
        <v>0</v>
      </c>
      <c r="BL42" s="285" t="n">
        <v>0</v>
      </c>
      <c r="BM42" s="285" t="n">
        <v>0</v>
      </c>
      <c r="BN42" s="285" t="n">
        <v>17260</v>
      </c>
      <c r="BO42" s="285" t="n">
        <v>0</v>
      </c>
      <c r="BR42" s="290" t="n">
        <f aca="false">AR42*1000/0.072</f>
        <v>402777.777777778</v>
      </c>
      <c r="BS42" s="290" t="n">
        <f aca="false">AT42*1000/0.072</f>
        <v>875000</v>
      </c>
      <c r="BT42" s="290" t="n">
        <f aca="false">AU42*1000/0.072</f>
        <v>180555.555555556</v>
      </c>
      <c r="BU42" s="290" t="n">
        <f aca="false">SUM(BR42:BT42)</f>
        <v>1458333.33333333</v>
      </c>
      <c r="BV42" s="290" t="n">
        <f aca="false">AV42*1000/5</f>
        <v>0</v>
      </c>
      <c r="BW42" s="290" t="n">
        <f aca="false">AX42*1000/5</f>
        <v>800</v>
      </c>
      <c r="BX42" s="290" t="n">
        <f aca="false">AY42*1000/5</f>
        <v>1000</v>
      </c>
      <c r="BY42" s="290" t="n">
        <f aca="false">SUM(BV42:BX42)</f>
        <v>1800</v>
      </c>
      <c r="CA42" s="290" t="n">
        <f aca="false">IF($AM42="n",0,BR42)</f>
        <v>402777.777777778</v>
      </c>
      <c r="CB42" s="290" t="n">
        <f aca="false">IF($AM42="n",0,BS42)</f>
        <v>875000</v>
      </c>
      <c r="CC42" s="290" t="n">
        <f aca="false">IF($AM42="n",0,BT42)</f>
        <v>180555.555555556</v>
      </c>
      <c r="CD42" s="290" t="n">
        <f aca="false">SUM(CA42:CC42)</f>
        <v>1458333.33333333</v>
      </c>
      <c r="CE42" s="290" t="n">
        <f aca="false">IF($AM$2="n",0,BV42)</f>
        <v>0</v>
      </c>
      <c r="CF42" s="290" t="n">
        <f aca="false">IF($AM$2="n",0,BW42)</f>
        <v>800</v>
      </c>
      <c r="CG42" s="290" t="n">
        <f aca="false">IF($AM$2="n",0,BX42)</f>
        <v>1000</v>
      </c>
      <c r="CH42" s="290" t="n">
        <f aca="false">SUM(CE42:CG42)</f>
        <v>1800</v>
      </c>
    </row>
    <row r="43" customFormat="false" ht="15" hidden="false" customHeight="true" outlineLevel="0" collapsed="false">
      <c r="A43" s="285" t="n">
        <v>8262</v>
      </c>
      <c r="B43" s="285"/>
      <c r="C43" s="286" t="s">
        <v>171</v>
      </c>
      <c r="D43" s="287" t="s">
        <v>171</v>
      </c>
      <c r="E43" s="288" t="n">
        <f aca="false">IF(I43="regional",IF(R43*0.2975,S43*0.3484),S43*0.1939)</f>
        <v>262793.5908</v>
      </c>
      <c r="F43" s="288" t="n">
        <v>0</v>
      </c>
      <c r="G43" s="289" t="n">
        <f aca="false">E43+F43</f>
        <v>262793.5908</v>
      </c>
      <c r="H43" s="286"/>
      <c r="I43" s="287" t="s">
        <v>48</v>
      </c>
      <c r="J43" s="287" t="s">
        <v>49</v>
      </c>
      <c r="K43" s="287" t="s">
        <v>174</v>
      </c>
      <c r="L43" s="287"/>
      <c r="M43" s="317" t="n">
        <v>105</v>
      </c>
      <c r="N43" s="317" t="n">
        <v>0.96</v>
      </c>
      <c r="O43" s="317" t="n">
        <v>0.96</v>
      </c>
      <c r="P43" s="317" t="n">
        <v>0.887</v>
      </c>
      <c r="Q43" s="317" t="n">
        <v>0.866</v>
      </c>
      <c r="R43" s="317" t="n">
        <v>796952</v>
      </c>
      <c r="S43" s="317" t="n">
        <v>754287</v>
      </c>
      <c r="T43" s="318" t="n">
        <f aca="false">IF(I43="regional",IF(R43&gt;0,R43*0.2975,S43*0.3484),S43*0.1939)</f>
        <v>237093.22</v>
      </c>
      <c r="U43" s="317" t="n">
        <v>431052</v>
      </c>
      <c r="V43" s="317" t="n">
        <v>323235</v>
      </c>
      <c r="W43" s="317" t="n">
        <v>4914</v>
      </c>
      <c r="X43" s="317" t="n">
        <v>0</v>
      </c>
      <c r="Y43" s="317" t="n">
        <v>0</v>
      </c>
      <c r="Z43" s="317" t="n">
        <v>0</v>
      </c>
      <c r="AA43" s="317" t="n">
        <v>991380.22</v>
      </c>
      <c r="AB43" s="317" t="n">
        <v>237093.22</v>
      </c>
      <c r="AC43" s="317" t="n">
        <v>754287</v>
      </c>
      <c r="AD43" s="317" t="n">
        <v>0</v>
      </c>
      <c r="AE43" s="317" t="n">
        <v>0</v>
      </c>
      <c r="AF43" s="317" t="n">
        <v>0</v>
      </c>
      <c r="AG43" s="317" t="n">
        <v>754287</v>
      </c>
      <c r="AH43" s="317" t="n">
        <v>0</v>
      </c>
      <c r="AI43" s="317" t="n">
        <v>0</v>
      </c>
      <c r="AJ43" s="286" t="n">
        <v>4</v>
      </c>
      <c r="AK43" s="286" t="s">
        <v>711</v>
      </c>
      <c r="AL43" s="287" t="s">
        <v>48</v>
      </c>
      <c r="AM43" s="286"/>
      <c r="AN43" s="287" t="s">
        <v>171</v>
      </c>
      <c r="AO43" s="287" t="n">
        <v>237093.22</v>
      </c>
      <c r="AP43" s="319" t="n">
        <f aca="false">AR43+AT43+AU43+AV43+AX43+AY43+AZ43+BD43+BF43+BG43+BH43+BJ43+BK43+(BL43+BM43+BN43)/1000+(0.1*BO43)</f>
        <v>141.9112</v>
      </c>
      <c r="AQ43" s="319" t="n">
        <f aca="false">AR43+AT43+AU43+AV43+AX43+AY43+AZ43+BB43+BC43+BD43+BF43+BG43+BH43+BJ43+BK43+(BL43+BM43+BN43)/1000+(0.1*BO43)</f>
        <v>170.9112</v>
      </c>
      <c r="AR43" s="285" t="n">
        <v>0</v>
      </c>
      <c r="AS43" s="285" t="n">
        <v>0</v>
      </c>
      <c r="AT43" s="285" t="n">
        <v>84</v>
      </c>
      <c r="AU43" s="285" t="n">
        <v>-3</v>
      </c>
      <c r="AV43" s="285" t="n">
        <v>0</v>
      </c>
      <c r="AW43" s="285" t="n">
        <v>0</v>
      </c>
      <c r="AX43" s="285" t="n">
        <v>7</v>
      </c>
      <c r="AY43" s="285" t="n">
        <v>0</v>
      </c>
      <c r="AZ43" s="285" t="n">
        <v>0</v>
      </c>
      <c r="BA43" s="285" t="n">
        <v>0</v>
      </c>
      <c r="BB43" s="285" t="n">
        <v>29</v>
      </c>
      <c r="BC43" s="285" t="n">
        <v>0</v>
      </c>
      <c r="BD43" s="285" t="n">
        <v>0</v>
      </c>
      <c r="BE43" s="285" t="n">
        <v>0</v>
      </c>
      <c r="BF43" s="285" t="n">
        <v>0</v>
      </c>
      <c r="BG43" s="285" t="n">
        <v>0</v>
      </c>
      <c r="BH43" s="285" t="n">
        <v>0</v>
      </c>
      <c r="BI43" s="285" t="n">
        <v>0</v>
      </c>
      <c r="BJ43" s="285" t="n">
        <v>0</v>
      </c>
      <c r="BK43" s="285" t="n">
        <v>0</v>
      </c>
      <c r="BL43" s="285" t="n">
        <v>0</v>
      </c>
      <c r="BM43" s="285" t="n">
        <v>0</v>
      </c>
      <c r="BN43" s="285" t="n">
        <v>0</v>
      </c>
      <c r="BO43" s="285" t="n">
        <v>539.112</v>
      </c>
      <c r="BR43" s="290" t="n">
        <f aca="false">AR43*1000/0.072</f>
        <v>0</v>
      </c>
      <c r="BS43" s="290" t="n">
        <f aca="false">AT43*1000/0.072</f>
        <v>1166666.66666667</v>
      </c>
      <c r="BT43" s="290" t="n">
        <f aca="false">AU43*1000/0.072</f>
        <v>-41666.6666666667</v>
      </c>
      <c r="BU43" s="290" t="n">
        <f aca="false">SUM(BR43:BT43)</f>
        <v>1125000</v>
      </c>
      <c r="BV43" s="290" t="n">
        <f aca="false">AV43*1000/5</f>
        <v>0</v>
      </c>
      <c r="BW43" s="290" t="n">
        <f aca="false">AX43*1000/5</f>
        <v>1400</v>
      </c>
      <c r="BX43" s="290" t="n">
        <f aca="false">AY43*1000/5</f>
        <v>0</v>
      </c>
      <c r="BY43" s="290" t="n">
        <f aca="false">SUM(BV43:BX43)</f>
        <v>1400</v>
      </c>
      <c r="CA43" s="290" t="n">
        <f aca="false">IF($AM43="n",0,BR43)</f>
        <v>0</v>
      </c>
      <c r="CB43" s="290" t="n">
        <f aca="false">IF($AM43="n",0,BS43)</f>
        <v>1166666.66666667</v>
      </c>
      <c r="CC43" s="290" t="n">
        <f aca="false">IF($AM43="n",0,BT43)</f>
        <v>-41666.6666666667</v>
      </c>
      <c r="CD43" s="290" t="n">
        <f aca="false">SUM(CA43:CC43)</f>
        <v>1125000</v>
      </c>
      <c r="CE43" s="290" t="n">
        <f aca="false">IF($AM$2="n",0,BV43)</f>
        <v>0</v>
      </c>
      <c r="CF43" s="290" t="n">
        <f aca="false">IF($AM$2="n",0,BW43)</f>
        <v>1400</v>
      </c>
      <c r="CG43" s="290" t="n">
        <f aca="false">IF($AM$2="n",0,BX43)</f>
        <v>0</v>
      </c>
      <c r="CH43" s="290" t="n">
        <f aca="false">SUM(CE43:CG43)</f>
        <v>1400</v>
      </c>
    </row>
    <row r="44" customFormat="false" ht="15" hidden="false" customHeight="true" outlineLevel="0" collapsed="false">
      <c r="A44" s="285" t="n">
        <v>9862</v>
      </c>
      <c r="B44" s="285"/>
      <c r="C44" s="286" t="s">
        <v>175</v>
      </c>
      <c r="D44" s="287" t="s">
        <v>175</v>
      </c>
      <c r="E44" s="288" t="n">
        <f aca="false">IF(I44="regional",IF(R44*0.2975,S44*0.3484),S44*0.1939)</f>
        <v>328388.9492</v>
      </c>
      <c r="F44" s="288" t="n">
        <v>0</v>
      </c>
      <c r="G44" s="289" t="n">
        <f aca="false">E44+F44</f>
        <v>328388.9492</v>
      </c>
      <c r="H44" s="286" t="s">
        <v>49</v>
      </c>
      <c r="I44" s="287" t="s">
        <v>48</v>
      </c>
      <c r="J44" s="287" t="s">
        <v>49</v>
      </c>
      <c r="K44" s="287" t="s">
        <v>105</v>
      </c>
      <c r="L44" s="287"/>
      <c r="M44" s="317" t="n">
        <v>149</v>
      </c>
      <c r="N44" s="317" t="n">
        <v>0.871</v>
      </c>
      <c r="O44" s="317" t="n">
        <v>0.9</v>
      </c>
      <c r="P44" s="317" t="n">
        <v>0.844</v>
      </c>
      <c r="Q44" s="317" t="n">
        <v>0.863</v>
      </c>
      <c r="R44" s="317" t="n">
        <v>1101419</v>
      </c>
      <c r="S44" s="317" t="n">
        <v>942563</v>
      </c>
      <c r="T44" s="318" t="n">
        <f aca="false">IF(I44="regional",IF(R44&gt;0,R44*0.2975,S44*0.3484),S44*0.1939)</f>
        <v>327672.1525</v>
      </c>
      <c r="U44" s="317" t="n">
        <v>648144</v>
      </c>
      <c r="V44" s="317" t="n">
        <v>294419</v>
      </c>
      <c r="W44" s="317" t="n">
        <v>4683</v>
      </c>
      <c r="X44" s="317" t="n">
        <v>0</v>
      </c>
      <c r="Y44" s="317" t="n">
        <v>0</v>
      </c>
      <c r="Z44" s="317" t="n">
        <v>0</v>
      </c>
      <c r="AA44" s="317" t="n">
        <v>1270235.153</v>
      </c>
      <c r="AB44" s="317" t="n">
        <v>327672.1525</v>
      </c>
      <c r="AC44" s="317" t="n">
        <v>942563</v>
      </c>
      <c r="AD44" s="317" t="n">
        <v>0</v>
      </c>
      <c r="AE44" s="317" t="n">
        <v>0</v>
      </c>
      <c r="AF44" s="317" t="n">
        <v>0</v>
      </c>
      <c r="AG44" s="317" t="n">
        <v>942563</v>
      </c>
      <c r="AH44" s="317" t="n">
        <v>0</v>
      </c>
      <c r="AI44" s="317" t="n">
        <v>0</v>
      </c>
      <c r="AJ44" s="286" t="s">
        <v>707</v>
      </c>
      <c r="AK44" s="286" t="s">
        <v>714</v>
      </c>
      <c r="AL44" s="287" t="s">
        <v>48</v>
      </c>
      <c r="AM44" s="286" t="s">
        <v>49</v>
      </c>
      <c r="AN44" s="287" t="s">
        <v>175</v>
      </c>
      <c r="AO44" s="287" t="n">
        <v>327672.1525</v>
      </c>
      <c r="AP44" s="319" t="n">
        <f aca="false">AR44+AT44+AU44+AV44+AX44+AY44+AZ44+BD44+BF44+BG44+BH44+BJ44+BK44+(BL44+BM44+BN44)/1000+(0.1*BO44)</f>
        <v>335.1547</v>
      </c>
      <c r="AQ44" s="319" t="n">
        <f aca="false">AR44+AT44+AU44+AV44+AX44+AY44+AZ44+BB44+BC44+BD44+BF44+BG44+BH44+BJ44+BK44+(BL44+BM44+BN44)/1000+(0.1*BO44)</f>
        <v>352.1547</v>
      </c>
      <c r="AR44" s="285" t="n">
        <v>0</v>
      </c>
      <c r="AS44" s="285" t="n">
        <v>0</v>
      </c>
      <c r="AT44" s="285" t="n">
        <v>234</v>
      </c>
      <c r="AU44" s="285" t="n">
        <v>2</v>
      </c>
      <c r="AV44" s="285" t="n">
        <v>0</v>
      </c>
      <c r="AW44" s="285" t="n">
        <v>0</v>
      </c>
      <c r="AX44" s="285" t="n">
        <v>0</v>
      </c>
      <c r="AY44" s="285" t="n">
        <v>0</v>
      </c>
      <c r="AZ44" s="285" t="n">
        <v>0</v>
      </c>
      <c r="BA44" s="285" t="n">
        <v>0</v>
      </c>
      <c r="BB44" s="285" t="n">
        <v>10</v>
      </c>
      <c r="BC44" s="285" t="n">
        <v>7</v>
      </c>
      <c r="BD44" s="285" t="n">
        <v>0</v>
      </c>
      <c r="BE44" s="285" t="n">
        <v>0</v>
      </c>
      <c r="BF44" s="285" t="n">
        <v>0</v>
      </c>
      <c r="BG44" s="285" t="n">
        <v>0</v>
      </c>
      <c r="BH44" s="285" t="n">
        <v>0</v>
      </c>
      <c r="BI44" s="285" t="n">
        <v>0</v>
      </c>
      <c r="BJ44" s="285" t="n">
        <v>0</v>
      </c>
      <c r="BK44" s="285" t="n">
        <v>0</v>
      </c>
      <c r="BL44" s="285" t="n">
        <v>12000</v>
      </c>
      <c r="BM44" s="285" t="n">
        <v>0</v>
      </c>
      <c r="BN44" s="285" t="n">
        <v>0</v>
      </c>
      <c r="BO44" s="285" t="n">
        <v>871.547</v>
      </c>
      <c r="BR44" s="290" t="n">
        <f aca="false">AR44*1000/0.072</f>
        <v>0</v>
      </c>
      <c r="BS44" s="290" t="n">
        <f aca="false">AT44*1000/0.072</f>
        <v>3250000</v>
      </c>
      <c r="BT44" s="290" t="n">
        <f aca="false">AU44*1000/0.072</f>
        <v>27777.7777777778</v>
      </c>
      <c r="BU44" s="290" t="n">
        <f aca="false">SUM(BR44:BT44)</f>
        <v>3277777.77777778</v>
      </c>
      <c r="BV44" s="290" t="n">
        <f aca="false">AV44*1000/5</f>
        <v>0</v>
      </c>
      <c r="BW44" s="290" t="n">
        <f aca="false">AX44*1000/5</f>
        <v>0</v>
      </c>
      <c r="BX44" s="290" t="n">
        <f aca="false">AY44*1000/5</f>
        <v>0</v>
      </c>
      <c r="BY44" s="290" t="n">
        <f aca="false">SUM(BV44:BX44)</f>
        <v>0</v>
      </c>
      <c r="CA44" s="290" t="n">
        <f aca="false">IF($AM44="n",0,BR44)</f>
        <v>0</v>
      </c>
      <c r="CB44" s="290" t="n">
        <f aca="false">IF($AM44="n",0,BS44)</f>
        <v>0</v>
      </c>
      <c r="CC44" s="290" t="n">
        <f aca="false">IF($AM44="n",0,BT44)</f>
        <v>0</v>
      </c>
      <c r="CD44" s="290" t="n">
        <f aca="false">SUM(CA44:CC44)</f>
        <v>0</v>
      </c>
      <c r="CE44" s="290" t="n">
        <f aca="false">IF($AM$2="n",0,BV44)</f>
        <v>0</v>
      </c>
      <c r="CF44" s="290" t="n">
        <f aca="false">IF($AM$2="n",0,BW44)</f>
        <v>0</v>
      </c>
      <c r="CG44" s="290" t="n">
        <f aca="false">IF($AM$2="n",0,BX44)</f>
        <v>0</v>
      </c>
      <c r="CH44" s="290" t="n">
        <f aca="false">SUM(CE44:CG44)</f>
        <v>0</v>
      </c>
    </row>
    <row r="45" customFormat="false" ht="15" hidden="false" customHeight="true" outlineLevel="0" collapsed="false">
      <c r="A45" s="285" t="n">
        <v>552</v>
      </c>
      <c r="B45" s="285"/>
      <c r="C45" s="286" t="s">
        <v>177</v>
      </c>
      <c r="D45" s="287" t="s">
        <v>177</v>
      </c>
      <c r="E45" s="288" t="n">
        <f aca="false">IF(I45="regional",IF(R45*0.2975,S45*0.3484),S45*0.1939)</f>
        <v>297235.718</v>
      </c>
      <c r="F45" s="288" t="n">
        <v>0</v>
      </c>
      <c r="G45" s="289" t="n">
        <f aca="false">E45+F45</f>
        <v>297235.718</v>
      </c>
      <c r="H45" s="286"/>
      <c r="I45" s="287" t="s">
        <v>48</v>
      </c>
      <c r="J45" s="287"/>
      <c r="K45" s="287" t="s">
        <v>179</v>
      </c>
      <c r="L45" s="287"/>
      <c r="M45" s="317" t="n">
        <v>0</v>
      </c>
      <c r="N45" s="317" t="n">
        <v>0.886</v>
      </c>
      <c r="O45" s="317" t="n">
        <v>0.909</v>
      </c>
      <c r="P45" s="317" t="n">
        <v>0.903</v>
      </c>
      <c r="Q45" s="317" t="n">
        <v>0.905</v>
      </c>
      <c r="R45" s="317" t="n">
        <v>988224</v>
      </c>
      <c r="S45" s="317" t="n">
        <v>853145</v>
      </c>
      <c r="T45" s="318" t="n">
        <f aca="false">IF(I45="regional",IF(R45&gt;0,R45*0.2975,S45*0.3484),S45*0.1939)</f>
        <v>293996.64</v>
      </c>
      <c r="U45" s="317" t="n">
        <v>497632</v>
      </c>
      <c r="V45" s="317" t="n">
        <v>355513</v>
      </c>
      <c r="W45" s="317" t="n">
        <v>5500</v>
      </c>
      <c r="X45" s="317" t="n">
        <v>0</v>
      </c>
      <c r="Y45" s="317" t="n">
        <v>0</v>
      </c>
      <c r="Z45" s="317" t="n">
        <v>0</v>
      </c>
      <c r="AA45" s="317" t="n">
        <v>1147141.64</v>
      </c>
      <c r="AB45" s="317" t="n">
        <v>293996.64</v>
      </c>
      <c r="AC45" s="317" t="n">
        <v>853145</v>
      </c>
      <c r="AD45" s="317" t="n">
        <v>0</v>
      </c>
      <c r="AE45" s="317" t="n">
        <v>0</v>
      </c>
      <c r="AF45" s="317" t="n">
        <v>0</v>
      </c>
      <c r="AG45" s="317" t="n">
        <v>853145</v>
      </c>
      <c r="AH45" s="317" t="n">
        <v>0</v>
      </c>
      <c r="AI45" s="317" t="n">
        <v>0</v>
      </c>
      <c r="AJ45" s="286" t="s">
        <v>707</v>
      </c>
      <c r="AK45" s="286" t="s">
        <v>714</v>
      </c>
      <c r="AL45" s="287" t="s">
        <v>48</v>
      </c>
      <c r="AM45" s="286"/>
      <c r="AN45" s="287" t="s">
        <v>177</v>
      </c>
      <c r="AO45" s="287" t="n">
        <v>293996.64</v>
      </c>
      <c r="AP45" s="319" t="n">
        <f aca="false">AR45+AT45+AU45+AV45+AX45+AY45+AZ45+BD45+BF45+BG45+BH45+BJ45+BK45+(BL45+BM45+BN45)/1000+(0.1*BO45)</f>
        <v>252.5066</v>
      </c>
      <c r="AQ45" s="319" t="n">
        <f aca="false">AR45+AT45+AU45+AV45+AX45+AY45+AZ45+BB45+BC45+BD45+BF45+BG45+BH45+BJ45+BK45+(BL45+BM45+BN45)/1000+(0.1*BO45)</f>
        <v>260.5066</v>
      </c>
      <c r="AR45" s="285" t="n">
        <v>0</v>
      </c>
      <c r="AS45" s="285" t="n">
        <v>0</v>
      </c>
      <c r="AT45" s="285" t="n">
        <v>186</v>
      </c>
      <c r="AU45" s="285" t="n">
        <v>2</v>
      </c>
      <c r="AV45" s="285" t="n">
        <v>0</v>
      </c>
      <c r="AW45" s="285" t="n">
        <v>0</v>
      </c>
      <c r="AX45" s="285" t="n">
        <v>0</v>
      </c>
      <c r="AY45" s="285" t="n">
        <v>0</v>
      </c>
      <c r="AZ45" s="285" t="n">
        <v>0</v>
      </c>
      <c r="BA45" s="285" t="n">
        <v>0</v>
      </c>
      <c r="BB45" s="285" t="n">
        <v>8</v>
      </c>
      <c r="BC45" s="285" t="n">
        <v>0</v>
      </c>
      <c r="BD45" s="285" t="n">
        <v>0</v>
      </c>
      <c r="BE45" s="285" t="n">
        <v>0</v>
      </c>
      <c r="BF45" s="285" t="n">
        <v>0</v>
      </c>
      <c r="BG45" s="285" t="n">
        <v>0</v>
      </c>
      <c r="BH45" s="285" t="n">
        <v>0</v>
      </c>
      <c r="BI45" s="285" t="n">
        <v>0</v>
      </c>
      <c r="BJ45" s="285" t="n">
        <v>0</v>
      </c>
      <c r="BK45" s="285" t="n">
        <v>0</v>
      </c>
      <c r="BL45" s="285" t="n">
        <v>0</v>
      </c>
      <c r="BM45" s="285" t="n">
        <v>0</v>
      </c>
      <c r="BN45" s="285" t="n">
        <v>0</v>
      </c>
      <c r="BO45" s="285" t="n">
        <v>645.066</v>
      </c>
      <c r="BR45" s="290" t="n">
        <f aca="false">AR45*1000/0.072</f>
        <v>0</v>
      </c>
      <c r="BS45" s="290" t="n">
        <f aca="false">AT45*1000/0.072</f>
        <v>2583333.33333333</v>
      </c>
      <c r="BT45" s="290" t="n">
        <f aca="false">AU45*1000/0.072</f>
        <v>27777.7777777778</v>
      </c>
      <c r="BU45" s="290" t="n">
        <f aca="false">SUM(BR45:BT45)</f>
        <v>2611111.11111111</v>
      </c>
      <c r="BV45" s="290" t="n">
        <f aca="false">AV45*1000/5</f>
        <v>0</v>
      </c>
      <c r="BW45" s="290" t="n">
        <f aca="false">AX45*1000/5</f>
        <v>0</v>
      </c>
      <c r="BX45" s="290" t="n">
        <f aca="false">AY45*1000/5</f>
        <v>0</v>
      </c>
      <c r="BY45" s="290" t="n">
        <f aca="false">SUM(BV45:BX45)</f>
        <v>0</v>
      </c>
      <c r="CA45" s="290" t="n">
        <f aca="false">IF($AM45="n",0,BR45)</f>
        <v>0</v>
      </c>
      <c r="CB45" s="290" t="n">
        <f aca="false">IF($AM45="n",0,BS45)</f>
        <v>2583333.33333333</v>
      </c>
      <c r="CC45" s="290" t="n">
        <f aca="false">IF($AM45="n",0,BT45)</f>
        <v>27777.7777777778</v>
      </c>
      <c r="CD45" s="290" t="n">
        <f aca="false">SUM(CA45:CC45)</f>
        <v>2611111.11111111</v>
      </c>
      <c r="CE45" s="290" t="n">
        <f aca="false">IF($AM$2="n",0,BV45)</f>
        <v>0</v>
      </c>
      <c r="CF45" s="290" t="n">
        <f aca="false">IF($AM$2="n",0,BW45)</f>
        <v>0</v>
      </c>
      <c r="CG45" s="290" t="n">
        <f aca="false">IF($AM$2="n",0,BX45)</f>
        <v>0</v>
      </c>
      <c r="CH45" s="290" t="n">
        <f aca="false">SUM(CE45:CG45)</f>
        <v>0</v>
      </c>
    </row>
    <row r="46" customFormat="false" ht="15" hidden="false" customHeight="true" outlineLevel="0" collapsed="false">
      <c r="A46" s="285" t="n">
        <v>549</v>
      </c>
      <c r="B46" s="285" t="s">
        <v>44</v>
      </c>
      <c r="C46" s="286" t="s">
        <v>180</v>
      </c>
      <c r="D46" s="287" t="s">
        <v>180</v>
      </c>
      <c r="E46" s="288" t="n">
        <f aca="false">IF(I46="regional",IF(R46*0.2975,S46*0.3484),S46*0.1939)</f>
        <v>362238.448</v>
      </c>
      <c r="F46" s="288" t="n">
        <v>392500</v>
      </c>
      <c r="G46" s="289" t="n">
        <f aca="false">E46+F46</f>
        <v>754738.448</v>
      </c>
      <c r="H46" s="286"/>
      <c r="I46" s="287" t="s">
        <v>48</v>
      </c>
      <c r="J46" s="287" t="s">
        <v>44</v>
      </c>
      <c r="K46" s="287" t="s">
        <v>183</v>
      </c>
      <c r="L46" s="287" t="s">
        <v>44</v>
      </c>
      <c r="M46" s="317" t="n">
        <v>120</v>
      </c>
      <c r="N46" s="317" t="n">
        <v>0.878</v>
      </c>
      <c r="O46" s="317" t="n">
        <v>0.878</v>
      </c>
      <c r="P46" s="317" t="n">
        <v>0.903</v>
      </c>
      <c r="Q46" s="317" t="n">
        <v>0.905</v>
      </c>
      <c r="R46" s="317" t="n">
        <v>1134980</v>
      </c>
      <c r="S46" s="317" t="n">
        <v>1039720</v>
      </c>
      <c r="T46" s="318" t="n">
        <f aca="false">IF(I46="regional",IF(R46&gt;0,R46*0.2975,S46*0.3484),S46*0.1939)</f>
        <v>337656.55</v>
      </c>
      <c r="U46" s="317" t="n">
        <v>631556</v>
      </c>
      <c r="V46" s="317" t="n">
        <v>408164</v>
      </c>
      <c r="W46" s="317" t="n">
        <v>4800</v>
      </c>
      <c r="X46" s="317" t="n">
        <v>730156.55</v>
      </c>
      <c r="Y46" s="317" t="n">
        <v>337656.55</v>
      </c>
      <c r="Z46" s="317" t="n">
        <v>392500</v>
      </c>
      <c r="AA46" s="317" t="n">
        <v>647220</v>
      </c>
      <c r="AB46" s="317" t="n">
        <v>0</v>
      </c>
      <c r="AC46" s="317" t="n">
        <v>647220</v>
      </c>
      <c r="AD46" s="317" t="n">
        <v>392500</v>
      </c>
      <c r="AE46" s="317" t="n">
        <v>0</v>
      </c>
      <c r="AF46" s="317" t="n">
        <v>647220</v>
      </c>
      <c r="AG46" s="317" t="n">
        <v>0</v>
      </c>
      <c r="AH46" s="317" t="n">
        <v>1026000</v>
      </c>
      <c r="AI46" s="317" t="n">
        <v>475000</v>
      </c>
      <c r="AJ46" s="286" t="s">
        <v>721</v>
      </c>
      <c r="AK46" s="286" t="s">
        <v>727</v>
      </c>
      <c r="AL46" s="287" t="s">
        <v>48</v>
      </c>
      <c r="AM46" s="286"/>
      <c r="AN46" s="287" t="s">
        <v>180</v>
      </c>
      <c r="AO46" s="287" t="n">
        <v>730156.55</v>
      </c>
      <c r="AP46" s="319" t="n">
        <f aca="false">AR46+AT46+AU46+AV46+AX46+AY46+AZ46+BD46+BF46+BG46+BH46+BJ46+BK46+(BL46+BM46+BN46)/1000+(0.1*BO46)</f>
        <v>544.8272</v>
      </c>
      <c r="AQ46" s="319" t="n">
        <f aca="false">AR46+AT46+AU46+AV46+AX46+AY46+AZ46+BB46+BC46+BD46+BF46+BG46+BH46+BJ46+BK46+(BL46+BM46+BN46)/1000+(0.1*BO46)</f>
        <v>590.8272</v>
      </c>
      <c r="AR46" s="285" t="n">
        <v>273</v>
      </c>
      <c r="AS46" s="285" t="n">
        <v>475</v>
      </c>
      <c r="AT46" s="285" t="n">
        <v>119</v>
      </c>
      <c r="AU46" s="285" t="n">
        <v>0</v>
      </c>
      <c r="AV46" s="285" t="n">
        <v>0</v>
      </c>
      <c r="AW46" s="285" t="n">
        <v>0</v>
      </c>
      <c r="AX46" s="285" t="n">
        <v>0</v>
      </c>
      <c r="AY46" s="285" t="n">
        <v>0</v>
      </c>
      <c r="AZ46" s="285" t="n">
        <v>8</v>
      </c>
      <c r="BA46" s="285" t="n">
        <v>23</v>
      </c>
      <c r="BB46" s="285" t="n">
        <v>46</v>
      </c>
      <c r="BC46" s="285" t="n">
        <v>0</v>
      </c>
      <c r="BD46" s="285" t="n">
        <v>19</v>
      </c>
      <c r="BE46" s="285" t="n">
        <v>0</v>
      </c>
      <c r="BF46" s="285" t="n">
        <v>0</v>
      </c>
      <c r="BG46" s="285" t="n">
        <v>0</v>
      </c>
      <c r="BH46" s="285" t="n">
        <v>40</v>
      </c>
      <c r="BI46" s="285" t="n">
        <v>1</v>
      </c>
      <c r="BJ46" s="285" t="n">
        <v>0</v>
      </c>
      <c r="BK46" s="285" t="n">
        <v>0</v>
      </c>
      <c r="BL46" s="285" t="n">
        <v>0</v>
      </c>
      <c r="BM46" s="285" t="n">
        <v>0</v>
      </c>
      <c r="BN46" s="285" t="n">
        <v>0</v>
      </c>
      <c r="BO46" s="285" t="n">
        <v>858.272</v>
      </c>
      <c r="BR46" s="290" t="n">
        <f aca="false">AR46*1000/0.072</f>
        <v>3791666.66666667</v>
      </c>
      <c r="BS46" s="290" t="n">
        <f aca="false">AT46*1000/0.072</f>
        <v>1652777.77777778</v>
      </c>
      <c r="BT46" s="290" t="n">
        <f aca="false">AU46*1000/0.072</f>
        <v>0</v>
      </c>
      <c r="BU46" s="290" t="n">
        <f aca="false">SUM(BR46:BT46)</f>
        <v>5444444.44444445</v>
      </c>
      <c r="BV46" s="290" t="n">
        <f aca="false">AV46*1000/5</f>
        <v>0</v>
      </c>
      <c r="BW46" s="290" t="n">
        <f aca="false">AX46*1000/5</f>
        <v>0</v>
      </c>
      <c r="BX46" s="290" t="n">
        <f aca="false">AY46*1000/5</f>
        <v>0</v>
      </c>
      <c r="BY46" s="290" t="n">
        <f aca="false">SUM(BV46:BX46)</f>
        <v>0</v>
      </c>
      <c r="CA46" s="290" t="n">
        <f aca="false">IF($AM46="n",0,BR46)</f>
        <v>3791666.66666667</v>
      </c>
      <c r="CB46" s="290" t="n">
        <f aca="false">IF($AM46="n",0,BS46)</f>
        <v>1652777.77777778</v>
      </c>
      <c r="CC46" s="290" t="n">
        <f aca="false">IF($AM46="n",0,BT46)</f>
        <v>0</v>
      </c>
      <c r="CD46" s="290" t="n">
        <f aca="false">SUM(CA46:CC46)</f>
        <v>5444444.44444445</v>
      </c>
      <c r="CE46" s="290" t="n">
        <f aca="false">IF($AM$2="n",0,BV46)</f>
        <v>0</v>
      </c>
      <c r="CF46" s="290" t="n">
        <f aca="false">IF($AM$2="n",0,BW46)</f>
        <v>0</v>
      </c>
      <c r="CG46" s="290" t="n">
        <f aca="false">IF($AM$2="n",0,BX46)</f>
        <v>0</v>
      </c>
      <c r="CH46" s="290" t="n">
        <f aca="false">SUM(CE46:CG46)</f>
        <v>0</v>
      </c>
    </row>
    <row r="47" customFormat="false" ht="15" hidden="false" customHeight="true" outlineLevel="0" collapsed="false">
      <c r="A47" s="285" t="n">
        <v>2315</v>
      </c>
      <c r="B47" s="285"/>
      <c r="C47" s="286" t="s">
        <v>185</v>
      </c>
      <c r="D47" s="287" t="s">
        <v>185</v>
      </c>
      <c r="E47" s="288" t="n">
        <f aca="false">IF(I47="regional",IF(R47*0.2975,S47*0.3484),S47*0.1939)</f>
        <v>82122.6609</v>
      </c>
      <c r="F47" s="288" t="n">
        <v>525332</v>
      </c>
      <c r="G47" s="289" t="n">
        <f aca="false">E47+F47</f>
        <v>607454.6609</v>
      </c>
      <c r="H47" s="286"/>
      <c r="I47" s="287" t="s">
        <v>62</v>
      </c>
      <c r="J47" s="287"/>
      <c r="K47" s="287" t="s">
        <v>187</v>
      </c>
      <c r="L47" s="287" t="s">
        <v>44</v>
      </c>
      <c r="M47" s="317" t="n">
        <v>23</v>
      </c>
      <c r="N47" s="317" t="n">
        <v>0.796</v>
      </c>
      <c r="O47" s="317" t="n">
        <v>0.777</v>
      </c>
      <c r="P47" s="317" t="n">
        <v>0.808</v>
      </c>
      <c r="Q47" s="317" t="n">
        <v>1</v>
      </c>
      <c r="R47" s="317" t="n">
        <v>0</v>
      </c>
      <c r="S47" s="317" t="n">
        <v>423531</v>
      </c>
      <c r="T47" s="318" t="n">
        <f aca="false">IF(I47="regional",IF(R47&gt;0,R47*0.2975,S47*0.3484),S47*0.1939)</f>
        <v>82122.6609</v>
      </c>
      <c r="U47" s="317" t="n">
        <v>320402</v>
      </c>
      <c r="V47" s="317" t="n">
        <v>103129</v>
      </c>
      <c r="W47" s="317" t="n">
        <v>1487</v>
      </c>
      <c r="X47" s="317" t="n">
        <v>607454.6609</v>
      </c>
      <c r="Y47" s="317" t="n">
        <v>82122.6609</v>
      </c>
      <c r="Z47" s="317" t="n">
        <v>525332</v>
      </c>
      <c r="AA47" s="317" t="n">
        <v>-101801</v>
      </c>
      <c r="AB47" s="317" t="n">
        <v>0</v>
      </c>
      <c r="AC47" s="317" t="n">
        <v>-101801</v>
      </c>
      <c r="AD47" s="317" t="n">
        <v>0</v>
      </c>
      <c r="AE47" s="317" t="n">
        <v>525332</v>
      </c>
      <c r="AF47" s="317" t="n">
        <v>0</v>
      </c>
      <c r="AG47" s="317" t="n">
        <v>-101801</v>
      </c>
      <c r="AH47" s="317" t="n">
        <v>0</v>
      </c>
      <c r="AI47" s="317" t="n">
        <v>0</v>
      </c>
      <c r="AJ47" s="286" t="n">
        <v>4</v>
      </c>
      <c r="AK47" s="286" t="s">
        <v>706</v>
      </c>
      <c r="AL47" s="287" t="s">
        <v>62</v>
      </c>
      <c r="AM47" s="286"/>
      <c r="AN47" s="287" t="s">
        <v>185</v>
      </c>
      <c r="AO47" s="287" t="n">
        <v>607454.6609</v>
      </c>
      <c r="AP47" s="319" t="n">
        <f aca="false">AR47+AT47+AU47+AV47+AX47+AY47+AZ47+BD47+BF47+BG47+BH47+BJ47+BK47+(BL47+BM47+BN47)/1000+(0.1*BO47)</f>
        <v>33</v>
      </c>
      <c r="AQ47" s="319" t="n">
        <f aca="false">AR47+AT47+AU47+AV47+AX47+AY47+AZ47+BB47+BC47+BD47+BF47+BG47+BH47+BJ47+BK47+(BL47+BM47+BN47)/1000+(0.1*BO47)</f>
        <v>35</v>
      </c>
      <c r="AR47" s="285" t="n">
        <v>0</v>
      </c>
      <c r="AS47" s="285" t="n">
        <v>0</v>
      </c>
      <c r="AT47" s="285" t="n">
        <v>20</v>
      </c>
      <c r="AU47" s="285" t="n">
        <v>9</v>
      </c>
      <c r="AV47" s="285" t="n">
        <v>0</v>
      </c>
      <c r="AW47" s="285" t="n">
        <v>0</v>
      </c>
      <c r="AX47" s="285" t="n">
        <v>0</v>
      </c>
      <c r="AY47" s="285" t="n">
        <v>4</v>
      </c>
      <c r="AZ47" s="285" t="n">
        <v>0</v>
      </c>
      <c r="BA47" s="285" t="n">
        <v>28</v>
      </c>
      <c r="BB47" s="285" t="n">
        <v>2</v>
      </c>
      <c r="BC47" s="285" t="n">
        <v>0</v>
      </c>
      <c r="BD47" s="285" t="n">
        <v>0</v>
      </c>
      <c r="BE47" s="285" t="n">
        <v>0</v>
      </c>
      <c r="BF47" s="285" t="n">
        <v>0</v>
      </c>
      <c r="BG47" s="285" t="n">
        <v>0</v>
      </c>
      <c r="BH47" s="285" t="n">
        <v>0</v>
      </c>
      <c r="BI47" s="285" t="n">
        <v>0</v>
      </c>
      <c r="BJ47" s="285" t="n">
        <v>0</v>
      </c>
      <c r="BK47" s="285" t="n">
        <v>0</v>
      </c>
      <c r="BL47" s="285" t="n">
        <v>0</v>
      </c>
      <c r="BM47" s="285" t="n">
        <v>0</v>
      </c>
      <c r="BN47" s="285" t="n">
        <v>0</v>
      </c>
      <c r="BO47" s="285" t="n">
        <v>0</v>
      </c>
      <c r="BR47" s="290" t="n">
        <f aca="false">AR47*1000/0.072</f>
        <v>0</v>
      </c>
      <c r="BS47" s="290" t="n">
        <f aca="false">AT47*1000/0.072</f>
        <v>277777.777777778</v>
      </c>
      <c r="BT47" s="290" t="n">
        <f aca="false">AU47*1000/0.072</f>
        <v>125000</v>
      </c>
      <c r="BU47" s="290" t="n">
        <f aca="false">SUM(BR47:BT47)</f>
        <v>402777.777777778</v>
      </c>
      <c r="BV47" s="290" t="n">
        <f aca="false">AV47*1000/5</f>
        <v>0</v>
      </c>
      <c r="BW47" s="290" t="n">
        <f aca="false">AX47*1000/5</f>
        <v>0</v>
      </c>
      <c r="BX47" s="290" t="n">
        <f aca="false">AY47*1000/5</f>
        <v>800</v>
      </c>
      <c r="BY47" s="290" t="n">
        <f aca="false">SUM(BV47:BX47)</f>
        <v>800</v>
      </c>
      <c r="CA47" s="290" t="n">
        <f aca="false">IF($AM47="n",0,BR47)</f>
        <v>0</v>
      </c>
      <c r="CB47" s="290" t="n">
        <f aca="false">IF($AM47="n",0,BS47)</f>
        <v>277777.777777778</v>
      </c>
      <c r="CC47" s="290" t="n">
        <f aca="false">IF($AM47="n",0,BT47)</f>
        <v>125000</v>
      </c>
      <c r="CD47" s="290" t="n">
        <f aca="false">SUM(CA47:CC47)</f>
        <v>402777.777777778</v>
      </c>
      <c r="CE47" s="290" t="n">
        <f aca="false">IF($AM$2="n",0,BV47)</f>
        <v>0</v>
      </c>
      <c r="CF47" s="290" t="n">
        <f aca="false">IF($AM$2="n",0,BW47)</f>
        <v>0</v>
      </c>
      <c r="CG47" s="290" t="n">
        <f aca="false">IF($AM$2="n",0,BX47)</f>
        <v>800</v>
      </c>
      <c r="CH47" s="290" t="n">
        <f aca="false">SUM(CE47:CG47)</f>
        <v>800</v>
      </c>
    </row>
    <row r="48" customFormat="false" ht="15" hidden="false" customHeight="true" outlineLevel="0" collapsed="false">
      <c r="A48" s="285" t="n">
        <v>582</v>
      </c>
      <c r="B48" s="285" t="s">
        <v>44</v>
      </c>
      <c r="C48" s="286" t="s">
        <v>188</v>
      </c>
      <c r="D48" s="287" t="s">
        <v>188</v>
      </c>
      <c r="E48" s="288" t="n">
        <f aca="false">IF(I48="regional",IF(R48*0.2975,S48*0.3484),S48*0.1939)</f>
        <v>303619.4512</v>
      </c>
      <c r="F48" s="288" t="n">
        <v>570437</v>
      </c>
      <c r="G48" s="289" t="n">
        <f aca="false">E48+F48</f>
        <v>874056.4512</v>
      </c>
      <c r="H48" s="286"/>
      <c r="I48" s="287" t="s">
        <v>48</v>
      </c>
      <c r="J48" s="287" t="s">
        <v>44</v>
      </c>
      <c r="K48" s="287" t="s">
        <v>191</v>
      </c>
      <c r="L48" s="287" t="s">
        <v>44</v>
      </c>
      <c r="M48" s="317" t="n">
        <v>110</v>
      </c>
      <c r="N48" s="317" t="n">
        <v>0.813</v>
      </c>
      <c r="O48" s="317" t="n">
        <v>0.906</v>
      </c>
      <c r="P48" s="317" t="n">
        <v>0.906</v>
      </c>
      <c r="Q48" s="317" t="n">
        <v>0.905</v>
      </c>
      <c r="R48" s="317" t="n">
        <v>1132740</v>
      </c>
      <c r="S48" s="317" t="n">
        <v>871468</v>
      </c>
      <c r="T48" s="318" t="n">
        <f aca="false">IF(I48="regional",IF(R48&gt;0,R48*0.2975,S48*0.3484),S48*0.1939)</f>
        <v>336990.15</v>
      </c>
      <c r="U48" s="317" t="n">
        <v>609669</v>
      </c>
      <c r="V48" s="317" t="n">
        <v>261799</v>
      </c>
      <c r="W48" s="317" t="n">
        <v>3500</v>
      </c>
      <c r="X48" s="317" t="n">
        <v>907427.15</v>
      </c>
      <c r="Y48" s="317" t="n">
        <v>336990.15</v>
      </c>
      <c r="Z48" s="317" t="n">
        <v>570437</v>
      </c>
      <c r="AA48" s="317" t="n">
        <v>301031</v>
      </c>
      <c r="AB48" s="317" t="n">
        <v>0</v>
      </c>
      <c r="AC48" s="317" t="n">
        <v>301031</v>
      </c>
      <c r="AD48" s="317" t="n">
        <v>570437</v>
      </c>
      <c r="AE48" s="317" t="n">
        <v>0</v>
      </c>
      <c r="AF48" s="317" t="n">
        <v>301031</v>
      </c>
      <c r="AG48" s="317" t="n">
        <v>0</v>
      </c>
      <c r="AH48" s="317" t="n">
        <v>435000</v>
      </c>
      <c r="AI48" s="317" t="n">
        <v>367000</v>
      </c>
      <c r="AJ48" s="286" t="n">
        <v>4</v>
      </c>
      <c r="AK48" s="286" t="s">
        <v>728</v>
      </c>
      <c r="AL48" s="287" t="s">
        <v>48</v>
      </c>
      <c r="AM48" s="286"/>
      <c r="AN48" s="287" t="s">
        <v>188</v>
      </c>
      <c r="AO48" s="287" t="n">
        <v>907427.15</v>
      </c>
      <c r="AP48" s="319" t="n">
        <f aca="false">AR48+AT48+AU48+AV48+AX48+AY48+AZ48+BD48+BF48+BG48+BH48+BJ48+BK48+(BL48+BM48+BN48)/1000+(0.1*BO48)</f>
        <v>490.274</v>
      </c>
      <c r="AQ48" s="319" t="n">
        <f aca="false">AR48+AT48+AU48+AV48+AX48+AY48+AZ48+BB48+BC48+BD48+BF48+BG48+BH48+BJ48+BK48+(BL48+BM48+BN48)/1000+(0.1*BO48)</f>
        <v>510.274</v>
      </c>
      <c r="AR48" s="285" t="n">
        <v>168</v>
      </c>
      <c r="AS48" s="285" t="n">
        <v>367</v>
      </c>
      <c r="AT48" s="285" t="n">
        <v>103</v>
      </c>
      <c r="AU48" s="285" t="n">
        <v>0</v>
      </c>
      <c r="AV48" s="285" t="n">
        <v>9</v>
      </c>
      <c r="AW48" s="285" t="n">
        <v>15</v>
      </c>
      <c r="AX48" s="285" t="n">
        <v>0</v>
      </c>
      <c r="AY48" s="285" t="n">
        <v>0</v>
      </c>
      <c r="AZ48" s="285" t="n">
        <v>14</v>
      </c>
      <c r="BA48" s="285" t="n">
        <v>5</v>
      </c>
      <c r="BB48" s="285" t="n">
        <v>20</v>
      </c>
      <c r="BC48" s="285" t="n">
        <v>0</v>
      </c>
      <c r="BD48" s="285" t="n">
        <v>92</v>
      </c>
      <c r="BE48" s="285" t="n">
        <v>0</v>
      </c>
      <c r="BF48" s="285" t="n">
        <v>0</v>
      </c>
      <c r="BG48" s="285" t="n">
        <v>0</v>
      </c>
      <c r="BH48" s="285" t="n">
        <v>94</v>
      </c>
      <c r="BI48" s="285" t="n">
        <v>0</v>
      </c>
      <c r="BJ48" s="285" t="n">
        <v>0</v>
      </c>
      <c r="BK48" s="285" t="n">
        <v>0</v>
      </c>
      <c r="BL48" s="285" t="n">
        <v>10274</v>
      </c>
      <c r="BM48" s="285" t="n">
        <v>0</v>
      </c>
      <c r="BN48" s="285" t="n">
        <v>0</v>
      </c>
      <c r="BO48" s="285" t="n">
        <v>0</v>
      </c>
      <c r="BR48" s="290" t="n">
        <f aca="false">AR48*1000/0.072</f>
        <v>2333333.33333333</v>
      </c>
      <c r="BS48" s="290" t="n">
        <f aca="false">AT48*1000/0.072</f>
        <v>1430555.55555556</v>
      </c>
      <c r="BT48" s="290" t="n">
        <f aca="false">AU48*1000/0.072</f>
        <v>0</v>
      </c>
      <c r="BU48" s="290" t="n">
        <f aca="false">SUM(BR48:BT48)</f>
        <v>3763888.88888889</v>
      </c>
      <c r="BV48" s="290" t="n">
        <f aca="false">AV48*1000/5</f>
        <v>1800</v>
      </c>
      <c r="BW48" s="290" t="n">
        <f aca="false">AX48*1000/5</f>
        <v>0</v>
      </c>
      <c r="BX48" s="290" t="n">
        <f aca="false">AY48*1000/5</f>
        <v>0</v>
      </c>
      <c r="BY48" s="290" t="n">
        <f aca="false">SUM(BV48:BX48)</f>
        <v>1800</v>
      </c>
      <c r="CA48" s="290" t="n">
        <f aca="false">IF($AM48="n",0,BR48)</f>
        <v>2333333.33333333</v>
      </c>
      <c r="CB48" s="290" t="n">
        <f aca="false">IF($AM48="n",0,BS48)</f>
        <v>1430555.55555556</v>
      </c>
      <c r="CC48" s="290" t="n">
        <f aca="false">IF($AM48="n",0,BT48)</f>
        <v>0</v>
      </c>
      <c r="CD48" s="290" t="n">
        <f aca="false">SUM(CA48:CC48)</f>
        <v>3763888.88888889</v>
      </c>
      <c r="CE48" s="290" t="n">
        <f aca="false">IF($AM$2="n",0,BV48)</f>
        <v>1800</v>
      </c>
      <c r="CF48" s="290" t="n">
        <f aca="false">IF($AM$2="n",0,BW48)</f>
        <v>0</v>
      </c>
      <c r="CG48" s="290" t="n">
        <f aca="false">IF($AM$2="n",0,BX48)</f>
        <v>0</v>
      </c>
      <c r="CH48" s="290" t="n">
        <f aca="false">SUM(CE48:CG48)</f>
        <v>1800</v>
      </c>
    </row>
    <row r="49" customFormat="false" ht="15" hidden="false" customHeight="true" outlineLevel="0" collapsed="false">
      <c r="A49" s="285" t="n">
        <v>584</v>
      </c>
      <c r="B49" s="285"/>
      <c r="C49" s="286" t="s">
        <v>675</v>
      </c>
      <c r="D49" s="287" t="s">
        <v>675</v>
      </c>
      <c r="E49" s="288" t="n">
        <f aca="false">IF(I49="regional",IF(R49*0.2975,S49*0.3484),S49*0.1939)</f>
        <v>53042.7023</v>
      </c>
      <c r="F49" s="288" t="n">
        <v>0</v>
      </c>
      <c r="G49" s="289" t="n">
        <f aca="false">E49+F49</f>
        <v>53042.7023</v>
      </c>
      <c r="H49" s="286" t="s">
        <v>49</v>
      </c>
      <c r="I49" s="287" t="s">
        <v>62</v>
      </c>
      <c r="J49" s="287"/>
      <c r="K49" s="287" t="s">
        <v>98</v>
      </c>
      <c r="L49" s="287"/>
      <c r="M49" s="317" t="n">
        <v>15</v>
      </c>
      <c r="N49" s="317" t="n">
        <v>0.594</v>
      </c>
      <c r="O49" s="317" t="n">
        <v>0.576</v>
      </c>
      <c r="P49" s="317" t="n">
        <v>0.501</v>
      </c>
      <c r="Q49" s="317" t="n">
        <v>0.62</v>
      </c>
      <c r="R49" s="317" t="n">
        <v>0</v>
      </c>
      <c r="S49" s="317" t="n">
        <v>273557</v>
      </c>
      <c r="T49" s="318" t="n">
        <f aca="false">IF(I49="regional",IF(R49&gt;0,R49*0.2975,S49*0.3484),S49*0.1939)</f>
        <v>53042.7023</v>
      </c>
      <c r="U49" s="317" t="n">
        <v>229188</v>
      </c>
      <c r="V49" s="317" t="n">
        <v>44369</v>
      </c>
      <c r="W49" s="317" t="n">
        <v>1400</v>
      </c>
      <c r="X49" s="317" t="n">
        <v>0</v>
      </c>
      <c r="Y49" s="317" t="n">
        <v>0</v>
      </c>
      <c r="Z49" s="317" t="n">
        <v>0</v>
      </c>
      <c r="AA49" s="317" t="n">
        <v>326599.7023</v>
      </c>
      <c r="AB49" s="317" t="n">
        <v>53042.7023</v>
      </c>
      <c r="AC49" s="317" t="n">
        <v>273557</v>
      </c>
      <c r="AD49" s="317" t="n">
        <v>0</v>
      </c>
      <c r="AE49" s="317" t="n">
        <v>0</v>
      </c>
      <c r="AF49" s="317" t="n">
        <v>0</v>
      </c>
      <c r="AG49" s="317" t="n">
        <v>273557</v>
      </c>
      <c r="AH49" s="317" t="n">
        <v>0</v>
      </c>
      <c r="AI49" s="317" t="n">
        <v>0</v>
      </c>
      <c r="AJ49" s="286" t="n">
        <v>4</v>
      </c>
      <c r="AK49" s="286" t="s">
        <v>706</v>
      </c>
      <c r="AL49" s="287" t="s">
        <v>62</v>
      </c>
      <c r="AM49" s="286" t="s">
        <v>49</v>
      </c>
      <c r="AN49" s="287" t="s">
        <v>675</v>
      </c>
      <c r="AO49" s="287" t="n">
        <v>53042.7023</v>
      </c>
      <c r="AP49" s="319" t="n">
        <f aca="false">AR49+AT49+AU49+AV49+AX49+AY49+AZ49+BD49+BF49+BG49+BH49+BJ49+BK49+(BL49+BM49+BN49)/1000+(0.1*BO49)</f>
        <v>26</v>
      </c>
      <c r="AQ49" s="319" t="n">
        <f aca="false">AR49+AT49+AU49+AV49+AX49+AY49+AZ49+BB49+BC49+BD49+BF49+BG49+BH49+BJ49+BK49+(BL49+BM49+BN49)/1000+(0.1*BO49)</f>
        <v>28</v>
      </c>
      <c r="AR49" s="285" t="n">
        <v>0</v>
      </c>
      <c r="AS49" s="285" t="n">
        <v>0</v>
      </c>
      <c r="AT49" s="285" t="n">
        <v>11</v>
      </c>
      <c r="AU49" s="285" t="n">
        <v>11</v>
      </c>
      <c r="AV49" s="285" t="n">
        <v>0</v>
      </c>
      <c r="AW49" s="285" t="n">
        <v>0</v>
      </c>
      <c r="AX49" s="285" t="n">
        <v>0</v>
      </c>
      <c r="AY49" s="285" t="n">
        <v>4</v>
      </c>
      <c r="AZ49" s="285" t="n">
        <v>0</v>
      </c>
      <c r="BA49" s="285" t="n">
        <v>5</v>
      </c>
      <c r="BB49" s="285" t="n">
        <v>2</v>
      </c>
      <c r="BC49" s="285" t="n">
        <v>0</v>
      </c>
      <c r="BD49" s="285" t="n">
        <v>0</v>
      </c>
      <c r="BE49" s="285" t="n">
        <v>0</v>
      </c>
      <c r="BF49" s="285" t="n">
        <v>0</v>
      </c>
      <c r="BG49" s="285" t="n">
        <v>0</v>
      </c>
      <c r="BH49" s="285" t="n">
        <v>0</v>
      </c>
      <c r="BI49" s="285" t="n">
        <v>0</v>
      </c>
      <c r="BJ49" s="285" t="n">
        <v>0</v>
      </c>
      <c r="BK49" s="285" t="n">
        <v>0</v>
      </c>
      <c r="BL49" s="285" t="n">
        <v>0</v>
      </c>
      <c r="BM49" s="285" t="n">
        <v>0</v>
      </c>
      <c r="BN49" s="285" t="n">
        <v>0</v>
      </c>
      <c r="BO49" s="285" t="n">
        <v>0</v>
      </c>
      <c r="BR49" s="290" t="n">
        <f aca="false">AR49*1000/0.072</f>
        <v>0</v>
      </c>
      <c r="BS49" s="290" t="n">
        <f aca="false">AT49*1000/0.072</f>
        <v>152777.777777778</v>
      </c>
      <c r="BT49" s="290" t="n">
        <f aca="false">AU49*1000/0.072</f>
        <v>152777.777777778</v>
      </c>
      <c r="BU49" s="290" t="n">
        <f aca="false">SUM(BR49:BT49)</f>
        <v>305555.555555556</v>
      </c>
      <c r="BV49" s="290" t="n">
        <f aca="false">AV49*1000/5</f>
        <v>0</v>
      </c>
      <c r="BW49" s="290" t="n">
        <f aca="false">AX49*1000/5</f>
        <v>0</v>
      </c>
      <c r="BX49" s="290" t="n">
        <f aca="false">AY49*1000/5</f>
        <v>800</v>
      </c>
      <c r="BY49" s="290" t="n">
        <f aca="false">SUM(BV49:BX49)</f>
        <v>800</v>
      </c>
      <c r="CA49" s="290" t="n">
        <f aca="false">IF($AM49="n",0,BR49)</f>
        <v>0</v>
      </c>
      <c r="CB49" s="290" t="n">
        <f aca="false">IF($AM49="n",0,BS49)</f>
        <v>0</v>
      </c>
      <c r="CC49" s="290" t="n">
        <f aca="false">IF($AM49="n",0,BT49)</f>
        <v>0</v>
      </c>
      <c r="CD49" s="290" t="n">
        <f aca="false">SUM(CA49:CC49)</f>
        <v>0</v>
      </c>
      <c r="CE49" s="290" t="n">
        <f aca="false">IF($AM$2="n",0,BV49)</f>
        <v>0</v>
      </c>
      <c r="CF49" s="290" t="n">
        <f aca="false">IF($AM$2="n",0,BW49)</f>
        <v>0</v>
      </c>
      <c r="CG49" s="290" t="n">
        <f aca="false">IF($AM$2="n",0,BX49)</f>
        <v>800</v>
      </c>
      <c r="CH49" s="290" t="n">
        <f aca="false">SUM(CE49:CG49)</f>
        <v>800</v>
      </c>
    </row>
    <row r="50" customFormat="false" ht="15" hidden="false" customHeight="true" outlineLevel="0" collapsed="false">
      <c r="A50" s="285" t="n">
        <v>8287</v>
      </c>
      <c r="B50" s="285"/>
      <c r="C50" s="286" t="s">
        <v>194</v>
      </c>
      <c r="D50" s="287" t="s">
        <v>194</v>
      </c>
      <c r="E50" s="288" t="n">
        <f aca="false">IF(I50="regional",IF(R50*0.2975,S50*0.3484),S50*0.1939)</f>
        <v>148151.1772</v>
      </c>
      <c r="F50" s="288" t="n">
        <v>172758</v>
      </c>
      <c r="G50" s="289" t="n">
        <f aca="false">E50+F50</f>
        <v>320909.1772</v>
      </c>
      <c r="H50" s="286"/>
      <c r="I50" s="287" t="s">
        <v>48</v>
      </c>
      <c r="J50" s="287" t="s">
        <v>49</v>
      </c>
      <c r="K50" s="287" t="s">
        <v>196</v>
      </c>
      <c r="L50" s="287" t="s">
        <v>44</v>
      </c>
      <c r="M50" s="317" t="n">
        <v>66</v>
      </c>
      <c r="N50" s="317" t="n">
        <v>0.778</v>
      </c>
      <c r="O50" s="317" t="n">
        <v>0.771</v>
      </c>
      <c r="P50" s="317" t="n">
        <v>0.71</v>
      </c>
      <c r="Q50" s="317" t="n">
        <v>0.745</v>
      </c>
      <c r="R50" s="317" t="n">
        <v>537158</v>
      </c>
      <c r="S50" s="317" t="n">
        <v>425233</v>
      </c>
      <c r="T50" s="318" t="n">
        <f aca="false">IF(I50="regional",IF(R50&gt;0,R50*0.2975,S50*0.3484),S50*0.1939)</f>
        <v>159804.505</v>
      </c>
      <c r="U50" s="317" t="n">
        <v>302495</v>
      </c>
      <c r="V50" s="317" t="n">
        <v>122738</v>
      </c>
      <c r="W50" s="317" t="n">
        <v>2275</v>
      </c>
      <c r="X50" s="317" t="n">
        <v>332562.505</v>
      </c>
      <c r="Y50" s="317" t="n">
        <v>159804.505</v>
      </c>
      <c r="Z50" s="317" t="n">
        <v>172758</v>
      </c>
      <c r="AA50" s="317" t="n">
        <v>252475</v>
      </c>
      <c r="AB50" s="317" t="n">
        <v>0</v>
      </c>
      <c r="AC50" s="317" t="n">
        <v>252475</v>
      </c>
      <c r="AD50" s="317" t="n">
        <v>0</v>
      </c>
      <c r="AE50" s="317" t="n">
        <v>172758</v>
      </c>
      <c r="AF50" s="317" t="n">
        <v>0</v>
      </c>
      <c r="AG50" s="317" t="n">
        <v>252475</v>
      </c>
      <c r="AH50" s="317" t="n">
        <v>0</v>
      </c>
      <c r="AI50" s="317" t="n">
        <v>0</v>
      </c>
      <c r="AJ50" s="286" t="s">
        <v>707</v>
      </c>
      <c r="AK50" s="286" t="s">
        <v>714</v>
      </c>
      <c r="AL50" s="287" t="s">
        <v>48</v>
      </c>
      <c r="AM50" s="286"/>
      <c r="AN50" s="287" t="s">
        <v>194</v>
      </c>
      <c r="AO50" s="287" t="n">
        <v>332562.505</v>
      </c>
      <c r="AP50" s="319" t="n">
        <f aca="false">AR50+AT50+AU50+AV50+AX50+AY50+AZ50+BD50+BF50+BG50+BH50+BJ50+BK50+(BL50+BM50+BN50)/1000+(0.1*BO50)</f>
        <v>273.5605</v>
      </c>
      <c r="AQ50" s="319" t="n">
        <f aca="false">AR50+AT50+AU50+AV50+AX50+AY50+AZ50+BB50+BC50+BD50+BF50+BG50+BH50+BJ50+BK50+(BL50+BM50+BN50)/1000+(0.1*BO50)</f>
        <v>330.5605</v>
      </c>
      <c r="AR50" s="285" t="n">
        <v>147</v>
      </c>
      <c r="AS50" s="285" t="n">
        <v>0</v>
      </c>
      <c r="AT50" s="285" t="n">
        <v>35</v>
      </c>
      <c r="AU50" s="285" t="n">
        <v>4</v>
      </c>
      <c r="AV50" s="285" t="n">
        <v>0</v>
      </c>
      <c r="AW50" s="285" t="n">
        <v>0</v>
      </c>
      <c r="AX50" s="285" t="n">
        <v>0</v>
      </c>
      <c r="AY50" s="285" t="n">
        <v>0</v>
      </c>
      <c r="AZ50" s="285" t="n">
        <v>0</v>
      </c>
      <c r="BA50" s="285" t="n">
        <v>0</v>
      </c>
      <c r="BB50" s="285" t="n">
        <v>57</v>
      </c>
      <c r="BC50" s="285" t="n">
        <v>0</v>
      </c>
      <c r="BD50" s="285" t="n">
        <v>11</v>
      </c>
      <c r="BE50" s="285" t="n">
        <v>1</v>
      </c>
      <c r="BF50" s="285" t="n">
        <v>0</v>
      </c>
      <c r="BG50" s="285" t="n">
        <v>0</v>
      </c>
      <c r="BH50" s="285" t="n">
        <v>3</v>
      </c>
      <c r="BI50" s="285" t="n">
        <v>0</v>
      </c>
      <c r="BJ50" s="285" t="n">
        <v>0</v>
      </c>
      <c r="BK50" s="285" t="n">
        <v>0</v>
      </c>
      <c r="BL50" s="285" t="n">
        <v>0</v>
      </c>
      <c r="BM50" s="285" t="n">
        <v>37550</v>
      </c>
      <c r="BN50" s="285" t="n">
        <v>0</v>
      </c>
      <c r="BO50" s="285" t="n">
        <v>360.105</v>
      </c>
      <c r="BR50" s="290" t="n">
        <f aca="false">AR50*1000/0.072</f>
        <v>2041666.66666667</v>
      </c>
      <c r="BS50" s="290" t="n">
        <f aca="false">AT50*1000/0.072</f>
        <v>486111.111111111</v>
      </c>
      <c r="BT50" s="290" t="n">
        <f aca="false">AU50*1000/0.072</f>
        <v>55555.5555555556</v>
      </c>
      <c r="BU50" s="290" t="n">
        <f aca="false">SUM(BR50:BT50)</f>
        <v>2583333.33333333</v>
      </c>
      <c r="BV50" s="290" t="n">
        <f aca="false">AV50*1000/5</f>
        <v>0</v>
      </c>
      <c r="BW50" s="290" t="n">
        <f aca="false">AX50*1000/5</f>
        <v>0</v>
      </c>
      <c r="BX50" s="290" t="n">
        <f aca="false">AY50*1000/5</f>
        <v>0</v>
      </c>
      <c r="BY50" s="290" t="n">
        <f aca="false">SUM(BV50:BX50)</f>
        <v>0</v>
      </c>
      <c r="CA50" s="290" t="n">
        <f aca="false">IF($AM50="n",0,BR50)</f>
        <v>2041666.66666667</v>
      </c>
      <c r="CB50" s="290" t="n">
        <f aca="false">IF($AM50="n",0,BS50)</f>
        <v>486111.111111111</v>
      </c>
      <c r="CC50" s="290" t="n">
        <f aca="false">IF($AM50="n",0,BT50)</f>
        <v>55555.5555555556</v>
      </c>
      <c r="CD50" s="290" t="n">
        <f aca="false">SUM(CA50:CC50)</f>
        <v>2583333.33333333</v>
      </c>
      <c r="CE50" s="290" t="n">
        <f aca="false">IF($AM$2="n",0,BV50)</f>
        <v>0</v>
      </c>
      <c r="CF50" s="290" t="n">
        <f aca="false">IF($AM$2="n",0,BW50)</f>
        <v>0</v>
      </c>
      <c r="CG50" s="290" t="n">
        <f aca="false">IF($AM$2="n",0,BX50)</f>
        <v>0</v>
      </c>
      <c r="CH50" s="290" t="n">
        <f aca="false">SUM(CE50:CG50)</f>
        <v>0</v>
      </c>
    </row>
    <row r="51" customFormat="false" ht="15" hidden="false" customHeight="true" outlineLevel="0" collapsed="false">
      <c r="A51" s="285" t="n">
        <v>735</v>
      </c>
      <c r="B51" s="285" t="s">
        <v>44</v>
      </c>
      <c r="C51" s="286" t="s">
        <v>197</v>
      </c>
      <c r="D51" s="287" t="s">
        <v>197</v>
      </c>
      <c r="E51" s="288" t="n">
        <f aca="false">IF(I51="regional",IF(R51*0.2975,S51*0.3484),S51*0.1939)</f>
        <v>486219.0268</v>
      </c>
      <c r="F51" s="288" t="n">
        <v>0</v>
      </c>
      <c r="G51" s="289" t="n">
        <f aca="false">E51+F51</f>
        <v>486219.0268</v>
      </c>
      <c r="H51" s="286" t="s">
        <v>49</v>
      </c>
      <c r="I51" s="287" t="s">
        <v>48</v>
      </c>
      <c r="J51" s="287" t="s">
        <v>49</v>
      </c>
      <c r="K51" s="287" t="s">
        <v>105</v>
      </c>
      <c r="L51" s="287"/>
      <c r="M51" s="317" t="n">
        <v>0</v>
      </c>
      <c r="N51" s="317" t="n">
        <v>0.914</v>
      </c>
      <c r="O51" s="317" t="n">
        <v>0.924</v>
      </c>
      <c r="P51" s="317" t="n">
        <v>0.899</v>
      </c>
      <c r="Q51" s="317" t="n">
        <v>0.91</v>
      </c>
      <c r="R51" s="317" t="n">
        <v>1461040</v>
      </c>
      <c r="S51" s="317" t="n">
        <v>1395577</v>
      </c>
      <c r="T51" s="318" t="n">
        <f aca="false">IF(I51="regional",IF(R51&gt;0,R51*0.2975,S51*0.3484),S51*0.1939)</f>
        <v>434659.4</v>
      </c>
      <c r="U51" s="317" t="n">
        <v>1062072</v>
      </c>
      <c r="V51" s="317" t="n">
        <v>333505</v>
      </c>
      <c r="W51" s="317" t="n">
        <v>7800</v>
      </c>
      <c r="X51" s="317" t="n">
        <v>0</v>
      </c>
      <c r="Y51" s="317" t="n">
        <v>0</v>
      </c>
      <c r="Z51" s="317" t="n">
        <v>0</v>
      </c>
      <c r="AA51" s="317" t="n">
        <v>1830236.4</v>
      </c>
      <c r="AB51" s="317" t="n">
        <v>434659.4</v>
      </c>
      <c r="AC51" s="317" t="n">
        <v>1395577</v>
      </c>
      <c r="AD51" s="317" t="n">
        <v>0</v>
      </c>
      <c r="AE51" s="317" t="n">
        <v>0</v>
      </c>
      <c r="AF51" s="317" t="n">
        <v>0</v>
      </c>
      <c r="AG51" s="317" t="n">
        <v>1395577</v>
      </c>
      <c r="AH51" s="317" t="n">
        <v>0</v>
      </c>
      <c r="AI51" s="317" t="n">
        <v>0</v>
      </c>
      <c r="AJ51" s="286" t="s">
        <v>707</v>
      </c>
      <c r="AK51" s="286" t="s">
        <v>714</v>
      </c>
      <c r="AL51" s="287" t="s">
        <v>48</v>
      </c>
      <c r="AM51" s="286" t="s">
        <v>49</v>
      </c>
      <c r="AN51" s="287" t="s">
        <v>197</v>
      </c>
      <c r="AO51" s="287" t="n">
        <v>434659.4</v>
      </c>
      <c r="AP51" s="319" t="n">
        <f aca="false">AR51+AT51+AU51+AV51+AX51+AY51+AZ51+BD51+BF51+BG51+BH51+BJ51+BK51+(BL51+BM51+BN51)/1000+(0.1*BO51)</f>
        <v>555.72</v>
      </c>
      <c r="AQ51" s="319" t="n">
        <f aca="false">AR51+AT51+AU51+AV51+AX51+AY51+AZ51+BB51+BC51+BD51+BF51+BG51+BH51+BJ51+BK51+(BL51+BM51+BN51)/1000+(0.1*BO51)</f>
        <v>588.72</v>
      </c>
      <c r="AR51" s="285" t="n">
        <v>0</v>
      </c>
      <c r="AS51" s="285" t="n">
        <v>0</v>
      </c>
      <c r="AT51" s="285" t="n">
        <v>469</v>
      </c>
      <c r="AU51" s="285" t="n">
        <v>0</v>
      </c>
      <c r="AV51" s="285" t="n">
        <v>0</v>
      </c>
      <c r="AW51" s="285" t="n">
        <v>0</v>
      </c>
      <c r="AX51" s="285" t="n">
        <v>0</v>
      </c>
      <c r="AY51" s="285" t="n">
        <v>0</v>
      </c>
      <c r="AZ51" s="285" t="n">
        <v>0</v>
      </c>
      <c r="BA51" s="285" t="n">
        <v>0</v>
      </c>
      <c r="BB51" s="285" t="n">
        <v>33</v>
      </c>
      <c r="BC51" s="285" t="n">
        <v>0</v>
      </c>
      <c r="BD51" s="285" t="n">
        <v>0</v>
      </c>
      <c r="BE51" s="285" t="n">
        <v>0</v>
      </c>
      <c r="BF51" s="285" t="n">
        <v>0</v>
      </c>
      <c r="BG51" s="285" t="n">
        <v>0</v>
      </c>
      <c r="BH51" s="285" t="n">
        <v>0</v>
      </c>
      <c r="BI51" s="285" t="n">
        <v>0</v>
      </c>
      <c r="BJ51" s="285" t="n">
        <v>0</v>
      </c>
      <c r="BK51" s="285" t="n">
        <v>0</v>
      </c>
      <c r="BL51" s="285" t="n">
        <v>0</v>
      </c>
      <c r="BM51" s="285" t="n">
        <v>0</v>
      </c>
      <c r="BN51" s="285" t="n">
        <v>0</v>
      </c>
      <c r="BO51" s="285" t="n">
        <v>867.2</v>
      </c>
      <c r="BR51" s="290" t="n">
        <f aca="false">AR51*1000/0.072</f>
        <v>0</v>
      </c>
      <c r="BS51" s="290" t="n">
        <f aca="false">AT51*1000/0.072</f>
        <v>6513888.88888889</v>
      </c>
      <c r="BT51" s="290" t="n">
        <f aca="false">AU51*1000/0.072</f>
        <v>0</v>
      </c>
      <c r="BU51" s="290" t="n">
        <f aca="false">SUM(BR51:BT51)</f>
        <v>6513888.88888889</v>
      </c>
      <c r="BV51" s="290" t="n">
        <f aca="false">AV51*1000/5</f>
        <v>0</v>
      </c>
      <c r="BW51" s="290" t="n">
        <f aca="false">AX51*1000/5</f>
        <v>0</v>
      </c>
      <c r="BX51" s="290" t="n">
        <f aca="false">AY51*1000/5</f>
        <v>0</v>
      </c>
      <c r="BY51" s="290" t="n">
        <f aca="false">SUM(BV51:BX51)</f>
        <v>0</v>
      </c>
      <c r="CA51" s="290" t="n">
        <f aca="false">IF($AM51="n",0,BR51)</f>
        <v>0</v>
      </c>
      <c r="CB51" s="290" t="n">
        <f aca="false">IF($AM51="n",0,BS51)</f>
        <v>0</v>
      </c>
      <c r="CC51" s="290" t="n">
        <f aca="false">IF($AM51="n",0,BT51)</f>
        <v>0</v>
      </c>
      <c r="CD51" s="290" t="n">
        <f aca="false">SUM(CA51:CC51)</f>
        <v>0</v>
      </c>
      <c r="CE51" s="290" t="n">
        <f aca="false">IF($AM$2="n",0,BV51)</f>
        <v>0</v>
      </c>
      <c r="CF51" s="290" t="n">
        <f aca="false">IF($AM$2="n",0,BW51)</f>
        <v>0</v>
      </c>
      <c r="CG51" s="290" t="n">
        <f aca="false">IF($AM$2="n",0,BX51)</f>
        <v>0</v>
      </c>
      <c r="CH51" s="290" t="n">
        <f aca="false">SUM(CE51:CG51)</f>
        <v>0</v>
      </c>
    </row>
    <row r="52" customFormat="false" ht="15" hidden="false" customHeight="true" outlineLevel="0" collapsed="false">
      <c r="A52" s="285" t="n">
        <v>8158</v>
      </c>
      <c r="B52" s="285"/>
      <c r="C52" s="286" t="s">
        <v>199</v>
      </c>
      <c r="D52" s="287" t="s">
        <v>199</v>
      </c>
      <c r="E52" s="288" t="n">
        <f aca="false">IF(I52="regional",IF(R52*0.2975,S52*0.3484),S52*0.1939)</f>
        <v>232880.3152</v>
      </c>
      <c r="F52" s="288" t="n">
        <v>0</v>
      </c>
      <c r="G52" s="289" t="n">
        <f aca="false">E52+F52</f>
        <v>232880.3152</v>
      </c>
      <c r="H52" s="286"/>
      <c r="I52" s="287" t="s">
        <v>48</v>
      </c>
      <c r="J52" s="287" t="s">
        <v>49</v>
      </c>
      <c r="K52" s="287" t="s">
        <v>105</v>
      </c>
      <c r="L52" s="287"/>
      <c r="M52" s="317" t="n">
        <v>105</v>
      </c>
      <c r="N52" s="317" t="n">
        <v>0.826</v>
      </c>
      <c r="O52" s="317" t="n">
        <v>0.845</v>
      </c>
      <c r="P52" s="317" t="n">
        <v>0.856</v>
      </c>
      <c r="Q52" s="317" t="n">
        <v>0.822</v>
      </c>
      <c r="R52" s="317" t="n">
        <v>711794</v>
      </c>
      <c r="S52" s="317" t="n">
        <v>668428</v>
      </c>
      <c r="T52" s="318" t="n">
        <f aca="false">IF(I52="regional",IF(R52&gt;0,R52*0.2975,S52*0.3484),S52*0.1939)</f>
        <v>211758.715</v>
      </c>
      <c r="U52" s="317" t="n">
        <v>435467</v>
      </c>
      <c r="V52" s="317" t="n">
        <v>232961</v>
      </c>
      <c r="W52" s="317" t="n">
        <v>3850</v>
      </c>
      <c r="X52" s="317" t="n">
        <v>0</v>
      </c>
      <c r="Y52" s="317" t="n">
        <v>0</v>
      </c>
      <c r="Z52" s="317" t="n">
        <v>0</v>
      </c>
      <c r="AA52" s="317" t="n">
        <v>880186.715</v>
      </c>
      <c r="AB52" s="317" t="n">
        <v>211758.715</v>
      </c>
      <c r="AC52" s="317" t="n">
        <v>668428</v>
      </c>
      <c r="AD52" s="317" t="n">
        <v>0</v>
      </c>
      <c r="AE52" s="317" t="n">
        <v>0</v>
      </c>
      <c r="AF52" s="317" t="n">
        <v>0</v>
      </c>
      <c r="AG52" s="317" t="n">
        <v>668428</v>
      </c>
      <c r="AH52" s="317" t="n">
        <v>0</v>
      </c>
      <c r="AI52" s="317" t="n">
        <v>0</v>
      </c>
      <c r="AJ52" s="286" t="s">
        <v>707</v>
      </c>
      <c r="AK52" s="286" t="s">
        <v>714</v>
      </c>
      <c r="AL52" s="287" t="s">
        <v>48</v>
      </c>
      <c r="AM52" s="286"/>
      <c r="AN52" s="287" t="s">
        <v>199</v>
      </c>
      <c r="AO52" s="287" t="n">
        <v>211758.715</v>
      </c>
      <c r="AP52" s="319" t="n">
        <f aca="false">AR52+AT52+AU52+AV52+AX52+AY52+AZ52+BD52+BF52+BG52+BH52+BJ52+BK52+(BL52+BM52+BN52)/1000+(0.1*BO52)</f>
        <v>226.1508</v>
      </c>
      <c r="AQ52" s="319" t="n">
        <f aca="false">AR52+AT52+AU52+AV52+AX52+AY52+AZ52+BB52+BC52+BD52+BF52+BG52+BH52+BJ52+BK52+(BL52+BM52+BN52)/1000+(0.1*BO52)</f>
        <v>243.1508</v>
      </c>
      <c r="AR52" s="285" t="n">
        <v>0</v>
      </c>
      <c r="AS52" s="285" t="n">
        <v>0</v>
      </c>
      <c r="AT52" s="285" t="n">
        <v>166</v>
      </c>
      <c r="AU52" s="285" t="n">
        <v>6</v>
      </c>
      <c r="AV52" s="285" t="n">
        <v>0</v>
      </c>
      <c r="AW52" s="285" t="n">
        <v>0</v>
      </c>
      <c r="AX52" s="285" t="n">
        <v>2</v>
      </c>
      <c r="AY52" s="285" t="n">
        <v>0</v>
      </c>
      <c r="AZ52" s="285" t="n">
        <v>0</v>
      </c>
      <c r="BA52" s="285" t="n">
        <v>0</v>
      </c>
      <c r="BB52" s="285" t="n">
        <v>14</v>
      </c>
      <c r="BC52" s="285" t="n">
        <v>3</v>
      </c>
      <c r="BD52" s="285" t="n">
        <v>0</v>
      </c>
      <c r="BE52" s="285" t="n">
        <v>0</v>
      </c>
      <c r="BF52" s="285" t="n">
        <v>0</v>
      </c>
      <c r="BG52" s="285" t="n">
        <v>0</v>
      </c>
      <c r="BH52" s="285" t="n">
        <v>0</v>
      </c>
      <c r="BI52" s="285" t="n">
        <v>0</v>
      </c>
      <c r="BJ52" s="285" t="n">
        <v>0</v>
      </c>
      <c r="BK52" s="285" t="n">
        <v>0</v>
      </c>
      <c r="BL52" s="285" t="n">
        <v>0</v>
      </c>
      <c r="BM52" s="285" t="n">
        <v>0</v>
      </c>
      <c r="BN52" s="285" t="n">
        <v>0</v>
      </c>
      <c r="BO52" s="285" t="n">
        <v>521.508</v>
      </c>
      <c r="BR52" s="290" t="n">
        <f aca="false">AR52*1000/0.072</f>
        <v>0</v>
      </c>
      <c r="BS52" s="290" t="n">
        <f aca="false">AT52*1000/0.072</f>
        <v>2305555.55555556</v>
      </c>
      <c r="BT52" s="290" t="n">
        <f aca="false">AU52*1000/0.072</f>
        <v>83333.3333333333</v>
      </c>
      <c r="BU52" s="290" t="n">
        <f aca="false">SUM(BR52:BT52)</f>
        <v>2388888.88888889</v>
      </c>
      <c r="BV52" s="290" t="n">
        <f aca="false">AV52*1000/5</f>
        <v>0</v>
      </c>
      <c r="BW52" s="290" t="n">
        <f aca="false">AX52*1000/5</f>
        <v>400</v>
      </c>
      <c r="BX52" s="290" t="n">
        <f aca="false">AY52*1000/5</f>
        <v>0</v>
      </c>
      <c r="BY52" s="290" t="n">
        <f aca="false">SUM(BV52:BX52)</f>
        <v>400</v>
      </c>
      <c r="CA52" s="290" t="n">
        <f aca="false">IF($AM52="n",0,BR52)</f>
        <v>0</v>
      </c>
      <c r="CB52" s="290" t="n">
        <f aca="false">IF($AM52="n",0,BS52)</f>
        <v>2305555.55555556</v>
      </c>
      <c r="CC52" s="290" t="n">
        <f aca="false">IF($AM52="n",0,BT52)</f>
        <v>83333.3333333333</v>
      </c>
      <c r="CD52" s="290" t="n">
        <f aca="false">SUM(CA52:CC52)</f>
        <v>2388888.88888889</v>
      </c>
      <c r="CE52" s="290" t="n">
        <f aca="false">IF($AM$2="n",0,BV52)</f>
        <v>0</v>
      </c>
      <c r="CF52" s="290" t="n">
        <f aca="false">IF($AM$2="n",0,BW52)</f>
        <v>400</v>
      </c>
      <c r="CG52" s="290" t="n">
        <f aca="false">IF($AM$2="n",0,BX52)</f>
        <v>0</v>
      </c>
      <c r="CH52" s="290" t="n">
        <f aca="false">SUM(CE52:CG52)</f>
        <v>400</v>
      </c>
    </row>
    <row r="53" customFormat="false" ht="15" hidden="false" customHeight="true" outlineLevel="0" collapsed="false">
      <c r="A53" s="285" t="n">
        <v>8185</v>
      </c>
      <c r="B53" s="285"/>
      <c r="C53" s="286" t="s">
        <v>201</v>
      </c>
      <c r="D53" s="287" t="s">
        <v>201</v>
      </c>
      <c r="E53" s="288" t="n">
        <f aca="false">IF(I53="regional",IF(R53*0.2975,S53*0.3484),S53*0.1939)</f>
        <v>350101.2372</v>
      </c>
      <c r="F53" s="288" t="n">
        <v>0</v>
      </c>
      <c r="G53" s="289" t="n">
        <f aca="false">E53+F53</f>
        <v>350101.2372</v>
      </c>
      <c r="H53" s="286"/>
      <c r="I53" s="287" t="s">
        <v>48</v>
      </c>
      <c r="J53" s="287" t="s">
        <v>49</v>
      </c>
      <c r="K53" s="287" t="s">
        <v>203</v>
      </c>
      <c r="L53" s="287"/>
      <c r="M53" s="317" t="n">
        <v>114</v>
      </c>
      <c r="N53" s="317" t="n">
        <v>0.659</v>
      </c>
      <c r="O53" s="317" t="n">
        <v>0.654</v>
      </c>
      <c r="P53" s="317" t="n">
        <v>0.86</v>
      </c>
      <c r="Q53" s="317" t="n">
        <v>0.838</v>
      </c>
      <c r="R53" s="317" t="n">
        <v>1106360</v>
      </c>
      <c r="S53" s="317" t="n">
        <v>1004883</v>
      </c>
      <c r="T53" s="318" t="n">
        <f aca="false">IF(I53="regional",IF(R53&gt;0,R53*0.2975,S53*0.3484),S53*0.1939)</f>
        <v>329142.1</v>
      </c>
      <c r="U53" s="317" t="n">
        <v>715584</v>
      </c>
      <c r="V53" s="317" t="n">
        <v>289299</v>
      </c>
      <c r="W53" s="317" t="n">
        <v>5946</v>
      </c>
      <c r="X53" s="317" t="n">
        <v>0</v>
      </c>
      <c r="Y53" s="317" t="n">
        <v>0</v>
      </c>
      <c r="Z53" s="317" t="n">
        <v>0</v>
      </c>
      <c r="AA53" s="317" t="n">
        <v>1334025.1</v>
      </c>
      <c r="AB53" s="317" t="n">
        <v>329142.1</v>
      </c>
      <c r="AC53" s="317" t="n">
        <v>1004883</v>
      </c>
      <c r="AD53" s="317" t="n">
        <v>0</v>
      </c>
      <c r="AE53" s="317" t="n">
        <v>0</v>
      </c>
      <c r="AF53" s="317" t="n">
        <v>0</v>
      </c>
      <c r="AG53" s="317" t="n">
        <v>1004883</v>
      </c>
      <c r="AH53" s="317" t="n">
        <v>0</v>
      </c>
      <c r="AI53" s="317" t="n">
        <v>0</v>
      </c>
      <c r="AJ53" s="286" t="n">
        <v>4</v>
      </c>
      <c r="AK53" s="286" t="s">
        <v>724</v>
      </c>
      <c r="AL53" s="287" t="s">
        <v>48</v>
      </c>
      <c r="AM53" s="286"/>
      <c r="AN53" s="287" t="s">
        <v>201</v>
      </c>
      <c r="AO53" s="287" t="n">
        <v>329142.1</v>
      </c>
      <c r="AP53" s="319" t="n">
        <f aca="false">AR53+AT53+AU53+AV53+AX53+AY53+AZ53+BD53+BF53+BG53+BH53+BJ53+BK53+(BL53+BM53+BN53)/1000+(0.1*BO53)</f>
        <v>316</v>
      </c>
      <c r="AQ53" s="319" t="n">
        <f aca="false">AR53+AT53+AU53+AV53+AX53+AY53+AZ53+BB53+BC53+BD53+BF53+BG53+BH53+BJ53+BK53+(BL53+BM53+BN53)/1000+(0.1*BO53)</f>
        <v>367</v>
      </c>
      <c r="AR53" s="285" t="n">
        <v>0</v>
      </c>
      <c r="AS53" s="285" t="n">
        <v>0</v>
      </c>
      <c r="AT53" s="285" t="n">
        <v>295</v>
      </c>
      <c r="AU53" s="285" t="n">
        <v>3</v>
      </c>
      <c r="AV53" s="285" t="n">
        <v>0</v>
      </c>
      <c r="AW53" s="285" t="n">
        <v>0</v>
      </c>
      <c r="AX53" s="285" t="n">
        <v>18</v>
      </c>
      <c r="AY53" s="285" t="n">
        <v>0</v>
      </c>
      <c r="AZ53" s="285" t="n">
        <v>0</v>
      </c>
      <c r="BA53" s="285" t="n">
        <v>0</v>
      </c>
      <c r="BB53" s="285" t="n">
        <v>51</v>
      </c>
      <c r="BC53" s="285" t="n">
        <v>0</v>
      </c>
      <c r="BD53" s="285" t="n">
        <v>0</v>
      </c>
      <c r="BE53" s="285" t="n">
        <v>0</v>
      </c>
      <c r="BF53" s="285" t="n">
        <v>0</v>
      </c>
      <c r="BG53" s="285" t="n">
        <v>0</v>
      </c>
      <c r="BH53" s="285" t="n">
        <v>0</v>
      </c>
      <c r="BI53" s="285" t="n">
        <v>0</v>
      </c>
      <c r="BJ53" s="285" t="n">
        <v>0</v>
      </c>
      <c r="BK53" s="285" t="n">
        <v>0</v>
      </c>
      <c r="BL53" s="285" t="n">
        <v>0</v>
      </c>
      <c r="BM53" s="285" t="n">
        <v>0</v>
      </c>
      <c r="BN53" s="285" t="n">
        <v>0</v>
      </c>
      <c r="BO53" s="285" t="n">
        <v>0</v>
      </c>
      <c r="BR53" s="290" t="n">
        <f aca="false">AR53*1000/0.072</f>
        <v>0</v>
      </c>
      <c r="BS53" s="290" t="n">
        <f aca="false">AT53*1000/0.072</f>
        <v>4097222.22222222</v>
      </c>
      <c r="BT53" s="290" t="n">
        <f aca="false">AU53*1000/0.072</f>
        <v>41666.6666666667</v>
      </c>
      <c r="BU53" s="290" t="n">
        <f aca="false">SUM(BR53:BT53)</f>
        <v>4138888.88888889</v>
      </c>
      <c r="BV53" s="290" t="n">
        <f aca="false">AV53*1000/5</f>
        <v>0</v>
      </c>
      <c r="BW53" s="290" t="n">
        <f aca="false">AX53*1000/5</f>
        <v>3600</v>
      </c>
      <c r="BX53" s="290" t="n">
        <f aca="false">AY53*1000/5</f>
        <v>0</v>
      </c>
      <c r="BY53" s="290" t="n">
        <f aca="false">SUM(BV53:BX53)</f>
        <v>3600</v>
      </c>
      <c r="CA53" s="290" t="n">
        <f aca="false">IF($AM53="n",0,BR53)</f>
        <v>0</v>
      </c>
      <c r="CB53" s="290" t="n">
        <f aca="false">IF($AM53="n",0,BS53)</f>
        <v>4097222.22222222</v>
      </c>
      <c r="CC53" s="290" t="n">
        <f aca="false">IF($AM53="n",0,BT53)</f>
        <v>41666.6666666667</v>
      </c>
      <c r="CD53" s="290" t="n">
        <f aca="false">SUM(CA53:CC53)</f>
        <v>4138888.88888889</v>
      </c>
      <c r="CE53" s="290" t="n">
        <f aca="false">IF($AM$2="n",0,BV53)</f>
        <v>0</v>
      </c>
      <c r="CF53" s="290" t="n">
        <f aca="false">IF($AM$2="n",0,BW53)</f>
        <v>3600</v>
      </c>
      <c r="CG53" s="290" t="n">
        <f aca="false">IF($AM$2="n",0,BX53)</f>
        <v>0</v>
      </c>
      <c r="CH53" s="290" t="n">
        <f aca="false">SUM(CE53:CG53)</f>
        <v>3600</v>
      </c>
    </row>
    <row r="54" customFormat="false" ht="15" hidden="false" customHeight="true" outlineLevel="0" collapsed="false">
      <c r="A54" s="285" t="n">
        <v>914</v>
      </c>
      <c r="B54" s="285"/>
      <c r="C54" s="286" t="s">
        <v>204</v>
      </c>
      <c r="D54" s="287" t="s">
        <v>204</v>
      </c>
      <c r="E54" s="288" t="n">
        <f aca="false">IF(I54="regional",IF(R54*0.2975,S54*0.3484),S54*0.1939)</f>
        <v>0</v>
      </c>
      <c r="F54" s="288" t="n">
        <v>411697</v>
      </c>
      <c r="G54" s="289" t="n">
        <f aca="false">E54+F54</f>
        <v>411697</v>
      </c>
      <c r="H54" s="286"/>
      <c r="I54" s="287" t="s">
        <v>48</v>
      </c>
      <c r="J54" s="287" t="s">
        <v>49</v>
      </c>
      <c r="K54" s="287" t="s">
        <v>205</v>
      </c>
      <c r="L54" s="287" t="s">
        <v>44</v>
      </c>
      <c r="M54" s="317" t="n">
        <v>63</v>
      </c>
      <c r="N54" s="317" t="n">
        <v>0.74</v>
      </c>
      <c r="O54" s="317" t="n">
        <v>0.743</v>
      </c>
      <c r="P54" s="317" t="n">
        <v>0.783</v>
      </c>
      <c r="Q54" s="317" t="n">
        <v>0.835</v>
      </c>
      <c r="R54" s="317" t="n">
        <v>0</v>
      </c>
      <c r="S54" s="317" t="n">
        <v>452535</v>
      </c>
      <c r="T54" s="318" t="n">
        <f aca="false">IF(I54="regional",IF(R54&gt;0,R54*0.2975,S54*0.3484),S54*0.1939)</f>
        <v>157663.194</v>
      </c>
      <c r="U54" s="317" t="n">
        <v>242442</v>
      </c>
      <c r="V54" s="317" t="n">
        <v>210093</v>
      </c>
      <c r="W54" s="317" t="n">
        <v>2500</v>
      </c>
      <c r="X54" s="317" t="n">
        <v>569360.194</v>
      </c>
      <c r="Y54" s="317" t="n">
        <v>157663.194</v>
      </c>
      <c r="Z54" s="317" t="n">
        <v>411697</v>
      </c>
      <c r="AA54" s="317" t="n">
        <v>40838</v>
      </c>
      <c r="AB54" s="317" t="n">
        <v>0</v>
      </c>
      <c r="AC54" s="317" t="n">
        <v>40838</v>
      </c>
      <c r="AD54" s="317" t="n">
        <v>0</v>
      </c>
      <c r="AE54" s="317" t="n">
        <v>411697</v>
      </c>
      <c r="AF54" s="317" t="n">
        <v>0</v>
      </c>
      <c r="AG54" s="317" t="n">
        <v>40838</v>
      </c>
      <c r="AH54" s="317" t="n">
        <v>0</v>
      </c>
      <c r="AI54" s="317" t="n">
        <v>0</v>
      </c>
      <c r="AJ54" s="286" t="n">
        <v>4</v>
      </c>
      <c r="AK54" s="286" t="s">
        <v>720</v>
      </c>
      <c r="AL54" s="287" t="s">
        <v>62</v>
      </c>
      <c r="AM54" s="286"/>
      <c r="AN54" s="287" t="s">
        <v>204</v>
      </c>
      <c r="AO54" s="287" t="n">
        <v>569360.194</v>
      </c>
      <c r="AP54" s="319" t="n">
        <f aca="false">AR54+AT54+AU54+AV54+AX54+AY54+AZ54+BD54+BF54+BG54+BH54+BJ54+BK54+(BL54+BM54+BN54)/1000+(0.1*BO54)</f>
        <v>371</v>
      </c>
      <c r="AQ54" s="319" t="n">
        <f aca="false">AR54+AT54+AU54+AV54+AX54+AY54+AZ54+BB54+BC54+BD54+BF54+BG54+BH54+BJ54+BK54+(BL54+BM54+BN54)/1000+(0.1*BO54)</f>
        <v>383</v>
      </c>
      <c r="AR54" s="285" t="n">
        <v>120</v>
      </c>
      <c r="AS54" s="285" t="n">
        <v>0</v>
      </c>
      <c r="AT54" s="285" t="n">
        <v>47</v>
      </c>
      <c r="AU54" s="285" t="n">
        <v>26</v>
      </c>
      <c r="AV54" s="285" t="n">
        <v>32</v>
      </c>
      <c r="AW54" s="285" t="n">
        <v>4</v>
      </c>
      <c r="AX54" s="285" t="n">
        <v>0</v>
      </c>
      <c r="AY54" s="285" t="n">
        <v>0</v>
      </c>
      <c r="AZ54" s="285" t="n">
        <v>6</v>
      </c>
      <c r="BA54" s="285" t="n">
        <v>0</v>
      </c>
      <c r="BB54" s="285" t="n">
        <v>9</v>
      </c>
      <c r="BC54" s="285" t="n">
        <v>3</v>
      </c>
      <c r="BD54" s="285" t="n">
        <v>35</v>
      </c>
      <c r="BE54" s="285" t="n">
        <v>0</v>
      </c>
      <c r="BF54" s="285" t="n">
        <v>0</v>
      </c>
      <c r="BG54" s="285" t="n">
        <v>0</v>
      </c>
      <c r="BH54" s="285" t="n">
        <v>105</v>
      </c>
      <c r="BI54" s="285" t="n">
        <v>0</v>
      </c>
      <c r="BJ54" s="285" t="n">
        <v>0</v>
      </c>
      <c r="BK54" s="285" t="n">
        <v>0</v>
      </c>
      <c r="BL54" s="285" t="n">
        <v>0</v>
      </c>
      <c r="BM54" s="285" t="n">
        <v>0</v>
      </c>
      <c r="BN54" s="285" t="n">
        <v>0</v>
      </c>
      <c r="BO54" s="285" t="n">
        <v>0</v>
      </c>
      <c r="BR54" s="290" t="n">
        <f aca="false">AR54*1000/0.072</f>
        <v>1666666.66666667</v>
      </c>
      <c r="BS54" s="290" t="n">
        <f aca="false">AT54*1000/0.072</f>
        <v>652777.777777778</v>
      </c>
      <c r="BT54" s="290" t="n">
        <f aca="false">AU54*1000/0.072</f>
        <v>361111.111111111</v>
      </c>
      <c r="BU54" s="290" t="n">
        <f aca="false">SUM(BR54:BT54)</f>
        <v>2680555.55555556</v>
      </c>
      <c r="BV54" s="290" t="n">
        <f aca="false">AV54*1000/5</f>
        <v>6400</v>
      </c>
      <c r="BW54" s="290" t="n">
        <f aca="false">AX54*1000/5</f>
        <v>0</v>
      </c>
      <c r="BX54" s="290" t="n">
        <f aca="false">AY54*1000/5</f>
        <v>0</v>
      </c>
      <c r="BY54" s="290" t="n">
        <f aca="false">SUM(BV54:BX54)</f>
        <v>6400</v>
      </c>
      <c r="CA54" s="290" t="n">
        <f aca="false">IF($AM54="n",0,BR54)</f>
        <v>1666666.66666667</v>
      </c>
      <c r="CB54" s="290" t="n">
        <f aca="false">IF($AM54="n",0,BS54)</f>
        <v>652777.777777778</v>
      </c>
      <c r="CC54" s="290" t="n">
        <f aca="false">IF($AM54="n",0,BT54)</f>
        <v>361111.111111111</v>
      </c>
      <c r="CD54" s="290" t="n">
        <f aca="false">SUM(CA54:CC54)</f>
        <v>2680555.55555556</v>
      </c>
      <c r="CE54" s="290" t="n">
        <f aca="false">IF($AM$2="n",0,BV54)</f>
        <v>6400</v>
      </c>
      <c r="CF54" s="290" t="n">
        <f aca="false">IF($AM$2="n",0,BW54)</f>
        <v>0</v>
      </c>
      <c r="CG54" s="290" t="n">
        <f aca="false">IF($AM$2="n",0,BX54)</f>
        <v>0</v>
      </c>
      <c r="CH54" s="290" t="n">
        <f aca="false">SUM(CE54:CG54)</f>
        <v>6400</v>
      </c>
    </row>
    <row r="55" customFormat="false" ht="15" hidden="false" customHeight="true" outlineLevel="0" collapsed="false">
      <c r="A55" s="285" t="n">
        <v>3937</v>
      </c>
      <c r="B55" s="285" t="s">
        <v>44</v>
      </c>
      <c r="C55" s="286" t="s">
        <v>206</v>
      </c>
      <c r="D55" s="287" t="s">
        <v>206</v>
      </c>
      <c r="E55" s="288" t="n">
        <f aca="false">IF(I55="regional",IF(R55*0.2975,S55*0.3484),S55*0.1939)</f>
        <v>241887.8488</v>
      </c>
      <c r="F55" s="288" t="n">
        <v>488909</v>
      </c>
      <c r="G55" s="289" t="n">
        <f aca="false">E55+F55</f>
        <v>730796.8488</v>
      </c>
      <c r="H55" s="286"/>
      <c r="I55" s="287" t="s">
        <v>48</v>
      </c>
      <c r="J55" s="287" t="s">
        <v>44</v>
      </c>
      <c r="K55" s="287" t="s">
        <v>209</v>
      </c>
      <c r="L55" s="287" t="s">
        <v>44</v>
      </c>
      <c r="M55" s="317" t="n">
        <v>106</v>
      </c>
      <c r="N55" s="317" t="n">
        <v>0.731</v>
      </c>
      <c r="O55" s="317" t="n">
        <v>0.748</v>
      </c>
      <c r="P55" s="317" t="n">
        <v>0.733</v>
      </c>
      <c r="Q55" s="317" t="n">
        <v>0.849</v>
      </c>
      <c r="R55" s="317" t="n">
        <v>929007</v>
      </c>
      <c r="S55" s="317" t="n">
        <v>694282</v>
      </c>
      <c r="T55" s="318" t="n">
        <f aca="false">IF(I55="regional",IF(R55&gt;0,R55*0.2975,S55*0.3484),S55*0.1939)</f>
        <v>276379.5825</v>
      </c>
      <c r="U55" s="317" t="n">
        <v>452877</v>
      </c>
      <c r="V55" s="317" t="n">
        <v>241405</v>
      </c>
      <c r="W55" s="317" t="n">
        <v>5000</v>
      </c>
      <c r="X55" s="317" t="n">
        <v>765288.5825</v>
      </c>
      <c r="Y55" s="317" t="n">
        <v>276379.5825</v>
      </c>
      <c r="Z55" s="317" t="n">
        <v>488909</v>
      </c>
      <c r="AA55" s="317" t="n">
        <v>205373</v>
      </c>
      <c r="AB55" s="317" t="n">
        <v>0</v>
      </c>
      <c r="AC55" s="317" t="n">
        <v>205373</v>
      </c>
      <c r="AD55" s="317" t="n">
        <v>488909</v>
      </c>
      <c r="AE55" s="317" t="n">
        <v>0</v>
      </c>
      <c r="AF55" s="317" t="n">
        <v>205373</v>
      </c>
      <c r="AG55" s="317" t="n">
        <v>0</v>
      </c>
      <c r="AH55" s="317" t="n">
        <v>193000</v>
      </c>
      <c r="AI55" s="317" t="n">
        <v>181000</v>
      </c>
      <c r="AJ55" s="286" t="s">
        <v>707</v>
      </c>
      <c r="AK55" s="286" t="s">
        <v>729</v>
      </c>
      <c r="AL55" s="287" t="s">
        <v>48</v>
      </c>
      <c r="AM55" s="286"/>
      <c r="AN55" s="287" t="s">
        <v>206</v>
      </c>
      <c r="AO55" s="287" t="n">
        <v>765288.5825</v>
      </c>
      <c r="AP55" s="319" t="n">
        <f aca="false">AR55+AT55+AU55+AV55+AX55+AY55+AZ55+BD55+BF55+BG55+BH55+BJ55+BK55+(BL55+BM55+BN55)/1000+(0.1*BO55)</f>
        <v>605.477994</v>
      </c>
      <c r="AQ55" s="319" t="n">
        <f aca="false">AR55+AT55+AU55+AV55+AX55+AY55+AZ55+BB55+BC55+BD55+BF55+BG55+BH55+BJ55+BK55+(BL55+BM55+BN55)/1000+(0.1*BO55)</f>
        <v>723.477994</v>
      </c>
      <c r="AR55" s="285" t="n">
        <v>121</v>
      </c>
      <c r="AS55" s="285" t="n">
        <v>181</v>
      </c>
      <c r="AT55" s="285" t="n">
        <v>81</v>
      </c>
      <c r="AU55" s="285" t="n">
        <v>6</v>
      </c>
      <c r="AV55" s="285" t="n">
        <v>202</v>
      </c>
      <c r="AW55" s="285" t="n">
        <v>7</v>
      </c>
      <c r="AX55" s="285" t="n">
        <v>0</v>
      </c>
      <c r="AY55" s="285" t="n">
        <v>0</v>
      </c>
      <c r="AZ55" s="285" t="n">
        <v>18</v>
      </c>
      <c r="BA55" s="285" t="n">
        <v>27</v>
      </c>
      <c r="BB55" s="285" t="n">
        <v>118</v>
      </c>
      <c r="BC55" s="285" t="n">
        <v>0</v>
      </c>
      <c r="BD55" s="285" t="n">
        <v>54</v>
      </c>
      <c r="BE55" s="285" t="n">
        <v>0</v>
      </c>
      <c r="BF55" s="285" t="n">
        <v>0</v>
      </c>
      <c r="BG55" s="285" t="n">
        <v>0</v>
      </c>
      <c r="BH55" s="285" t="n">
        <v>114</v>
      </c>
      <c r="BI55" s="285" t="n">
        <v>0</v>
      </c>
      <c r="BJ55" s="285" t="n">
        <v>0</v>
      </c>
      <c r="BK55" s="285" t="n">
        <v>0</v>
      </c>
      <c r="BL55" s="285" t="n">
        <v>0</v>
      </c>
      <c r="BM55" s="285" t="n">
        <v>0</v>
      </c>
      <c r="BN55" s="285" t="n">
        <v>0</v>
      </c>
      <c r="BO55" s="285" t="n">
        <v>94.77994</v>
      </c>
      <c r="BR55" s="290" t="n">
        <f aca="false">AR55*1000/0.072</f>
        <v>1680555.55555556</v>
      </c>
      <c r="BS55" s="290" t="n">
        <f aca="false">AT55*1000/0.072</f>
        <v>1125000</v>
      </c>
      <c r="BT55" s="290" t="n">
        <f aca="false">AU55*1000/0.072</f>
        <v>83333.3333333333</v>
      </c>
      <c r="BU55" s="290" t="n">
        <f aca="false">SUM(BR55:BT55)</f>
        <v>2888888.88888889</v>
      </c>
      <c r="BV55" s="290" t="n">
        <f aca="false">AV55*1000/5</f>
        <v>40400</v>
      </c>
      <c r="BW55" s="290" t="n">
        <f aca="false">AX55*1000/5</f>
        <v>0</v>
      </c>
      <c r="BX55" s="290" t="n">
        <f aca="false">AY55*1000/5</f>
        <v>0</v>
      </c>
      <c r="BY55" s="290" t="n">
        <f aca="false">SUM(BV55:BX55)</f>
        <v>40400</v>
      </c>
      <c r="CA55" s="290" t="n">
        <f aca="false">IF($AM55="n",0,BR55)</f>
        <v>1680555.55555556</v>
      </c>
      <c r="CB55" s="290" t="n">
        <f aca="false">IF($AM55="n",0,BS55)</f>
        <v>1125000</v>
      </c>
      <c r="CC55" s="290" t="n">
        <f aca="false">IF($AM55="n",0,BT55)</f>
        <v>83333.3333333333</v>
      </c>
      <c r="CD55" s="290" t="n">
        <f aca="false">SUM(CA55:CC55)</f>
        <v>2888888.88888889</v>
      </c>
      <c r="CE55" s="290" t="n">
        <f aca="false">IF($AM$2="n",0,BV55)</f>
        <v>40400</v>
      </c>
      <c r="CF55" s="290" t="n">
        <f aca="false">IF($AM$2="n",0,BW55)</f>
        <v>0</v>
      </c>
      <c r="CG55" s="290" t="n">
        <f aca="false">IF($AM$2="n",0,BX55)</f>
        <v>0</v>
      </c>
      <c r="CH55" s="290" t="n">
        <f aca="false">SUM(CE55:CG55)</f>
        <v>40400</v>
      </c>
    </row>
    <row r="56" customFormat="false" ht="15" hidden="false" customHeight="true" outlineLevel="0" collapsed="false">
      <c r="A56" s="285" t="n">
        <v>4773</v>
      </c>
      <c r="B56" s="285" t="s">
        <v>44</v>
      </c>
      <c r="C56" s="286" t="s">
        <v>210</v>
      </c>
      <c r="D56" s="287" t="s">
        <v>210</v>
      </c>
      <c r="E56" s="288" t="n">
        <f aca="false">IF(I56="regional",IF(R56*0.2975,S56*0.3484),S56*0.1939)</f>
        <v>338518.6792</v>
      </c>
      <c r="F56" s="288" t="n">
        <v>0</v>
      </c>
      <c r="G56" s="289" t="n">
        <f aca="false">E56+F56</f>
        <v>338518.6792</v>
      </c>
      <c r="H56" s="286" t="s">
        <v>49</v>
      </c>
      <c r="I56" s="287" t="s">
        <v>48</v>
      </c>
      <c r="J56" s="287" t="s">
        <v>44</v>
      </c>
      <c r="K56" s="287" t="s">
        <v>212</v>
      </c>
      <c r="L56" s="287"/>
      <c r="M56" s="317" t="n">
        <v>125</v>
      </c>
      <c r="N56" s="317" t="n">
        <v>0.881</v>
      </c>
      <c r="O56" s="317" t="n">
        <v>0.891</v>
      </c>
      <c r="P56" s="317" t="n">
        <v>0.925</v>
      </c>
      <c r="Q56" s="317" t="n">
        <v>0.952</v>
      </c>
      <c r="R56" s="317" t="n">
        <v>1011912</v>
      </c>
      <c r="S56" s="317" t="n">
        <v>971638</v>
      </c>
      <c r="T56" s="318" t="n">
        <f aca="false">IF(I56="regional",IF(R56&gt;0,R56*0.2975,S56*0.3484),S56*0.1939)</f>
        <v>301043.82</v>
      </c>
      <c r="U56" s="317" t="n">
        <v>541264</v>
      </c>
      <c r="V56" s="317" t="n">
        <v>430374</v>
      </c>
      <c r="W56" s="317" t="n">
        <v>5075</v>
      </c>
      <c r="X56" s="317" t="n">
        <v>0</v>
      </c>
      <c r="Y56" s="317" t="n">
        <v>0</v>
      </c>
      <c r="Z56" s="317" t="n">
        <v>0</v>
      </c>
      <c r="AA56" s="317" t="n">
        <v>1272681.82</v>
      </c>
      <c r="AB56" s="317" t="n">
        <v>301043.82</v>
      </c>
      <c r="AC56" s="317" t="n">
        <v>971638</v>
      </c>
      <c r="AD56" s="317" t="n">
        <v>0</v>
      </c>
      <c r="AE56" s="317" t="n">
        <v>0</v>
      </c>
      <c r="AF56" s="317" t="n">
        <v>971638</v>
      </c>
      <c r="AG56" s="317" t="n">
        <v>0</v>
      </c>
      <c r="AH56" s="317" t="n">
        <v>634000</v>
      </c>
      <c r="AI56" s="317" t="n">
        <v>453000</v>
      </c>
      <c r="AJ56" s="286" t="n">
        <v>4</v>
      </c>
      <c r="AK56" s="286" t="s">
        <v>720</v>
      </c>
      <c r="AL56" s="287" t="s">
        <v>48</v>
      </c>
      <c r="AM56" s="286" t="s">
        <v>49</v>
      </c>
      <c r="AN56" s="287" t="s">
        <v>210</v>
      </c>
      <c r="AO56" s="287" t="n">
        <v>301043.82</v>
      </c>
      <c r="AP56" s="319" t="n">
        <f aca="false">AR56+AT56+AU56+AV56+AX56+AY56+AZ56+BD56+BF56+BG56+BH56+BJ56+BK56+(BL56+BM56+BN56)/1000+(0.1*BO56)</f>
        <v>298.648</v>
      </c>
      <c r="AQ56" s="319" t="n">
        <f aca="false">AR56+AT56+AU56+AV56+AX56+AY56+AZ56+BB56+BC56+BD56+BF56+BG56+BH56+BJ56+BK56+(BL56+BM56+BN56)/1000+(0.1*BO56)</f>
        <v>311.648</v>
      </c>
      <c r="AR56" s="285" t="n">
        <v>71</v>
      </c>
      <c r="AS56" s="285" t="n">
        <v>453</v>
      </c>
      <c r="AT56" s="285" t="n">
        <v>133</v>
      </c>
      <c r="AU56" s="285" t="n">
        <v>0</v>
      </c>
      <c r="AV56" s="285" t="n">
        <v>0</v>
      </c>
      <c r="AW56" s="285" t="n">
        <v>23</v>
      </c>
      <c r="AX56" s="285" t="n">
        <v>5</v>
      </c>
      <c r="AY56" s="285" t="n">
        <v>0</v>
      </c>
      <c r="AZ56" s="285" t="n">
        <v>0</v>
      </c>
      <c r="BA56" s="285" t="n">
        <v>26</v>
      </c>
      <c r="BB56" s="285" t="n">
        <v>13</v>
      </c>
      <c r="BC56" s="285" t="n">
        <v>0</v>
      </c>
      <c r="BD56" s="285" t="n">
        <v>0</v>
      </c>
      <c r="BE56" s="285" t="n">
        <v>0</v>
      </c>
      <c r="BF56" s="285" t="n">
        <v>0</v>
      </c>
      <c r="BG56" s="285" t="n">
        <v>0</v>
      </c>
      <c r="BH56" s="285" t="n">
        <v>0</v>
      </c>
      <c r="BI56" s="285" t="n">
        <v>3</v>
      </c>
      <c r="BJ56" s="285" t="n">
        <v>0</v>
      </c>
      <c r="BK56" s="285" t="n">
        <v>0</v>
      </c>
      <c r="BL56" s="285" t="n">
        <v>44824</v>
      </c>
      <c r="BM56" s="285" t="n">
        <v>0</v>
      </c>
      <c r="BN56" s="285" t="n">
        <v>44824</v>
      </c>
      <c r="BO56" s="285" t="n">
        <v>0</v>
      </c>
      <c r="BR56" s="290" t="n">
        <f aca="false">AR56*1000/0.072</f>
        <v>986111.111111111</v>
      </c>
      <c r="BS56" s="290" t="n">
        <f aca="false">AT56*1000/0.072</f>
        <v>1847222.22222222</v>
      </c>
      <c r="BT56" s="290" t="n">
        <f aca="false">AU56*1000/0.072</f>
        <v>0</v>
      </c>
      <c r="BU56" s="290" t="n">
        <f aca="false">SUM(BR56:BT56)</f>
        <v>2833333.33333333</v>
      </c>
      <c r="BV56" s="290" t="n">
        <f aca="false">AV56*1000/5</f>
        <v>0</v>
      </c>
      <c r="BW56" s="290" t="n">
        <f aca="false">AX56*1000/5</f>
        <v>1000</v>
      </c>
      <c r="BX56" s="290" t="n">
        <f aca="false">AY56*1000/5</f>
        <v>0</v>
      </c>
      <c r="BY56" s="290" t="n">
        <f aca="false">SUM(BV56:BX56)</f>
        <v>1000</v>
      </c>
      <c r="CA56" s="290" t="n">
        <f aca="false">IF($AM56="n",0,BR56)</f>
        <v>0</v>
      </c>
      <c r="CB56" s="290" t="n">
        <f aca="false">IF($AM56="n",0,BS56)</f>
        <v>0</v>
      </c>
      <c r="CC56" s="290" t="n">
        <f aca="false">IF($AM56="n",0,BT56)</f>
        <v>0</v>
      </c>
      <c r="CD56" s="290" t="n">
        <f aca="false">SUM(CA56:CC56)</f>
        <v>0</v>
      </c>
      <c r="CE56" s="290" t="n">
        <f aca="false">IF($AM$2="n",0,BV56)</f>
        <v>0</v>
      </c>
      <c r="CF56" s="290" t="n">
        <f aca="false">IF($AM$2="n",0,BW56)</f>
        <v>1000</v>
      </c>
      <c r="CG56" s="290" t="n">
        <f aca="false">IF($AM$2="n",0,BX56)</f>
        <v>0</v>
      </c>
      <c r="CH56" s="290" t="n">
        <f aca="false">SUM(CE56:CG56)</f>
        <v>1000</v>
      </c>
      <c r="CJ56" s="324"/>
      <c r="CK56" s="324"/>
      <c r="CL56" s="324"/>
      <c r="CM56" s="324"/>
      <c r="CN56" s="324"/>
      <c r="CO56" s="324"/>
      <c r="CP56" s="324"/>
      <c r="CQ56" s="324"/>
      <c r="CR56" s="324"/>
      <c r="CS56" s="324"/>
      <c r="CT56" s="324"/>
      <c r="CU56" s="324"/>
      <c r="CV56" s="324"/>
      <c r="CW56" s="324"/>
      <c r="CX56" s="324"/>
      <c r="CY56" s="324"/>
      <c r="CZ56" s="324"/>
      <c r="DA56" s="324"/>
      <c r="DB56" s="324"/>
      <c r="DC56" s="324"/>
      <c r="DD56" s="324"/>
      <c r="DE56" s="324"/>
      <c r="DF56" s="324"/>
      <c r="DG56" s="324"/>
      <c r="DH56" s="324"/>
      <c r="DI56" s="324"/>
      <c r="DJ56" s="324"/>
      <c r="DK56" s="324"/>
      <c r="DL56" s="324"/>
      <c r="DM56" s="324"/>
      <c r="DN56" s="324"/>
      <c r="DO56" s="324"/>
      <c r="DP56" s="324"/>
      <c r="DQ56" s="324"/>
      <c r="DR56" s="324"/>
      <c r="DS56" s="324"/>
      <c r="DT56" s="324"/>
      <c r="DU56" s="324"/>
      <c r="DV56" s="324"/>
      <c r="DW56" s="324"/>
      <c r="DX56" s="324"/>
      <c r="DY56" s="324"/>
      <c r="DZ56" s="324"/>
      <c r="EA56" s="324"/>
      <c r="EB56" s="324"/>
      <c r="EC56" s="324"/>
      <c r="ED56" s="324"/>
      <c r="EE56" s="324"/>
      <c r="EF56" s="324"/>
      <c r="EG56" s="324"/>
      <c r="EH56" s="324"/>
      <c r="EI56" s="324"/>
      <c r="EJ56" s="324"/>
      <c r="EK56" s="324"/>
      <c r="EL56" s="324"/>
      <c r="EM56" s="324"/>
      <c r="EN56" s="324"/>
      <c r="EO56" s="324"/>
      <c r="EP56" s="324"/>
      <c r="EQ56" s="324"/>
      <c r="ER56" s="324"/>
      <c r="ES56" s="324"/>
      <c r="ET56" s="324"/>
      <c r="EU56" s="324"/>
      <c r="EV56" s="324"/>
      <c r="EW56" s="324"/>
      <c r="EX56" s="324"/>
      <c r="EY56" s="324"/>
      <c r="EZ56" s="324"/>
      <c r="FA56" s="324"/>
      <c r="FB56" s="324"/>
      <c r="FC56" s="324"/>
      <c r="FD56" s="324"/>
      <c r="FE56" s="324"/>
      <c r="FF56" s="324"/>
      <c r="FG56" s="324"/>
      <c r="FH56" s="324"/>
      <c r="FI56" s="324"/>
      <c r="FJ56" s="324"/>
      <c r="FK56" s="324"/>
      <c r="FL56" s="324"/>
      <c r="FM56" s="324"/>
      <c r="FN56" s="324"/>
      <c r="FO56" s="324"/>
      <c r="FP56" s="324"/>
      <c r="FQ56" s="324"/>
      <c r="FR56" s="324"/>
      <c r="FS56" s="324"/>
      <c r="FT56" s="324"/>
      <c r="FU56" s="324"/>
      <c r="FV56" s="324"/>
      <c r="FW56" s="324"/>
      <c r="FX56" s="324"/>
      <c r="FY56" s="324"/>
      <c r="FZ56" s="324"/>
      <c r="GA56" s="324"/>
      <c r="GB56" s="324"/>
      <c r="GC56" s="324"/>
      <c r="GD56" s="324"/>
      <c r="GE56" s="324"/>
      <c r="GF56" s="324"/>
      <c r="GG56" s="324"/>
      <c r="GH56" s="324"/>
      <c r="GI56" s="324"/>
      <c r="GJ56" s="324"/>
      <c r="GK56" s="324"/>
      <c r="GL56" s="324"/>
      <c r="GM56" s="324"/>
      <c r="GN56" s="324"/>
      <c r="GO56" s="324"/>
      <c r="GP56" s="324"/>
      <c r="GQ56" s="324"/>
      <c r="GR56" s="324"/>
      <c r="GS56" s="324"/>
      <c r="GT56" s="324"/>
      <c r="GU56" s="324"/>
      <c r="GV56" s="324"/>
      <c r="GW56" s="324"/>
      <c r="GX56" s="324"/>
    </row>
    <row r="57" customFormat="false" ht="15" hidden="false" customHeight="true" outlineLevel="0" collapsed="false">
      <c r="A57" s="285" t="n">
        <v>918</v>
      </c>
      <c r="B57" s="285"/>
      <c r="C57" s="286" t="s">
        <v>213</v>
      </c>
      <c r="D57" s="287" t="s">
        <v>213</v>
      </c>
      <c r="E57" s="288" t="n">
        <f aca="false">IF(I57="regional",IF(R57*0.2975,S57*0.3484),S57*0.1939)</f>
        <v>36891.6079</v>
      </c>
      <c r="F57" s="288" t="n">
        <v>0</v>
      </c>
      <c r="G57" s="289" t="n">
        <f aca="false">E57+F57</f>
        <v>36891.6079</v>
      </c>
      <c r="H57" s="286"/>
      <c r="I57" s="287" t="s">
        <v>62</v>
      </c>
      <c r="J57" s="287"/>
      <c r="K57" s="287" t="s">
        <v>214</v>
      </c>
      <c r="L57" s="287"/>
      <c r="M57" s="317" t="n">
        <v>8</v>
      </c>
      <c r="N57" s="317" t="n">
        <v>0.935</v>
      </c>
      <c r="O57" s="317" t="n">
        <v>0.935</v>
      </c>
      <c r="P57" s="317" t="n">
        <v>0.935</v>
      </c>
      <c r="Q57" s="317" t="n">
        <v>0.856</v>
      </c>
      <c r="R57" s="317" t="n">
        <v>0</v>
      </c>
      <c r="S57" s="317" t="n">
        <v>190261</v>
      </c>
      <c r="T57" s="318" t="n">
        <f aca="false">IF(I57="regional",IF(R57&gt;0,R57*0.2975,S57*0.3484),S57*0.1939)</f>
        <v>36891.6079</v>
      </c>
      <c r="U57" s="317" t="n">
        <v>152451</v>
      </c>
      <c r="V57" s="317" t="n">
        <v>37810</v>
      </c>
      <c r="W57" s="317" t="n">
        <v>950</v>
      </c>
      <c r="X57" s="317" t="n">
        <v>0</v>
      </c>
      <c r="Y57" s="317" t="n">
        <v>0</v>
      </c>
      <c r="Z57" s="317" t="n">
        <v>0</v>
      </c>
      <c r="AA57" s="317" t="n">
        <v>227152.6079</v>
      </c>
      <c r="AB57" s="317" t="n">
        <v>36891.6079</v>
      </c>
      <c r="AC57" s="317" t="n">
        <v>190261</v>
      </c>
      <c r="AD57" s="317" t="n">
        <v>0</v>
      </c>
      <c r="AE57" s="317" t="n">
        <v>0</v>
      </c>
      <c r="AF57" s="317" t="n">
        <v>0</v>
      </c>
      <c r="AG57" s="317" t="n">
        <v>190261</v>
      </c>
      <c r="AH57" s="317" t="n">
        <v>0</v>
      </c>
      <c r="AI57" s="317" t="n">
        <v>0</v>
      </c>
      <c r="AJ57" s="286" t="s">
        <v>707</v>
      </c>
      <c r="AK57" s="286" t="s">
        <v>729</v>
      </c>
      <c r="AL57" s="287" t="s">
        <v>62</v>
      </c>
      <c r="AM57" s="286"/>
      <c r="AN57" s="287" t="s">
        <v>213</v>
      </c>
      <c r="AO57" s="287" t="n">
        <v>36891.6079</v>
      </c>
      <c r="AP57" s="319" t="n">
        <f aca="false">AR57+AT57+AU57+AV57+AX57+AY57+AZ57+BD57+BF57+BG57+BH57+BJ57+BK57+(BL57+BM57+BN57)/1000+(0.1*BO57)</f>
        <v>6</v>
      </c>
      <c r="AQ57" s="319" t="n">
        <f aca="false">AR57+AT57+AU57+AV57+AX57+AY57+AZ57+BB57+BC57+BD57+BF57+BG57+BH57+BJ57+BK57+(BL57+BM57+BN57)/1000+(0.1*BO57)</f>
        <v>8</v>
      </c>
      <c r="AR57" s="285" t="n">
        <v>0</v>
      </c>
      <c r="AS57" s="285" t="n">
        <v>0</v>
      </c>
      <c r="AT57" s="285" t="n">
        <v>6</v>
      </c>
      <c r="AU57" s="285" t="n">
        <v>0</v>
      </c>
      <c r="AV57" s="285" t="n">
        <v>0</v>
      </c>
      <c r="AW57" s="285" t="n">
        <v>0</v>
      </c>
      <c r="AX57" s="285" t="n">
        <v>0</v>
      </c>
      <c r="AY57" s="285" t="n">
        <v>0</v>
      </c>
      <c r="AZ57" s="285" t="n">
        <v>0</v>
      </c>
      <c r="BA57" s="285" t="n">
        <v>11</v>
      </c>
      <c r="BB57" s="285" t="n">
        <v>2</v>
      </c>
      <c r="BC57" s="285" t="n">
        <v>0</v>
      </c>
      <c r="BD57" s="285" t="n">
        <v>0</v>
      </c>
      <c r="BE57" s="285" t="n">
        <v>0</v>
      </c>
      <c r="BF57" s="285" t="n">
        <v>0</v>
      </c>
      <c r="BG57" s="285" t="n">
        <v>0</v>
      </c>
      <c r="BH57" s="285" t="n">
        <v>0</v>
      </c>
      <c r="BI57" s="285" t="n">
        <v>0</v>
      </c>
      <c r="BJ57" s="285" t="n">
        <v>0</v>
      </c>
      <c r="BK57" s="285" t="n">
        <v>0</v>
      </c>
      <c r="BL57" s="285" t="n">
        <v>0</v>
      </c>
      <c r="BM57" s="285" t="n">
        <v>0</v>
      </c>
      <c r="BN57" s="285" t="n">
        <v>0</v>
      </c>
      <c r="BO57" s="285" t="n">
        <v>0</v>
      </c>
      <c r="BR57" s="290" t="n">
        <f aca="false">AR57*1000/0.072</f>
        <v>0</v>
      </c>
      <c r="BS57" s="290" t="n">
        <f aca="false">AT57*1000/0.072</f>
        <v>83333.3333333333</v>
      </c>
      <c r="BT57" s="290" t="n">
        <f aca="false">AU57*1000/0.072</f>
        <v>0</v>
      </c>
      <c r="BU57" s="290" t="n">
        <f aca="false">SUM(BR57:BT57)</f>
        <v>83333.3333333333</v>
      </c>
      <c r="BV57" s="290" t="n">
        <f aca="false">AV57*1000/5</f>
        <v>0</v>
      </c>
      <c r="BW57" s="290" t="n">
        <f aca="false">AX57*1000/5</f>
        <v>0</v>
      </c>
      <c r="BX57" s="290" t="n">
        <f aca="false">AY57*1000/5</f>
        <v>0</v>
      </c>
      <c r="BY57" s="290" t="n">
        <f aca="false">SUM(BV57:BX57)</f>
        <v>0</v>
      </c>
      <c r="CA57" s="290" t="n">
        <f aca="false">IF($AM57="n",0,BR57)</f>
        <v>0</v>
      </c>
      <c r="CB57" s="290" t="n">
        <f aca="false">IF($AM57="n",0,BS57)</f>
        <v>83333.3333333333</v>
      </c>
      <c r="CC57" s="290" t="n">
        <f aca="false">IF($AM57="n",0,BT57)</f>
        <v>0</v>
      </c>
      <c r="CD57" s="290" t="n">
        <f aca="false">SUM(CA57:CC57)</f>
        <v>83333.3333333333</v>
      </c>
      <c r="CE57" s="290" t="n">
        <f aca="false">IF($AM$2="n",0,BV57)</f>
        <v>0</v>
      </c>
      <c r="CF57" s="290" t="n">
        <f aca="false">IF($AM$2="n",0,BW57)</f>
        <v>0</v>
      </c>
      <c r="CG57" s="290" t="n">
        <f aca="false">IF($AM$2="n",0,BX57)</f>
        <v>0</v>
      </c>
      <c r="CH57" s="290" t="n">
        <f aca="false">SUM(CE57:CG57)</f>
        <v>0</v>
      </c>
      <c r="CJ57" s="324"/>
      <c r="CK57" s="324"/>
      <c r="CL57" s="324"/>
      <c r="CM57" s="324"/>
      <c r="CN57" s="324"/>
      <c r="CO57" s="324"/>
      <c r="CP57" s="324"/>
      <c r="CQ57" s="324"/>
      <c r="CR57" s="324"/>
      <c r="CS57" s="324"/>
      <c r="CT57" s="324"/>
      <c r="CU57" s="324"/>
      <c r="CV57" s="324"/>
      <c r="CW57" s="324"/>
      <c r="CX57" s="324"/>
      <c r="CY57" s="324"/>
      <c r="CZ57" s="324"/>
      <c r="DA57" s="324"/>
      <c r="DB57" s="324"/>
      <c r="DC57" s="324"/>
      <c r="DD57" s="324"/>
      <c r="DE57" s="324"/>
      <c r="DF57" s="324"/>
      <c r="DG57" s="324"/>
      <c r="DH57" s="324"/>
      <c r="DI57" s="324"/>
      <c r="DJ57" s="324"/>
      <c r="DK57" s="324"/>
      <c r="DL57" s="324"/>
      <c r="DM57" s="324"/>
      <c r="DN57" s="324"/>
      <c r="DO57" s="324"/>
      <c r="DP57" s="324"/>
      <c r="DQ57" s="324"/>
      <c r="DR57" s="324"/>
      <c r="DS57" s="324"/>
      <c r="DT57" s="324"/>
      <c r="DU57" s="324"/>
      <c r="DV57" s="324"/>
      <c r="DW57" s="324"/>
      <c r="DX57" s="324"/>
      <c r="DY57" s="324"/>
      <c r="DZ57" s="324"/>
      <c r="EA57" s="324"/>
      <c r="EB57" s="324"/>
      <c r="EC57" s="324"/>
      <c r="ED57" s="324"/>
      <c r="EE57" s="324"/>
      <c r="EF57" s="324"/>
      <c r="EG57" s="324"/>
      <c r="EH57" s="324"/>
      <c r="EI57" s="324"/>
      <c r="EJ57" s="324"/>
      <c r="EK57" s="324"/>
      <c r="EL57" s="324"/>
      <c r="EM57" s="324"/>
      <c r="EN57" s="324"/>
      <c r="EO57" s="324"/>
      <c r="EP57" s="324"/>
      <c r="EQ57" s="324"/>
      <c r="ER57" s="324"/>
      <c r="ES57" s="324"/>
      <c r="ET57" s="324"/>
      <c r="EU57" s="324"/>
      <c r="EV57" s="324"/>
      <c r="EW57" s="324"/>
      <c r="EX57" s="324"/>
      <c r="EY57" s="324"/>
      <c r="EZ57" s="324"/>
      <c r="FA57" s="324"/>
      <c r="FB57" s="324"/>
      <c r="FC57" s="324"/>
      <c r="FD57" s="324"/>
      <c r="FE57" s="324"/>
      <c r="FF57" s="324"/>
      <c r="FG57" s="324"/>
      <c r="FH57" s="324"/>
      <c r="FI57" s="324"/>
      <c r="FJ57" s="324"/>
      <c r="FK57" s="324"/>
      <c r="FL57" s="324"/>
      <c r="FM57" s="324"/>
      <c r="FN57" s="324"/>
      <c r="FO57" s="324"/>
      <c r="FP57" s="324"/>
      <c r="FQ57" s="324"/>
      <c r="FR57" s="324"/>
      <c r="FS57" s="324"/>
      <c r="FT57" s="324"/>
      <c r="FU57" s="324"/>
      <c r="FV57" s="324"/>
      <c r="FW57" s="324"/>
      <c r="FX57" s="324"/>
      <c r="FY57" s="324"/>
      <c r="FZ57" s="324"/>
      <c r="GA57" s="324"/>
      <c r="GB57" s="324"/>
      <c r="GC57" s="324"/>
      <c r="GD57" s="324"/>
      <c r="GE57" s="324"/>
      <c r="GF57" s="324"/>
      <c r="GG57" s="324"/>
      <c r="GH57" s="324"/>
      <c r="GI57" s="324"/>
      <c r="GJ57" s="324"/>
      <c r="GK57" s="324"/>
      <c r="GL57" s="324"/>
      <c r="GM57" s="324"/>
      <c r="GN57" s="324"/>
      <c r="GO57" s="324"/>
      <c r="GP57" s="324"/>
      <c r="GQ57" s="324"/>
      <c r="GR57" s="324"/>
      <c r="GS57" s="324"/>
      <c r="GT57" s="324"/>
      <c r="GU57" s="324"/>
      <c r="GV57" s="324"/>
      <c r="GW57" s="324"/>
      <c r="GX57" s="324"/>
    </row>
    <row r="58" customFormat="false" ht="15" hidden="false" customHeight="true" outlineLevel="0" collapsed="false">
      <c r="A58" s="285" t="n">
        <v>4662</v>
      </c>
      <c r="B58" s="285"/>
      <c r="C58" s="286" t="s">
        <v>215</v>
      </c>
      <c r="D58" s="287" t="s">
        <v>215</v>
      </c>
      <c r="E58" s="288" t="n">
        <f aca="false">IF(I58="regional",IF(R58*0.2975,S58*0.3484),S58*0.1939)</f>
        <v>340902.432</v>
      </c>
      <c r="F58" s="288" t="n">
        <v>0</v>
      </c>
      <c r="G58" s="289" t="n">
        <f aca="false">E58+F58</f>
        <v>340902.432</v>
      </c>
      <c r="H58" s="286"/>
      <c r="I58" s="287" t="s">
        <v>48</v>
      </c>
      <c r="J58" s="287" t="s">
        <v>49</v>
      </c>
      <c r="K58" s="287" t="s">
        <v>105</v>
      </c>
      <c r="L58" s="287"/>
      <c r="M58" s="317" t="n">
        <v>134</v>
      </c>
      <c r="N58" s="317" t="n">
        <v>0.933</v>
      </c>
      <c r="O58" s="317" t="n">
        <v>0.933</v>
      </c>
      <c r="P58" s="317" t="n">
        <v>0.868</v>
      </c>
      <c r="Q58" s="317" t="n">
        <v>0.952</v>
      </c>
      <c r="R58" s="317" t="n">
        <v>1024679</v>
      </c>
      <c r="S58" s="317" t="n">
        <v>978480</v>
      </c>
      <c r="T58" s="318" t="n">
        <f aca="false">IF(I58="regional",IF(R58&gt;0,R58*0.2975,S58*0.3484),S58*0.1939)</f>
        <v>304842.0025</v>
      </c>
      <c r="U58" s="317" t="n">
        <v>685167</v>
      </c>
      <c r="V58" s="317" t="n">
        <v>293313</v>
      </c>
      <c r="W58" s="317" t="n">
        <v>6030</v>
      </c>
      <c r="X58" s="317" t="n">
        <v>0</v>
      </c>
      <c r="Y58" s="317" t="n">
        <v>0</v>
      </c>
      <c r="Z58" s="317" t="n">
        <v>0</v>
      </c>
      <c r="AA58" s="317" t="n">
        <v>1283322.003</v>
      </c>
      <c r="AB58" s="317" t="n">
        <v>304842.0025</v>
      </c>
      <c r="AC58" s="317" t="n">
        <v>978480</v>
      </c>
      <c r="AD58" s="317" t="n">
        <v>0</v>
      </c>
      <c r="AE58" s="317" t="n">
        <v>0</v>
      </c>
      <c r="AF58" s="317" t="n">
        <v>0</v>
      </c>
      <c r="AG58" s="317" t="n">
        <v>978480</v>
      </c>
      <c r="AH58" s="317" t="n">
        <v>0</v>
      </c>
      <c r="AI58" s="317" t="n">
        <v>0</v>
      </c>
      <c r="AJ58" s="286" t="s">
        <v>707</v>
      </c>
      <c r="AK58" s="286" t="s">
        <v>714</v>
      </c>
      <c r="AL58" s="287" t="s">
        <v>48</v>
      </c>
      <c r="AM58" s="286"/>
      <c r="AN58" s="287" t="s">
        <v>215</v>
      </c>
      <c r="AO58" s="287" t="n">
        <v>304842.0025</v>
      </c>
      <c r="AP58" s="319" t="n">
        <f aca="false">AR58+AT58+AU58+AV58+AX58+AY58+AZ58+BD58+BF58+BG58+BH58+BJ58+BK58+(BL58+BM58+BN58)/1000+(0.1*BO58)</f>
        <v>231.2799</v>
      </c>
      <c r="AQ58" s="319" t="n">
        <f aca="false">AR58+AT58+AU58+AV58+AX58+AY58+AZ58+BB58+BC58+BD58+BF58+BG58+BH58+BJ58+BK58+(BL58+BM58+BN58)/1000+(0.1*BO58)</f>
        <v>257.2799</v>
      </c>
      <c r="AR58" s="285" t="n">
        <v>0</v>
      </c>
      <c r="AS58" s="285" t="n">
        <v>0</v>
      </c>
      <c r="AT58" s="285" t="n">
        <v>155</v>
      </c>
      <c r="AU58" s="285" t="n">
        <v>1</v>
      </c>
      <c r="AV58" s="285" t="n">
        <v>0</v>
      </c>
      <c r="AW58" s="285" t="n">
        <v>0</v>
      </c>
      <c r="AX58" s="285" t="n">
        <v>0</v>
      </c>
      <c r="AY58" s="285" t="n">
        <v>0</v>
      </c>
      <c r="AZ58" s="285" t="n">
        <v>0</v>
      </c>
      <c r="BA58" s="285" t="n">
        <v>0</v>
      </c>
      <c r="BB58" s="285" t="n">
        <v>26</v>
      </c>
      <c r="BC58" s="285" t="n">
        <v>0</v>
      </c>
      <c r="BD58" s="285" t="n">
        <v>0</v>
      </c>
      <c r="BE58" s="285" t="n">
        <v>0</v>
      </c>
      <c r="BF58" s="285" t="n">
        <v>0</v>
      </c>
      <c r="BG58" s="285" t="n">
        <v>0</v>
      </c>
      <c r="BH58" s="285" t="n">
        <v>0</v>
      </c>
      <c r="BI58" s="285" t="n">
        <v>0</v>
      </c>
      <c r="BJ58" s="285" t="n">
        <v>0</v>
      </c>
      <c r="BK58" s="285" t="n">
        <v>0</v>
      </c>
      <c r="BL58" s="285" t="n">
        <v>36252</v>
      </c>
      <c r="BM58" s="285" t="n">
        <v>0</v>
      </c>
      <c r="BN58" s="285" t="n">
        <v>0</v>
      </c>
      <c r="BO58" s="285" t="n">
        <v>390.279</v>
      </c>
      <c r="BR58" s="290" t="n">
        <f aca="false">AR58*1000/0.072</f>
        <v>0</v>
      </c>
      <c r="BS58" s="290" t="n">
        <f aca="false">AT58*1000/0.072</f>
        <v>2152777.77777778</v>
      </c>
      <c r="BT58" s="290" t="n">
        <f aca="false">AU58*1000/0.072</f>
        <v>13888.8888888889</v>
      </c>
      <c r="BU58" s="290" t="n">
        <f aca="false">SUM(BR58:BT58)</f>
        <v>2166666.66666667</v>
      </c>
      <c r="BV58" s="290" t="n">
        <f aca="false">AV58*1000/5</f>
        <v>0</v>
      </c>
      <c r="BW58" s="290" t="n">
        <f aca="false">AX58*1000/5</f>
        <v>0</v>
      </c>
      <c r="BX58" s="290" t="n">
        <f aca="false">AY58*1000/5</f>
        <v>0</v>
      </c>
      <c r="BY58" s="290" t="n">
        <f aca="false">SUM(BV58:BX58)</f>
        <v>0</v>
      </c>
      <c r="CA58" s="290" t="n">
        <f aca="false">IF($AM58="n",0,BR58)</f>
        <v>0</v>
      </c>
      <c r="CB58" s="290" t="n">
        <f aca="false">IF($AM58="n",0,BS58)</f>
        <v>2152777.77777778</v>
      </c>
      <c r="CC58" s="290" t="n">
        <f aca="false">IF($AM58="n",0,BT58)</f>
        <v>13888.8888888889</v>
      </c>
      <c r="CD58" s="290" t="n">
        <f aca="false">SUM(CA58:CC58)</f>
        <v>2166666.66666667</v>
      </c>
      <c r="CE58" s="290" t="n">
        <f aca="false">IF($AM$2="n",0,BV58)</f>
        <v>0</v>
      </c>
      <c r="CF58" s="290" t="n">
        <f aca="false">IF($AM$2="n",0,BW58)</f>
        <v>0</v>
      </c>
      <c r="CG58" s="290" t="n">
        <f aca="false">IF($AM$2="n",0,BX58)</f>
        <v>0</v>
      </c>
      <c r="CH58" s="290" t="n">
        <f aca="false">SUM(CE58:CG58)</f>
        <v>0</v>
      </c>
      <c r="CJ58" s="324"/>
      <c r="CK58" s="324"/>
      <c r="CL58" s="324"/>
      <c r="CM58" s="324"/>
      <c r="CN58" s="324"/>
      <c r="CO58" s="324"/>
      <c r="CP58" s="324"/>
      <c r="CQ58" s="324"/>
      <c r="CR58" s="324"/>
      <c r="CS58" s="324"/>
      <c r="CT58" s="324"/>
      <c r="CU58" s="324"/>
      <c r="CV58" s="324"/>
      <c r="CW58" s="324"/>
      <c r="CX58" s="324"/>
      <c r="CY58" s="324"/>
      <c r="CZ58" s="324"/>
      <c r="DA58" s="324"/>
      <c r="DB58" s="324"/>
      <c r="DC58" s="324"/>
      <c r="DD58" s="324"/>
      <c r="DE58" s="324"/>
      <c r="DF58" s="324"/>
      <c r="DG58" s="324"/>
      <c r="DH58" s="324"/>
      <c r="DI58" s="324"/>
      <c r="DJ58" s="324"/>
      <c r="DK58" s="324"/>
      <c r="DL58" s="324"/>
      <c r="DM58" s="324"/>
      <c r="DN58" s="324"/>
      <c r="DO58" s="324"/>
      <c r="DP58" s="324"/>
      <c r="DQ58" s="324"/>
      <c r="DR58" s="324"/>
      <c r="DS58" s="324"/>
      <c r="DT58" s="324"/>
      <c r="DU58" s="324"/>
      <c r="DV58" s="324"/>
      <c r="DW58" s="324"/>
      <c r="DX58" s="324"/>
      <c r="DY58" s="324"/>
      <c r="DZ58" s="324"/>
      <c r="EA58" s="324"/>
      <c r="EB58" s="324"/>
      <c r="EC58" s="324"/>
      <c r="ED58" s="324"/>
      <c r="EE58" s="324"/>
      <c r="EF58" s="324"/>
      <c r="EG58" s="324"/>
      <c r="EH58" s="324"/>
      <c r="EI58" s="324"/>
      <c r="EJ58" s="324"/>
      <c r="EK58" s="324"/>
      <c r="EL58" s="324"/>
      <c r="EM58" s="324"/>
      <c r="EN58" s="324"/>
      <c r="EO58" s="324"/>
      <c r="EP58" s="324"/>
      <c r="EQ58" s="324"/>
      <c r="ER58" s="324"/>
      <c r="ES58" s="324"/>
      <c r="ET58" s="324"/>
      <c r="EU58" s="324"/>
      <c r="EV58" s="324"/>
      <c r="EW58" s="324"/>
      <c r="EX58" s="324"/>
      <c r="EY58" s="324"/>
      <c r="EZ58" s="324"/>
      <c r="FA58" s="324"/>
      <c r="FB58" s="324"/>
      <c r="FC58" s="324"/>
      <c r="FD58" s="324"/>
      <c r="FE58" s="324"/>
      <c r="FF58" s="324"/>
      <c r="FG58" s="324"/>
      <c r="FH58" s="324"/>
      <c r="FI58" s="324"/>
      <c r="FJ58" s="324"/>
      <c r="FK58" s="324"/>
      <c r="FL58" s="324"/>
      <c r="FM58" s="324"/>
      <c r="FN58" s="324"/>
      <c r="FO58" s="324"/>
      <c r="FP58" s="324"/>
      <c r="FQ58" s="324"/>
      <c r="FR58" s="324"/>
      <c r="FS58" s="324"/>
      <c r="FT58" s="324"/>
      <c r="FU58" s="324"/>
      <c r="FV58" s="324"/>
      <c r="FW58" s="324"/>
      <c r="FX58" s="324"/>
      <c r="FY58" s="324"/>
      <c r="FZ58" s="324"/>
      <c r="GA58" s="324"/>
      <c r="GB58" s="324"/>
      <c r="GC58" s="324"/>
      <c r="GD58" s="324"/>
      <c r="GE58" s="324"/>
      <c r="GF58" s="324"/>
      <c r="GG58" s="324"/>
      <c r="GH58" s="324"/>
      <c r="GI58" s="324"/>
      <c r="GJ58" s="324"/>
      <c r="GK58" s="324"/>
      <c r="GL58" s="324"/>
      <c r="GM58" s="324"/>
      <c r="GN58" s="324"/>
      <c r="GO58" s="324"/>
      <c r="GP58" s="324"/>
      <c r="GQ58" s="324"/>
      <c r="GR58" s="324"/>
      <c r="GS58" s="324"/>
      <c r="GT58" s="324"/>
      <c r="GU58" s="324"/>
      <c r="GV58" s="324"/>
      <c r="GW58" s="324"/>
      <c r="GX58" s="324"/>
    </row>
    <row r="59" customFormat="false" ht="15" hidden="false" customHeight="true" outlineLevel="0" collapsed="false">
      <c r="A59" s="285" t="n">
        <v>1101</v>
      </c>
      <c r="B59" s="285"/>
      <c r="C59" s="286" t="s">
        <v>676</v>
      </c>
      <c r="D59" s="287" t="s">
        <v>676</v>
      </c>
      <c r="E59" s="288" t="n">
        <f aca="false">IF(I59="regional",IF(R59*0.2975,S59*0.3484),S59*0.1939)</f>
        <v>46396.392</v>
      </c>
      <c r="F59" s="288" t="n">
        <v>0</v>
      </c>
      <c r="G59" s="289" t="n">
        <f aca="false">E59+F59</f>
        <v>46396.392</v>
      </c>
      <c r="H59" s="286" t="s">
        <v>49</v>
      </c>
      <c r="I59" s="287" t="s">
        <v>62</v>
      </c>
      <c r="J59" s="287"/>
      <c r="K59" s="287" t="s">
        <v>148</v>
      </c>
      <c r="L59" s="287"/>
      <c r="M59" s="317" t="n">
        <v>20</v>
      </c>
      <c r="N59" s="317" t="n">
        <v>0.955</v>
      </c>
      <c r="O59" s="317" t="n">
        <v>0.955</v>
      </c>
      <c r="P59" s="317" t="n">
        <v>0.941</v>
      </c>
      <c r="Q59" s="317" t="n">
        <v>0.924</v>
      </c>
      <c r="R59" s="317" t="n">
        <v>0</v>
      </c>
      <c r="S59" s="317" t="n">
        <v>239280</v>
      </c>
      <c r="T59" s="318" t="n">
        <f aca="false">IF(I59="regional",IF(R59&gt;0,R59*0.2975,S59*0.3484),S59*0.1939)</f>
        <v>46396.392</v>
      </c>
      <c r="U59" s="317" t="n">
        <v>178124</v>
      </c>
      <c r="V59" s="317" t="n">
        <v>61156</v>
      </c>
      <c r="W59" s="317" t="n">
        <v>1210</v>
      </c>
      <c r="X59" s="317" t="n">
        <v>0</v>
      </c>
      <c r="Y59" s="317" t="n">
        <v>0</v>
      </c>
      <c r="Z59" s="317" t="n">
        <v>0</v>
      </c>
      <c r="AA59" s="317" t="n">
        <v>285676.392</v>
      </c>
      <c r="AB59" s="317" t="n">
        <v>46396.392</v>
      </c>
      <c r="AC59" s="317" t="n">
        <v>239280</v>
      </c>
      <c r="AD59" s="317" t="n">
        <v>0</v>
      </c>
      <c r="AE59" s="317" t="n">
        <v>0</v>
      </c>
      <c r="AF59" s="317" t="n">
        <v>0</v>
      </c>
      <c r="AG59" s="317" t="n">
        <v>239280</v>
      </c>
      <c r="AH59" s="317" t="n">
        <v>0</v>
      </c>
      <c r="AI59" s="317" t="n">
        <v>0</v>
      </c>
      <c r="AJ59" s="286" t="s">
        <v>707</v>
      </c>
      <c r="AK59" s="286" t="s">
        <v>712</v>
      </c>
      <c r="AL59" s="287" t="s">
        <v>62</v>
      </c>
      <c r="AM59" s="286" t="s">
        <v>49</v>
      </c>
      <c r="AN59" s="287" t="s">
        <v>676</v>
      </c>
      <c r="AO59" s="287" t="n">
        <v>46396.392</v>
      </c>
      <c r="AP59" s="319" t="n">
        <f aca="false">AR59+AT59+AU59+AV59+AX59+AY59+AZ59+BD59+BF59+BG59+BH59+BJ59+BK59+(BL59+BM59+BN59)/1000+(0.1*BO59)</f>
        <v>13</v>
      </c>
      <c r="AQ59" s="319" t="n">
        <f aca="false">AR59+AT59+AU59+AV59+AX59+AY59+AZ59+BB59+BC59+BD59+BF59+BG59+BH59+BJ59+BK59+(BL59+BM59+BN59)/1000+(0.1*BO59)</f>
        <v>29</v>
      </c>
      <c r="AR59" s="285" t="n">
        <v>0</v>
      </c>
      <c r="AS59" s="285" t="n">
        <v>0</v>
      </c>
      <c r="AT59" s="285" t="n">
        <v>12</v>
      </c>
      <c r="AU59" s="285" t="n">
        <v>0</v>
      </c>
      <c r="AV59" s="285" t="n">
        <v>0</v>
      </c>
      <c r="AW59" s="285" t="n">
        <v>0</v>
      </c>
      <c r="AX59" s="285" t="n">
        <v>0</v>
      </c>
      <c r="AY59" s="285" t="n">
        <v>1</v>
      </c>
      <c r="AZ59" s="285" t="n">
        <v>0</v>
      </c>
      <c r="BA59" s="285" t="n">
        <v>6</v>
      </c>
      <c r="BB59" s="285" t="n">
        <v>16</v>
      </c>
      <c r="BC59" s="285" t="n">
        <v>0</v>
      </c>
      <c r="BD59" s="285" t="n">
        <v>0</v>
      </c>
      <c r="BE59" s="285" t="n">
        <v>0</v>
      </c>
      <c r="BF59" s="285" t="n">
        <v>0</v>
      </c>
      <c r="BG59" s="285" t="n">
        <v>0</v>
      </c>
      <c r="BH59" s="285" t="n">
        <v>0</v>
      </c>
      <c r="BI59" s="285" t="n">
        <v>0</v>
      </c>
      <c r="BJ59" s="285" t="n">
        <v>0</v>
      </c>
      <c r="BK59" s="285" t="n">
        <v>0</v>
      </c>
      <c r="BL59" s="285" t="n">
        <v>0</v>
      </c>
      <c r="BM59" s="285" t="n">
        <v>0</v>
      </c>
      <c r="BN59" s="285" t="n">
        <v>0</v>
      </c>
      <c r="BO59" s="285" t="n">
        <v>0</v>
      </c>
      <c r="BR59" s="290" t="n">
        <f aca="false">AR59*1000/0.072</f>
        <v>0</v>
      </c>
      <c r="BS59" s="290" t="n">
        <f aca="false">AT59*1000/0.072</f>
        <v>166666.666666667</v>
      </c>
      <c r="BT59" s="290" t="n">
        <f aca="false">AU59*1000/0.072</f>
        <v>0</v>
      </c>
      <c r="BU59" s="290" t="n">
        <f aca="false">SUM(BR59:BT59)</f>
        <v>166666.666666667</v>
      </c>
      <c r="BV59" s="290" t="n">
        <f aca="false">AV59*1000/5</f>
        <v>0</v>
      </c>
      <c r="BW59" s="290" t="n">
        <f aca="false">AX59*1000/5</f>
        <v>0</v>
      </c>
      <c r="BX59" s="290" t="n">
        <f aca="false">AY59*1000/5</f>
        <v>200</v>
      </c>
      <c r="BY59" s="290" t="n">
        <f aca="false">SUM(BV59:BX59)</f>
        <v>200</v>
      </c>
      <c r="CA59" s="290" t="n">
        <f aca="false">IF($AM59="n",0,BR59)</f>
        <v>0</v>
      </c>
      <c r="CB59" s="290" t="n">
        <f aca="false">IF($AM59="n",0,BS59)</f>
        <v>0</v>
      </c>
      <c r="CC59" s="290" t="n">
        <f aca="false">IF($AM59="n",0,BT59)</f>
        <v>0</v>
      </c>
      <c r="CD59" s="290" t="n">
        <f aca="false">SUM(CA59:CC59)</f>
        <v>0</v>
      </c>
      <c r="CE59" s="290" t="n">
        <f aca="false">IF($AM$2="n",0,BV59)</f>
        <v>0</v>
      </c>
      <c r="CF59" s="290" t="n">
        <f aca="false">IF($AM$2="n",0,BW59)</f>
        <v>0</v>
      </c>
      <c r="CG59" s="290" t="n">
        <f aca="false">IF($AM$2="n",0,BX59)</f>
        <v>200</v>
      </c>
      <c r="CH59" s="290" t="n">
        <f aca="false">SUM(CE59:CG59)</f>
        <v>200</v>
      </c>
      <c r="CJ59" s="324"/>
      <c r="CK59" s="324"/>
      <c r="CL59" s="324"/>
      <c r="CM59" s="324"/>
      <c r="CN59" s="324"/>
      <c r="CO59" s="324"/>
      <c r="CP59" s="324"/>
      <c r="CQ59" s="324"/>
      <c r="CR59" s="324"/>
      <c r="CS59" s="324"/>
      <c r="CT59" s="324"/>
      <c r="CU59" s="324"/>
      <c r="CV59" s="324"/>
      <c r="CW59" s="324"/>
      <c r="CX59" s="324"/>
      <c r="CY59" s="324"/>
      <c r="CZ59" s="324"/>
      <c r="DA59" s="324"/>
      <c r="DB59" s="324"/>
      <c r="DC59" s="324"/>
      <c r="DD59" s="324"/>
      <c r="DE59" s="324"/>
      <c r="DF59" s="324"/>
      <c r="DG59" s="324"/>
      <c r="DH59" s="324"/>
      <c r="DI59" s="324"/>
      <c r="DJ59" s="324"/>
      <c r="DK59" s="324"/>
      <c r="DL59" s="324"/>
      <c r="DM59" s="324"/>
      <c r="DN59" s="324"/>
      <c r="DO59" s="324"/>
      <c r="DP59" s="324"/>
      <c r="DQ59" s="324"/>
      <c r="DR59" s="324"/>
      <c r="DS59" s="324"/>
      <c r="DT59" s="324"/>
      <c r="DU59" s="324"/>
      <c r="DV59" s="324"/>
      <c r="DW59" s="324"/>
      <c r="DX59" s="324"/>
      <c r="DY59" s="324"/>
      <c r="DZ59" s="324"/>
      <c r="EA59" s="324"/>
      <c r="EB59" s="324"/>
      <c r="EC59" s="324"/>
      <c r="ED59" s="324"/>
      <c r="EE59" s="324"/>
      <c r="EF59" s="324"/>
      <c r="EG59" s="324"/>
      <c r="EH59" s="324"/>
      <c r="EI59" s="324"/>
      <c r="EJ59" s="324"/>
      <c r="EK59" s="324"/>
      <c r="EL59" s="324"/>
      <c r="EM59" s="324"/>
      <c r="EN59" s="324"/>
      <c r="EO59" s="324"/>
      <c r="EP59" s="324"/>
      <c r="EQ59" s="324"/>
      <c r="ER59" s="324"/>
      <c r="ES59" s="324"/>
      <c r="ET59" s="324"/>
      <c r="EU59" s="324"/>
      <c r="EV59" s="324"/>
      <c r="EW59" s="324"/>
      <c r="EX59" s="324"/>
      <c r="EY59" s="324"/>
      <c r="EZ59" s="324"/>
      <c r="FA59" s="324"/>
      <c r="FB59" s="324"/>
      <c r="FC59" s="324"/>
      <c r="FD59" s="324"/>
      <c r="FE59" s="324"/>
      <c r="FF59" s="324"/>
      <c r="FG59" s="324"/>
      <c r="FH59" s="324"/>
      <c r="FI59" s="324"/>
      <c r="FJ59" s="324"/>
      <c r="FK59" s="324"/>
      <c r="FL59" s="324"/>
      <c r="FM59" s="324"/>
      <c r="FN59" s="324"/>
      <c r="FO59" s="324"/>
      <c r="FP59" s="324"/>
      <c r="FQ59" s="324"/>
      <c r="FR59" s="324"/>
      <c r="FS59" s="324"/>
      <c r="FT59" s="324"/>
      <c r="FU59" s="324"/>
      <c r="FV59" s="324"/>
      <c r="FW59" s="324"/>
      <c r="FX59" s="324"/>
      <c r="FY59" s="324"/>
      <c r="FZ59" s="324"/>
      <c r="GA59" s="324"/>
      <c r="GB59" s="324"/>
      <c r="GC59" s="324"/>
      <c r="GD59" s="324"/>
      <c r="GE59" s="324"/>
      <c r="GF59" s="324"/>
      <c r="GG59" s="324"/>
      <c r="GH59" s="324"/>
      <c r="GI59" s="324"/>
      <c r="GJ59" s="324"/>
      <c r="GK59" s="324"/>
      <c r="GL59" s="324"/>
      <c r="GM59" s="324"/>
      <c r="GN59" s="324"/>
      <c r="GO59" s="324"/>
      <c r="GP59" s="324"/>
      <c r="GQ59" s="324"/>
      <c r="GR59" s="324"/>
      <c r="GS59" s="324"/>
      <c r="GT59" s="324"/>
      <c r="GU59" s="324"/>
      <c r="GV59" s="324"/>
      <c r="GW59" s="324"/>
      <c r="GX59" s="324"/>
    </row>
    <row r="60" customFormat="false" ht="15" hidden="false" customHeight="true" outlineLevel="0" collapsed="false">
      <c r="A60" s="285" t="n">
        <v>1116</v>
      </c>
      <c r="B60" s="285" t="s">
        <v>44</v>
      </c>
      <c r="C60" s="286" t="s">
        <v>221</v>
      </c>
      <c r="D60" s="287" t="s">
        <v>221</v>
      </c>
      <c r="E60" s="288" t="n">
        <f aca="false">IF(I60="regional",IF(R60*0.2975,S60*0.3484),S60*0.1939)</f>
        <v>286174.7148</v>
      </c>
      <c r="F60" s="288" t="n">
        <v>647222</v>
      </c>
      <c r="G60" s="289" t="n">
        <f aca="false">E60+F60</f>
        <v>933396.7148</v>
      </c>
      <c r="H60" s="286" t="s">
        <v>49</v>
      </c>
      <c r="I60" s="287" t="s">
        <v>48</v>
      </c>
      <c r="J60" s="287" t="s">
        <v>44</v>
      </c>
      <c r="K60" s="287" t="s">
        <v>223</v>
      </c>
      <c r="L60" s="287" t="s">
        <v>44</v>
      </c>
      <c r="M60" s="317" t="n">
        <v>162</v>
      </c>
      <c r="N60" s="317" t="n">
        <v>0.992</v>
      </c>
      <c r="O60" s="317" t="n">
        <v>0.996</v>
      </c>
      <c r="P60" s="317" t="n">
        <v>0.995</v>
      </c>
      <c r="Q60" s="317" t="n">
        <v>0.985</v>
      </c>
      <c r="R60" s="317" t="n">
        <v>1272159</v>
      </c>
      <c r="S60" s="317" t="n">
        <v>821397</v>
      </c>
      <c r="T60" s="318" t="n">
        <f aca="false">IF(I60="regional",IF(R60&gt;0,R60*0.2975,S60*0.3484),S60*0.1939)</f>
        <v>378467.3025</v>
      </c>
      <c r="U60" s="317" t="n">
        <v>472729</v>
      </c>
      <c r="V60" s="317" t="n">
        <v>348668</v>
      </c>
      <c r="W60" s="317" t="n">
        <v>4110</v>
      </c>
      <c r="X60" s="317" t="n">
        <v>1025689.303</v>
      </c>
      <c r="Y60" s="317" t="n">
        <v>378467.3025</v>
      </c>
      <c r="Z60" s="317" t="n">
        <v>647222</v>
      </c>
      <c r="AA60" s="317" t="n">
        <v>174175</v>
      </c>
      <c r="AB60" s="317" t="n">
        <v>0</v>
      </c>
      <c r="AC60" s="317" t="n">
        <v>174175</v>
      </c>
      <c r="AD60" s="317" t="n">
        <v>647222</v>
      </c>
      <c r="AE60" s="317" t="n">
        <v>0</v>
      </c>
      <c r="AF60" s="317" t="n">
        <v>174175</v>
      </c>
      <c r="AG60" s="317" t="n">
        <v>0</v>
      </c>
      <c r="AH60" s="317" t="n">
        <v>857000</v>
      </c>
      <c r="AI60" s="317" t="n">
        <v>518000</v>
      </c>
      <c r="AJ60" s="286" t="s">
        <v>707</v>
      </c>
      <c r="AK60" s="286" t="s">
        <v>712</v>
      </c>
      <c r="AL60" s="287" t="s">
        <v>48</v>
      </c>
      <c r="AM60" s="286" t="s">
        <v>49</v>
      </c>
      <c r="AN60" s="287" t="s">
        <v>221</v>
      </c>
      <c r="AO60" s="287" t="n">
        <v>1025689.3025</v>
      </c>
      <c r="AP60" s="319" t="n">
        <f aca="false">AR60+AT60+AU60+AV60+AX60+AY60+AZ60+BD60+BF60+BG60+BH60+BJ60+BK60+(BL60+BM60+BN60)/1000+(0.1*BO60)</f>
        <v>1051.5845</v>
      </c>
      <c r="AQ60" s="319" t="n">
        <f aca="false">AR60+AT60+AU60+AV60+AX60+AY60+AZ60+BB60+BC60+BD60+BF60+BG60+BH60+BJ60+BK60+(BL60+BM60+BN60)/1000+(0.1*BO60)</f>
        <v>1196.5845</v>
      </c>
      <c r="AR60" s="285" t="n">
        <v>364</v>
      </c>
      <c r="AS60" s="285" t="n">
        <v>518</v>
      </c>
      <c r="AT60" s="285" t="n">
        <v>235</v>
      </c>
      <c r="AU60" s="285" t="n">
        <v>0</v>
      </c>
      <c r="AV60" s="285" t="n">
        <v>5</v>
      </c>
      <c r="AW60" s="285" t="n">
        <v>86</v>
      </c>
      <c r="AX60" s="285" t="n">
        <v>0</v>
      </c>
      <c r="AY60" s="285" t="n">
        <v>0</v>
      </c>
      <c r="AZ60" s="285" t="n">
        <v>9</v>
      </c>
      <c r="BA60" s="285" t="n">
        <v>66</v>
      </c>
      <c r="BB60" s="285" t="n">
        <v>145</v>
      </c>
      <c r="BC60" s="285" t="n">
        <v>0</v>
      </c>
      <c r="BD60" s="285" t="n">
        <v>102</v>
      </c>
      <c r="BE60" s="285" t="n">
        <v>0</v>
      </c>
      <c r="BF60" s="285" t="n">
        <v>0</v>
      </c>
      <c r="BG60" s="285" t="n">
        <v>0</v>
      </c>
      <c r="BH60" s="285" t="n">
        <v>140</v>
      </c>
      <c r="BI60" s="285" t="n">
        <v>0</v>
      </c>
      <c r="BJ60" s="285" t="n">
        <v>0</v>
      </c>
      <c r="BK60" s="285" t="n">
        <v>0</v>
      </c>
      <c r="BL60" s="285" t="n">
        <v>2010</v>
      </c>
      <c r="BM60" s="285" t="n">
        <v>25000</v>
      </c>
      <c r="BN60" s="285" t="n">
        <v>0</v>
      </c>
      <c r="BO60" s="285" t="n">
        <v>1695.745</v>
      </c>
      <c r="BR60" s="290" t="n">
        <f aca="false">AR60*1000/0.072</f>
        <v>5055555.55555556</v>
      </c>
      <c r="BS60" s="290" t="n">
        <f aca="false">AT60*1000/0.072</f>
        <v>3263888.88888889</v>
      </c>
      <c r="BT60" s="290" t="n">
        <f aca="false">AU60*1000/0.072</f>
        <v>0</v>
      </c>
      <c r="BU60" s="290" t="n">
        <f aca="false">SUM(BR60:BT60)</f>
        <v>8319444.44444445</v>
      </c>
      <c r="BV60" s="290" t="n">
        <f aca="false">AV60*1000/5</f>
        <v>1000</v>
      </c>
      <c r="BW60" s="290" t="n">
        <f aca="false">AX60*1000/5</f>
        <v>0</v>
      </c>
      <c r="BX60" s="290" t="n">
        <f aca="false">AY60*1000/5</f>
        <v>0</v>
      </c>
      <c r="BY60" s="290" t="n">
        <f aca="false">SUM(BV60:BX60)</f>
        <v>1000</v>
      </c>
      <c r="CA60" s="290" t="n">
        <f aca="false">IF($AM60="n",0,BR60)</f>
        <v>0</v>
      </c>
      <c r="CB60" s="290" t="n">
        <f aca="false">IF($AM60="n",0,BS60)</f>
        <v>0</v>
      </c>
      <c r="CC60" s="290" t="n">
        <f aca="false">IF($AM60="n",0,BT60)</f>
        <v>0</v>
      </c>
      <c r="CD60" s="290" t="n">
        <f aca="false">SUM(CA60:CC60)</f>
        <v>0</v>
      </c>
      <c r="CE60" s="290" t="n">
        <f aca="false">IF($AM$2="n",0,BV60)</f>
        <v>1000</v>
      </c>
      <c r="CF60" s="290" t="n">
        <f aca="false">IF($AM$2="n",0,BW60)</f>
        <v>0</v>
      </c>
      <c r="CG60" s="290" t="n">
        <f aca="false">IF($AM$2="n",0,BX60)</f>
        <v>0</v>
      </c>
      <c r="CH60" s="290" t="n">
        <f aca="false">SUM(CE60:CG60)</f>
        <v>1000</v>
      </c>
      <c r="CJ60" s="324"/>
      <c r="CK60" s="324"/>
      <c r="CL60" s="324"/>
      <c r="CM60" s="324"/>
      <c r="CN60" s="324"/>
      <c r="CO60" s="324"/>
      <c r="CP60" s="324"/>
      <c r="CQ60" s="324"/>
      <c r="CR60" s="324"/>
      <c r="CS60" s="324"/>
      <c r="CT60" s="324"/>
      <c r="CU60" s="324"/>
      <c r="CV60" s="324"/>
      <c r="CW60" s="324"/>
      <c r="CX60" s="324"/>
      <c r="CY60" s="324"/>
      <c r="CZ60" s="324"/>
      <c r="DA60" s="324"/>
      <c r="DB60" s="324"/>
      <c r="DC60" s="324"/>
      <c r="DD60" s="324"/>
      <c r="DE60" s="324"/>
      <c r="DF60" s="324"/>
      <c r="DG60" s="324"/>
      <c r="DH60" s="324"/>
      <c r="DI60" s="324"/>
      <c r="DJ60" s="324"/>
      <c r="DK60" s="324"/>
      <c r="DL60" s="324"/>
      <c r="DM60" s="324"/>
      <c r="DN60" s="324"/>
      <c r="DO60" s="324"/>
      <c r="DP60" s="324"/>
      <c r="DQ60" s="324"/>
      <c r="DR60" s="324"/>
      <c r="DS60" s="324"/>
      <c r="DT60" s="324"/>
      <c r="DU60" s="324"/>
      <c r="DV60" s="324"/>
      <c r="DW60" s="324"/>
      <c r="DX60" s="324"/>
      <c r="DY60" s="324"/>
      <c r="DZ60" s="324"/>
      <c r="EA60" s="324"/>
      <c r="EB60" s="324"/>
      <c r="EC60" s="324"/>
      <c r="ED60" s="324"/>
      <c r="EE60" s="324"/>
      <c r="EF60" s="324"/>
      <c r="EG60" s="324"/>
      <c r="EH60" s="324"/>
      <c r="EI60" s="324"/>
      <c r="EJ60" s="324"/>
      <c r="EK60" s="324"/>
      <c r="EL60" s="324"/>
      <c r="EM60" s="324"/>
      <c r="EN60" s="324"/>
      <c r="EO60" s="324"/>
      <c r="EP60" s="324"/>
      <c r="EQ60" s="324"/>
      <c r="ER60" s="324"/>
      <c r="ES60" s="324"/>
      <c r="ET60" s="324"/>
      <c r="EU60" s="324"/>
      <c r="EV60" s="324"/>
      <c r="EW60" s="324"/>
      <c r="EX60" s="324"/>
      <c r="EY60" s="324"/>
      <c r="EZ60" s="324"/>
      <c r="FA60" s="324"/>
      <c r="FB60" s="324"/>
      <c r="FC60" s="324"/>
      <c r="FD60" s="324"/>
      <c r="FE60" s="324"/>
      <c r="FF60" s="324"/>
      <c r="FG60" s="324"/>
      <c r="FH60" s="324"/>
      <c r="FI60" s="324"/>
      <c r="FJ60" s="324"/>
      <c r="FK60" s="324"/>
      <c r="FL60" s="324"/>
      <c r="FM60" s="324"/>
      <c r="FN60" s="324"/>
      <c r="FO60" s="324"/>
      <c r="FP60" s="324"/>
      <c r="FQ60" s="324"/>
      <c r="FR60" s="324"/>
      <c r="FS60" s="324"/>
      <c r="FT60" s="324"/>
      <c r="FU60" s="324"/>
      <c r="FV60" s="324"/>
      <c r="FW60" s="324"/>
      <c r="FX60" s="324"/>
      <c r="FY60" s="324"/>
      <c r="FZ60" s="324"/>
      <c r="GA60" s="324"/>
      <c r="GB60" s="324"/>
      <c r="GC60" s="324"/>
      <c r="GD60" s="324"/>
      <c r="GE60" s="324"/>
      <c r="GF60" s="324"/>
      <c r="GG60" s="324"/>
      <c r="GH60" s="324"/>
      <c r="GI60" s="324"/>
      <c r="GJ60" s="324"/>
      <c r="GK60" s="324"/>
      <c r="GL60" s="324"/>
      <c r="GM60" s="324"/>
      <c r="GN60" s="324"/>
      <c r="GO60" s="324"/>
      <c r="GP60" s="324"/>
      <c r="GQ60" s="324"/>
      <c r="GR60" s="324"/>
      <c r="GS60" s="324"/>
      <c r="GT60" s="324"/>
      <c r="GU60" s="324"/>
      <c r="GV60" s="324"/>
      <c r="GW60" s="324"/>
      <c r="GX60" s="324"/>
    </row>
    <row r="61" customFormat="false" ht="15" hidden="false" customHeight="true" outlineLevel="0" collapsed="false">
      <c r="A61" s="285" t="n">
        <v>2110</v>
      </c>
      <c r="B61" s="285"/>
      <c r="C61" s="286" t="s">
        <v>226</v>
      </c>
      <c r="D61" s="287" t="s">
        <v>226</v>
      </c>
      <c r="E61" s="288" t="n">
        <f aca="false">IF(I61="regional",IF(R61*0.2975,S61*0.3484),S61*0.1939)</f>
        <v>208009.0844</v>
      </c>
      <c r="F61" s="288" t="n">
        <v>0</v>
      </c>
      <c r="G61" s="289" t="n">
        <f aca="false">E61+F61</f>
        <v>208009.0844</v>
      </c>
      <c r="H61" s="286"/>
      <c r="I61" s="287" t="s">
        <v>48</v>
      </c>
      <c r="J61" s="287"/>
      <c r="K61" s="287"/>
      <c r="L61" s="287"/>
      <c r="M61" s="317" t="n">
        <v>100</v>
      </c>
      <c r="N61" s="317" t="n">
        <v>0.705</v>
      </c>
      <c r="O61" s="317" t="n">
        <v>0.717</v>
      </c>
      <c r="P61" s="317" t="n">
        <v>0.746</v>
      </c>
      <c r="Q61" s="317" t="n">
        <v>0.736</v>
      </c>
      <c r="R61" s="317" t="n">
        <v>774371</v>
      </c>
      <c r="S61" s="317" t="n">
        <v>597041</v>
      </c>
      <c r="T61" s="318" t="n">
        <f aca="false">IF(I61="regional",IF(R61&gt;0,R61*0.2975,S61*0.3484),S61*0.1939)</f>
        <v>230375.3725</v>
      </c>
      <c r="U61" s="317" t="n">
        <v>249721</v>
      </c>
      <c r="V61" s="317" t="n">
        <v>347320</v>
      </c>
      <c r="W61" s="317" t="n">
        <v>3559</v>
      </c>
      <c r="X61" s="317" t="n">
        <v>0</v>
      </c>
      <c r="Y61" s="317" t="n">
        <v>0</v>
      </c>
      <c r="Z61" s="317" t="n">
        <v>0</v>
      </c>
      <c r="AA61" s="317" t="n">
        <v>827416.3725</v>
      </c>
      <c r="AB61" s="317" t="n">
        <v>230375.3725</v>
      </c>
      <c r="AC61" s="317" t="n">
        <v>597041</v>
      </c>
      <c r="AD61" s="317" t="n">
        <v>0</v>
      </c>
      <c r="AE61" s="317" t="n">
        <v>0</v>
      </c>
      <c r="AF61" s="317" t="n">
        <v>0</v>
      </c>
      <c r="AG61" s="317" t="n">
        <v>597041</v>
      </c>
      <c r="AH61" s="317" t="n">
        <v>0</v>
      </c>
      <c r="AI61" s="317" t="n">
        <v>0</v>
      </c>
      <c r="AJ61" s="286" t="n">
        <v>4</v>
      </c>
      <c r="AK61" s="286" t="s">
        <v>720</v>
      </c>
      <c r="AL61" s="287" t="s">
        <v>48</v>
      </c>
      <c r="AM61" s="286"/>
      <c r="AN61" s="287" t="s">
        <v>226</v>
      </c>
      <c r="AO61" s="287" t="n">
        <v>230375.3725</v>
      </c>
      <c r="AP61" s="319" t="n">
        <f aca="false">AR61+AT61+AU61+AV61+AX61+AY61+AZ61+BD61+BF61+BG61+BH61+BJ61+BK61+(BL61+BM61+BN61)/1000+(0.1*BO61)</f>
        <v>114</v>
      </c>
      <c r="AQ61" s="319" t="n">
        <f aca="false">AR61+AT61+AU61+AV61+AX61+AY61+AZ61+BB61+BC61+BD61+BF61+BG61+BH61+BJ61+BK61+(BL61+BM61+BN61)/1000+(0.1*BO61)</f>
        <v>124</v>
      </c>
      <c r="AR61" s="331" t="n">
        <v>0</v>
      </c>
      <c r="AS61" s="331" t="n">
        <v>0</v>
      </c>
      <c r="AT61" s="331" t="n">
        <v>107</v>
      </c>
      <c r="AU61" s="331" t="n">
        <v>7</v>
      </c>
      <c r="AV61" s="285" t="n">
        <v>0</v>
      </c>
      <c r="AW61" s="285" t="n">
        <v>0</v>
      </c>
      <c r="AX61" s="285" t="n">
        <v>0</v>
      </c>
      <c r="AY61" s="285" t="n">
        <v>0</v>
      </c>
      <c r="AZ61" s="188" t="n">
        <v>0</v>
      </c>
      <c r="BA61" s="188" t="n">
        <v>0</v>
      </c>
      <c r="BB61" s="188" t="n">
        <v>8</v>
      </c>
      <c r="BC61" s="188" t="n">
        <v>2</v>
      </c>
      <c r="BD61" s="285" t="n">
        <v>0</v>
      </c>
      <c r="BE61" s="285" t="n">
        <v>0</v>
      </c>
      <c r="BF61" s="285" t="n">
        <v>0</v>
      </c>
      <c r="BG61" s="285" t="n">
        <v>0</v>
      </c>
      <c r="BH61" s="285" t="n">
        <v>0</v>
      </c>
      <c r="BI61" s="285" t="n">
        <v>0</v>
      </c>
      <c r="BJ61" s="285" t="n">
        <v>0</v>
      </c>
      <c r="BK61" s="285" t="n">
        <v>0</v>
      </c>
      <c r="BL61" s="285" t="n">
        <v>0</v>
      </c>
      <c r="BM61" s="285" t="n">
        <v>0</v>
      </c>
      <c r="BN61" s="285" t="n">
        <v>0</v>
      </c>
      <c r="BO61" s="285" t="n">
        <v>0</v>
      </c>
      <c r="BR61" s="290" t="n">
        <f aca="false">AR61*1000/0.072</f>
        <v>0</v>
      </c>
      <c r="BS61" s="290" t="n">
        <f aca="false">AT61*1000/0.072</f>
        <v>1486111.11111111</v>
      </c>
      <c r="BT61" s="290" t="n">
        <f aca="false">AU61*1000/0.072</f>
        <v>97222.2222222222</v>
      </c>
      <c r="BU61" s="290" t="n">
        <f aca="false">SUM(BR61:BT61)</f>
        <v>1583333.33333333</v>
      </c>
      <c r="BV61" s="290" t="n">
        <f aca="false">AV61*1000/5</f>
        <v>0</v>
      </c>
      <c r="BW61" s="290" t="n">
        <f aca="false">AX61*1000/5</f>
        <v>0</v>
      </c>
      <c r="BX61" s="290" t="n">
        <f aca="false">AY61*1000/5</f>
        <v>0</v>
      </c>
      <c r="BY61" s="290" t="n">
        <f aca="false">SUM(BV61:BX61)</f>
        <v>0</v>
      </c>
      <c r="CA61" s="290" t="n">
        <f aca="false">IF($AM61="n",0,BR61)</f>
        <v>0</v>
      </c>
      <c r="CB61" s="290" t="n">
        <f aca="false">IF($AM61="n",0,BS61)</f>
        <v>1486111.11111111</v>
      </c>
      <c r="CC61" s="290" t="n">
        <f aca="false">IF($AM61="n",0,BT61)</f>
        <v>97222.2222222222</v>
      </c>
      <c r="CD61" s="290" t="n">
        <f aca="false">SUM(CA61:CC61)</f>
        <v>1583333.33333333</v>
      </c>
      <c r="CE61" s="290" t="n">
        <f aca="false">IF($AM$2="n",0,BV61)</f>
        <v>0</v>
      </c>
      <c r="CF61" s="290" t="n">
        <f aca="false">IF($AM$2="n",0,BW61)</f>
        <v>0</v>
      </c>
      <c r="CG61" s="290" t="n">
        <f aca="false">IF($AM$2="n",0,BX61)</f>
        <v>0</v>
      </c>
      <c r="CH61" s="290" t="n">
        <f aca="false">SUM(CE61:CG61)</f>
        <v>0</v>
      </c>
      <c r="CJ61" s="324"/>
      <c r="CK61" s="324"/>
      <c r="CL61" s="324"/>
      <c r="CM61" s="324"/>
      <c r="CN61" s="324"/>
      <c r="CO61" s="324"/>
      <c r="CP61" s="324"/>
      <c r="CQ61" s="324"/>
      <c r="CR61" s="324"/>
      <c r="CS61" s="324"/>
      <c r="CT61" s="324"/>
      <c r="CU61" s="324"/>
      <c r="CV61" s="324"/>
      <c r="CW61" s="324"/>
      <c r="CX61" s="324"/>
      <c r="CY61" s="324"/>
      <c r="CZ61" s="324"/>
      <c r="DA61" s="324"/>
      <c r="DB61" s="324"/>
      <c r="DC61" s="324"/>
      <c r="DD61" s="324"/>
      <c r="DE61" s="324"/>
      <c r="DF61" s="324"/>
      <c r="DG61" s="324"/>
      <c r="DH61" s="324"/>
      <c r="DI61" s="324"/>
      <c r="DJ61" s="324"/>
      <c r="DK61" s="324"/>
      <c r="DL61" s="324"/>
      <c r="DM61" s="324"/>
      <c r="DN61" s="324"/>
      <c r="DO61" s="324"/>
      <c r="DP61" s="324"/>
      <c r="DQ61" s="324"/>
      <c r="DR61" s="324"/>
      <c r="DS61" s="324"/>
      <c r="DT61" s="324"/>
      <c r="DU61" s="324"/>
      <c r="DV61" s="324"/>
      <c r="DW61" s="324"/>
      <c r="DX61" s="324"/>
      <c r="DY61" s="324"/>
      <c r="DZ61" s="324"/>
      <c r="EA61" s="324"/>
      <c r="EB61" s="324"/>
      <c r="EC61" s="324"/>
      <c r="ED61" s="324"/>
      <c r="EE61" s="324"/>
      <c r="EF61" s="324"/>
      <c r="EG61" s="324"/>
      <c r="EH61" s="324"/>
      <c r="EI61" s="324"/>
      <c r="EJ61" s="324"/>
      <c r="EK61" s="324"/>
      <c r="EL61" s="324"/>
      <c r="EM61" s="324"/>
      <c r="EN61" s="324"/>
      <c r="EO61" s="324"/>
      <c r="EP61" s="324"/>
      <c r="EQ61" s="324"/>
      <c r="ER61" s="324"/>
      <c r="ES61" s="324"/>
      <c r="ET61" s="324"/>
      <c r="EU61" s="324"/>
      <c r="EV61" s="324"/>
      <c r="EW61" s="324"/>
      <c r="EX61" s="324"/>
      <c r="EY61" s="324"/>
      <c r="EZ61" s="324"/>
      <c r="FA61" s="324"/>
      <c r="FB61" s="324"/>
      <c r="FC61" s="324"/>
      <c r="FD61" s="324"/>
      <c r="FE61" s="324"/>
      <c r="FF61" s="324"/>
      <c r="FG61" s="324"/>
      <c r="FH61" s="324"/>
      <c r="FI61" s="324"/>
      <c r="FJ61" s="324"/>
      <c r="FK61" s="324"/>
      <c r="FL61" s="324"/>
      <c r="FM61" s="324"/>
      <c r="FN61" s="324"/>
      <c r="FO61" s="324"/>
      <c r="FP61" s="324"/>
      <c r="FQ61" s="324"/>
      <c r="FR61" s="324"/>
      <c r="FS61" s="324"/>
      <c r="FT61" s="324"/>
      <c r="FU61" s="324"/>
      <c r="FV61" s="324"/>
      <c r="FW61" s="324"/>
      <c r="FX61" s="324"/>
      <c r="FY61" s="324"/>
      <c r="FZ61" s="324"/>
      <c r="GA61" s="324"/>
      <c r="GB61" s="324"/>
      <c r="GC61" s="324"/>
      <c r="GD61" s="324"/>
      <c r="GE61" s="324"/>
      <c r="GF61" s="324"/>
      <c r="GG61" s="324"/>
      <c r="GH61" s="324"/>
      <c r="GI61" s="324"/>
      <c r="GJ61" s="324"/>
      <c r="GK61" s="324"/>
      <c r="GL61" s="324"/>
      <c r="GM61" s="324"/>
      <c r="GN61" s="324"/>
      <c r="GO61" s="324"/>
      <c r="GP61" s="324"/>
      <c r="GQ61" s="324"/>
      <c r="GR61" s="324"/>
      <c r="GS61" s="324"/>
      <c r="GT61" s="324"/>
      <c r="GU61" s="324"/>
      <c r="GV61" s="324"/>
      <c r="GW61" s="324"/>
      <c r="GX61" s="324"/>
    </row>
    <row r="62" customFormat="false" ht="15" hidden="false" customHeight="true" outlineLevel="0" collapsed="false">
      <c r="A62" s="285" t="n">
        <v>8544</v>
      </c>
      <c r="B62" s="285"/>
      <c r="C62" s="286" t="s">
        <v>227</v>
      </c>
      <c r="D62" s="287" t="s">
        <v>227</v>
      </c>
      <c r="E62" s="288" t="n">
        <f aca="false">IF(I62="regional",IF(R62*0.2975,S62*0.3484),S62*0.1939)</f>
        <v>390092.3312</v>
      </c>
      <c r="F62" s="288" t="n">
        <v>0</v>
      </c>
      <c r="G62" s="289" t="n">
        <f aca="false">E62+F62</f>
        <v>390092.3312</v>
      </c>
      <c r="H62" s="286" t="s">
        <v>49</v>
      </c>
      <c r="I62" s="287" t="s">
        <v>48</v>
      </c>
      <c r="J62" s="287"/>
      <c r="K62" s="287" t="s">
        <v>229</v>
      </c>
      <c r="L62" s="287"/>
      <c r="M62" s="317" t="n">
        <v>177</v>
      </c>
      <c r="N62" s="317" t="n">
        <v>0.941</v>
      </c>
      <c r="O62" s="317" t="n">
        <v>0.955</v>
      </c>
      <c r="P62" s="317" t="n">
        <v>0.973</v>
      </c>
      <c r="Q62" s="317" t="n">
        <v>0.962</v>
      </c>
      <c r="R62" s="317" t="n">
        <v>1160738</v>
      </c>
      <c r="S62" s="317" t="n">
        <v>1119668</v>
      </c>
      <c r="T62" s="318" t="n">
        <f aca="false">IF(I62="regional",IF(R62&gt;0,R62*0.2975,S62*0.3484),S62*0.1939)</f>
        <v>345319.555</v>
      </c>
      <c r="U62" s="317" t="n">
        <v>741368</v>
      </c>
      <c r="V62" s="317" t="n">
        <v>378300</v>
      </c>
      <c r="W62" s="317" t="n">
        <v>5600</v>
      </c>
      <c r="X62" s="317" t="n">
        <v>0</v>
      </c>
      <c r="Y62" s="317" t="n">
        <v>0</v>
      </c>
      <c r="Z62" s="317" t="n">
        <v>0</v>
      </c>
      <c r="AA62" s="317" t="n">
        <v>1464987.555</v>
      </c>
      <c r="AB62" s="317" t="n">
        <v>345319.555</v>
      </c>
      <c r="AC62" s="317" t="n">
        <v>1119668</v>
      </c>
      <c r="AD62" s="317" t="n">
        <v>0</v>
      </c>
      <c r="AE62" s="317" t="n">
        <v>0</v>
      </c>
      <c r="AF62" s="317" t="n">
        <v>0</v>
      </c>
      <c r="AG62" s="317" t="n">
        <v>1119668</v>
      </c>
      <c r="AH62" s="317" t="n">
        <v>0</v>
      </c>
      <c r="AI62" s="317" t="n">
        <v>0</v>
      </c>
      <c r="AJ62" s="286" t="s">
        <v>707</v>
      </c>
      <c r="AK62" s="286" t="s">
        <v>714</v>
      </c>
      <c r="AL62" s="287" t="s">
        <v>48</v>
      </c>
      <c r="AM62" s="286" t="s">
        <v>49</v>
      </c>
      <c r="AN62" s="287" t="s">
        <v>227</v>
      </c>
      <c r="AO62" s="287" t="n">
        <v>345319.555</v>
      </c>
      <c r="AP62" s="319" t="n">
        <f aca="false">AR62+AT62+AU62+AV62+AX62+AY62+AZ62+BD62+BF62+BG62+BH62+BJ62+BK62+(BL62+BM62+BN62)/1000+(0.1*BO62)</f>
        <v>472.1234</v>
      </c>
      <c r="AQ62" s="319" t="n">
        <f aca="false">AR62+AT62+AU62+AV62+AX62+AY62+AZ62+BB62+BC62+BD62+BF62+BG62+BH62+BJ62+BK62+(BL62+BM62+BN62)/1000+(0.1*BO62)</f>
        <v>514.1234</v>
      </c>
      <c r="AR62" s="285" t="n">
        <v>0</v>
      </c>
      <c r="AS62" s="285" t="n">
        <v>0</v>
      </c>
      <c r="AT62" s="285" t="n">
        <v>344</v>
      </c>
      <c r="AU62" s="285" t="n">
        <v>0</v>
      </c>
      <c r="AV62" s="285" t="n">
        <v>0</v>
      </c>
      <c r="AW62" s="285" t="n">
        <v>0</v>
      </c>
      <c r="AX62" s="285" t="n">
        <v>0</v>
      </c>
      <c r="AY62" s="285" t="n">
        <v>0</v>
      </c>
      <c r="AZ62" s="285" t="n">
        <v>0</v>
      </c>
      <c r="BA62" s="285" t="n">
        <v>0</v>
      </c>
      <c r="BB62" s="285" t="n">
        <v>42</v>
      </c>
      <c r="BC62" s="285" t="n">
        <v>0</v>
      </c>
      <c r="BD62" s="285" t="n">
        <v>0</v>
      </c>
      <c r="BE62" s="285" t="n">
        <v>0</v>
      </c>
      <c r="BF62" s="285" t="n">
        <v>0</v>
      </c>
      <c r="BG62" s="285" t="n">
        <v>0</v>
      </c>
      <c r="BH62" s="285" t="n">
        <v>0</v>
      </c>
      <c r="BI62" s="285" t="n">
        <v>0</v>
      </c>
      <c r="BJ62" s="285" t="n">
        <v>0</v>
      </c>
      <c r="BK62" s="285" t="n">
        <v>0</v>
      </c>
      <c r="BL62" s="285" t="n">
        <v>0</v>
      </c>
      <c r="BM62" s="285" t="n">
        <v>0</v>
      </c>
      <c r="BN62" s="285" t="n">
        <v>0</v>
      </c>
      <c r="BO62" s="285" t="n">
        <v>1281.234</v>
      </c>
      <c r="BR62" s="290" t="n">
        <f aca="false">AR62*1000/0.072</f>
        <v>0</v>
      </c>
      <c r="BS62" s="290" t="n">
        <f aca="false">AT62*1000/0.072</f>
        <v>4777777.77777778</v>
      </c>
      <c r="BT62" s="290" t="n">
        <f aca="false">AU62*1000/0.072</f>
        <v>0</v>
      </c>
      <c r="BU62" s="290" t="n">
        <f aca="false">SUM(BR62:BT62)</f>
        <v>4777777.77777778</v>
      </c>
      <c r="BV62" s="290" t="n">
        <f aca="false">AV62*1000/5</f>
        <v>0</v>
      </c>
      <c r="BW62" s="290" t="n">
        <f aca="false">AX62*1000/5</f>
        <v>0</v>
      </c>
      <c r="BX62" s="290" t="n">
        <f aca="false">AY62*1000/5</f>
        <v>0</v>
      </c>
      <c r="BY62" s="290" t="n">
        <f aca="false">SUM(BV62:BX62)</f>
        <v>0</v>
      </c>
      <c r="CA62" s="290" t="n">
        <f aca="false">IF($AM62="n",0,BR62)</f>
        <v>0</v>
      </c>
      <c r="CB62" s="290" t="n">
        <f aca="false">IF($AM62="n",0,BS62)</f>
        <v>0</v>
      </c>
      <c r="CC62" s="290" t="n">
        <f aca="false">IF($AM62="n",0,BT62)</f>
        <v>0</v>
      </c>
      <c r="CD62" s="290" t="n">
        <f aca="false">SUM(CA62:CC62)</f>
        <v>0</v>
      </c>
      <c r="CE62" s="290" t="n">
        <f aca="false">IF($AM$2="n",0,BV62)</f>
        <v>0</v>
      </c>
      <c r="CF62" s="290" t="n">
        <f aca="false">IF($AM$2="n",0,BW62)</f>
        <v>0</v>
      </c>
      <c r="CG62" s="290" t="n">
        <f aca="false">IF($AM$2="n",0,BX62)</f>
        <v>0</v>
      </c>
      <c r="CH62" s="290" t="n">
        <f aca="false">SUM(CE62:CG62)</f>
        <v>0</v>
      </c>
      <c r="CJ62" s="324"/>
      <c r="CK62" s="324"/>
      <c r="CL62" s="324"/>
      <c r="CM62" s="324"/>
      <c r="CN62" s="324"/>
      <c r="CO62" s="324"/>
      <c r="CP62" s="324"/>
      <c r="CQ62" s="324"/>
      <c r="CR62" s="324"/>
      <c r="CS62" s="324"/>
      <c r="CT62" s="324"/>
      <c r="CU62" s="324"/>
      <c r="CV62" s="324"/>
      <c r="CW62" s="324"/>
      <c r="CX62" s="324"/>
      <c r="CY62" s="324"/>
      <c r="CZ62" s="324"/>
      <c r="DA62" s="324"/>
      <c r="DB62" s="324"/>
      <c r="DC62" s="324"/>
      <c r="DD62" s="324"/>
      <c r="DE62" s="324"/>
      <c r="DF62" s="324"/>
      <c r="DG62" s="324"/>
      <c r="DH62" s="324"/>
      <c r="DI62" s="324"/>
      <c r="DJ62" s="324"/>
      <c r="DK62" s="324"/>
      <c r="DL62" s="324"/>
      <c r="DM62" s="324"/>
      <c r="DN62" s="324"/>
      <c r="DO62" s="324"/>
      <c r="DP62" s="324"/>
      <c r="DQ62" s="324"/>
      <c r="DR62" s="324"/>
      <c r="DS62" s="324"/>
      <c r="DT62" s="324"/>
      <c r="DU62" s="324"/>
      <c r="DV62" s="324"/>
      <c r="DW62" s="324"/>
      <c r="DX62" s="324"/>
      <c r="DY62" s="324"/>
      <c r="DZ62" s="324"/>
      <c r="EA62" s="324"/>
      <c r="EB62" s="324"/>
      <c r="EC62" s="324"/>
      <c r="ED62" s="324"/>
      <c r="EE62" s="324"/>
      <c r="EF62" s="324"/>
      <c r="EG62" s="324"/>
      <c r="EH62" s="324"/>
      <c r="EI62" s="324"/>
      <c r="EJ62" s="324"/>
      <c r="EK62" s="324"/>
      <c r="EL62" s="324"/>
      <c r="EM62" s="324"/>
      <c r="EN62" s="324"/>
      <c r="EO62" s="324"/>
      <c r="EP62" s="324"/>
      <c r="EQ62" s="324"/>
      <c r="ER62" s="324"/>
      <c r="ES62" s="324"/>
      <c r="ET62" s="324"/>
      <c r="EU62" s="324"/>
      <c r="EV62" s="324"/>
      <c r="EW62" s="324"/>
      <c r="EX62" s="324"/>
      <c r="EY62" s="324"/>
      <c r="EZ62" s="324"/>
      <c r="FA62" s="324"/>
      <c r="FB62" s="324"/>
      <c r="FC62" s="324"/>
      <c r="FD62" s="324"/>
      <c r="FE62" s="324"/>
      <c r="FF62" s="324"/>
      <c r="FG62" s="324"/>
      <c r="FH62" s="324"/>
      <c r="FI62" s="324"/>
      <c r="FJ62" s="324"/>
      <c r="FK62" s="324"/>
      <c r="FL62" s="324"/>
      <c r="FM62" s="324"/>
      <c r="FN62" s="324"/>
      <c r="FO62" s="324"/>
      <c r="FP62" s="324"/>
      <c r="FQ62" s="324"/>
      <c r="FR62" s="324"/>
      <c r="FS62" s="324"/>
      <c r="FT62" s="324"/>
      <c r="FU62" s="324"/>
      <c r="FV62" s="324"/>
      <c r="FW62" s="324"/>
      <c r="FX62" s="324"/>
      <c r="FY62" s="324"/>
      <c r="FZ62" s="324"/>
      <c r="GA62" s="324"/>
      <c r="GB62" s="324"/>
      <c r="GC62" s="324"/>
      <c r="GD62" s="324"/>
      <c r="GE62" s="324"/>
      <c r="GF62" s="324"/>
      <c r="GG62" s="324"/>
      <c r="GH62" s="324"/>
      <c r="GI62" s="324"/>
      <c r="GJ62" s="324"/>
      <c r="GK62" s="324"/>
      <c r="GL62" s="324"/>
      <c r="GM62" s="324"/>
      <c r="GN62" s="324"/>
      <c r="GO62" s="324"/>
      <c r="GP62" s="324"/>
      <c r="GQ62" s="324"/>
      <c r="GR62" s="324"/>
      <c r="GS62" s="324"/>
      <c r="GT62" s="324"/>
      <c r="GU62" s="324"/>
      <c r="GV62" s="324"/>
      <c r="GW62" s="324"/>
      <c r="GX62" s="324"/>
    </row>
    <row r="63" customFormat="false" ht="15" hidden="false" customHeight="true" outlineLevel="0" collapsed="false">
      <c r="A63" s="285" t="n">
        <v>1118</v>
      </c>
      <c r="B63" s="285"/>
      <c r="C63" s="286" t="s">
        <v>230</v>
      </c>
      <c r="D63" s="287" t="s">
        <v>230</v>
      </c>
      <c r="E63" s="288" t="n">
        <f aca="false">IF(I63="regional",IF(R63*0.2975,S63*0.3484),S63*0.1939)</f>
        <v>167289.8344</v>
      </c>
      <c r="F63" s="288" t="n">
        <v>0</v>
      </c>
      <c r="G63" s="289" t="n">
        <f aca="false">E63+F63</f>
        <v>167289.8344</v>
      </c>
      <c r="H63" s="286"/>
      <c r="I63" s="287" t="s">
        <v>48</v>
      </c>
      <c r="J63" s="287" t="s">
        <v>49</v>
      </c>
      <c r="K63" s="287" t="s">
        <v>232</v>
      </c>
      <c r="L63" s="287"/>
      <c r="M63" s="317" t="n">
        <v>58</v>
      </c>
      <c r="N63" s="317" t="n">
        <v>0.886</v>
      </c>
      <c r="O63" s="317" t="n">
        <v>0.93</v>
      </c>
      <c r="P63" s="317" t="n">
        <v>0.92</v>
      </c>
      <c r="Q63" s="317" t="n">
        <v>0.833</v>
      </c>
      <c r="R63" s="317" t="n">
        <v>553329</v>
      </c>
      <c r="S63" s="317" t="n">
        <v>480166</v>
      </c>
      <c r="T63" s="318" t="n">
        <f aca="false">IF(I63="regional",IF(R63&gt;0,R63*0.2975,S63*0.3484),S63*0.1939)</f>
        <v>164615.3775</v>
      </c>
      <c r="U63" s="317" t="n">
        <v>299960</v>
      </c>
      <c r="V63" s="317" t="n">
        <v>180206</v>
      </c>
      <c r="W63" s="317" t="n">
        <v>2794</v>
      </c>
      <c r="X63" s="317" t="n">
        <v>0</v>
      </c>
      <c r="Y63" s="317" t="n">
        <v>0</v>
      </c>
      <c r="Z63" s="317" t="n">
        <v>0</v>
      </c>
      <c r="AA63" s="317" t="n">
        <v>644781.3775</v>
      </c>
      <c r="AB63" s="317" t="n">
        <v>164615.3775</v>
      </c>
      <c r="AC63" s="317" t="n">
        <v>480166</v>
      </c>
      <c r="AD63" s="317" t="n">
        <v>0</v>
      </c>
      <c r="AE63" s="317" t="n">
        <v>0</v>
      </c>
      <c r="AF63" s="317" t="n">
        <v>0</v>
      </c>
      <c r="AG63" s="317" t="n">
        <v>480166</v>
      </c>
      <c r="AH63" s="317" t="n">
        <v>0</v>
      </c>
      <c r="AI63" s="317" t="n">
        <v>0</v>
      </c>
      <c r="AJ63" s="286" t="n">
        <v>4</v>
      </c>
      <c r="AK63" s="286" t="s">
        <v>706</v>
      </c>
      <c r="AL63" s="287" t="s">
        <v>48</v>
      </c>
      <c r="AM63" s="286"/>
      <c r="AN63" s="287" t="s">
        <v>230</v>
      </c>
      <c r="AO63" s="287" t="n">
        <v>164615.3775</v>
      </c>
      <c r="AP63" s="319" t="n">
        <f aca="false">AR63+AT63+AU63+AV63+AX63+AY63+AZ63+BD63+BF63+BG63+BH63+BJ63+BK63+(BL63+BM63+BN63)/1000+(0.1*BO63)</f>
        <v>73.215576</v>
      </c>
      <c r="AQ63" s="319" t="n">
        <f aca="false">AR63+AT63+AU63+AV63+AX63+AY63+AZ63+BB63+BC63+BD63+BF63+BG63+BH63+BJ63+BK63+(BL63+BM63+BN63)/1000+(0.1*BO63)</f>
        <v>74.215576</v>
      </c>
      <c r="AR63" s="285" t="n">
        <v>26</v>
      </c>
      <c r="AS63" s="285" t="n">
        <v>0</v>
      </c>
      <c r="AT63" s="285" t="n">
        <v>23</v>
      </c>
      <c r="AU63" s="285" t="n">
        <v>5</v>
      </c>
      <c r="AV63" s="285" t="n">
        <v>0</v>
      </c>
      <c r="AW63" s="285" t="n">
        <v>0</v>
      </c>
      <c r="AX63" s="285" t="n">
        <v>11</v>
      </c>
      <c r="AY63" s="285" t="n">
        <v>1</v>
      </c>
      <c r="AZ63" s="285" t="n">
        <v>0</v>
      </c>
      <c r="BA63" s="285" t="n">
        <v>7</v>
      </c>
      <c r="BB63" s="285" t="n">
        <v>0</v>
      </c>
      <c r="BC63" s="285" t="n">
        <v>1</v>
      </c>
      <c r="BD63" s="285" t="n">
        <v>0</v>
      </c>
      <c r="BE63" s="285" t="n">
        <v>0</v>
      </c>
      <c r="BF63" s="285" t="n">
        <v>0</v>
      </c>
      <c r="BG63" s="285" t="n">
        <v>0</v>
      </c>
      <c r="BH63" s="285" t="n">
        <v>0</v>
      </c>
      <c r="BI63" s="285" t="n">
        <v>0</v>
      </c>
      <c r="BJ63" s="285" t="n">
        <v>0</v>
      </c>
      <c r="BK63" s="285" t="n">
        <v>0</v>
      </c>
      <c r="BL63" s="285" t="n">
        <v>0</v>
      </c>
      <c r="BM63" s="285" t="n">
        <v>0</v>
      </c>
      <c r="BN63" s="285" t="n">
        <v>0</v>
      </c>
      <c r="BO63" s="332" t="n">
        <v>72.15576</v>
      </c>
      <c r="BR63" s="290" t="n">
        <f aca="false">AR63*1000/0.072</f>
        <v>361111.111111111</v>
      </c>
      <c r="BS63" s="290" t="n">
        <f aca="false">AT63*1000/0.072</f>
        <v>319444.444444445</v>
      </c>
      <c r="BT63" s="290" t="n">
        <f aca="false">AU63*1000/0.072</f>
        <v>69444.4444444445</v>
      </c>
      <c r="BU63" s="290" t="n">
        <f aca="false">SUM(BR63:BT63)</f>
        <v>750000</v>
      </c>
      <c r="BV63" s="290" t="n">
        <f aca="false">AV63*1000/5</f>
        <v>0</v>
      </c>
      <c r="BW63" s="290" t="n">
        <f aca="false">AX63*1000/5</f>
        <v>2200</v>
      </c>
      <c r="BX63" s="290" t="n">
        <f aca="false">AY63*1000/5</f>
        <v>200</v>
      </c>
      <c r="BY63" s="290" t="n">
        <f aca="false">SUM(BV63:BX63)</f>
        <v>2400</v>
      </c>
      <c r="CA63" s="290" t="n">
        <f aca="false">IF($AM63="n",0,BR63)</f>
        <v>361111.111111111</v>
      </c>
      <c r="CB63" s="290" t="n">
        <f aca="false">IF($AM63="n",0,BS63)</f>
        <v>319444.444444445</v>
      </c>
      <c r="CC63" s="290" t="n">
        <f aca="false">IF($AM63="n",0,BT63)</f>
        <v>69444.4444444445</v>
      </c>
      <c r="CD63" s="290" t="n">
        <f aca="false">SUM(CA63:CC63)</f>
        <v>750000</v>
      </c>
      <c r="CE63" s="290" t="n">
        <f aca="false">IF($AM$2="n",0,BV63)</f>
        <v>0</v>
      </c>
      <c r="CF63" s="290" t="n">
        <f aca="false">IF($AM$2="n",0,BW63)</f>
        <v>2200</v>
      </c>
      <c r="CG63" s="290" t="n">
        <f aca="false">IF($AM$2="n",0,BX63)</f>
        <v>200</v>
      </c>
      <c r="CH63" s="290" t="n">
        <f aca="false">SUM(CE63:CG63)</f>
        <v>2400</v>
      </c>
      <c r="CJ63" s="324"/>
      <c r="CK63" s="324"/>
      <c r="CL63" s="324"/>
      <c r="CM63" s="324"/>
      <c r="CN63" s="324"/>
      <c r="CO63" s="324"/>
      <c r="CP63" s="324"/>
      <c r="CQ63" s="324"/>
      <c r="CR63" s="324"/>
      <c r="CS63" s="324"/>
      <c r="CT63" s="324"/>
      <c r="CU63" s="324"/>
      <c r="CV63" s="324"/>
      <c r="CW63" s="324"/>
      <c r="CX63" s="324"/>
      <c r="CY63" s="324"/>
      <c r="CZ63" s="324"/>
      <c r="DA63" s="324"/>
      <c r="DB63" s="324"/>
      <c r="DC63" s="324"/>
      <c r="DD63" s="324"/>
      <c r="DE63" s="324"/>
      <c r="DF63" s="324"/>
      <c r="DG63" s="324"/>
      <c r="DH63" s="324"/>
      <c r="DI63" s="324"/>
      <c r="DJ63" s="324"/>
      <c r="DK63" s="324"/>
      <c r="DL63" s="324"/>
      <c r="DM63" s="324"/>
      <c r="DN63" s="324"/>
      <c r="DO63" s="324"/>
      <c r="DP63" s="324"/>
      <c r="DQ63" s="324"/>
      <c r="DR63" s="324"/>
      <c r="DS63" s="324"/>
      <c r="DT63" s="324"/>
      <c r="DU63" s="324"/>
      <c r="DV63" s="324"/>
      <c r="DW63" s="324"/>
      <c r="DX63" s="324"/>
      <c r="DY63" s="324"/>
      <c r="DZ63" s="324"/>
      <c r="EA63" s="324"/>
      <c r="EB63" s="324"/>
      <c r="EC63" s="324"/>
      <c r="ED63" s="324"/>
      <c r="EE63" s="324"/>
      <c r="EF63" s="324"/>
      <c r="EG63" s="324"/>
      <c r="EH63" s="324"/>
      <c r="EI63" s="324"/>
      <c r="EJ63" s="324"/>
      <c r="EK63" s="324"/>
      <c r="EL63" s="324"/>
      <c r="EM63" s="324"/>
      <c r="EN63" s="324"/>
      <c r="EO63" s="324"/>
      <c r="EP63" s="324"/>
      <c r="EQ63" s="324"/>
      <c r="ER63" s="324"/>
      <c r="ES63" s="324"/>
      <c r="ET63" s="324"/>
      <c r="EU63" s="324"/>
      <c r="EV63" s="324"/>
      <c r="EW63" s="324"/>
      <c r="EX63" s="324"/>
      <c r="EY63" s="324"/>
      <c r="EZ63" s="324"/>
      <c r="FA63" s="324"/>
      <c r="FB63" s="324"/>
      <c r="FC63" s="324"/>
      <c r="FD63" s="324"/>
      <c r="FE63" s="324"/>
      <c r="FF63" s="324"/>
      <c r="FG63" s="324"/>
      <c r="FH63" s="324"/>
      <c r="FI63" s="324"/>
      <c r="FJ63" s="324"/>
      <c r="FK63" s="324"/>
      <c r="FL63" s="324"/>
      <c r="FM63" s="324"/>
      <c r="FN63" s="324"/>
      <c r="FO63" s="324"/>
      <c r="FP63" s="324"/>
      <c r="FQ63" s="324"/>
      <c r="FR63" s="324"/>
      <c r="FS63" s="324"/>
      <c r="FT63" s="324"/>
      <c r="FU63" s="324"/>
      <c r="FV63" s="324"/>
      <c r="FW63" s="324"/>
      <c r="FX63" s="324"/>
      <c r="FY63" s="324"/>
      <c r="FZ63" s="324"/>
      <c r="GA63" s="324"/>
      <c r="GB63" s="324"/>
      <c r="GC63" s="324"/>
      <c r="GD63" s="324"/>
      <c r="GE63" s="324"/>
      <c r="GF63" s="324"/>
      <c r="GG63" s="324"/>
      <c r="GH63" s="324"/>
      <c r="GI63" s="324"/>
      <c r="GJ63" s="324"/>
      <c r="GK63" s="324"/>
      <c r="GL63" s="324"/>
      <c r="GM63" s="324"/>
      <c r="GN63" s="324"/>
      <c r="GO63" s="324"/>
      <c r="GP63" s="324"/>
      <c r="GQ63" s="324"/>
      <c r="GR63" s="324"/>
      <c r="GS63" s="324"/>
      <c r="GT63" s="324"/>
      <c r="GU63" s="324"/>
      <c r="GV63" s="324"/>
      <c r="GW63" s="324"/>
      <c r="GX63" s="324"/>
    </row>
    <row r="64" customFormat="false" ht="15" hidden="false" customHeight="true" outlineLevel="0" collapsed="false">
      <c r="A64" s="285" t="n">
        <v>3555</v>
      </c>
      <c r="B64" s="285"/>
      <c r="C64" s="286" t="s">
        <v>233</v>
      </c>
      <c r="D64" s="287" t="s">
        <v>233</v>
      </c>
      <c r="E64" s="288" t="n">
        <f aca="false">IF(I64="regional",IF(R64*0.2975,S64*0.3484),S64*0.1939)</f>
        <v>79394.1001</v>
      </c>
      <c r="F64" s="288" t="n">
        <v>0</v>
      </c>
      <c r="G64" s="289" t="n">
        <f aca="false">E64+F64</f>
        <v>79394.1001</v>
      </c>
      <c r="H64" s="286"/>
      <c r="I64" s="287" t="s">
        <v>62</v>
      </c>
      <c r="J64" s="287"/>
      <c r="K64" s="287" t="s">
        <v>98</v>
      </c>
      <c r="L64" s="287"/>
      <c r="M64" s="317" t="n">
        <v>18</v>
      </c>
      <c r="N64" s="317" t="n">
        <v>0.995</v>
      </c>
      <c r="O64" s="317" t="n">
        <v>0.995</v>
      </c>
      <c r="P64" s="317" t="n">
        <v>0.978</v>
      </c>
      <c r="Q64" s="317" t="n">
        <v>0.991</v>
      </c>
      <c r="R64" s="317" t="n">
        <v>0</v>
      </c>
      <c r="S64" s="317" t="n">
        <v>409459</v>
      </c>
      <c r="T64" s="318" t="n">
        <f aca="false">IF(I64="regional",IF(R64&gt;0,R64*0.2975,S64*0.3484),S64*0.1939)</f>
        <v>79394.1001</v>
      </c>
      <c r="U64" s="317" t="n">
        <v>309802</v>
      </c>
      <c r="V64" s="317" t="n">
        <v>99657</v>
      </c>
      <c r="W64" s="317" t="n">
        <v>1111</v>
      </c>
      <c r="X64" s="317" t="n">
        <v>0</v>
      </c>
      <c r="Y64" s="317" t="n">
        <v>0</v>
      </c>
      <c r="Z64" s="317" t="n">
        <v>0</v>
      </c>
      <c r="AA64" s="317" t="n">
        <v>488853.1001</v>
      </c>
      <c r="AB64" s="317" t="n">
        <v>79394.1001</v>
      </c>
      <c r="AC64" s="317" t="n">
        <v>409459</v>
      </c>
      <c r="AD64" s="317" t="n">
        <v>0</v>
      </c>
      <c r="AE64" s="317" t="n">
        <v>0</v>
      </c>
      <c r="AF64" s="317" t="n">
        <v>0</v>
      </c>
      <c r="AG64" s="317" t="n">
        <v>409459</v>
      </c>
      <c r="AH64" s="317" t="n">
        <v>0</v>
      </c>
      <c r="AI64" s="317" t="n">
        <v>0</v>
      </c>
      <c r="AJ64" s="286" t="n">
        <v>4</v>
      </c>
      <c r="AK64" s="286" t="s">
        <v>706</v>
      </c>
      <c r="AL64" s="287" t="s">
        <v>62</v>
      </c>
      <c r="AM64" s="286"/>
      <c r="AN64" s="287" t="s">
        <v>233</v>
      </c>
      <c r="AO64" s="287" t="n">
        <v>79394.1001</v>
      </c>
      <c r="AP64" s="319" t="n">
        <f aca="false">AR64+AT64+AU64+AV64+AX64+AY64+AZ64+BD64+BF64+BG64+BH64+BJ64+BK64+(BL64+BM64+BN64)/1000+(0.1*BO64)</f>
        <v>21</v>
      </c>
      <c r="AQ64" s="319" t="n">
        <f aca="false">AR64+AT64+AU64+AV64+AX64+AY64+AZ64+BB64+BC64+BD64+BF64+BG64+BH64+BJ64+BK64+(BL64+BM64+BN64)/1000+(0.1*BO64)</f>
        <v>25</v>
      </c>
      <c r="AR64" s="285" t="n">
        <v>0</v>
      </c>
      <c r="AS64" s="285" t="n">
        <v>0</v>
      </c>
      <c r="AT64" s="285" t="n">
        <v>20</v>
      </c>
      <c r="AU64" s="285" t="n">
        <v>0</v>
      </c>
      <c r="AV64" s="285" t="n">
        <v>0</v>
      </c>
      <c r="AW64" s="285" t="n">
        <v>0</v>
      </c>
      <c r="AX64" s="285" t="n">
        <v>0</v>
      </c>
      <c r="AY64" s="285" t="n">
        <v>1</v>
      </c>
      <c r="AZ64" s="285" t="n">
        <v>0</v>
      </c>
      <c r="BA64" s="285" t="n">
        <v>0</v>
      </c>
      <c r="BB64" s="285" t="n">
        <v>0</v>
      </c>
      <c r="BC64" s="285" t="n">
        <v>4</v>
      </c>
      <c r="BD64" s="285" t="n">
        <v>0</v>
      </c>
      <c r="BE64" s="285" t="n">
        <v>0</v>
      </c>
      <c r="BF64" s="285" t="n">
        <v>0</v>
      </c>
      <c r="BG64" s="285" t="n">
        <v>0</v>
      </c>
      <c r="BH64" s="285" t="n">
        <v>0</v>
      </c>
      <c r="BI64" s="285" t="n">
        <v>0</v>
      </c>
      <c r="BJ64" s="285" t="n">
        <v>0</v>
      </c>
      <c r="BK64" s="285" t="n">
        <v>0</v>
      </c>
      <c r="BL64" s="285" t="n">
        <v>0</v>
      </c>
      <c r="BM64" s="285" t="n">
        <v>0</v>
      </c>
      <c r="BN64" s="285" t="n">
        <v>0</v>
      </c>
      <c r="BO64" s="285" t="n">
        <v>0</v>
      </c>
      <c r="BR64" s="290" t="n">
        <f aca="false">AR64*1000/0.072</f>
        <v>0</v>
      </c>
      <c r="BS64" s="290" t="n">
        <f aca="false">AT64*1000/0.072</f>
        <v>277777.777777778</v>
      </c>
      <c r="BT64" s="290" t="n">
        <f aca="false">AU64*1000/0.072</f>
        <v>0</v>
      </c>
      <c r="BU64" s="290" t="n">
        <f aca="false">SUM(BR64:BT64)</f>
        <v>277777.777777778</v>
      </c>
      <c r="BV64" s="290" t="n">
        <f aca="false">AV64*1000/5</f>
        <v>0</v>
      </c>
      <c r="BW64" s="290" t="n">
        <f aca="false">AX64*1000/5</f>
        <v>0</v>
      </c>
      <c r="BX64" s="290" t="n">
        <f aca="false">AY64*1000/5</f>
        <v>200</v>
      </c>
      <c r="BY64" s="290" t="n">
        <f aca="false">SUM(BV64:BX64)</f>
        <v>200</v>
      </c>
      <c r="CA64" s="290" t="n">
        <f aca="false">IF($AM64="n",0,BR64)</f>
        <v>0</v>
      </c>
      <c r="CB64" s="290" t="n">
        <f aca="false">IF($AM64="n",0,BS64)</f>
        <v>277777.777777778</v>
      </c>
      <c r="CC64" s="290" t="n">
        <f aca="false">IF($AM64="n",0,BT64)</f>
        <v>0</v>
      </c>
      <c r="CD64" s="290" t="n">
        <f aca="false">SUM(CA64:CC64)</f>
        <v>277777.777777778</v>
      </c>
      <c r="CE64" s="290" t="n">
        <f aca="false">IF($AM$2="n",0,BV64)</f>
        <v>0</v>
      </c>
      <c r="CF64" s="290" t="n">
        <f aca="false">IF($AM$2="n",0,BW64)</f>
        <v>0</v>
      </c>
      <c r="CG64" s="290" t="n">
        <f aca="false">IF($AM$2="n",0,BX64)</f>
        <v>200</v>
      </c>
      <c r="CH64" s="290" t="n">
        <f aca="false">SUM(CE64:CG64)</f>
        <v>200</v>
      </c>
      <c r="CJ64" s="324"/>
      <c r="CK64" s="324"/>
      <c r="CL64" s="324"/>
      <c r="CM64" s="324"/>
      <c r="CN64" s="324"/>
      <c r="CO64" s="324"/>
      <c r="CP64" s="324"/>
      <c r="CQ64" s="324"/>
      <c r="CR64" s="324"/>
      <c r="CS64" s="324"/>
      <c r="CT64" s="324"/>
      <c r="CU64" s="324"/>
      <c r="CV64" s="324"/>
      <c r="CW64" s="324"/>
      <c r="CX64" s="324"/>
      <c r="CY64" s="324"/>
      <c r="CZ64" s="324"/>
      <c r="DA64" s="324"/>
      <c r="DB64" s="324"/>
      <c r="DC64" s="324"/>
      <c r="DD64" s="324"/>
      <c r="DE64" s="324"/>
      <c r="DF64" s="324"/>
      <c r="DG64" s="324"/>
      <c r="DH64" s="324"/>
      <c r="DI64" s="324"/>
      <c r="DJ64" s="324"/>
      <c r="DK64" s="324"/>
      <c r="DL64" s="324"/>
      <c r="DM64" s="324"/>
      <c r="DN64" s="324"/>
      <c r="DO64" s="324"/>
      <c r="DP64" s="324"/>
      <c r="DQ64" s="324"/>
      <c r="DR64" s="324"/>
      <c r="DS64" s="324"/>
      <c r="DT64" s="324"/>
      <c r="DU64" s="324"/>
      <c r="DV64" s="324"/>
      <c r="DW64" s="324"/>
      <c r="DX64" s="324"/>
      <c r="DY64" s="324"/>
      <c r="DZ64" s="324"/>
      <c r="EA64" s="324"/>
      <c r="EB64" s="324"/>
      <c r="EC64" s="324"/>
      <c r="ED64" s="324"/>
      <c r="EE64" s="324"/>
      <c r="EF64" s="324"/>
      <c r="EG64" s="324"/>
      <c r="EH64" s="324"/>
      <c r="EI64" s="324"/>
      <c r="EJ64" s="324"/>
      <c r="EK64" s="324"/>
      <c r="EL64" s="324"/>
      <c r="EM64" s="324"/>
      <c r="EN64" s="324"/>
      <c r="EO64" s="324"/>
      <c r="EP64" s="324"/>
      <c r="EQ64" s="324"/>
      <c r="ER64" s="324"/>
      <c r="ES64" s="324"/>
      <c r="ET64" s="324"/>
      <c r="EU64" s="324"/>
      <c r="EV64" s="324"/>
      <c r="EW64" s="324"/>
      <c r="EX64" s="324"/>
      <c r="EY64" s="324"/>
      <c r="EZ64" s="324"/>
      <c r="FA64" s="324"/>
      <c r="FB64" s="324"/>
      <c r="FC64" s="324"/>
      <c r="FD64" s="324"/>
      <c r="FE64" s="324"/>
      <c r="FF64" s="324"/>
      <c r="FG64" s="324"/>
      <c r="FH64" s="324"/>
      <c r="FI64" s="324"/>
      <c r="FJ64" s="324"/>
      <c r="FK64" s="324"/>
      <c r="FL64" s="324"/>
      <c r="FM64" s="324"/>
      <c r="FN64" s="324"/>
      <c r="FO64" s="324"/>
      <c r="FP64" s="324"/>
      <c r="FQ64" s="324"/>
      <c r="FR64" s="324"/>
      <c r="FS64" s="324"/>
      <c r="FT64" s="324"/>
      <c r="FU64" s="324"/>
      <c r="FV64" s="324"/>
      <c r="FW64" s="324"/>
      <c r="FX64" s="324"/>
      <c r="FY64" s="324"/>
      <c r="FZ64" s="324"/>
      <c r="GA64" s="324"/>
      <c r="GB64" s="324"/>
      <c r="GC64" s="324"/>
      <c r="GD64" s="324"/>
      <c r="GE64" s="324"/>
      <c r="GF64" s="324"/>
      <c r="GG64" s="324"/>
      <c r="GH64" s="324"/>
      <c r="GI64" s="324"/>
      <c r="GJ64" s="324"/>
      <c r="GK64" s="324"/>
      <c r="GL64" s="324"/>
      <c r="GM64" s="324"/>
      <c r="GN64" s="324"/>
      <c r="GO64" s="324"/>
      <c r="GP64" s="324"/>
      <c r="GQ64" s="324"/>
      <c r="GR64" s="324"/>
      <c r="GS64" s="324"/>
      <c r="GT64" s="324"/>
      <c r="GU64" s="324"/>
      <c r="GV64" s="324"/>
      <c r="GW64" s="324"/>
      <c r="GX64" s="324"/>
    </row>
    <row r="65" customFormat="false" ht="15" hidden="false" customHeight="true" outlineLevel="0" collapsed="false">
      <c r="A65" s="285" t="n">
        <v>1125</v>
      </c>
      <c r="B65" s="285" t="s">
        <v>44</v>
      </c>
      <c r="C65" s="286" t="s">
        <v>235</v>
      </c>
      <c r="D65" s="287" t="s">
        <v>235</v>
      </c>
      <c r="E65" s="288" t="n">
        <f aca="false">IF(I65="regional",IF(R65*0.2975,S65*0.3484),S65*0.1939)</f>
        <v>156408.2572</v>
      </c>
      <c r="F65" s="288" t="n">
        <v>0</v>
      </c>
      <c r="G65" s="289" t="n">
        <f aca="false">E65+F65</f>
        <v>156408.2572</v>
      </c>
      <c r="H65" s="286"/>
      <c r="I65" s="287" t="s">
        <v>48</v>
      </c>
      <c r="J65" s="287" t="s">
        <v>44</v>
      </c>
      <c r="K65" s="287" t="s">
        <v>238</v>
      </c>
      <c r="L65" s="287"/>
      <c r="M65" s="317" t="n">
        <v>75</v>
      </c>
      <c r="N65" s="317" t="n">
        <v>0.744</v>
      </c>
      <c r="O65" s="317" t="n">
        <v>0.787</v>
      </c>
      <c r="P65" s="317" t="n">
        <v>0.767</v>
      </c>
      <c r="Q65" s="317" t="n">
        <v>0.82</v>
      </c>
      <c r="R65" s="317" t="n">
        <v>520231</v>
      </c>
      <c r="S65" s="317" t="n">
        <v>448933</v>
      </c>
      <c r="T65" s="318" t="n">
        <f aca="false">IF(I65="regional",IF(R65&gt;0,R65*0.2975,S65*0.3484),S65*0.1939)</f>
        <v>154768.7225</v>
      </c>
      <c r="U65" s="317" t="n">
        <v>242666</v>
      </c>
      <c r="V65" s="317" t="n">
        <v>206267</v>
      </c>
      <c r="W65" s="317" t="n">
        <v>2090</v>
      </c>
      <c r="X65" s="317" t="n">
        <v>0</v>
      </c>
      <c r="Y65" s="317" t="n">
        <v>0</v>
      </c>
      <c r="Z65" s="317" t="n">
        <v>0</v>
      </c>
      <c r="AA65" s="317" t="n">
        <v>603701.7225</v>
      </c>
      <c r="AB65" s="317" t="n">
        <v>154768.7225</v>
      </c>
      <c r="AC65" s="317" t="n">
        <v>448933</v>
      </c>
      <c r="AD65" s="317" t="n">
        <v>0</v>
      </c>
      <c r="AE65" s="317" t="n">
        <v>0</v>
      </c>
      <c r="AF65" s="317" t="n">
        <v>448933</v>
      </c>
      <c r="AG65" s="317" t="n">
        <v>0</v>
      </c>
      <c r="AH65" s="317" t="n">
        <v>338000</v>
      </c>
      <c r="AI65" s="317" t="n">
        <v>392000</v>
      </c>
      <c r="AJ65" s="286" t="s">
        <v>715</v>
      </c>
      <c r="AK65" s="286" t="s">
        <v>716</v>
      </c>
      <c r="AL65" s="287" t="s">
        <v>48</v>
      </c>
      <c r="AM65" s="286"/>
      <c r="AN65" s="287" t="s">
        <v>235</v>
      </c>
      <c r="AO65" s="287" t="n">
        <v>154768.7225</v>
      </c>
      <c r="AP65" s="319" t="n">
        <f aca="false">AR65+AT65+AU65+AV65+AX65+AY65+AZ65+BD65+BF65+BG65+BH65+BJ65+BK65+(BL65+BM65+BN65)/1000+(0.1*BO65)</f>
        <v>91.8343</v>
      </c>
      <c r="AQ65" s="319" t="n">
        <f aca="false">AR65+AT65+AU65+AV65+AX65+AY65+AZ65+BB65+BC65+BD65+BF65+BG65+BH65+BJ65+BK65+(BL65+BM65+BN65)/1000+(0.1*BO65)</f>
        <v>98.8343</v>
      </c>
      <c r="AR65" s="285" t="n">
        <v>17</v>
      </c>
      <c r="AS65" s="285" t="n">
        <v>392</v>
      </c>
      <c r="AT65" s="285" t="n">
        <v>37</v>
      </c>
      <c r="AU65" s="285" t="n">
        <v>0</v>
      </c>
      <c r="AV65" s="285" t="n">
        <v>0</v>
      </c>
      <c r="AW65" s="285" t="n">
        <v>0</v>
      </c>
      <c r="AX65" s="285" t="n">
        <v>0</v>
      </c>
      <c r="AY65" s="285" t="n">
        <v>0</v>
      </c>
      <c r="AZ65" s="285" t="n">
        <v>0</v>
      </c>
      <c r="BA65" s="285" t="n">
        <v>0</v>
      </c>
      <c r="BB65" s="285" t="n">
        <v>5</v>
      </c>
      <c r="BC65" s="285" t="n">
        <v>2</v>
      </c>
      <c r="BD65" s="285" t="n">
        <v>0</v>
      </c>
      <c r="BE65" s="285" t="n">
        <v>0</v>
      </c>
      <c r="BF65" s="285" t="n">
        <v>0</v>
      </c>
      <c r="BG65" s="285" t="n">
        <v>0</v>
      </c>
      <c r="BH65" s="285" t="n">
        <v>0</v>
      </c>
      <c r="BI65" s="285" t="n">
        <v>0</v>
      </c>
      <c r="BJ65" s="285" t="n">
        <v>0</v>
      </c>
      <c r="BK65" s="285" t="n">
        <v>0</v>
      </c>
      <c r="BL65" s="285" t="n">
        <v>0</v>
      </c>
      <c r="BM65" s="285" t="n">
        <v>0</v>
      </c>
      <c r="BN65" s="285" t="n">
        <v>0</v>
      </c>
      <c r="BO65" s="285" t="n">
        <v>378.343</v>
      </c>
      <c r="BR65" s="290" t="n">
        <f aca="false">AR65*1000/0.072</f>
        <v>236111.111111111</v>
      </c>
      <c r="BS65" s="290" t="n">
        <f aca="false">AT65*1000/0.072</f>
        <v>513888.888888889</v>
      </c>
      <c r="BT65" s="290" t="n">
        <f aca="false">AU65*1000/0.072</f>
        <v>0</v>
      </c>
      <c r="BU65" s="290" t="n">
        <f aca="false">SUM(BR65:BT65)</f>
        <v>750000</v>
      </c>
      <c r="BV65" s="290" t="n">
        <f aca="false">AV65*1000/5</f>
        <v>0</v>
      </c>
      <c r="BW65" s="290" t="n">
        <f aca="false">AX65*1000/5</f>
        <v>0</v>
      </c>
      <c r="BX65" s="290" t="n">
        <f aca="false">AY65*1000/5</f>
        <v>0</v>
      </c>
      <c r="BY65" s="290" t="n">
        <f aca="false">SUM(BV65:BX65)</f>
        <v>0</v>
      </c>
      <c r="CA65" s="290" t="n">
        <f aca="false">IF($AM65="n",0,BR65)</f>
        <v>236111.111111111</v>
      </c>
      <c r="CB65" s="290" t="n">
        <f aca="false">IF($AM65="n",0,BS65)</f>
        <v>513888.888888889</v>
      </c>
      <c r="CC65" s="290" t="n">
        <f aca="false">IF($AM65="n",0,BT65)</f>
        <v>0</v>
      </c>
      <c r="CD65" s="290" t="n">
        <f aca="false">SUM(CA65:CC65)</f>
        <v>750000</v>
      </c>
      <c r="CE65" s="290" t="n">
        <f aca="false">IF($AM$2="n",0,BV65)</f>
        <v>0</v>
      </c>
      <c r="CF65" s="290" t="n">
        <f aca="false">IF($AM$2="n",0,BW65)</f>
        <v>0</v>
      </c>
      <c r="CG65" s="290" t="n">
        <f aca="false">IF($AM$2="n",0,BX65)</f>
        <v>0</v>
      </c>
      <c r="CH65" s="290" t="n">
        <f aca="false">SUM(CE65:CG65)</f>
        <v>0</v>
      </c>
      <c r="CJ65" s="324"/>
      <c r="CK65" s="324"/>
      <c r="CL65" s="324"/>
      <c r="CM65" s="324"/>
      <c r="CN65" s="324"/>
      <c r="CO65" s="324"/>
      <c r="CP65" s="324"/>
      <c r="CQ65" s="324"/>
      <c r="CR65" s="324"/>
      <c r="CS65" s="324"/>
      <c r="CT65" s="324"/>
      <c r="CU65" s="324"/>
      <c r="CV65" s="324"/>
      <c r="CW65" s="324"/>
      <c r="CX65" s="324"/>
      <c r="CY65" s="324"/>
      <c r="CZ65" s="324"/>
      <c r="DA65" s="324"/>
      <c r="DB65" s="324"/>
      <c r="DC65" s="324"/>
      <c r="DD65" s="324"/>
      <c r="DE65" s="324"/>
      <c r="DF65" s="324"/>
      <c r="DG65" s="324"/>
      <c r="DH65" s="324"/>
      <c r="DI65" s="324"/>
      <c r="DJ65" s="324"/>
      <c r="DK65" s="324"/>
      <c r="DL65" s="324"/>
      <c r="DM65" s="324"/>
      <c r="DN65" s="324"/>
      <c r="DO65" s="324"/>
      <c r="DP65" s="324"/>
      <c r="DQ65" s="324"/>
      <c r="DR65" s="324"/>
      <c r="DS65" s="324"/>
      <c r="DT65" s="324"/>
      <c r="DU65" s="324"/>
      <c r="DV65" s="324"/>
      <c r="DW65" s="324"/>
      <c r="DX65" s="324"/>
      <c r="DY65" s="324"/>
      <c r="DZ65" s="324"/>
      <c r="EA65" s="324"/>
      <c r="EB65" s="324"/>
      <c r="EC65" s="324"/>
      <c r="ED65" s="324"/>
      <c r="EE65" s="324"/>
      <c r="EF65" s="324"/>
      <c r="EG65" s="324"/>
      <c r="EH65" s="324"/>
      <c r="EI65" s="324"/>
      <c r="EJ65" s="324"/>
      <c r="EK65" s="324"/>
      <c r="EL65" s="324"/>
      <c r="EM65" s="324"/>
      <c r="EN65" s="324"/>
      <c r="EO65" s="324"/>
      <c r="EP65" s="324"/>
      <c r="EQ65" s="324"/>
      <c r="ER65" s="324"/>
      <c r="ES65" s="324"/>
      <c r="ET65" s="324"/>
      <c r="EU65" s="324"/>
      <c r="EV65" s="324"/>
      <c r="EW65" s="324"/>
      <c r="EX65" s="324"/>
      <c r="EY65" s="324"/>
      <c r="EZ65" s="324"/>
      <c r="FA65" s="324"/>
      <c r="FB65" s="324"/>
      <c r="FC65" s="324"/>
      <c r="FD65" s="324"/>
      <c r="FE65" s="324"/>
      <c r="FF65" s="324"/>
      <c r="FG65" s="324"/>
      <c r="FH65" s="324"/>
      <c r="FI65" s="324"/>
      <c r="FJ65" s="324"/>
      <c r="FK65" s="324"/>
      <c r="FL65" s="324"/>
      <c r="FM65" s="324"/>
      <c r="FN65" s="324"/>
      <c r="FO65" s="324"/>
      <c r="FP65" s="324"/>
      <c r="FQ65" s="324"/>
      <c r="FR65" s="324"/>
      <c r="FS65" s="324"/>
      <c r="FT65" s="324"/>
      <c r="FU65" s="324"/>
      <c r="FV65" s="324"/>
      <c r="FW65" s="324"/>
      <c r="FX65" s="324"/>
      <c r="FY65" s="324"/>
      <c r="FZ65" s="324"/>
      <c r="GA65" s="324"/>
      <c r="GB65" s="324"/>
      <c r="GC65" s="324"/>
      <c r="GD65" s="324"/>
      <c r="GE65" s="324"/>
      <c r="GF65" s="324"/>
      <c r="GG65" s="324"/>
      <c r="GH65" s="324"/>
      <c r="GI65" s="324"/>
      <c r="GJ65" s="324"/>
      <c r="GK65" s="324"/>
      <c r="GL65" s="324"/>
      <c r="GM65" s="324"/>
      <c r="GN65" s="324"/>
      <c r="GO65" s="324"/>
      <c r="GP65" s="324"/>
      <c r="GQ65" s="324"/>
      <c r="GR65" s="324"/>
      <c r="GS65" s="324"/>
      <c r="GT65" s="324"/>
      <c r="GU65" s="324"/>
      <c r="GV65" s="324"/>
      <c r="GW65" s="324"/>
      <c r="GX65" s="324"/>
    </row>
    <row r="66" customFormat="false" ht="15" hidden="false" customHeight="true" outlineLevel="0" collapsed="false">
      <c r="A66" s="285" t="n">
        <v>1145</v>
      </c>
      <c r="B66" s="285" t="s">
        <v>44</v>
      </c>
      <c r="C66" s="286" t="s">
        <v>239</v>
      </c>
      <c r="D66" s="287" t="s">
        <v>239</v>
      </c>
      <c r="E66" s="288" t="n">
        <f aca="false">IF(I66="regional",IF(R66*0.2975,S66*0.3484),S66*0.1939)</f>
        <v>161965.934</v>
      </c>
      <c r="F66" s="288" t="n">
        <v>0</v>
      </c>
      <c r="G66" s="289" t="n">
        <f aca="false">E66+F66</f>
        <v>161965.934</v>
      </c>
      <c r="H66" s="286" t="s">
        <v>49</v>
      </c>
      <c r="I66" s="287" t="s">
        <v>48</v>
      </c>
      <c r="J66" s="287" t="s">
        <v>44</v>
      </c>
      <c r="K66" s="287" t="s">
        <v>242</v>
      </c>
      <c r="L66" s="287"/>
      <c r="M66" s="317" t="n">
        <v>72</v>
      </c>
      <c r="N66" s="317" t="n">
        <v>0.962</v>
      </c>
      <c r="O66" s="317" t="n">
        <v>0.962</v>
      </c>
      <c r="P66" s="317" t="n">
        <v>0.989</v>
      </c>
      <c r="Q66" s="317" t="n">
        <v>1</v>
      </c>
      <c r="R66" s="317" t="n">
        <v>1043979</v>
      </c>
      <c r="S66" s="317" t="n">
        <v>464885</v>
      </c>
      <c r="T66" s="318" t="n">
        <f aca="false">IF(I66="regional",IF(R66&gt;0,R66*0.2975,S66*0.3484),S66*0.1939)</f>
        <v>310583.7525</v>
      </c>
      <c r="U66" s="317" t="n">
        <v>0</v>
      </c>
      <c r="V66" s="317" t="n">
        <v>464885</v>
      </c>
      <c r="W66" s="317" t="n">
        <v>5500</v>
      </c>
      <c r="X66" s="317" t="n">
        <v>0</v>
      </c>
      <c r="Y66" s="317" t="n">
        <v>0</v>
      </c>
      <c r="Z66" s="317" t="n">
        <v>0</v>
      </c>
      <c r="AA66" s="317" t="n">
        <v>775468.7525</v>
      </c>
      <c r="AB66" s="317" t="n">
        <v>310583.7525</v>
      </c>
      <c r="AC66" s="317" t="n">
        <v>464885</v>
      </c>
      <c r="AD66" s="317" t="n">
        <v>0</v>
      </c>
      <c r="AE66" s="317" t="n">
        <v>0</v>
      </c>
      <c r="AF66" s="317" t="n">
        <v>464885</v>
      </c>
      <c r="AG66" s="317" t="n">
        <v>0</v>
      </c>
      <c r="AH66" s="317" t="n">
        <v>1044000</v>
      </c>
      <c r="AI66" s="317" t="n">
        <v>1045000</v>
      </c>
      <c r="AJ66" s="286" t="s">
        <v>721</v>
      </c>
      <c r="AK66" s="286" t="s">
        <v>727</v>
      </c>
      <c r="AL66" s="287" t="s">
        <v>48</v>
      </c>
      <c r="AM66" s="286" t="s">
        <v>49</v>
      </c>
      <c r="AN66" s="287" t="s">
        <v>239</v>
      </c>
      <c r="AO66" s="287" t="n">
        <v>310583.7525</v>
      </c>
      <c r="AP66" s="319" t="n">
        <f aca="false">AR66+AT66+AU66+AV66+AX66+AY66+AZ66+BD66+BF66+BG66+BH66+BJ66+BK66+(BL66+BM66+BN66)/1000+(0.1*BO66)</f>
        <v>349.067</v>
      </c>
      <c r="AQ66" s="319" t="n">
        <f aca="false">AR66+AT66+AU66+AV66+AX66+AY66+AZ66+BB66+BC66+BD66+BF66+BG66+BH66+BJ66+BK66+(BL66+BM66+BN66)/1000+(0.1*BO66)</f>
        <v>399.067</v>
      </c>
      <c r="AR66" s="302" t="n">
        <v>133</v>
      </c>
      <c r="AS66" s="302" t="n">
        <v>1045</v>
      </c>
      <c r="AT66" s="302" t="n">
        <v>80</v>
      </c>
      <c r="AU66" s="302" t="n">
        <v>0</v>
      </c>
      <c r="AV66" s="302" t="n">
        <v>0</v>
      </c>
      <c r="AW66" s="302" t="n">
        <v>122</v>
      </c>
      <c r="AX66" s="302" t="n">
        <v>0</v>
      </c>
      <c r="AY66" s="302" t="n">
        <v>0</v>
      </c>
      <c r="AZ66" s="302" t="n">
        <v>22</v>
      </c>
      <c r="BA66" s="302" t="n">
        <v>133</v>
      </c>
      <c r="BB66" s="302" t="n">
        <v>50</v>
      </c>
      <c r="BC66" s="302" t="n">
        <v>0</v>
      </c>
      <c r="BD66" s="302" t="n">
        <v>31</v>
      </c>
      <c r="BE66" s="302" t="n">
        <v>0</v>
      </c>
      <c r="BF66" s="302" t="n">
        <v>0</v>
      </c>
      <c r="BG66" s="302" t="n">
        <v>0</v>
      </c>
      <c r="BH66" s="302" t="n">
        <v>78</v>
      </c>
      <c r="BI66" s="302" t="n">
        <v>6</v>
      </c>
      <c r="BJ66" s="302" t="n">
        <v>0</v>
      </c>
      <c r="BK66" s="302" t="n">
        <v>0</v>
      </c>
      <c r="BL66" s="302" t="n">
        <v>5067</v>
      </c>
      <c r="BM66" s="302" t="n">
        <v>0</v>
      </c>
      <c r="BN66" s="302" t="n">
        <v>0</v>
      </c>
      <c r="BO66" s="302" t="n">
        <v>0</v>
      </c>
      <c r="BP66" s="324"/>
      <c r="BR66" s="290" t="n">
        <f aca="false">AR66*1000/0.072</f>
        <v>1847222.22222222</v>
      </c>
      <c r="BS66" s="290" t="n">
        <f aca="false">AT66*1000/0.072</f>
        <v>1111111.11111111</v>
      </c>
      <c r="BT66" s="290" t="n">
        <f aca="false">AU66*1000/0.072</f>
        <v>0</v>
      </c>
      <c r="BU66" s="290" t="n">
        <f aca="false">SUM(BR66:BT66)</f>
        <v>2958333.33333333</v>
      </c>
      <c r="BV66" s="290" t="n">
        <f aca="false">AV66*1000/5</f>
        <v>0</v>
      </c>
      <c r="BW66" s="290" t="n">
        <f aca="false">AX66*1000/5</f>
        <v>0</v>
      </c>
      <c r="BX66" s="290" t="n">
        <f aca="false">AY66*1000/5</f>
        <v>0</v>
      </c>
      <c r="BY66" s="290" t="n">
        <f aca="false">SUM(BV66:BX66)</f>
        <v>0</v>
      </c>
      <c r="CA66" s="290" t="n">
        <f aca="false">IF($AM66="n",0,BR66)</f>
        <v>0</v>
      </c>
      <c r="CB66" s="290" t="n">
        <f aca="false">IF($AM66="n",0,BS66)</f>
        <v>0</v>
      </c>
      <c r="CC66" s="290" t="n">
        <f aca="false">IF($AM66="n",0,BT66)</f>
        <v>0</v>
      </c>
      <c r="CD66" s="290" t="n">
        <f aca="false">SUM(CA66:CC66)</f>
        <v>0</v>
      </c>
      <c r="CE66" s="290" t="n">
        <f aca="false">IF($AM$2="n",0,BV66)</f>
        <v>0</v>
      </c>
      <c r="CF66" s="290" t="n">
        <f aca="false">IF($AM$2="n",0,BW66)</f>
        <v>0</v>
      </c>
      <c r="CG66" s="290" t="n">
        <f aca="false">IF($AM$2="n",0,BX66)</f>
        <v>0</v>
      </c>
      <c r="CH66" s="290" t="n">
        <f aca="false">SUM(CE66:CG66)</f>
        <v>0</v>
      </c>
      <c r="CJ66" s="324"/>
      <c r="CK66" s="324"/>
      <c r="CL66" s="324"/>
      <c r="CM66" s="324"/>
      <c r="CN66" s="324"/>
      <c r="CO66" s="324"/>
      <c r="CP66" s="324"/>
      <c r="CQ66" s="324"/>
      <c r="CR66" s="324"/>
      <c r="CS66" s="324"/>
      <c r="CT66" s="324"/>
      <c r="CU66" s="324"/>
      <c r="CV66" s="324"/>
      <c r="CW66" s="324"/>
      <c r="CX66" s="324"/>
      <c r="CY66" s="324"/>
      <c r="CZ66" s="324"/>
      <c r="DA66" s="324"/>
      <c r="DB66" s="324"/>
      <c r="DC66" s="324"/>
      <c r="DD66" s="324"/>
      <c r="DE66" s="324"/>
      <c r="DF66" s="324"/>
      <c r="DG66" s="324"/>
      <c r="DH66" s="324"/>
      <c r="DI66" s="324"/>
      <c r="DJ66" s="324"/>
      <c r="DK66" s="324"/>
      <c r="DL66" s="324"/>
      <c r="DM66" s="324"/>
      <c r="DN66" s="324"/>
      <c r="DO66" s="324"/>
      <c r="DP66" s="324"/>
      <c r="DQ66" s="324"/>
      <c r="DR66" s="324"/>
      <c r="DS66" s="324"/>
      <c r="DT66" s="324"/>
      <c r="DU66" s="324"/>
      <c r="DV66" s="324"/>
      <c r="DW66" s="324"/>
      <c r="DX66" s="324"/>
      <c r="DY66" s="324"/>
      <c r="DZ66" s="324"/>
      <c r="EA66" s="324"/>
      <c r="EB66" s="324"/>
      <c r="EC66" s="324"/>
      <c r="ED66" s="324"/>
      <c r="EE66" s="324"/>
      <c r="EF66" s="324"/>
      <c r="EG66" s="324"/>
      <c r="EH66" s="324"/>
      <c r="EI66" s="324"/>
      <c r="EJ66" s="324"/>
      <c r="EK66" s="324"/>
      <c r="EL66" s="324"/>
      <c r="EM66" s="324"/>
      <c r="EN66" s="324"/>
      <c r="EO66" s="324"/>
      <c r="EP66" s="324"/>
      <c r="EQ66" s="324"/>
      <c r="ER66" s="324"/>
      <c r="ES66" s="324"/>
      <c r="ET66" s="324"/>
      <c r="EU66" s="324"/>
      <c r="EV66" s="324"/>
      <c r="EW66" s="324"/>
      <c r="EX66" s="324"/>
      <c r="EY66" s="324"/>
      <c r="EZ66" s="324"/>
      <c r="FA66" s="324"/>
      <c r="FB66" s="324"/>
      <c r="FC66" s="324"/>
      <c r="FD66" s="324"/>
      <c r="FE66" s="324"/>
      <c r="FF66" s="324"/>
      <c r="FG66" s="324"/>
      <c r="FH66" s="324"/>
      <c r="FI66" s="324"/>
      <c r="FJ66" s="324"/>
      <c r="FK66" s="324"/>
      <c r="FL66" s="324"/>
      <c r="FM66" s="324"/>
      <c r="FN66" s="324"/>
      <c r="FO66" s="324"/>
      <c r="FP66" s="324"/>
      <c r="FQ66" s="324"/>
      <c r="FR66" s="324"/>
      <c r="FS66" s="324"/>
      <c r="FT66" s="324"/>
      <c r="FU66" s="324"/>
      <c r="FV66" s="324"/>
      <c r="FW66" s="324"/>
      <c r="FX66" s="324"/>
      <c r="FY66" s="324"/>
      <c r="FZ66" s="324"/>
      <c r="GA66" s="324"/>
      <c r="GB66" s="324"/>
      <c r="GC66" s="324"/>
      <c r="GD66" s="324"/>
      <c r="GE66" s="324"/>
      <c r="GF66" s="324"/>
      <c r="GG66" s="324"/>
      <c r="GH66" s="324"/>
      <c r="GI66" s="324"/>
      <c r="GJ66" s="324"/>
      <c r="GK66" s="324"/>
      <c r="GL66" s="324"/>
      <c r="GM66" s="324"/>
      <c r="GN66" s="324"/>
      <c r="GO66" s="324"/>
      <c r="GP66" s="324"/>
      <c r="GQ66" s="324"/>
      <c r="GR66" s="324"/>
      <c r="GS66" s="324"/>
      <c r="GT66" s="324"/>
      <c r="GU66" s="324"/>
      <c r="GV66" s="324"/>
      <c r="GW66" s="324"/>
      <c r="GX66" s="324"/>
      <c r="GY66" s="333"/>
      <c r="GZ66" s="333"/>
      <c r="HA66" s="333"/>
      <c r="HB66" s="333"/>
      <c r="HC66" s="333"/>
      <c r="HD66" s="333"/>
      <c r="HE66" s="333"/>
      <c r="HF66" s="333"/>
      <c r="HG66" s="333"/>
      <c r="HH66" s="333"/>
      <c r="HI66" s="333"/>
      <c r="HJ66" s="333"/>
      <c r="HK66" s="333"/>
      <c r="HL66" s="333"/>
      <c r="HM66" s="333"/>
      <c r="HN66" s="333"/>
      <c r="HO66" s="333"/>
      <c r="HP66" s="333"/>
      <c r="HQ66" s="333"/>
      <c r="HR66" s="333"/>
      <c r="HS66" s="333"/>
      <c r="HT66" s="333"/>
      <c r="HU66" s="333"/>
      <c r="HV66" s="333"/>
      <c r="HW66" s="333"/>
      <c r="HX66" s="333"/>
      <c r="HY66" s="333"/>
      <c r="HZ66" s="333"/>
      <c r="IA66" s="333"/>
      <c r="IB66" s="333"/>
      <c r="IC66" s="333"/>
      <c r="ID66" s="333"/>
      <c r="IE66" s="333"/>
      <c r="IF66" s="333"/>
      <c r="IG66" s="333"/>
      <c r="IH66" s="333"/>
      <c r="II66" s="333"/>
      <c r="IJ66" s="333"/>
      <c r="IK66" s="333"/>
      <c r="IL66" s="333"/>
      <c r="IM66" s="333"/>
      <c r="IN66" s="333"/>
      <c r="IO66" s="333"/>
      <c r="IP66" s="333"/>
      <c r="IQ66" s="333"/>
      <c r="IR66" s="333"/>
      <c r="IS66" s="333"/>
      <c r="IT66" s="333"/>
      <c r="IU66" s="333"/>
      <c r="IV66" s="333"/>
      <c r="IW66" s="333"/>
    </row>
    <row r="67" customFormat="false" ht="15" hidden="false" customHeight="true" outlineLevel="0" collapsed="false">
      <c r="A67" s="298" t="n">
        <v>1148</v>
      </c>
      <c r="B67" s="298" t="s">
        <v>44</v>
      </c>
      <c r="C67" s="299" t="s">
        <v>730</v>
      </c>
      <c r="D67" s="293" t="s">
        <v>730</v>
      </c>
      <c r="E67" s="288" t="n">
        <f aca="false">IF(I67="regional",IF(R67*0.2975,S67*0.3484),S67*0.1939)</f>
        <v>0</v>
      </c>
      <c r="F67" s="294"/>
      <c r="G67" s="289" t="n">
        <f aca="false">E67+F67</f>
        <v>0</v>
      </c>
      <c r="H67" s="292" t="s">
        <v>49</v>
      </c>
      <c r="I67" s="293" t="s">
        <v>48</v>
      </c>
      <c r="J67" s="293"/>
      <c r="K67" s="293"/>
      <c r="L67" s="293"/>
      <c r="M67" s="320"/>
      <c r="N67" s="320"/>
      <c r="O67" s="320"/>
      <c r="P67" s="320"/>
      <c r="Q67" s="320"/>
      <c r="R67" s="320"/>
      <c r="S67" s="320"/>
      <c r="T67" s="318" t="n">
        <f aca="false">IF(I67="regional",IF(R67&gt;0,R67*0.2975,S67*0.3484),S67*0.1939)</f>
        <v>0</v>
      </c>
      <c r="U67" s="320"/>
      <c r="V67" s="320"/>
      <c r="W67" s="320"/>
      <c r="X67" s="320"/>
      <c r="Y67" s="320"/>
      <c r="Z67" s="320"/>
      <c r="AA67" s="320"/>
      <c r="AB67" s="320"/>
      <c r="AC67" s="320"/>
      <c r="AD67" s="320"/>
      <c r="AE67" s="320"/>
      <c r="AF67" s="320"/>
      <c r="AG67" s="320"/>
      <c r="AH67" s="320"/>
      <c r="AI67" s="320"/>
      <c r="AJ67" s="292" t="s">
        <v>721</v>
      </c>
      <c r="AK67" s="292" t="s">
        <v>727</v>
      </c>
      <c r="AL67" s="328" t="s">
        <v>128</v>
      </c>
      <c r="AM67" s="292" t="s">
        <v>49</v>
      </c>
      <c r="AN67" s="328" t="s">
        <v>730</v>
      </c>
      <c r="AO67" s="328" t="n">
        <v>0</v>
      </c>
      <c r="AP67" s="329" t="n">
        <f aca="false">AR67+AT67+AU67+AV67+AX67+AY67+AZ67+BD67+BF67+BG67+BH67+BJ67+BK67+(BL67+BM67+BN67)/1000+(0.1*BO67)</f>
        <v>437</v>
      </c>
      <c r="AQ67" s="319" t="n">
        <f aca="false">AR67+AT67+AU67+AV67+AX67+AY67+AZ67+BB67+BC67+BD67+BF67+BG67+BH67+BJ67+BK67+(BL67+BM67+BN67)/1000+(0.1*BO67)</f>
        <v>503</v>
      </c>
      <c r="AR67" s="334" t="n">
        <v>32</v>
      </c>
      <c r="AS67" s="334" t="n">
        <v>567</v>
      </c>
      <c r="AT67" s="334" t="n">
        <v>270</v>
      </c>
      <c r="AU67" s="334" t="n">
        <v>0</v>
      </c>
      <c r="AV67" s="334" t="n">
        <v>0</v>
      </c>
      <c r="AW67" s="334" t="n">
        <v>0</v>
      </c>
      <c r="AX67" s="334" t="n">
        <v>26</v>
      </c>
      <c r="AY67" s="334" t="n">
        <v>0</v>
      </c>
      <c r="AZ67" s="334" t="n">
        <v>13</v>
      </c>
      <c r="BA67" s="334" t="n">
        <v>27</v>
      </c>
      <c r="BB67" s="334" t="n">
        <v>66</v>
      </c>
      <c r="BC67" s="334" t="n">
        <v>0</v>
      </c>
      <c r="BD67" s="334" t="n">
        <v>27</v>
      </c>
      <c r="BE67" s="334" t="n">
        <v>0</v>
      </c>
      <c r="BF67" s="334" t="n">
        <v>0</v>
      </c>
      <c r="BG67" s="334" t="n">
        <v>0</v>
      </c>
      <c r="BH67" s="334" t="n">
        <v>67</v>
      </c>
      <c r="BI67" s="334" t="n">
        <v>6</v>
      </c>
      <c r="BJ67" s="334" t="n">
        <v>0</v>
      </c>
      <c r="BK67" s="334" t="n">
        <v>0</v>
      </c>
      <c r="BL67" s="334" t="n">
        <v>0</v>
      </c>
      <c r="BM67" s="334" t="n">
        <v>2000</v>
      </c>
      <c r="BN67" s="334" t="n">
        <v>0</v>
      </c>
      <c r="BO67" s="165"/>
      <c r="BR67" s="290" t="n">
        <f aca="false">AR67*1000/0.072</f>
        <v>444444.444444445</v>
      </c>
      <c r="BS67" s="290" t="n">
        <f aca="false">AT67*1000/0.072</f>
        <v>3750000</v>
      </c>
      <c r="BT67" s="290" t="n">
        <f aca="false">AU67*1000/0.072</f>
        <v>0</v>
      </c>
      <c r="BU67" s="290" t="n">
        <f aca="false">SUM(BR67:BT67)</f>
        <v>4194444.44444445</v>
      </c>
      <c r="BV67" s="290" t="n">
        <f aca="false">AV67*1000/5</f>
        <v>0</v>
      </c>
      <c r="BW67" s="290" t="n">
        <f aca="false">AX67*1000/5</f>
        <v>5200</v>
      </c>
      <c r="BX67" s="290" t="n">
        <f aca="false">AY67*1000/5</f>
        <v>0</v>
      </c>
      <c r="BY67" s="290" t="n">
        <f aca="false">SUM(BV67:BX67)</f>
        <v>5200</v>
      </c>
      <c r="CA67" s="290" t="n">
        <f aca="false">IF($AM67="n",0,BR67)</f>
        <v>0</v>
      </c>
      <c r="CB67" s="290" t="n">
        <f aca="false">IF($AM67="n",0,BS67)</f>
        <v>0</v>
      </c>
      <c r="CC67" s="290" t="n">
        <f aca="false">IF($AM67="n",0,BT67)</f>
        <v>0</v>
      </c>
      <c r="CD67" s="290" t="n">
        <f aca="false">SUM(CA67:CC67)</f>
        <v>0</v>
      </c>
      <c r="CE67" s="290" t="n">
        <f aca="false">IF($AM$2="n",0,BV67)</f>
        <v>0</v>
      </c>
      <c r="CF67" s="290" t="n">
        <f aca="false">IF($AM$2="n",0,BW67)</f>
        <v>5200</v>
      </c>
      <c r="CG67" s="290" t="n">
        <f aca="false">IF($AM$2="n",0,BX67)</f>
        <v>0</v>
      </c>
      <c r="CH67" s="290" t="n">
        <f aca="false">SUM(CE67:CG67)</f>
        <v>5200</v>
      </c>
      <c r="CJ67" s="324"/>
      <c r="CK67" s="324"/>
      <c r="CL67" s="324"/>
      <c r="CM67" s="324"/>
      <c r="CN67" s="324"/>
      <c r="CO67" s="324"/>
      <c r="CP67" s="324"/>
      <c r="CQ67" s="324"/>
      <c r="CR67" s="324"/>
      <c r="CS67" s="324"/>
      <c r="CT67" s="324"/>
      <c r="CU67" s="324"/>
      <c r="CV67" s="324"/>
      <c r="CW67" s="324"/>
      <c r="CX67" s="324"/>
      <c r="CY67" s="324"/>
      <c r="CZ67" s="324"/>
      <c r="DA67" s="324"/>
      <c r="DB67" s="324"/>
      <c r="DC67" s="324"/>
      <c r="DD67" s="324"/>
      <c r="DE67" s="324"/>
      <c r="DF67" s="324"/>
      <c r="DG67" s="324"/>
      <c r="DH67" s="324"/>
      <c r="DI67" s="324"/>
      <c r="DJ67" s="324"/>
      <c r="DK67" s="324"/>
      <c r="DL67" s="324"/>
      <c r="DM67" s="324"/>
      <c r="DN67" s="324"/>
      <c r="DO67" s="324"/>
      <c r="DP67" s="324"/>
      <c r="DQ67" s="324"/>
      <c r="DR67" s="324"/>
      <c r="DS67" s="324"/>
      <c r="DT67" s="324"/>
      <c r="DU67" s="324"/>
      <c r="DV67" s="324"/>
      <c r="DW67" s="324"/>
      <c r="DX67" s="324"/>
      <c r="DY67" s="324"/>
      <c r="DZ67" s="324"/>
      <c r="EA67" s="324"/>
      <c r="EB67" s="324"/>
      <c r="EC67" s="324"/>
      <c r="ED67" s="324"/>
      <c r="EE67" s="324"/>
      <c r="EF67" s="324"/>
      <c r="EG67" s="324"/>
      <c r="EH67" s="324"/>
      <c r="EI67" s="324"/>
      <c r="EJ67" s="324"/>
      <c r="EK67" s="324"/>
      <c r="EL67" s="324"/>
      <c r="EM67" s="324"/>
      <c r="EN67" s="324"/>
      <c r="EO67" s="324"/>
      <c r="EP67" s="324"/>
      <c r="EQ67" s="324"/>
      <c r="ER67" s="324"/>
      <c r="ES67" s="324"/>
      <c r="ET67" s="324"/>
      <c r="EU67" s="324"/>
      <c r="EV67" s="324"/>
      <c r="EW67" s="324"/>
      <c r="EX67" s="324"/>
      <c r="EY67" s="324"/>
      <c r="EZ67" s="324"/>
      <c r="FA67" s="324"/>
      <c r="FB67" s="324"/>
      <c r="FC67" s="324"/>
      <c r="FD67" s="324"/>
      <c r="FE67" s="324"/>
      <c r="FF67" s="324"/>
      <c r="FG67" s="324"/>
      <c r="FH67" s="324"/>
      <c r="FI67" s="324"/>
      <c r="FJ67" s="324"/>
      <c r="FK67" s="324"/>
      <c r="FL67" s="324"/>
      <c r="FM67" s="324"/>
      <c r="FN67" s="324"/>
      <c r="FO67" s="324"/>
      <c r="FP67" s="324"/>
      <c r="FQ67" s="324"/>
      <c r="FR67" s="324"/>
      <c r="FS67" s="324"/>
      <c r="FT67" s="324"/>
      <c r="FU67" s="324"/>
      <c r="FV67" s="324"/>
      <c r="FW67" s="324"/>
      <c r="FX67" s="324"/>
      <c r="FY67" s="324"/>
      <c r="FZ67" s="324"/>
      <c r="GA67" s="324"/>
      <c r="GB67" s="324"/>
      <c r="GC67" s="324"/>
      <c r="GD67" s="324"/>
      <c r="GE67" s="324"/>
      <c r="GF67" s="324"/>
      <c r="GG67" s="324"/>
      <c r="GH67" s="324"/>
      <c r="GI67" s="324"/>
      <c r="GJ67" s="324"/>
      <c r="GK67" s="324"/>
      <c r="GL67" s="324"/>
      <c r="GM67" s="324"/>
      <c r="GN67" s="324"/>
      <c r="GO67" s="324"/>
      <c r="GP67" s="324"/>
      <c r="GQ67" s="324"/>
      <c r="GR67" s="324"/>
      <c r="GS67" s="324"/>
      <c r="GT67" s="324"/>
      <c r="GU67" s="324"/>
      <c r="GV67" s="324"/>
      <c r="GW67" s="324"/>
      <c r="GX67" s="324"/>
    </row>
    <row r="68" customFormat="false" ht="15" hidden="false" customHeight="true" outlineLevel="0" collapsed="false">
      <c r="A68" s="285" t="n">
        <v>941</v>
      </c>
      <c r="B68" s="285"/>
      <c r="C68" s="286" t="s">
        <v>243</v>
      </c>
      <c r="D68" s="287" t="s">
        <v>243</v>
      </c>
      <c r="E68" s="288" t="n">
        <f aca="false">IF(I68="regional",IF(R68*0.2975,S68*0.3484),S68*0.1939)</f>
        <v>62413.8893</v>
      </c>
      <c r="F68" s="288" t="n">
        <v>0</v>
      </c>
      <c r="G68" s="289" t="n">
        <f aca="false">E68+F68</f>
        <v>62413.8893</v>
      </c>
      <c r="H68" s="286"/>
      <c r="I68" s="287" t="s">
        <v>62</v>
      </c>
      <c r="J68" s="287"/>
      <c r="K68" s="287" t="s">
        <v>98</v>
      </c>
      <c r="L68" s="287"/>
      <c r="M68" s="317" t="n">
        <v>17</v>
      </c>
      <c r="N68" s="317" t="n">
        <v>0.84</v>
      </c>
      <c r="O68" s="317" t="n">
        <v>0.866</v>
      </c>
      <c r="P68" s="317" t="n">
        <v>0.751</v>
      </c>
      <c r="Q68" s="317" t="n">
        <v>0.801</v>
      </c>
      <c r="R68" s="317" t="n">
        <v>0</v>
      </c>
      <c r="S68" s="317" t="n">
        <v>321887</v>
      </c>
      <c r="T68" s="318" t="n">
        <f aca="false">IF(I68="regional",IF(R68&gt;0,R68*0.2975,S68*0.3484),S68*0.1939)</f>
        <v>62413.8893</v>
      </c>
      <c r="U68" s="317" t="n">
        <v>278489</v>
      </c>
      <c r="V68" s="317" t="n">
        <v>43398</v>
      </c>
      <c r="W68" s="317" t="n">
        <v>1618</v>
      </c>
      <c r="X68" s="317" t="n">
        <v>0</v>
      </c>
      <c r="Y68" s="317" t="n">
        <v>0</v>
      </c>
      <c r="Z68" s="317" t="n">
        <v>0</v>
      </c>
      <c r="AA68" s="317" t="n">
        <v>384300.8893</v>
      </c>
      <c r="AB68" s="317" t="n">
        <v>62413.8893</v>
      </c>
      <c r="AC68" s="317" t="n">
        <v>321887</v>
      </c>
      <c r="AD68" s="317" t="n">
        <v>0</v>
      </c>
      <c r="AE68" s="317" t="n">
        <v>0</v>
      </c>
      <c r="AF68" s="317" t="n">
        <v>0</v>
      </c>
      <c r="AG68" s="317" t="n">
        <v>321887</v>
      </c>
      <c r="AH68" s="317" t="n">
        <v>0</v>
      </c>
      <c r="AI68" s="317" t="n">
        <v>0</v>
      </c>
      <c r="AJ68" s="286" t="n">
        <v>4</v>
      </c>
      <c r="AK68" s="286" t="s">
        <v>706</v>
      </c>
      <c r="AL68" s="287" t="s">
        <v>62</v>
      </c>
      <c r="AM68" s="286"/>
      <c r="AN68" s="287" t="s">
        <v>243</v>
      </c>
      <c r="AO68" s="287" t="n">
        <v>62413.8893</v>
      </c>
      <c r="AP68" s="319" t="n">
        <f aca="false">AR68+AT68+AU68+AV68+AX68+AY68+AZ68+BD68+BF68+BG68+BH68+BJ68+BK68+(BL68+BM68+BN68)/1000+(0.1*BO68)</f>
        <v>50</v>
      </c>
      <c r="AQ68" s="319" t="n">
        <f aca="false">AR68+AT68+AU68+AV68+AX68+AY68+AZ68+BB68+BC68+BD68+BF68+BG68+BH68+BJ68+BK68+(BL68+BM68+BN68)/1000+(0.1*BO68)</f>
        <v>53</v>
      </c>
      <c r="AR68" s="285" t="n">
        <v>0</v>
      </c>
      <c r="AS68" s="285" t="n">
        <v>0</v>
      </c>
      <c r="AT68" s="285" t="n">
        <v>16</v>
      </c>
      <c r="AU68" s="285" t="n">
        <v>34</v>
      </c>
      <c r="AV68" s="285" t="n">
        <v>0</v>
      </c>
      <c r="AW68" s="285" t="n">
        <v>0</v>
      </c>
      <c r="AX68" s="285" t="n">
        <v>0</v>
      </c>
      <c r="AY68" s="285" t="n">
        <v>0</v>
      </c>
      <c r="AZ68" s="285" t="n">
        <v>0</v>
      </c>
      <c r="BA68" s="285" t="n">
        <v>0</v>
      </c>
      <c r="BB68" s="285" t="n">
        <v>2</v>
      </c>
      <c r="BC68" s="285" t="n">
        <v>1</v>
      </c>
      <c r="BD68" s="285" t="n">
        <v>0</v>
      </c>
      <c r="BE68" s="285" t="n">
        <v>0</v>
      </c>
      <c r="BF68" s="285" t="n">
        <v>0</v>
      </c>
      <c r="BG68" s="285" t="n">
        <v>0</v>
      </c>
      <c r="BH68" s="285" t="n">
        <v>0</v>
      </c>
      <c r="BI68" s="285" t="n">
        <v>0</v>
      </c>
      <c r="BJ68" s="285" t="n">
        <v>0</v>
      </c>
      <c r="BK68" s="285" t="n">
        <v>0</v>
      </c>
      <c r="BL68" s="285" t="n">
        <v>0</v>
      </c>
      <c r="BM68" s="285" t="n">
        <v>0</v>
      </c>
      <c r="BN68" s="285" t="n">
        <v>0</v>
      </c>
      <c r="BO68" s="285" t="n">
        <v>0</v>
      </c>
      <c r="BR68" s="290" t="n">
        <f aca="false">AR68*1000/0.072</f>
        <v>0</v>
      </c>
      <c r="BS68" s="290" t="n">
        <f aca="false">AT68*1000/0.072</f>
        <v>222222.222222222</v>
      </c>
      <c r="BT68" s="290" t="n">
        <f aca="false">AU68*1000/0.072</f>
        <v>472222.222222222</v>
      </c>
      <c r="BU68" s="290" t="n">
        <f aca="false">SUM(BR68:BT68)</f>
        <v>694444.444444445</v>
      </c>
      <c r="BV68" s="290" t="n">
        <f aca="false">AV68*1000/5</f>
        <v>0</v>
      </c>
      <c r="BW68" s="290" t="n">
        <f aca="false">AX68*1000/5</f>
        <v>0</v>
      </c>
      <c r="BX68" s="290" t="n">
        <f aca="false">AY68*1000/5</f>
        <v>0</v>
      </c>
      <c r="BY68" s="290" t="n">
        <f aca="false">SUM(BV68:BX68)</f>
        <v>0</v>
      </c>
      <c r="CA68" s="290" t="n">
        <f aca="false">IF($AM68="n",0,BR68)</f>
        <v>0</v>
      </c>
      <c r="CB68" s="290" t="n">
        <f aca="false">IF($AM68="n",0,BS68)</f>
        <v>222222.222222222</v>
      </c>
      <c r="CC68" s="290" t="n">
        <f aca="false">IF($AM68="n",0,BT68)</f>
        <v>472222.222222222</v>
      </c>
      <c r="CD68" s="290" t="n">
        <f aca="false">SUM(CA68:CC68)</f>
        <v>694444.444444445</v>
      </c>
      <c r="CE68" s="290" t="n">
        <f aca="false">IF($AM$2="n",0,BV68)</f>
        <v>0</v>
      </c>
      <c r="CF68" s="290" t="n">
        <f aca="false">IF($AM$2="n",0,BW68)</f>
        <v>0</v>
      </c>
      <c r="CG68" s="290" t="n">
        <f aca="false">IF($AM$2="n",0,BX68)</f>
        <v>0</v>
      </c>
      <c r="CH68" s="290" t="n">
        <f aca="false">SUM(CE68:CG68)</f>
        <v>0</v>
      </c>
      <c r="CJ68" s="324"/>
      <c r="CK68" s="324"/>
      <c r="CL68" s="324"/>
      <c r="CM68" s="324"/>
      <c r="CN68" s="324"/>
      <c r="CO68" s="324"/>
      <c r="CP68" s="324"/>
      <c r="CQ68" s="324"/>
      <c r="CR68" s="324"/>
      <c r="CS68" s="324"/>
      <c r="CT68" s="324"/>
      <c r="CU68" s="324"/>
      <c r="CV68" s="324"/>
      <c r="CW68" s="324"/>
      <c r="CX68" s="324"/>
      <c r="CY68" s="324"/>
      <c r="CZ68" s="324"/>
      <c r="DA68" s="324"/>
      <c r="DB68" s="324"/>
      <c r="DC68" s="324"/>
      <c r="DD68" s="324"/>
      <c r="DE68" s="324"/>
      <c r="DF68" s="324"/>
      <c r="DG68" s="324"/>
      <c r="DH68" s="324"/>
      <c r="DI68" s="324"/>
      <c r="DJ68" s="324"/>
      <c r="DK68" s="324"/>
      <c r="DL68" s="324"/>
      <c r="DM68" s="324"/>
      <c r="DN68" s="324"/>
      <c r="DO68" s="324"/>
      <c r="DP68" s="324"/>
      <c r="DQ68" s="324"/>
      <c r="DR68" s="324"/>
      <c r="DS68" s="324"/>
      <c r="DT68" s="324"/>
      <c r="DU68" s="324"/>
      <c r="DV68" s="324"/>
      <c r="DW68" s="324"/>
      <c r="DX68" s="324"/>
      <c r="DY68" s="324"/>
      <c r="DZ68" s="324"/>
      <c r="EA68" s="324"/>
      <c r="EB68" s="324"/>
      <c r="EC68" s="324"/>
      <c r="ED68" s="324"/>
      <c r="EE68" s="324"/>
      <c r="EF68" s="324"/>
      <c r="EG68" s="324"/>
      <c r="EH68" s="324"/>
      <c r="EI68" s="324"/>
      <c r="EJ68" s="324"/>
      <c r="EK68" s="324"/>
      <c r="EL68" s="324"/>
      <c r="EM68" s="324"/>
      <c r="EN68" s="324"/>
      <c r="EO68" s="324"/>
      <c r="EP68" s="324"/>
      <c r="EQ68" s="324"/>
      <c r="ER68" s="324"/>
      <c r="ES68" s="324"/>
      <c r="ET68" s="324"/>
      <c r="EU68" s="324"/>
      <c r="EV68" s="324"/>
      <c r="EW68" s="324"/>
      <c r="EX68" s="324"/>
      <c r="EY68" s="324"/>
      <c r="EZ68" s="324"/>
      <c r="FA68" s="324"/>
      <c r="FB68" s="324"/>
      <c r="FC68" s="324"/>
      <c r="FD68" s="324"/>
      <c r="FE68" s="324"/>
      <c r="FF68" s="324"/>
      <c r="FG68" s="324"/>
      <c r="FH68" s="324"/>
      <c r="FI68" s="324"/>
      <c r="FJ68" s="324"/>
      <c r="FK68" s="324"/>
      <c r="FL68" s="324"/>
      <c r="FM68" s="324"/>
      <c r="FN68" s="324"/>
      <c r="FO68" s="324"/>
      <c r="FP68" s="324"/>
      <c r="FQ68" s="324"/>
      <c r="FR68" s="324"/>
      <c r="FS68" s="324"/>
      <c r="FT68" s="324"/>
      <c r="FU68" s="324"/>
      <c r="FV68" s="324"/>
      <c r="FW68" s="324"/>
      <c r="FX68" s="324"/>
      <c r="FY68" s="324"/>
      <c r="FZ68" s="324"/>
      <c r="GA68" s="324"/>
      <c r="GB68" s="324"/>
      <c r="GC68" s="324"/>
      <c r="GD68" s="324"/>
      <c r="GE68" s="324"/>
      <c r="GF68" s="324"/>
      <c r="GG68" s="324"/>
      <c r="GH68" s="324"/>
      <c r="GI68" s="324"/>
      <c r="GJ68" s="324"/>
      <c r="GK68" s="324"/>
      <c r="GL68" s="324"/>
      <c r="GM68" s="324"/>
      <c r="GN68" s="324"/>
      <c r="GO68" s="324"/>
      <c r="GP68" s="324"/>
      <c r="GQ68" s="324"/>
      <c r="GR68" s="324"/>
      <c r="GS68" s="324"/>
      <c r="GT68" s="324"/>
      <c r="GU68" s="324"/>
      <c r="GV68" s="324"/>
      <c r="GW68" s="324"/>
      <c r="GX68" s="324"/>
    </row>
    <row r="69" customFormat="false" ht="15" hidden="false" customHeight="true" outlineLevel="0" collapsed="false">
      <c r="A69" s="285" t="n">
        <v>1504</v>
      </c>
      <c r="B69" s="285"/>
      <c r="C69" s="286" t="s">
        <v>245</v>
      </c>
      <c r="D69" s="287" t="s">
        <v>245</v>
      </c>
      <c r="E69" s="288" t="n">
        <f aca="false">IF(I69="regional",IF(R69*0.2975,S69*0.3484),S69*0.1939)</f>
        <v>64294.4328</v>
      </c>
      <c r="F69" s="288" t="n">
        <v>0</v>
      </c>
      <c r="G69" s="289" t="n">
        <f aca="false">E69+F69</f>
        <v>64294.4328</v>
      </c>
      <c r="H69" s="286"/>
      <c r="I69" s="287" t="s">
        <v>48</v>
      </c>
      <c r="J69" s="287" t="s">
        <v>49</v>
      </c>
      <c r="K69" s="287" t="s">
        <v>247</v>
      </c>
      <c r="L69" s="287"/>
      <c r="M69" s="317" t="n">
        <v>23</v>
      </c>
      <c r="N69" s="317" t="n">
        <v>0.919</v>
      </c>
      <c r="O69" s="317" t="n">
        <v>0.919</v>
      </c>
      <c r="P69" s="317" t="n">
        <v>0.837</v>
      </c>
      <c r="Q69" s="317" t="n">
        <v>0.935</v>
      </c>
      <c r="R69" s="317" t="n">
        <v>197674</v>
      </c>
      <c r="S69" s="317" t="n">
        <v>184542</v>
      </c>
      <c r="T69" s="318" t="n">
        <f aca="false">IF(I69="regional",IF(R69&gt;0,R69*0.2975,S69*0.3484),S69*0.1939)</f>
        <v>58808.015</v>
      </c>
      <c r="U69" s="317" t="n">
        <v>92191</v>
      </c>
      <c r="V69" s="317" t="n">
        <v>92351</v>
      </c>
      <c r="W69" s="317" t="n">
        <v>970</v>
      </c>
      <c r="X69" s="317" t="n">
        <v>0</v>
      </c>
      <c r="Y69" s="317" t="n">
        <v>0</v>
      </c>
      <c r="Z69" s="317" t="n">
        <v>0</v>
      </c>
      <c r="AA69" s="317" t="n">
        <v>243350.015</v>
      </c>
      <c r="AB69" s="317" t="n">
        <v>58808.015</v>
      </c>
      <c r="AC69" s="317" t="n">
        <v>184542</v>
      </c>
      <c r="AD69" s="317" t="n">
        <v>0</v>
      </c>
      <c r="AE69" s="317" t="n">
        <v>0</v>
      </c>
      <c r="AF69" s="317" t="n">
        <v>0</v>
      </c>
      <c r="AG69" s="317" t="n">
        <v>184542</v>
      </c>
      <c r="AH69" s="317" t="n">
        <v>0</v>
      </c>
      <c r="AI69" s="317" t="n">
        <v>0</v>
      </c>
      <c r="AJ69" s="286" t="n">
        <v>4</v>
      </c>
      <c r="AK69" s="286" t="s">
        <v>728</v>
      </c>
      <c r="AL69" s="287" t="s">
        <v>48</v>
      </c>
      <c r="AM69" s="286"/>
      <c r="AN69" s="287" t="s">
        <v>245</v>
      </c>
      <c r="AO69" s="287" t="n">
        <v>58808.015</v>
      </c>
      <c r="AP69" s="319" t="n">
        <f aca="false">AR69+AT69+AU69+AV69+AX69+AY69+AZ69+BD69+BF69+BG69+BH69+BJ69+BK69+(BL69+BM69+BN69)/1000+(0.1*BO69)</f>
        <v>29</v>
      </c>
      <c r="AQ69" s="319" t="n">
        <f aca="false">AR69+AT69+AU69+AV69+AX69+AY69+AZ69+BB69+BC69+BD69+BF69+BG69+BH69+BJ69+BK69+(BL69+BM69+BN69)/1000+(0.1*BO69)</f>
        <v>31</v>
      </c>
      <c r="AR69" s="285" t="n">
        <v>0</v>
      </c>
      <c r="AS69" s="285" t="n">
        <v>0</v>
      </c>
      <c r="AT69" s="285" t="n">
        <v>16</v>
      </c>
      <c r="AU69" s="285" t="n">
        <v>6</v>
      </c>
      <c r="AV69" s="285" t="n">
        <v>0</v>
      </c>
      <c r="AW69" s="285" t="n">
        <v>0</v>
      </c>
      <c r="AX69" s="285" t="n">
        <v>6</v>
      </c>
      <c r="AY69" s="285" t="n">
        <v>1</v>
      </c>
      <c r="AZ69" s="285" t="n">
        <v>0</v>
      </c>
      <c r="BA69" s="285" t="n">
        <v>0</v>
      </c>
      <c r="BB69" s="285" t="n">
        <v>1</v>
      </c>
      <c r="BC69" s="285" t="n">
        <v>1</v>
      </c>
      <c r="BD69" s="285" t="n">
        <v>0</v>
      </c>
      <c r="BE69" s="285" t="n">
        <v>0</v>
      </c>
      <c r="BF69" s="285" t="n">
        <v>0</v>
      </c>
      <c r="BG69" s="285" t="n">
        <v>0</v>
      </c>
      <c r="BH69" s="285" t="n">
        <v>0</v>
      </c>
      <c r="BI69" s="285" t="n">
        <v>0</v>
      </c>
      <c r="BJ69" s="285" t="n">
        <v>0</v>
      </c>
      <c r="BK69" s="285" t="n">
        <v>0</v>
      </c>
      <c r="BL69" s="285" t="n">
        <v>0</v>
      </c>
      <c r="BM69" s="285" t="n">
        <v>0</v>
      </c>
      <c r="BN69" s="285" t="n">
        <v>0</v>
      </c>
      <c r="BO69" s="285" t="n">
        <v>0</v>
      </c>
      <c r="BR69" s="290" t="n">
        <f aca="false">AR69*1000/0.072</f>
        <v>0</v>
      </c>
      <c r="BS69" s="290" t="n">
        <f aca="false">AT69*1000/0.072</f>
        <v>222222.222222222</v>
      </c>
      <c r="BT69" s="290" t="n">
        <f aca="false">AU69*1000/0.072</f>
        <v>83333.3333333333</v>
      </c>
      <c r="BU69" s="290" t="n">
        <f aca="false">SUM(BR69:BT69)</f>
        <v>305555.555555556</v>
      </c>
      <c r="BV69" s="290" t="n">
        <f aca="false">AV69*1000/5</f>
        <v>0</v>
      </c>
      <c r="BW69" s="290" t="n">
        <f aca="false">AX69*1000/5</f>
        <v>1200</v>
      </c>
      <c r="BX69" s="290" t="n">
        <f aca="false">AY69*1000/5</f>
        <v>200</v>
      </c>
      <c r="BY69" s="290" t="n">
        <f aca="false">SUM(BV69:BX69)</f>
        <v>1400</v>
      </c>
      <c r="CA69" s="290" t="n">
        <f aca="false">IF($AM69="n",0,BR69)</f>
        <v>0</v>
      </c>
      <c r="CB69" s="290" t="n">
        <f aca="false">IF($AM69="n",0,BS69)</f>
        <v>222222.222222222</v>
      </c>
      <c r="CC69" s="290" t="n">
        <f aca="false">IF($AM69="n",0,BT69)</f>
        <v>83333.3333333333</v>
      </c>
      <c r="CD69" s="290" t="n">
        <f aca="false">SUM(CA69:CC69)</f>
        <v>305555.555555556</v>
      </c>
      <c r="CE69" s="290" t="n">
        <f aca="false">IF($AM$2="n",0,BV69)</f>
        <v>0</v>
      </c>
      <c r="CF69" s="290" t="n">
        <f aca="false">IF($AM$2="n",0,BW69)</f>
        <v>1200</v>
      </c>
      <c r="CG69" s="290" t="n">
        <f aca="false">IF($AM$2="n",0,BX69)</f>
        <v>200</v>
      </c>
      <c r="CH69" s="290" t="n">
        <f aca="false">SUM(CE69:CG69)</f>
        <v>1400</v>
      </c>
      <c r="CJ69" s="324"/>
      <c r="CK69" s="324"/>
      <c r="CL69" s="324"/>
      <c r="CM69" s="324"/>
      <c r="CN69" s="324"/>
      <c r="CO69" s="324"/>
      <c r="CP69" s="324"/>
      <c r="CQ69" s="324"/>
      <c r="CR69" s="324"/>
      <c r="CS69" s="324"/>
      <c r="CT69" s="324"/>
      <c r="CU69" s="324"/>
      <c r="CV69" s="324"/>
      <c r="CW69" s="324"/>
      <c r="CX69" s="324"/>
      <c r="CY69" s="324"/>
      <c r="CZ69" s="324"/>
      <c r="DA69" s="324"/>
      <c r="DB69" s="324"/>
      <c r="DC69" s="324"/>
      <c r="DD69" s="324"/>
      <c r="DE69" s="324"/>
      <c r="DF69" s="324"/>
      <c r="DG69" s="324"/>
      <c r="DH69" s="324"/>
      <c r="DI69" s="324"/>
      <c r="DJ69" s="324"/>
      <c r="DK69" s="324"/>
      <c r="DL69" s="324"/>
      <c r="DM69" s="324"/>
      <c r="DN69" s="324"/>
      <c r="DO69" s="324"/>
      <c r="DP69" s="324"/>
      <c r="DQ69" s="324"/>
      <c r="DR69" s="324"/>
      <c r="DS69" s="324"/>
      <c r="DT69" s="324"/>
      <c r="DU69" s="324"/>
      <c r="DV69" s="324"/>
      <c r="DW69" s="324"/>
      <c r="DX69" s="324"/>
      <c r="DY69" s="324"/>
      <c r="DZ69" s="324"/>
      <c r="EA69" s="324"/>
      <c r="EB69" s="324"/>
      <c r="EC69" s="324"/>
      <c r="ED69" s="324"/>
      <c r="EE69" s="324"/>
      <c r="EF69" s="324"/>
      <c r="EG69" s="324"/>
      <c r="EH69" s="324"/>
      <c r="EI69" s="324"/>
      <c r="EJ69" s="324"/>
      <c r="EK69" s="324"/>
      <c r="EL69" s="324"/>
      <c r="EM69" s="324"/>
      <c r="EN69" s="324"/>
      <c r="EO69" s="324"/>
      <c r="EP69" s="324"/>
      <c r="EQ69" s="324"/>
      <c r="ER69" s="324"/>
      <c r="ES69" s="324"/>
      <c r="ET69" s="324"/>
      <c r="EU69" s="324"/>
      <c r="EV69" s="324"/>
      <c r="EW69" s="324"/>
      <c r="EX69" s="324"/>
      <c r="EY69" s="324"/>
      <c r="EZ69" s="324"/>
      <c r="FA69" s="324"/>
      <c r="FB69" s="324"/>
      <c r="FC69" s="324"/>
      <c r="FD69" s="324"/>
      <c r="FE69" s="324"/>
      <c r="FF69" s="324"/>
      <c r="FG69" s="324"/>
      <c r="FH69" s="324"/>
      <c r="FI69" s="324"/>
      <c r="FJ69" s="324"/>
      <c r="FK69" s="324"/>
      <c r="FL69" s="324"/>
      <c r="FM69" s="324"/>
      <c r="FN69" s="324"/>
      <c r="FO69" s="324"/>
      <c r="FP69" s="324"/>
      <c r="FQ69" s="324"/>
      <c r="FR69" s="324"/>
      <c r="FS69" s="324"/>
      <c r="FT69" s="324"/>
      <c r="FU69" s="324"/>
      <c r="FV69" s="324"/>
      <c r="FW69" s="324"/>
      <c r="FX69" s="324"/>
      <c r="FY69" s="324"/>
      <c r="FZ69" s="324"/>
      <c r="GA69" s="324"/>
      <c r="GB69" s="324"/>
      <c r="GC69" s="324"/>
      <c r="GD69" s="324"/>
      <c r="GE69" s="324"/>
      <c r="GF69" s="324"/>
      <c r="GG69" s="324"/>
      <c r="GH69" s="324"/>
      <c r="GI69" s="324"/>
      <c r="GJ69" s="324"/>
      <c r="GK69" s="324"/>
      <c r="GL69" s="324"/>
      <c r="GM69" s="324"/>
      <c r="GN69" s="324"/>
      <c r="GO69" s="324"/>
      <c r="GP69" s="324"/>
      <c r="GQ69" s="324"/>
      <c r="GR69" s="324"/>
      <c r="GS69" s="324"/>
      <c r="GT69" s="324"/>
      <c r="GU69" s="324"/>
      <c r="GV69" s="324"/>
      <c r="GW69" s="324"/>
      <c r="GX69" s="324"/>
    </row>
    <row r="70" customFormat="false" ht="15" hidden="false" customHeight="true" outlineLevel="0" collapsed="false">
      <c r="A70" s="285" t="n">
        <v>509</v>
      </c>
      <c r="B70" s="285"/>
      <c r="C70" s="286" t="s">
        <v>248</v>
      </c>
      <c r="D70" s="287" t="s">
        <v>248</v>
      </c>
      <c r="E70" s="288" t="n">
        <f aca="false">IF(I70="regional",IF(R70*0.2975,S70*0.3484),S70*0.1939)</f>
        <v>43498.3626</v>
      </c>
      <c r="F70" s="288" t="n">
        <v>0</v>
      </c>
      <c r="G70" s="289" t="n">
        <f aca="false">E70+F70</f>
        <v>43498.3626</v>
      </c>
      <c r="H70" s="286" t="s">
        <v>49</v>
      </c>
      <c r="I70" s="287" t="s">
        <v>62</v>
      </c>
      <c r="J70" s="287"/>
      <c r="K70" s="287" t="s">
        <v>250</v>
      </c>
      <c r="L70" s="287"/>
      <c r="M70" s="317" t="n">
        <v>30</v>
      </c>
      <c r="N70" s="317" t="n">
        <v>0.987</v>
      </c>
      <c r="O70" s="317" t="n">
        <v>0.987</v>
      </c>
      <c r="P70" s="317" t="n">
        <v>0.98</v>
      </c>
      <c r="Q70" s="317" t="n">
        <v>0.98</v>
      </c>
      <c r="R70" s="317" t="n">
        <v>0</v>
      </c>
      <c r="S70" s="317" t="n">
        <v>224334</v>
      </c>
      <c r="T70" s="318" t="n">
        <f aca="false">IF(I70="regional",IF(R70&gt;0,R70*0.2975,S70*0.3484),S70*0.1939)</f>
        <v>43498.3626</v>
      </c>
      <c r="U70" s="317" t="n">
        <v>163611</v>
      </c>
      <c r="V70" s="317" t="n">
        <v>60723</v>
      </c>
      <c r="W70" s="317" t="n">
        <v>1113</v>
      </c>
      <c r="X70" s="317" t="n">
        <v>0</v>
      </c>
      <c r="Y70" s="317" t="n">
        <v>0</v>
      </c>
      <c r="Z70" s="317" t="n">
        <v>0</v>
      </c>
      <c r="AA70" s="317" t="n">
        <v>267832.3626</v>
      </c>
      <c r="AB70" s="317" t="n">
        <v>43498.3626</v>
      </c>
      <c r="AC70" s="317" t="n">
        <v>224334</v>
      </c>
      <c r="AD70" s="317" t="n">
        <v>0</v>
      </c>
      <c r="AE70" s="317" t="n">
        <v>0</v>
      </c>
      <c r="AF70" s="317" t="n">
        <v>0</v>
      </c>
      <c r="AG70" s="317" t="n">
        <v>224334</v>
      </c>
      <c r="AH70" s="317" t="n">
        <v>0</v>
      </c>
      <c r="AI70" s="317" t="n">
        <v>0</v>
      </c>
      <c r="AJ70" s="286" t="s">
        <v>707</v>
      </c>
      <c r="AK70" s="286" t="s">
        <v>714</v>
      </c>
      <c r="AL70" s="287" t="s">
        <v>62</v>
      </c>
      <c r="AM70" s="286" t="s">
        <v>49</v>
      </c>
      <c r="AN70" s="287" t="s">
        <v>248</v>
      </c>
      <c r="AO70" s="287" t="n">
        <v>43498.3626</v>
      </c>
      <c r="AP70" s="319" t="n">
        <f aca="false">AR70+AT70+AU70+AV70+AX70+AY70+AZ70+BD70+BF70+BG70+BH70+BJ70+BK70+(BL70+BM70+BN70)/1000+(0.1*BO70)</f>
        <v>30.946882</v>
      </c>
      <c r="AQ70" s="319" t="n">
        <f aca="false">AR70+AT70+AU70+AV70+AX70+AY70+AZ70+BB70+BC70+BD70+BF70+BG70+BH70+BJ70+BK70+(BL70+BM70+BN70)/1000+(0.1*BO70)</f>
        <v>30.946882</v>
      </c>
      <c r="AR70" s="285" t="n">
        <v>0</v>
      </c>
      <c r="AS70" s="285" t="n">
        <v>0</v>
      </c>
      <c r="AT70" s="285" t="n">
        <v>25</v>
      </c>
      <c r="AU70" s="285" t="n">
        <v>0</v>
      </c>
      <c r="AV70" s="285" t="n">
        <v>0</v>
      </c>
      <c r="AW70" s="285" t="n">
        <v>0</v>
      </c>
      <c r="AX70" s="285" t="n">
        <v>0</v>
      </c>
      <c r="AY70" s="285" t="n">
        <v>0</v>
      </c>
      <c r="AZ70" s="285" t="n">
        <v>0</v>
      </c>
      <c r="BA70" s="285" t="n">
        <v>14</v>
      </c>
      <c r="BB70" s="285" t="n">
        <v>0</v>
      </c>
      <c r="BC70" s="285" t="n">
        <v>0</v>
      </c>
      <c r="BD70" s="285" t="n">
        <v>0</v>
      </c>
      <c r="BE70" s="285" t="n">
        <v>0</v>
      </c>
      <c r="BF70" s="285" t="n">
        <v>0</v>
      </c>
      <c r="BG70" s="285" t="n">
        <v>0</v>
      </c>
      <c r="BH70" s="285" t="n">
        <v>0</v>
      </c>
      <c r="BI70" s="285" t="n">
        <v>0</v>
      </c>
      <c r="BJ70" s="285" t="n">
        <v>0</v>
      </c>
      <c r="BK70" s="285" t="n">
        <v>0</v>
      </c>
      <c r="BL70" s="285" t="n">
        <v>0</v>
      </c>
      <c r="BM70" s="285" t="n">
        <v>0</v>
      </c>
      <c r="BN70" s="285" t="n">
        <v>0</v>
      </c>
      <c r="BO70" s="285" t="n">
        <v>59.46882</v>
      </c>
      <c r="BR70" s="290" t="n">
        <f aca="false">AR70*1000/0.072</f>
        <v>0</v>
      </c>
      <c r="BS70" s="290" t="n">
        <f aca="false">AT70*1000/0.072</f>
        <v>347222.222222222</v>
      </c>
      <c r="BT70" s="290" t="n">
        <f aca="false">AU70*1000/0.072</f>
        <v>0</v>
      </c>
      <c r="BU70" s="290" t="n">
        <f aca="false">SUM(BR70:BT70)</f>
        <v>347222.222222222</v>
      </c>
      <c r="BV70" s="290" t="n">
        <f aca="false">AV70*1000/5</f>
        <v>0</v>
      </c>
      <c r="BW70" s="290" t="n">
        <f aca="false">AX70*1000/5</f>
        <v>0</v>
      </c>
      <c r="BX70" s="290" t="n">
        <f aca="false">AY70*1000/5</f>
        <v>0</v>
      </c>
      <c r="BY70" s="290" t="n">
        <f aca="false">SUM(BV70:BX70)</f>
        <v>0</v>
      </c>
      <c r="CA70" s="290" t="n">
        <f aca="false">IF($AM70="n",0,BR70)</f>
        <v>0</v>
      </c>
      <c r="CB70" s="290" t="n">
        <f aca="false">IF($AM70="n",0,BS70)</f>
        <v>0</v>
      </c>
      <c r="CC70" s="290" t="n">
        <f aca="false">IF($AM70="n",0,BT70)</f>
        <v>0</v>
      </c>
      <c r="CD70" s="290" t="n">
        <f aca="false">SUM(CA70:CC70)</f>
        <v>0</v>
      </c>
      <c r="CE70" s="290" t="n">
        <f aca="false">IF($AM$2="n",0,BV70)</f>
        <v>0</v>
      </c>
      <c r="CF70" s="290" t="n">
        <f aca="false">IF($AM$2="n",0,BW70)</f>
        <v>0</v>
      </c>
      <c r="CG70" s="290" t="n">
        <f aca="false">IF($AM$2="n",0,BX70)</f>
        <v>0</v>
      </c>
      <c r="CH70" s="290" t="n">
        <f aca="false">SUM(CE70:CG70)</f>
        <v>0</v>
      </c>
      <c r="CJ70" s="324"/>
      <c r="CK70" s="324"/>
      <c r="CL70" s="324"/>
      <c r="CM70" s="324"/>
      <c r="CN70" s="324"/>
      <c r="CO70" s="324"/>
      <c r="CP70" s="324"/>
      <c r="CQ70" s="324"/>
      <c r="CR70" s="324"/>
      <c r="CS70" s="324"/>
      <c r="CT70" s="324"/>
      <c r="CU70" s="324"/>
      <c r="CV70" s="324"/>
      <c r="CW70" s="324"/>
      <c r="CX70" s="324"/>
      <c r="CY70" s="324"/>
      <c r="CZ70" s="324"/>
      <c r="DA70" s="324"/>
      <c r="DB70" s="324"/>
      <c r="DC70" s="324"/>
      <c r="DD70" s="324"/>
      <c r="DE70" s="324"/>
      <c r="DF70" s="324"/>
      <c r="DG70" s="324"/>
      <c r="DH70" s="324"/>
      <c r="DI70" s="324"/>
      <c r="DJ70" s="324"/>
      <c r="DK70" s="324"/>
      <c r="DL70" s="324"/>
      <c r="DM70" s="324"/>
      <c r="DN70" s="324"/>
      <c r="DO70" s="324"/>
      <c r="DP70" s="324"/>
      <c r="DQ70" s="324"/>
      <c r="DR70" s="324"/>
      <c r="DS70" s="324"/>
      <c r="DT70" s="324"/>
      <c r="DU70" s="324"/>
      <c r="DV70" s="324"/>
      <c r="DW70" s="324"/>
      <c r="DX70" s="324"/>
      <c r="DY70" s="324"/>
      <c r="DZ70" s="324"/>
      <c r="EA70" s="324"/>
      <c r="EB70" s="324"/>
      <c r="EC70" s="324"/>
      <c r="ED70" s="324"/>
      <c r="EE70" s="324"/>
      <c r="EF70" s="324"/>
      <c r="EG70" s="324"/>
      <c r="EH70" s="324"/>
      <c r="EI70" s="324"/>
      <c r="EJ70" s="324"/>
      <c r="EK70" s="324"/>
      <c r="EL70" s="324"/>
      <c r="EM70" s="324"/>
      <c r="EN70" s="324"/>
      <c r="EO70" s="324"/>
      <c r="EP70" s="324"/>
      <c r="EQ70" s="324"/>
      <c r="ER70" s="324"/>
      <c r="ES70" s="324"/>
      <c r="ET70" s="324"/>
      <c r="EU70" s="324"/>
      <c r="EV70" s="324"/>
      <c r="EW70" s="324"/>
      <c r="EX70" s="324"/>
      <c r="EY70" s="324"/>
      <c r="EZ70" s="324"/>
      <c r="FA70" s="324"/>
      <c r="FB70" s="324"/>
      <c r="FC70" s="324"/>
      <c r="FD70" s="324"/>
      <c r="FE70" s="324"/>
      <c r="FF70" s="324"/>
      <c r="FG70" s="324"/>
      <c r="FH70" s="324"/>
      <c r="FI70" s="324"/>
      <c r="FJ70" s="324"/>
      <c r="FK70" s="324"/>
      <c r="FL70" s="324"/>
      <c r="FM70" s="324"/>
      <c r="FN70" s="324"/>
      <c r="FO70" s="324"/>
      <c r="FP70" s="324"/>
      <c r="FQ70" s="324"/>
      <c r="FR70" s="324"/>
      <c r="FS70" s="324"/>
      <c r="FT70" s="324"/>
      <c r="FU70" s="324"/>
      <c r="FV70" s="324"/>
      <c r="FW70" s="324"/>
      <c r="FX70" s="324"/>
      <c r="FY70" s="324"/>
      <c r="FZ70" s="324"/>
      <c r="GA70" s="324"/>
      <c r="GB70" s="324"/>
      <c r="GC70" s="324"/>
      <c r="GD70" s="324"/>
      <c r="GE70" s="324"/>
      <c r="GF70" s="324"/>
      <c r="GG70" s="324"/>
      <c r="GH70" s="324"/>
      <c r="GI70" s="324"/>
      <c r="GJ70" s="324"/>
      <c r="GK70" s="324"/>
      <c r="GL70" s="324"/>
      <c r="GM70" s="324"/>
      <c r="GN70" s="324"/>
      <c r="GO70" s="324"/>
      <c r="GP70" s="324"/>
      <c r="GQ70" s="324"/>
      <c r="GR70" s="324"/>
      <c r="GS70" s="324"/>
      <c r="GT70" s="324"/>
      <c r="GU70" s="324"/>
      <c r="GV70" s="324"/>
      <c r="GW70" s="324"/>
      <c r="GX70" s="324"/>
    </row>
    <row r="71" customFormat="false" ht="15" hidden="false" customHeight="true" outlineLevel="0" collapsed="false">
      <c r="A71" s="285" t="n">
        <v>8638</v>
      </c>
      <c r="B71" s="285"/>
      <c r="C71" s="286" t="s">
        <v>251</v>
      </c>
      <c r="D71" s="287" t="s">
        <v>251</v>
      </c>
      <c r="E71" s="288" t="n">
        <f aca="false">IF(I71="regional",IF(R71*0.2975,S71*0.3484),S71*0.1939)</f>
        <v>216351.8708</v>
      </c>
      <c r="F71" s="288" t="n">
        <v>0</v>
      </c>
      <c r="G71" s="289" t="n">
        <f aca="false">E71+F71</f>
        <v>216351.8708</v>
      </c>
      <c r="H71" s="286"/>
      <c r="I71" s="287" t="s">
        <v>48</v>
      </c>
      <c r="J71" s="287" t="s">
        <v>49</v>
      </c>
      <c r="K71" s="287" t="s">
        <v>253</v>
      </c>
      <c r="L71" s="287"/>
      <c r="M71" s="317" t="n">
        <v>36</v>
      </c>
      <c r="N71" s="317" t="n">
        <v>0.954</v>
      </c>
      <c r="O71" s="317" t="n">
        <v>0.971</v>
      </c>
      <c r="P71" s="317" t="n">
        <v>0.967</v>
      </c>
      <c r="Q71" s="317" t="n">
        <v>0.923</v>
      </c>
      <c r="R71" s="317" t="n">
        <v>517657</v>
      </c>
      <c r="S71" s="317" t="n">
        <v>620987</v>
      </c>
      <c r="T71" s="318" t="n">
        <f aca="false">IF(I71="regional",IF(R71&gt;0,R71*0.2975,S71*0.3484),S71*0.1939)</f>
        <v>154002.9575</v>
      </c>
      <c r="U71" s="317" t="n">
        <v>347591</v>
      </c>
      <c r="V71" s="317" t="n">
        <v>273396</v>
      </c>
      <c r="W71" s="317" t="n">
        <v>2258</v>
      </c>
      <c r="X71" s="317" t="n">
        <v>0</v>
      </c>
      <c r="Y71" s="317" t="n">
        <v>0</v>
      </c>
      <c r="Z71" s="317" t="n">
        <v>0</v>
      </c>
      <c r="AA71" s="317" t="n">
        <v>774989.9575</v>
      </c>
      <c r="AB71" s="317" t="n">
        <v>154002.9575</v>
      </c>
      <c r="AC71" s="317" t="n">
        <v>620987</v>
      </c>
      <c r="AD71" s="317" t="n">
        <v>0</v>
      </c>
      <c r="AE71" s="317" t="n">
        <v>0</v>
      </c>
      <c r="AF71" s="317" t="n">
        <v>0</v>
      </c>
      <c r="AG71" s="317" t="n">
        <v>620987</v>
      </c>
      <c r="AH71" s="317" t="n">
        <v>0</v>
      </c>
      <c r="AI71" s="317" t="n">
        <v>0</v>
      </c>
      <c r="AJ71" s="286" t="s">
        <v>715</v>
      </c>
      <c r="AK71" s="286" t="s">
        <v>716</v>
      </c>
      <c r="AL71" s="287" t="s">
        <v>62</v>
      </c>
      <c r="AM71" s="286"/>
      <c r="AN71" s="287" t="s">
        <v>251</v>
      </c>
      <c r="AO71" s="287" t="n">
        <v>154002.9575</v>
      </c>
      <c r="AP71" s="319" t="n">
        <f aca="false">AR71+AT71+AU71+AV71+AX71+AY71+AZ71+BD71+BF71+BG71+BH71+BJ71+BK71+(BL71+BM71+BN71)/1000+(0.1*BO71)</f>
        <v>183.7041</v>
      </c>
      <c r="AQ71" s="319" t="n">
        <f aca="false">AR71+AT71+AU71+AV71+AX71+AY71+AZ71+BB71+BC71+BD71+BF71+BG71+BH71+BJ71+BK71+(BL71+BM71+BN71)/1000+(0.1*BO71)</f>
        <v>198.7041</v>
      </c>
      <c r="AR71" s="285" t="n">
        <v>0</v>
      </c>
      <c r="AS71" s="285" t="n">
        <v>0</v>
      </c>
      <c r="AT71" s="285" t="n">
        <v>97</v>
      </c>
      <c r="AU71" s="285" t="n">
        <v>18</v>
      </c>
      <c r="AV71" s="285" t="n">
        <v>0</v>
      </c>
      <c r="AW71" s="285" t="n">
        <v>0</v>
      </c>
      <c r="AX71" s="285" t="n">
        <v>8</v>
      </c>
      <c r="AY71" s="285" t="n">
        <v>2</v>
      </c>
      <c r="AZ71" s="285" t="n">
        <v>0</v>
      </c>
      <c r="BA71" s="285" t="n">
        <v>0</v>
      </c>
      <c r="BB71" s="285" t="n">
        <v>13</v>
      </c>
      <c r="BC71" s="285" t="n">
        <v>2</v>
      </c>
      <c r="BD71" s="285" t="n">
        <v>0</v>
      </c>
      <c r="BE71" s="285" t="n">
        <v>0</v>
      </c>
      <c r="BF71" s="285" t="n">
        <v>0</v>
      </c>
      <c r="BG71" s="285" t="n">
        <v>0</v>
      </c>
      <c r="BH71" s="285" t="n">
        <v>0</v>
      </c>
      <c r="BI71" s="285" t="n">
        <v>0</v>
      </c>
      <c r="BJ71" s="285" t="n">
        <v>0</v>
      </c>
      <c r="BK71" s="285" t="n">
        <v>0</v>
      </c>
      <c r="BL71" s="285" t="n">
        <v>0</v>
      </c>
      <c r="BM71" s="285" t="n">
        <v>0</v>
      </c>
      <c r="BN71" s="285" t="n">
        <v>9130</v>
      </c>
      <c r="BO71" s="285" t="n">
        <v>495.741</v>
      </c>
      <c r="BR71" s="290" t="n">
        <f aca="false">AR71*1000/0.072</f>
        <v>0</v>
      </c>
      <c r="BS71" s="290" t="n">
        <f aca="false">AT71*1000/0.072</f>
        <v>1347222.22222222</v>
      </c>
      <c r="BT71" s="290" t="n">
        <f aca="false">AU71*1000/0.072</f>
        <v>250000</v>
      </c>
      <c r="BU71" s="290" t="n">
        <f aca="false">SUM(BR71:BT71)</f>
        <v>1597222.22222222</v>
      </c>
      <c r="BV71" s="290" t="n">
        <f aca="false">AV71*1000/5</f>
        <v>0</v>
      </c>
      <c r="BW71" s="290" t="n">
        <f aca="false">AX71*1000/5</f>
        <v>1600</v>
      </c>
      <c r="BX71" s="290" t="n">
        <f aca="false">AY71*1000/5</f>
        <v>400</v>
      </c>
      <c r="BY71" s="290" t="n">
        <f aca="false">SUM(BV71:BX71)</f>
        <v>2000</v>
      </c>
      <c r="CA71" s="290" t="n">
        <f aca="false">IF($AM71="n",0,BR71)</f>
        <v>0</v>
      </c>
      <c r="CB71" s="290" t="n">
        <f aca="false">IF($AM71="n",0,BS71)</f>
        <v>1347222.22222222</v>
      </c>
      <c r="CC71" s="290" t="n">
        <f aca="false">IF($AM71="n",0,BT71)</f>
        <v>250000</v>
      </c>
      <c r="CD71" s="290" t="n">
        <f aca="false">SUM(CA71:CC71)</f>
        <v>1597222.22222222</v>
      </c>
      <c r="CE71" s="290" t="n">
        <f aca="false">IF($AM$2="n",0,BV71)</f>
        <v>0</v>
      </c>
      <c r="CF71" s="290" t="n">
        <f aca="false">IF($AM$2="n",0,BW71)</f>
        <v>1600</v>
      </c>
      <c r="CG71" s="290" t="n">
        <f aca="false">IF($AM$2="n",0,BX71)</f>
        <v>400</v>
      </c>
      <c r="CH71" s="290" t="n">
        <f aca="false">SUM(CE71:CG71)</f>
        <v>2000</v>
      </c>
      <c r="CJ71" s="324"/>
      <c r="CK71" s="324"/>
      <c r="CL71" s="324"/>
      <c r="CM71" s="324"/>
      <c r="CN71" s="324"/>
      <c r="CO71" s="324"/>
      <c r="CP71" s="324"/>
      <c r="CQ71" s="324"/>
      <c r="CR71" s="324"/>
      <c r="CS71" s="324"/>
      <c r="CT71" s="324"/>
      <c r="CU71" s="324"/>
      <c r="CV71" s="324"/>
      <c r="CW71" s="324"/>
      <c r="CX71" s="324"/>
      <c r="CY71" s="324"/>
      <c r="CZ71" s="324"/>
      <c r="DA71" s="324"/>
      <c r="DB71" s="324"/>
      <c r="DC71" s="324"/>
      <c r="DD71" s="324"/>
      <c r="DE71" s="324"/>
      <c r="DF71" s="324"/>
      <c r="DG71" s="324"/>
      <c r="DH71" s="324"/>
      <c r="DI71" s="324"/>
      <c r="DJ71" s="324"/>
      <c r="DK71" s="324"/>
      <c r="DL71" s="324"/>
      <c r="DM71" s="324"/>
      <c r="DN71" s="324"/>
      <c r="DO71" s="324"/>
      <c r="DP71" s="324"/>
      <c r="DQ71" s="324"/>
      <c r="DR71" s="324"/>
      <c r="DS71" s="324"/>
      <c r="DT71" s="324"/>
      <c r="DU71" s="324"/>
      <c r="DV71" s="324"/>
      <c r="DW71" s="324"/>
      <c r="DX71" s="324"/>
      <c r="DY71" s="324"/>
      <c r="DZ71" s="324"/>
      <c r="EA71" s="324"/>
      <c r="EB71" s="324"/>
      <c r="EC71" s="324"/>
      <c r="ED71" s="324"/>
      <c r="EE71" s="324"/>
      <c r="EF71" s="324"/>
      <c r="EG71" s="324"/>
      <c r="EH71" s="324"/>
      <c r="EI71" s="324"/>
      <c r="EJ71" s="324"/>
      <c r="EK71" s="324"/>
      <c r="EL71" s="324"/>
      <c r="EM71" s="324"/>
      <c r="EN71" s="324"/>
      <c r="EO71" s="324"/>
      <c r="EP71" s="324"/>
      <c r="EQ71" s="324"/>
      <c r="ER71" s="324"/>
      <c r="ES71" s="324"/>
      <c r="ET71" s="324"/>
      <c r="EU71" s="324"/>
      <c r="EV71" s="324"/>
      <c r="EW71" s="324"/>
      <c r="EX71" s="324"/>
      <c r="EY71" s="324"/>
      <c r="EZ71" s="324"/>
      <c r="FA71" s="324"/>
      <c r="FB71" s="324"/>
      <c r="FC71" s="324"/>
      <c r="FD71" s="324"/>
      <c r="FE71" s="324"/>
      <c r="FF71" s="324"/>
      <c r="FG71" s="324"/>
      <c r="FH71" s="324"/>
      <c r="FI71" s="324"/>
      <c r="FJ71" s="324"/>
      <c r="FK71" s="324"/>
      <c r="FL71" s="324"/>
      <c r="FM71" s="324"/>
      <c r="FN71" s="324"/>
      <c r="FO71" s="324"/>
      <c r="FP71" s="324"/>
      <c r="FQ71" s="324"/>
      <c r="FR71" s="324"/>
      <c r="FS71" s="324"/>
      <c r="FT71" s="324"/>
      <c r="FU71" s="324"/>
      <c r="FV71" s="324"/>
      <c r="FW71" s="324"/>
      <c r="FX71" s="324"/>
      <c r="FY71" s="324"/>
      <c r="FZ71" s="324"/>
      <c r="GA71" s="324"/>
      <c r="GB71" s="324"/>
      <c r="GC71" s="324"/>
      <c r="GD71" s="324"/>
      <c r="GE71" s="324"/>
      <c r="GF71" s="324"/>
      <c r="GG71" s="324"/>
      <c r="GH71" s="324"/>
      <c r="GI71" s="324"/>
      <c r="GJ71" s="324"/>
      <c r="GK71" s="324"/>
      <c r="GL71" s="324"/>
      <c r="GM71" s="324"/>
      <c r="GN71" s="324"/>
      <c r="GO71" s="324"/>
      <c r="GP71" s="324"/>
      <c r="GQ71" s="324"/>
      <c r="GR71" s="324"/>
      <c r="GS71" s="324"/>
      <c r="GT71" s="324"/>
      <c r="GU71" s="324"/>
      <c r="GV71" s="324"/>
      <c r="GW71" s="324"/>
      <c r="GX71" s="324"/>
    </row>
    <row r="72" customFormat="false" ht="15" hidden="false" customHeight="true" outlineLevel="0" collapsed="false">
      <c r="A72" s="285" t="n">
        <v>1313</v>
      </c>
      <c r="B72" s="285" t="s">
        <v>44</v>
      </c>
      <c r="C72" s="286" t="s">
        <v>254</v>
      </c>
      <c r="D72" s="287" t="s">
        <v>254</v>
      </c>
      <c r="E72" s="288" t="n">
        <f aca="false">IF(I72="regional",IF(R72*0.2975,S72*0.3484),S72*0.1939)</f>
        <v>248978.834</v>
      </c>
      <c r="F72" s="288" t="n">
        <v>357362</v>
      </c>
      <c r="G72" s="289" t="n">
        <f aca="false">E72+F72</f>
        <v>606340.834</v>
      </c>
      <c r="H72" s="286"/>
      <c r="I72" s="287" t="s">
        <v>48</v>
      </c>
      <c r="J72" s="287" t="s">
        <v>44</v>
      </c>
      <c r="K72" s="287" t="s">
        <v>253</v>
      </c>
      <c r="L72" s="287" t="s">
        <v>44</v>
      </c>
      <c r="M72" s="317" t="n">
        <v>89</v>
      </c>
      <c r="N72" s="317" t="n">
        <v>0.808</v>
      </c>
      <c r="O72" s="317" t="n">
        <v>0.81</v>
      </c>
      <c r="P72" s="317" t="n">
        <v>0.865</v>
      </c>
      <c r="Q72" s="317" t="n">
        <v>0.914</v>
      </c>
      <c r="R72" s="317" t="n">
        <v>888884</v>
      </c>
      <c r="S72" s="317" t="n">
        <v>714635</v>
      </c>
      <c r="T72" s="318" t="n">
        <f aca="false">IF(I72="regional",IF(R72&gt;0,R72*0.2975,S72*0.3484),S72*0.1939)</f>
        <v>264442.99</v>
      </c>
      <c r="U72" s="317" t="n">
        <v>462838</v>
      </c>
      <c r="V72" s="317" t="n">
        <v>251797</v>
      </c>
      <c r="W72" s="317" t="n">
        <v>4500</v>
      </c>
      <c r="X72" s="317" t="n">
        <v>621804.99</v>
      </c>
      <c r="Y72" s="317" t="n">
        <v>264442.99</v>
      </c>
      <c r="Z72" s="317" t="n">
        <v>357362</v>
      </c>
      <c r="AA72" s="317" t="n">
        <v>357273</v>
      </c>
      <c r="AB72" s="317" t="n">
        <v>0</v>
      </c>
      <c r="AC72" s="317" t="n">
        <v>357273</v>
      </c>
      <c r="AD72" s="317" t="n">
        <v>357362</v>
      </c>
      <c r="AE72" s="317" t="n">
        <v>0</v>
      </c>
      <c r="AF72" s="317" t="n">
        <v>357273</v>
      </c>
      <c r="AG72" s="317" t="n">
        <v>0</v>
      </c>
      <c r="AH72" s="317" t="n">
        <v>694000</v>
      </c>
      <c r="AI72" s="317" t="n">
        <v>454000</v>
      </c>
      <c r="AJ72" s="286" t="s">
        <v>715</v>
      </c>
      <c r="AK72" s="286" t="s">
        <v>716</v>
      </c>
      <c r="AL72" s="287" t="s">
        <v>48</v>
      </c>
      <c r="AM72" s="286"/>
      <c r="AN72" s="287" t="s">
        <v>254</v>
      </c>
      <c r="AO72" s="287" t="n">
        <v>621804.99</v>
      </c>
      <c r="AP72" s="319" t="n">
        <f aca="false">AR72+AT72+AU72+AV72+AX72+AY72+AZ72+BD72+BF72+BG72+BH72+BJ72+BK72+(BL72+BM72+BN72)/1000+(0.1*BO72)</f>
        <v>500.2485</v>
      </c>
      <c r="AQ72" s="319" t="n">
        <f aca="false">AR72+AT72+AU72+AV72+AX72+AY72+AZ72+BB72+BC72+BD72+BF72+BG72+BH72+BJ72+BK72+(BL72+BM72+BN72)/1000+(0.1*BO72)</f>
        <v>506.2485</v>
      </c>
      <c r="AR72" s="302" t="n">
        <v>200</v>
      </c>
      <c r="AS72" s="302" t="n">
        <v>454</v>
      </c>
      <c r="AT72" s="302" t="n">
        <v>116</v>
      </c>
      <c r="AU72" s="302" t="n">
        <v>1</v>
      </c>
      <c r="AV72" s="285" t="n">
        <v>0</v>
      </c>
      <c r="AW72" s="285" t="n">
        <v>0</v>
      </c>
      <c r="AX72" s="285" t="n">
        <v>0</v>
      </c>
      <c r="AY72" s="285" t="n">
        <v>0</v>
      </c>
      <c r="AZ72" s="302" t="n">
        <v>3</v>
      </c>
      <c r="BA72" s="302" t="n">
        <v>6</v>
      </c>
      <c r="BB72" s="302" t="n">
        <v>6</v>
      </c>
      <c r="BC72" s="302" t="n">
        <v>0</v>
      </c>
      <c r="BD72" s="285" t="n">
        <v>13</v>
      </c>
      <c r="BE72" s="285" t="n">
        <v>0</v>
      </c>
      <c r="BF72" s="285" t="n">
        <v>0</v>
      </c>
      <c r="BG72" s="285" t="n">
        <v>0</v>
      </c>
      <c r="BH72" s="302" t="n">
        <v>41</v>
      </c>
      <c r="BI72" s="302" t="n">
        <v>0</v>
      </c>
      <c r="BJ72" s="302" t="n">
        <v>0</v>
      </c>
      <c r="BK72" s="302" t="n">
        <v>0</v>
      </c>
      <c r="BL72" s="285" t="n">
        <v>0</v>
      </c>
      <c r="BM72" s="285" t="n">
        <v>0</v>
      </c>
      <c r="BN72" s="285" t="n">
        <v>57720</v>
      </c>
      <c r="BO72" s="285" t="n">
        <v>685.285</v>
      </c>
      <c r="BP72" s="324"/>
      <c r="BR72" s="290" t="n">
        <f aca="false">AR72*1000/0.072</f>
        <v>2777777.77777778</v>
      </c>
      <c r="BS72" s="290" t="n">
        <f aca="false">AT72*1000/0.072</f>
        <v>1611111.11111111</v>
      </c>
      <c r="BT72" s="290" t="n">
        <f aca="false">AU72*1000/0.072</f>
        <v>13888.8888888889</v>
      </c>
      <c r="BU72" s="290" t="n">
        <f aca="false">SUM(BR72:BT72)</f>
        <v>4402777.77777778</v>
      </c>
      <c r="BV72" s="290" t="n">
        <f aca="false">AV72*1000/5</f>
        <v>0</v>
      </c>
      <c r="BW72" s="290" t="n">
        <f aca="false">AX72*1000/5</f>
        <v>0</v>
      </c>
      <c r="BX72" s="290" t="n">
        <f aca="false">AY72*1000/5</f>
        <v>0</v>
      </c>
      <c r="BY72" s="290" t="n">
        <f aca="false">SUM(BV72:BX72)</f>
        <v>0</v>
      </c>
      <c r="CA72" s="290" t="n">
        <f aca="false">IF($AM72="n",0,BR72)</f>
        <v>2777777.77777778</v>
      </c>
      <c r="CB72" s="290" t="n">
        <f aca="false">IF($AM72="n",0,BS72)</f>
        <v>1611111.11111111</v>
      </c>
      <c r="CC72" s="290" t="n">
        <f aca="false">IF($AM72="n",0,BT72)</f>
        <v>13888.8888888889</v>
      </c>
      <c r="CD72" s="290" t="n">
        <f aca="false">SUM(CA72:CC72)</f>
        <v>4402777.77777778</v>
      </c>
      <c r="CE72" s="290" t="n">
        <f aca="false">IF($AM$2="n",0,BV72)</f>
        <v>0</v>
      </c>
      <c r="CF72" s="290" t="n">
        <f aca="false">IF($AM$2="n",0,BW72)</f>
        <v>0</v>
      </c>
      <c r="CG72" s="290" t="n">
        <f aca="false">IF($AM$2="n",0,BX72)</f>
        <v>0</v>
      </c>
      <c r="CH72" s="290" t="n">
        <f aca="false">SUM(CE72:CG72)</f>
        <v>0</v>
      </c>
      <c r="CJ72" s="324"/>
      <c r="CK72" s="324"/>
      <c r="CL72" s="324"/>
      <c r="CM72" s="324"/>
      <c r="CN72" s="324"/>
      <c r="CO72" s="324"/>
      <c r="CP72" s="324"/>
      <c r="CQ72" s="324"/>
      <c r="CR72" s="324"/>
      <c r="CS72" s="324"/>
      <c r="CT72" s="324"/>
      <c r="CU72" s="324"/>
      <c r="CV72" s="324"/>
      <c r="CW72" s="324"/>
      <c r="CX72" s="324"/>
      <c r="CY72" s="324"/>
      <c r="CZ72" s="324"/>
      <c r="DA72" s="324"/>
      <c r="DB72" s="324"/>
      <c r="DC72" s="324"/>
      <c r="DD72" s="324"/>
      <c r="DE72" s="324"/>
      <c r="DF72" s="324"/>
      <c r="DG72" s="324"/>
      <c r="DH72" s="324"/>
      <c r="DI72" s="324"/>
      <c r="DJ72" s="324"/>
      <c r="DK72" s="324"/>
      <c r="DL72" s="324"/>
      <c r="DM72" s="324"/>
      <c r="DN72" s="324"/>
      <c r="DO72" s="324"/>
      <c r="DP72" s="324"/>
      <c r="DQ72" s="324"/>
      <c r="DR72" s="324"/>
      <c r="DS72" s="324"/>
      <c r="DT72" s="324"/>
      <c r="DU72" s="324"/>
      <c r="DV72" s="324"/>
      <c r="DW72" s="324"/>
      <c r="DX72" s="324"/>
      <c r="DY72" s="324"/>
      <c r="DZ72" s="324"/>
      <c r="EA72" s="324"/>
      <c r="EB72" s="324"/>
      <c r="EC72" s="324"/>
      <c r="ED72" s="324"/>
      <c r="EE72" s="324"/>
      <c r="EF72" s="324"/>
      <c r="EG72" s="324"/>
      <c r="EH72" s="324"/>
      <c r="EI72" s="324"/>
      <c r="EJ72" s="324"/>
      <c r="EK72" s="324"/>
      <c r="EL72" s="324"/>
      <c r="EM72" s="324"/>
      <c r="EN72" s="324"/>
      <c r="EO72" s="324"/>
      <c r="EP72" s="324"/>
      <c r="EQ72" s="324"/>
      <c r="ER72" s="324"/>
      <c r="ES72" s="324"/>
      <c r="ET72" s="324"/>
      <c r="EU72" s="324"/>
      <c r="EV72" s="324"/>
      <c r="EW72" s="324"/>
      <c r="EX72" s="324"/>
      <c r="EY72" s="324"/>
      <c r="EZ72" s="324"/>
      <c r="FA72" s="324"/>
      <c r="FB72" s="324"/>
      <c r="FC72" s="324"/>
      <c r="FD72" s="324"/>
      <c r="FE72" s="324"/>
      <c r="FF72" s="324"/>
      <c r="FG72" s="324"/>
      <c r="FH72" s="324"/>
      <c r="FI72" s="324"/>
      <c r="FJ72" s="324"/>
      <c r="FK72" s="324"/>
      <c r="FL72" s="324"/>
      <c r="FM72" s="324"/>
      <c r="FN72" s="324"/>
      <c r="FO72" s="324"/>
      <c r="FP72" s="324"/>
      <c r="FQ72" s="324"/>
      <c r="FR72" s="324"/>
      <c r="FS72" s="324"/>
      <c r="FT72" s="324"/>
      <c r="FU72" s="324"/>
      <c r="FV72" s="324"/>
      <c r="FW72" s="324"/>
      <c r="FX72" s="324"/>
      <c r="FY72" s="324"/>
      <c r="FZ72" s="324"/>
      <c r="GA72" s="324"/>
      <c r="GB72" s="324"/>
      <c r="GC72" s="324"/>
      <c r="GD72" s="324"/>
      <c r="GE72" s="324"/>
      <c r="GF72" s="324"/>
      <c r="GG72" s="324"/>
      <c r="GH72" s="324"/>
      <c r="GI72" s="324"/>
      <c r="GJ72" s="324"/>
      <c r="GK72" s="324"/>
      <c r="GL72" s="324"/>
      <c r="GM72" s="324"/>
      <c r="GN72" s="324"/>
      <c r="GO72" s="324"/>
      <c r="GP72" s="324"/>
      <c r="GQ72" s="324"/>
      <c r="GR72" s="324"/>
      <c r="GS72" s="324"/>
      <c r="GT72" s="324"/>
      <c r="GU72" s="324"/>
      <c r="GV72" s="324"/>
      <c r="GW72" s="324"/>
      <c r="GX72" s="324"/>
      <c r="GY72" s="333"/>
      <c r="GZ72" s="333"/>
      <c r="HA72" s="333"/>
      <c r="HB72" s="333"/>
      <c r="HC72" s="333"/>
      <c r="HD72" s="333"/>
      <c r="HE72" s="333"/>
      <c r="HF72" s="333"/>
      <c r="HG72" s="333"/>
      <c r="HH72" s="333"/>
      <c r="HI72" s="333"/>
      <c r="HJ72" s="333"/>
      <c r="HK72" s="333"/>
      <c r="HL72" s="333"/>
      <c r="HM72" s="333"/>
      <c r="HN72" s="333"/>
      <c r="HO72" s="333"/>
      <c r="HP72" s="333"/>
      <c r="HQ72" s="333"/>
      <c r="HR72" s="333"/>
      <c r="HS72" s="333"/>
      <c r="HT72" s="333"/>
      <c r="HU72" s="333"/>
      <c r="HV72" s="333"/>
      <c r="HW72" s="333"/>
      <c r="HX72" s="333"/>
      <c r="HY72" s="333"/>
      <c r="HZ72" s="333"/>
      <c r="IA72" s="333"/>
      <c r="IB72" s="333"/>
      <c r="IC72" s="333"/>
      <c r="ID72" s="333"/>
      <c r="IE72" s="333"/>
      <c r="IF72" s="333"/>
      <c r="IG72" s="333"/>
      <c r="IH72" s="333"/>
      <c r="II72" s="333"/>
      <c r="IJ72" s="333"/>
      <c r="IK72" s="333"/>
      <c r="IL72" s="333"/>
      <c r="IM72" s="333"/>
      <c r="IN72" s="333"/>
      <c r="IO72" s="333"/>
      <c r="IP72" s="333"/>
      <c r="IQ72" s="333"/>
      <c r="IR72" s="333"/>
      <c r="IS72" s="333"/>
      <c r="IT72" s="333"/>
      <c r="IU72" s="333"/>
      <c r="IV72" s="333"/>
      <c r="IW72" s="333"/>
    </row>
    <row r="73" customFormat="false" ht="15" hidden="false" customHeight="true" outlineLevel="0" collapsed="false">
      <c r="A73" s="298" t="n">
        <v>705</v>
      </c>
      <c r="B73" s="298" t="s">
        <v>44</v>
      </c>
      <c r="C73" s="299" t="s">
        <v>731</v>
      </c>
      <c r="D73" s="287" t="s">
        <v>732</v>
      </c>
      <c r="E73" s="288" t="n">
        <f aca="false">IF(I73="regional",IF(R73*0.2975,S73*0.3484),S73*0.1939)</f>
        <v>0</v>
      </c>
      <c r="F73" s="288" t="n">
        <v>0</v>
      </c>
      <c r="G73" s="289" t="n">
        <f aca="false">E73+F73</f>
        <v>0</v>
      </c>
      <c r="H73" s="292" t="s">
        <v>49</v>
      </c>
      <c r="I73" s="287" t="s">
        <v>48</v>
      </c>
      <c r="J73" s="287"/>
      <c r="K73" s="287"/>
      <c r="L73" s="287" t="s">
        <v>44</v>
      </c>
      <c r="M73" s="317" t="n">
        <v>0</v>
      </c>
      <c r="N73" s="317" t="n">
        <v>0</v>
      </c>
      <c r="O73" s="317" t="n">
        <v>0</v>
      </c>
      <c r="P73" s="317" t="n">
        <v>0</v>
      </c>
      <c r="Q73" s="317" t="n">
        <v>0</v>
      </c>
      <c r="R73" s="320" t="n">
        <v>825041</v>
      </c>
      <c r="S73" s="317" t="n">
        <v>0</v>
      </c>
      <c r="T73" s="318" t="n">
        <f aca="false">IF(I73="regional",IF(R73&gt;0,R73*0.2975,S73*0.3484),S73*0.1939)</f>
        <v>245449.6975</v>
      </c>
      <c r="U73" s="317" t="n">
        <v>0</v>
      </c>
      <c r="V73" s="317" t="n">
        <v>0</v>
      </c>
      <c r="W73" s="317" t="n">
        <v>0</v>
      </c>
      <c r="X73" s="317" t="n">
        <v>0</v>
      </c>
      <c r="Y73" s="317" t="n">
        <v>0</v>
      </c>
      <c r="Z73" s="317" t="n">
        <v>0</v>
      </c>
      <c r="AA73" s="317" t="n">
        <v>0</v>
      </c>
      <c r="AB73" s="317" t="n">
        <v>0</v>
      </c>
      <c r="AC73" s="317" t="n">
        <v>0</v>
      </c>
      <c r="AD73" s="317" t="n">
        <v>0</v>
      </c>
      <c r="AE73" s="317" t="n">
        <v>0</v>
      </c>
      <c r="AF73" s="317" t="n">
        <v>0</v>
      </c>
      <c r="AG73" s="317" t="n">
        <v>0</v>
      </c>
      <c r="AH73" s="317" t="n">
        <v>664000</v>
      </c>
      <c r="AI73" s="317" t="n">
        <v>463000</v>
      </c>
      <c r="AJ73" s="292" t="s">
        <v>707</v>
      </c>
      <c r="AK73" s="292" t="s">
        <v>708</v>
      </c>
      <c r="AL73" s="321" t="s">
        <v>48</v>
      </c>
      <c r="AM73" s="292" t="s">
        <v>49</v>
      </c>
      <c r="AN73" s="328" t="s">
        <v>732</v>
      </c>
      <c r="AO73" s="328" t="n">
        <v>0</v>
      </c>
      <c r="AP73" s="329" t="n">
        <v>0</v>
      </c>
      <c r="AQ73" s="319" t="n">
        <f aca="false">AR73+AT73+AU73+AV73+AX73+AY73+AZ73+BB73+BC73+BD73+BF73+BG73+BH73+BJ73+BK73+(BL73+BM73+BN73)/1000+(0.1*BO73)</f>
        <v>332.7958</v>
      </c>
      <c r="AR73" s="323" t="n">
        <v>66</v>
      </c>
      <c r="AS73" s="323" t="n">
        <v>463</v>
      </c>
      <c r="AT73" s="323" t="n">
        <v>85</v>
      </c>
      <c r="AU73" s="323" t="n">
        <v>51</v>
      </c>
      <c r="AV73" s="291" t="n">
        <v>0</v>
      </c>
      <c r="AW73" s="291" t="n">
        <v>0</v>
      </c>
      <c r="AX73" s="291" t="n">
        <v>0</v>
      </c>
      <c r="AY73" s="291" t="n">
        <v>0</v>
      </c>
      <c r="AZ73" s="185" t="n">
        <v>0</v>
      </c>
      <c r="BA73" s="185" t="n">
        <v>53</v>
      </c>
      <c r="BB73" s="185" t="n">
        <v>72</v>
      </c>
      <c r="BC73" s="185" t="n">
        <v>0</v>
      </c>
      <c r="BD73" s="291" t="n">
        <v>0</v>
      </c>
      <c r="BE73" s="291" t="n">
        <v>0</v>
      </c>
      <c r="BF73" s="291" t="n">
        <v>0</v>
      </c>
      <c r="BG73" s="291" t="n">
        <v>0</v>
      </c>
      <c r="BH73" s="185" t="n">
        <v>0</v>
      </c>
      <c r="BI73" s="185" t="n">
        <v>3</v>
      </c>
      <c r="BJ73" s="185" t="n">
        <v>0</v>
      </c>
      <c r="BK73" s="185" t="n">
        <v>0</v>
      </c>
      <c r="BL73" s="291" t="n">
        <v>6000</v>
      </c>
      <c r="BM73" s="291" t="n">
        <v>0</v>
      </c>
      <c r="BN73" s="291" t="n">
        <v>9000</v>
      </c>
      <c r="BO73" s="291" t="n">
        <v>437.958</v>
      </c>
      <c r="BP73" s="324"/>
      <c r="BR73" s="290" t="n">
        <f aca="false">AR73*1000/0.072</f>
        <v>916666.666666667</v>
      </c>
      <c r="BS73" s="290" t="n">
        <f aca="false">AT73*1000/0.072</f>
        <v>1180555.55555556</v>
      </c>
      <c r="BT73" s="290" t="n">
        <f aca="false">AU73*1000/0.072</f>
        <v>708333.333333333</v>
      </c>
      <c r="BU73" s="290" t="n">
        <f aca="false">SUM(BR73:BT73)</f>
        <v>2805555.55555556</v>
      </c>
      <c r="BV73" s="290" t="n">
        <f aca="false">AV73*1000/5</f>
        <v>0</v>
      </c>
      <c r="BW73" s="290" t="n">
        <f aca="false">AX73*1000/5</f>
        <v>0</v>
      </c>
      <c r="BX73" s="290" t="n">
        <f aca="false">AY73*1000/5</f>
        <v>0</v>
      </c>
      <c r="BY73" s="290" t="n">
        <f aca="false">SUM(BV73:BX73)</f>
        <v>0</v>
      </c>
      <c r="CA73" s="290" t="n">
        <f aca="false">IF($AM73="n",0,BR73)</f>
        <v>0</v>
      </c>
      <c r="CB73" s="290" t="n">
        <f aca="false">IF($AM73="n",0,BS73)</f>
        <v>0</v>
      </c>
      <c r="CC73" s="290" t="n">
        <f aca="false">IF($AM73="n",0,BT73)</f>
        <v>0</v>
      </c>
      <c r="CD73" s="290" t="n">
        <f aca="false">SUM(CA73:CC73)</f>
        <v>0</v>
      </c>
      <c r="CE73" s="290" t="n">
        <f aca="false">IF($AM$2="n",0,BV73)</f>
        <v>0</v>
      </c>
      <c r="CF73" s="290" t="n">
        <f aca="false">IF($AM$2="n",0,BW73)</f>
        <v>0</v>
      </c>
      <c r="CG73" s="290" t="n">
        <f aca="false">IF($AM$2="n",0,BX73)</f>
        <v>0</v>
      </c>
      <c r="CH73" s="290" t="n">
        <f aca="false">SUM(CE73:CG73)</f>
        <v>0</v>
      </c>
      <c r="CJ73" s="324"/>
      <c r="CK73" s="324"/>
      <c r="CL73" s="324"/>
      <c r="CM73" s="324"/>
      <c r="CN73" s="324"/>
      <c r="CO73" s="324"/>
      <c r="CP73" s="324"/>
      <c r="CQ73" s="324"/>
      <c r="CR73" s="324"/>
      <c r="CS73" s="324"/>
      <c r="CT73" s="324"/>
      <c r="CU73" s="324"/>
      <c r="CV73" s="324"/>
      <c r="CW73" s="324"/>
      <c r="CX73" s="324"/>
      <c r="CY73" s="324"/>
      <c r="CZ73" s="324"/>
      <c r="DA73" s="324"/>
      <c r="DB73" s="324"/>
      <c r="DC73" s="324"/>
      <c r="DD73" s="324"/>
      <c r="DE73" s="324"/>
      <c r="DF73" s="324"/>
      <c r="DG73" s="324"/>
      <c r="DH73" s="324"/>
      <c r="DI73" s="324"/>
      <c r="DJ73" s="324"/>
      <c r="DK73" s="324"/>
      <c r="DL73" s="324"/>
      <c r="DM73" s="324"/>
      <c r="DN73" s="324"/>
      <c r="DO73" s="324"/>
      <c r="DP73" s="324"/>
      <c r="DQ73" s="324"/>
      <c r="DR73" s="324"/>
      <c r="DS73" s="324"/>
      <c r="DT73" s="324"/>
      <c r="DU73" s="324"/>
      <c r="DV73" s="324"/>
      <c r="DW73" s="324"/>
      <c r="DX73" s="324"/>
      <c r="DY73" s="324"/>
      <c r="DZ73" s="324"/>
      <c r="EA73" s="324"/>
      <c r="EB73" s="324"/>
      <c r="EC73" s="324"/>
      <c r="ED73" s="324"/>
      <c r="EE73" s="324"/>
      <c r="EF73" s="324"/>
      <c r="EG73" s="324"/>
      <c r="EH73" s="324"/>
      <c r="EI73" s="324"/>
      <c r="EJ73" s="324"/>
      <c r="EK73" s="324"/>
      <c r="EL73" s="324"/>
      <c r="EM73" s="324"/>
      <c r="EN73" s="324"/>
      <c r="EO73" s="324"/>
      <c r="EP73" s="324"/>
      <c r="EQ73" s="324"/>
      <c r="ER73" s="324"/>
      <c r="ES73" s="324"/>
      <c r="ET73" s="324"/>
      <c r="EU73" s="324"/>
      <c r="EV73" s="324"/>
      <c r="EW73" s="324"/>
      <c r="EX73" s="324"/>
      <c r="EY73" s="324"/>
      <c r="EZ73" s="324"/>
      <c r="FA73" s="324"/>
      <c r="FB73" s="324"/>
      <c r="FC73" s="324"/>
      <c r="FD73" s="324"/>
      <c r="FE73" s="324"/>
      <c r="FF73" s="324"/>
      <c r="FG73" s="324"/>
      <c r="FH73" s="324"/>
      <c r="FI73" s="324"/>
      <c r="FJ73" s="324"/>
      <c r="FK73" s="324"/>
      <c r="FL73" s="324"/>
      <c r="FM73" s="324"/>
      <c r="FN73" s="324"/>
      <c r="FO73" s="324"/>
      <c r="FP73" s="324"/>
      <c r="FQ73" s="324"/>
      <c r="FR73" s="324"/>
      <c r="FS73" s="324"/>
      <c r="FT73" s="324"/>
      <c r="FU73" s="324"/>
      <c r="FV73" s="324"/>
      <c r="FW73" s="324"/>
      <c r="FX73" s="324"/>
      <c r="FY73" s="324"/>
      <c r="FZ73" s="324"/>
      <c r="GA73" s="324"/>
      <c r="GB73" s="324"/>
      <c r="GC73" s="324"/>
      <c r="GD73" s="324"/>
      <c r="GE73" s="324"/>
      <c r="GF73" s="324"/>
      <c r="GG73" s="324"/>
      <c r="GH73" s="324"/>
      <c r="GI73" s="324"/>
      <c r="GJ73" s="324"/>
      <c r="GK73" s="324"/>
      <c r="GL73" s="324"/>
      <c r="GM73" s="324"/>
      <c r="GN73" s="324"/>
      <c r="GO73" s="324"/>
      <c r="GP73" s="324"/>
      <c r="GQ73" s="324"/>
      <c r="GR73" s="324"/>
      <c r="GS73" s="324"/>
      <c r="GT73" s="324"/>
      <c r="GU73" s="324"/>
      <c r="GV73" s="324"/>
      <c r="GW73" s="324"/>
      <c r="GX73" s="324"/>
      <c r="GY73" s="335"/>
      <c r="GZ73" s="335"/>
      <c r="HA73" s="335"/>
      <c r="HB73" s="335"/>
      <c r="HC73" s="335"/>
      <c r="HD73" s="335"/>
      <c r="HE73" s="335"/>
      <c r="HF73" s="335"/>
      <c r="HG73" s="335"/>
      <c r="HH73" s="335"/>
      <c r="HI73" s="335"/>
      <c r="HJ73" s="335"/>
      <c r="HK73" s="335"/>
      <c r="HL73" s="335"/>
      <c r="HM73" s="335"/>
      <c r="HN73" s="335"/>
      <c r="HO73" s="335"/>
      <c r="HP73" s="335"/>
      <c r="HQ73" s="335"/>
      <c r="HR73" s="335"/>
      <c r="HS73" s="335"/>
      <c r="HT73" s="335"/>
      <c r="HU73" s="335"/>
      <c r="HV73" s="335"/>
      <c r="HW73" s="335"/>
      <c r="HX73" s="335"/>
      <c r="HY73" s="335"/>
      <c r="HZ73" s="335"/>
      <c r="IA73" s="335"/>
      <c r="IB73" s="335"/>
      <c r="IC73" s="335"/>
      <c r="ID73" s="335"/>
      <c r="IE73" s="335"/>
      <c r="IF73" s="335"/>
      <c r="IG73" s="335"/>
      <c r="IH73" s="335"/>
      <c r="II73" s="335"/>
      <c r="IJ73" s="335"/>
      <c r="IK73" s="335"/>
      <c r="IL73" s="335"/>
      <c r="IM73" s="335"/>
      <c r="IN73" s="335"/>
      <c r="IO73" s="335"/>
      <c r="IP73" s="335"/>
      <c r="IQ73" s="335"/>
      <c r="IR73" s="335"/>
      <c r="IS73" s="335"/>
      <c r="IT73" s="335"/>
      <c r="IU73" s="335"/>
      <c r="IV73" s="335"/>
      <c r="IW73" s="335"/>
    </row>
    <row r="74" customFormat="false" ht="15" hidden="false" customHeight="true" outlineLevel="0" collapsed="false">
      <c r="A74" s="298" t="n">
        <v>4776</v>
      </c>
      <c r="B74" s="298" t="s">
        <v>44</v>
      </c>
      <c r="C74" s="299" t="s">
        <v>257</v>
      </c>
      <c r="D74" s="287" t="s">
        <v>257</v>
      </c>
      <c r="E74" s="288" t="n">
        <f aca="false">IF(I74="regional",IF(R74*0.2975,S74*0.3484),S74*0.1939)</f>
        <v>0</v>
      </c>
      <c r="F74" s="288" t="n">
        <v>0</v>
      </c>
      <c r="G74" s="289" t="n">
        <f aca="false">E74+F74</f>
        <v>0</v>
      </c>
      <c r="H74" s="292" t="s">
        <v>49</v>
      </c>
      <c r="I74" s="287" t="s">
        <v>48</v>
      </c>
      <c r="J74" s="287"/>
      <c r="K74" s="287"/>
      <c r="L74" s="287" t="s">
        <v>44</v>
      </c>
      <c r="M74" s="317" t="n">
        <v>0</v>
      </c>
      <c r="N74" s="317" t="n">
        <v>0</v>
      </c>
      <c r="O74" s="317" t="n">
        <v>0</v>
      </c>
      <c r="P74" s="317" t="n">
        <v>0</v>
      </c>
      <c r="Q74" s="317" t="n">
        <v>0</v>
      </c>
      <c r="R74" s="317" t="n">
        <v>0</v>
      </c>
      <c r="S74" s="317" t="n">
        <v>0</v>
      </c>
      <c r="T74" s="318" t="n">
        <f aca="false">IF(I74="regional",IF(R74&gt;0,R74*0.2975,S74*0.3484),S74*0.1939)</f>
        <v>0</v>
      </c>
      <c r="U74" s="317" t="n">
        <v>0</v>
      </c>
      <c r="V74" s="317" t="n">
        <v>0</v>
      </c>
      <c r="W74" s="317" t="n">
        <v>0</v>
      </c>
      <c r="X74" s="317" t="n">
        <v>0</v>
      </c>
      <c r="Y74" s="317" t="n">
        <v>0</v>
      </c>
      <c r="Z74" s="317" t="n">
        <v>0</v>
      </c>
      <c r="AA74" s="317" t="n">
        <v>0</v>
      </c>
      <c r="AB74" s="317" t="n">
        <v>0</v>
      </c>
      <c r="AC74" s="317" t="n">
        <v>0</v>
      </c>
      <c r="AD74" s="317" t="n">
        <v>0</v>
      </c>
      <c r="AE74" s="317" t="n">
        <v>0</v>
      </c>
      <c r="AF74" s="317" t="n">
        <v>0</v>
      </c>
      <c r="AG74" s="317" t="n">
        <v>0</v>
      </c>
      <c r="AH74" s="317" t="n">
        <v>1081000</v>
      </c>
      <c r="AI74" s="317" t="n">
        <v>951000</v>
      </c>
      <c r="AJ74" s="292" t="s">
        <v>715</v>
      </c>
      <c r="AK74" s="292" t="s">
        <v>716</v>
      </c>
      <c r="AL74" s="321" t="s">
        <v>48</v>
      </c>
      <c r="AM74" s="292" t="s">
        <v>49</v>
      </c>
      <c r="AN74" s="336" t="s">
        <v>257</v>
      </c>
      <c r="AO74" s="328" t="n">
        <v>0</v>
      </c>
      <c r="AP74" s="322" t="n">
        <f aca="false">AR74+AT74+AU74+AV74+AX74+AY74+AZ74+BD74+BF74+BG74+BH74+BJ74+BK74+(BL74+BM74+BN74)/1000+(0.1*BO74)</f>
        <v>589.9563</v>
      </c>
      <c r="AQ74" s="319" t="n">
        <f aca="false">AR74+AT74+AU74+AV74+AX74+AY74+AZ74+BB74+BC74+BD74+BF74+BG74+BH74+BJ74+BK74+(BL74+BM74+BN74)/1000+(0.1*BO74)</f>
        <v>600.9563</v>
      </c>
      <c r="AR74" s="185" t="n">
        <v>84</v>
      </c>
      <c r="AS74" s="185" t="n">
        <v>951</v>
      </c>
      <c r="AT74" s="185" t="n">
        <v>385</v>
      </c>
      <c r="AU74" s="185" t="n">
        <v>14</v>
      </c>
      <c r="AV74" s="291" t="n">
        <v>0</v>
      </c>
      <c r="AW74" s="291" t="n">
        <v>32</v>
      </c>
      <c r="AX74" s="291" t="n">
        <v>19</v>
      </c>
      <c r="AY74" s="291" t="n">
        <v>0</v>
      </c>
      <c r="AZ74" s="291" t="n">
        <v>0</v>
      </c>
      <c r="BA74" s="291" t="n">
        <v>0</v>
      </c>
      <c r="BB74" s="291" t="n">
        <v>10</v>
      </c>
      <c r="BC74" s="291" t="n">
        <v>1</v>
      </c>
      <c r="BD74" s="291" t="n">
        <v>0</v>
      </c>
      <c r="BE74" s="291" t="n">
        <v>0</v>
      </c>
      <c r="BF74" s="291" t="n">
        <v>0</v>
      </c>
      <c r="BG74" s="291" t="n">
        <v>0</v>
      </c>
      <c r="BH74" s="291" t="n">
        <v>0</v>
      </c>
      <c r="BI74" s="291" t="n">
        <v>5</v>
      </c>
      <c r="BJ74" s="291" t="n">
        <v>0</v>
      </c>
      <c r="BK74" s="291" t="n">
        <v>0</v>
      </c>
      <c r="BL74" s="291" t="n">
        <v>0</v>
      </c>
      <c r="BM74" s="291" t="n">
        <v>0</v>
      </c>
      <c r="BN74" s="291" t="n">
        <v>0</v>
      </c>
      <c r="BO74" s="291" t="n">
        <v>879.563</v>
      </c>
      <c r="BR74" s="290" t="n">
        <f aca="false">AR74*1000/0.072</f>
        <v>1166666.66666667</v>
      </c>
      <c r="BS74" s="290" t="n">
        <f aca="false">AT74*1000/0.072</f>
        <v>5347222.22222222</v>
      </c>
      <c r="BT74" s="290" t="n">
        <f aca="false">AU74*1000/0.072</f>
        <v>194444.444444444</v>
      </c>
      <c r="BU74" s="290" t="n">
        <f aca="false">SUM(BR74:BT74)</f>
        <v>6708333.33333333</v>
      </c>
      <c r="BV74" s="290" t="n">
        <f aca="false">AV74*1000/5</f>
        <v>0</v>
      </c>
      <c r="BW74" s="290" t="n">
        <f aca="false">AX74*1000/5</f>
        <v>3800</v>
      </c>
      <c r="BX74" s="290" t="n">
        <f aca="false">AY74*1000/5</f>
        <v>0</v>
      </c>
      <c r="BY74" s="290" t="n">
        <f aca="false">SUM(BV74:BX74)</f>
        <v>3800</v>
      </c>
      <c r="CA74" s="290" t="n">
        <f aca="false">IF($AM74="n",0,BR74)</f>
        <v>0</v>
      </c>
      <c r="CB74" s="290" t="n">
        <f aca="false">IF($AM74="n",0,BS74)</f>
        <v>0</v>
      </c>
      <c r="CC74" s="290" t="n">
        <f aca="false">IF($AM74="n",0,BT74)</f>
        <v>0</v>
      </c>
      <c r="CD74" s="290" t="n">
        <f aca="false">SUM(CA74:CC74)</f>
        <v>0</v>
      </c>
      <c r="CE74" s="290" t="n">
        <f aca="false">IF($AM$2="n",0,BV74)</f>
        <v>0</v>
      </c>
      <c r="CF74" s="290" t="n">
        <f aca="false">IF($AM$2="n",0,BW74)</f>
        <v>3800</v>
      </c>
      <c r="CG74" s="290" t="n">
        <f aca="false">IF($AM$2="n",0,BX74)</f>
        <v>0</v>
      </c>
      <c r="CH74" s="290" t="n">
        <f aca="false">SUM(CE74:CG74)</f>
        <v>3800</v>
      </c>
      <c r="CJ74" s="324"/>
      <c r="CK74" s="324"/>
      <c r="CL74" s="324"/>
      <c r="CM74" s="324"/>
      <c r="CN74" s="324"/>
      <c r="CO74" s="324"/>
      <c r="CP74" s="324"/>
      <c r="CQ74" s="324"/>
      <c r="CR74" s="324"/>
      <c r="CS74" s="324"/>
      <c r="CT74" s="324"/>
      <c r="CU74" s="324"/>
      <c r="CV74" s="324"/>
      <c r="CW74" s="324"/>
      <c r="CX74" s="324"/>
      <c r="CY74" s="324"/>
      <c r="CZ74" s="324"/>
      <c r="DA74" s="324"/>
      <c r="DB74" s="324"/>
      <c r="DC74" s="324"/>
      <c r="DD74" s="324"/>
      <c r="DE74" s="324"/>
      <c r="DF74" s="324"/>
      <c r="DG74" s="324"/>
      <c r="DH74" s="324"/>
      <c r="DI74" s="324"/>
      <c r="DJ74" s="324"/>
      <c r="DK74" s="324"/>
      <c r="DL74" s="324"/>
      <c r="DM74" s="324"/>
      <c r="DN74" s="324"/>
      <c r="DO74" s="324"/>
      <c r="DP74" s="324"/>
      <c r="DQ74" s="324"/>
      <c r="DR74" s="324"/>
      <c r="DS74" s="324"/>
      <c r="DT74" s="324"/>
      <c r="DU74" s="324"/>
      <c r="DV74" s="324"/>
      <c r="DW74" s="324"/>
      <c r="DX74" s="324"/>
      <c r="DY74" s="324"/>
      <c r="DZ74" s="324"/>
      <c r="EA74" s="324"/>
      <c r="EB74" s="324"/>
      <c r="EC74" s="324"/>
      <c r="ED74" s="324"/>
      <c r="EE74" s="324"/>
      <c r="EF74" s="324"/>
      <c r="EG74" s="324"/>
      <c r="EH74" s="324"/>
      <c r="EI74" s="324"/>
      <c r="EJ74" s="324"/>
      <c r="EK74" s="324"/>
      <c r="EL74" s="324"/>
      <c r="EM74" s="324"/>
      <c r="EN74" s="324"/>
      <c r="EO74" s="324"/>
      <c r="EP74" s="324"/>
      <c r="EQ74" s="324"/>
      <c r="ER74" s="324"/>
      <c r="ES74" s="324"/>
      <c r="ET74" s="324"/>
      <c r="EU74" s="324"/>
      <c r="EV74" s="324"/>
      <c r="EW74" s="324"/>
      <c r="EX74" s="324"/>
      <c r="EY74" s="324"/>
      <c r="EZ74" s="324"/>
      <c r="FA74" s="324"/>
      <c r="FB74" s="324"/>
      <c r="FC74" s="324"/>
      <c r="FD74" s="324"/>
      <c r="FE74" s="324"/>
      <c r="FF74" s="324"/>
      <c r="FG74" s="324"/>
      <c r="FH74" s="324"/>
      <c r="FI74" s="324"/>
      <c r="FJ74" s="324"/>
      <c r="FK74" s="324"/>
      <c r="FL74" s="324"/>
      <c r="FM74" s="324"/>
      <c r="FN74" s="324"/>
      <c r="FO74" s="324"/>
      <c r="FP74" s="324"/>
      <c r="FQ74" s="324"/>
      <c r="FR74" s="324"/>
      <c r="FS74" s="324"/>
      <c r="FT74" s="324"/>
      <c r="FU74" s="324"/>
      <c r="FV74" s="324"/>
      <c r="FW74" s="324"/>
      <c r="FX74" s="324"/>
      <c r="FY74" s="324"/>
      <c r="FZ74" s="324"/>
      <c r="GA74" s="324"/>
      <c r="GB74" s="324"/>
      <c r="GC74" s="324"/>
      <c r="GD74" s="324"/>
      <c r="GE74" s="324"/>
      <c r="GF74" s="324"/>
      <c r="GG74" s="324"/>
      <c r="GH74" s="324"/>
      <c r="GI74" s="324"/>
      <c r="GJ74" s="324"/>
      <c r="GK74" s="324"/>
      <c r="GL74" s="324"/>
      <c r="GM74" s="324"/>
      <c r="GN74" s="324"/>
      <c r="GO74" s="324"/>
      <c r="GP74" s="324"/>
      <c r="GQ74" s="324"/>
      <c r="GR74" s="324"/>
      <c r="GS74" s="324"/>
      <c r="GT74" s="324"/>
      <c r="GU74" s="324"/>
      <c r="GV74" s="324"/>
      <c r="GW74" s="324"/>
      <c r="GX74" s="324"/>
    </row>
    <row r="75" customFormat="false" ht="15" hidden="false" customHeight="true" outlineLevel="0" collapsed="false">
      <c r="A75" s="285" t="n">
        <v>8675</v>
      </c>
      <c r="B75" s="285"/>
      <c r="C75" s="286" t="s">
        <v>258</v>
      </c>
      <c r="D75" s="287" t="s">
        <v>258</v>
      </c>
      <c r="E75" s="288" t="n">
        <f aca="false">IF(I75="regional",IF(R75*0.2975,S75*0.3484),S75*0.1939)</f>
        <v>438612.954</v>
      </c>
      <c r="F75" s="288" t="n">
        <v>0</v>
      </c>
      <c r="G75" s="289" t="n">
        <f aca="false">E75+F75</f>
        <v>438612.954</v>
      </c>
      <c r="H75" s="286"/>
      <c r="I75" s="287" t="s">
        <v>48</v>
      </c>
      <c r="J75" s="287" t="s">
        <v>49</v>
      </c>
      <c r="K75" s="287" t="s">
        <v>260</v>
      </c>
      <c r="L75" s="287"/>
      <c r="M75" s="317" t="n">
        <v>130</v>
      </c>
      <c r="N75" s="317" t="n">
        <v>0.983</v>
      </c>
      <c r="O75" s="317" t="n">
        <v>0.983</v>
      </c>
      <c r="P75" s="317" t="n">
        <v>0.986</v>
      </c>
      <c r="Q75" s="317" t="n">
        <v>0.965</v>
      </c>
      <c r="R75" s="317" t="n">
        <v>1425929</v>
      </c>
      <c r="S75" s="317" t="n">
        <v>1258935</v>
      </c>
      <c r="T75" s="318" t="n">
        <f aca="false">IF(I75="regional",IF(R75&gt;0,R75*0.2975,S75*0.3484),S75*0.1939)</f>
        <v>424213.8775</v>
      </c>
      <c r="U75" s="317" t="n">
        <v>866300</v>
      </c>
      <c r="V75" s="317" t="n">
        <v>392635</v>
      </c>
      <c r="W75" s="317" t="n">
        <v>7500</v>
      </c>
      <c r="X75" s="317" t="n">
        <v>0</v>
      </c>
      <c r="Y75" s="317" t="n">
        <v>0</v>
      </c>
      <c r="Z75" s="317" t="n">
        <v>0</v>
      </c>
      <c r="AA75" s="317" t="n">
        <v>1683148.878</v>
      </c>
      <c r="AB75" s="317" t="n">
        <v>424213.8775</v>
      </c>
      <c r="AC75" s="317" t="n">
        <v>1258935</v>
      </c>
      <c r="AD75" s="317" t="n">
        <v>0</v>
      </c>
      <c r="AE75" s="317" t="n">
        <v>0</v>
      </c>
      <c r="AF75" s="317" t="n">
        <v>0</v>
      </c>
      <c r="AG75" s="317" t="n">
        <v>1258935</v>
      </c>
      <c r="AH75" s="317" t="n">
        <v>0</v>
      </c>
      <c r="AI75" s="317" t="n">
        <v>0</v>
      </c>
      <c r="AJ75" s="286" t="n">
        <v>4</v>
      </c>
      <c r="AK75" s="286" t="s">
        <v>720</v>
      </c>
      <c r="AL75" s="287" t="s">
        <v>48</v>
      </c>
      <c r="AM75" s="286"/>
      <c r="AN75" s="287" t="s">
        <v>258</v>
      </c>
      <c r="AO75" s="287" t="n">
        <v>424213.8775</v>
      </c>
      <c r="AP75" s="319" t="n">
        <f aca="false">AR75+AT75+AU75+AV75+AX75+AY75+AZ75+BD75+BF75+BG75+BH75+BJ75+BK75+(BL75+BM75+BN75)/1000+(0.1*BO75)</f>
        <v>490.2884</v>
      </c>
      <c r="AQ75" s="319" t="n">
        <f aca="false">AR75+AT75+AU75+AV75+AX75+AY75+AZ75+BB75+BC75+BD75+BF75+BG75+BH75+BJ75+BK75+(BL75+BM75+BN75)/1000+(0.1*BO75)</f>
        <v>511.2884</v>
      </c>
      <c r="AR75" s="285" t="n">
        <v>0</v>
      </c>
      <c r="AS75" s="285" t="n">
        <v>0</v>
      </c>
      <c r="AT75" s="285" t="n">
        <v>343</v>
      </c>
      <c r="AU75" s="285" t="n">
        <v>25</v>
      </c>
      <c r="AV75" s="285" t="n">
        <v>0</v>
      </c>
      <c r="AW75" s="285" t="n">
        <v>0</v>
      </c>
      <c r="AX75" s="285" t="n">
        <v>33</v>
      </c>
      <c r="AY75" s="285" t="n">
        <v>1</v>
      </c>
      <c r="AZ75" s="285" t="n">
        <v>0</v>
      </c>
      <c r="BA75" s="285" t="n">
        <v>3</v>
      </c>
      <c r="BB75" s="285" t="n">
        <v>19</v>
      </c>
      <c r="BC75" s="285" t="n">
        <v>2</v>
      </c>
      <c r="BD75" s="285" t="n">
        <v>0</v>
      </c>
      <c r="BE75" s="285" t="n">
        <v>0</v>
      </c>
      <c r="BF75" s="285" t="n">
        <v>0</v>
      </c>
      <c r="BG75" s="285" t="n">
        <v>0</v>
      </c>
      <c r="BH75" s="285" t="n">
        <v>0</v>
      </c>
      <c r="BI75" s="285" t="n">
        <v>0</v>
      </c>
      <c r="BJ75" s="285" t="n">
        <v>0</v>
      </c>
      <c r="BK75" s="285" t="n">
        <v>0</v>
      </c>
      <c r="BL75" s="285" t="n">
        <v>0</v>
      </c>
      <c r="BM75" s="285" t="n">
        <v>0</v>
      </c>
      <c r="BN75" s="285" t="n">
        <v>0</v>
      </c>
      <c r="BO75" s="285" t="n">
        <v>882.884</v>
      </c>
      <c r="BR75" s="290" t="n">
        <f aca="false">AR75*1000/0.072</f>
        <v>0</v>
      </c>
      <c r="BS75" s="290" t="n">
        <f aca="false">AT75*1000/0.072</f>
        <v>4763888.88888889</v>
      </c>
      <c r="BT75" s="290" t="n">
        <f aca="false">AU75*1000/0.072</f>
        <v>347222.222222222</v>
      </c>
      <c r="BU75" s="290" t="n">
        <f aca="false">SUM(BR75:BT75)</f>
        <v>5111111.11111111</v>
      </c>
      <c r="BV75" s="290" t="n">
        <f aca="false">AV75*1000/5</f>
        <v>0</v>
      </c>
      <c r="BW75" s="290" t="n">
        <f aca="false">AX75*1000/5</f>
        <v>6600</v>
      </c>
      <c r="BX75" s="290" t="n">
        <f aca="false">AY75*1000/5</f>
        <v>200</v>
      </c>
      <c r="BY75" s="290" t="n">
        <f aca="false">SUM(BV75:BX75)</f>
        <v>6800</v>
      </c>
      <c r="CA75" s="290" t="n">
        <f aca="false">IF($AM75="n",0,BR75)</f>
        <v>0</v>
      </c>
      <c r="CB75" s="290" t="n">
        <f aca="false">IF($AM75="n",0,BS75)</f>
        <v>4763888.88888889</v>
      </c>
      <c r="CC75" s="290" t="n">
        <f aca="false">IF($AM75="n",0,BT75)</f>
        <v>347222.222222222</v>
      </c>
      <c r="CD75" s="290" t="n">
        <f aca="false">SUM(CA75:CC75)</f>
        <v>5111111.11111111</v>
      </c>
      <c r="CE75" s="290" t="n">
        <f aca="false">IF($AM$2="n",0,BV75)</f>
        <v>0</v>
      </c>
      <c r="CF75" s="290" t="n">
        <f aca="false">IF($AM$2="n",0,BW75)</f>
        <v>6600</v>
      </c>
      <c r="CG75" s="290" t="n">
        <f aca="false">IF($AM$2="n",0,BX75)</f>
        <v>200</v>
      </c>
      <c r="CH75" s="290" t="n">
        <f aca="false">SUM(CE75:CG75)</f>
        <v>6800</v>
      </c>
      <c r="CJ75" s="324"/>
      <c r="CK75" s="324"/>
      <c r="CL75" s="324"/>
      <c r="CM75" s="324"/>
      <c r="CN75" s="324"/>
      <c r="CO75" s="324"/>
      <c r="CP75" s="324"/>
      <c r="CQ75" s="324"/>
      <c r="CR75" s="324"/>
      <c r="CS75" s="324"/>
      <c r="CT75" s="324"/>
      <c r="CU75" s="324"/>
      <c r="CV75" s="324"/>
      <c r="CW75" s="324"/>
      <c r="CX75" s="324"/>
      <c r="CY75" s="324"/>
      <c r="CZ75" s="324"/>
      <c r="DA75" s="324"/>
      <c r="DB75" s="324"/>
      <c r="DC75" s="324"/>
      <c r="DD75" s="324"/>
      <c r="DE75" s="324"/>
      <c r="DF75" s="324"/>
      <c r="DG75" s="324"/>
      <c r="DH75" s="324"/>
      <c r="DI75" s="324"/>
      <c r="DJ75" s="324"/>
      <c r="DK75" s="324"/>
      <c r="DL75" s="324"/>
      <c r="DM75" s="324"/>
      <c r="DN75" s="324"/>
      <c r="DO75" s="324"/>
      <c r="DP75" s="324"/>
      <c r="DQ75" s="324"/>
      <c r="DR75" s="324"/>
      <c r="DS75" s="324"/>
      <c r="DT75" s="324"/>
      <c r="DU75" s="324"/>
      <c r="DV75" s="324"/>
      <c r="DW75" s="324"/>
      <c r="DX75" s="324"/>
      <c r="DY75" s="324"/>
      <c r="DZ75" s="324"/>
      <c r="EA75" s="324"/>
      <c r="EB75" s="324"/>
      <c r="EC75" s="324"/>
      <c r="ED75" s="324"/>
      <c r="EE75" s="324"/>
      <c r="EF75" s="324"/>
      <c r="EG75" s="324"/>
      <c r="EH75" s="324"/>
      <c r="EI75" s="324"/>
      <c r="EJ75" s="324"/>
      <c r="EK75" s="324"/>
      <c r="EL75" s="324"/>
      <c r="EM75" s="324"/>
      <c r="EN75" s="324"/>
      <c r="EO75" s="324"/>
      <c r="EP75" s="324"/>
      <c r="EQ75" s="324"/>
      <c r="ER75" s="324"/>
      <c r="ES75" s="324"/>
      <c r="ET75" s="324"/>
      <c r="EU75" s="324"/>
      <c r="EV75" s="324"/>
      <c r="EW75" s="324"/>
      <c r="EX75" s="324"/>
      <c r="EY75" s="324"/>
      <c r="EZ75" s="324"/>
      <c r="FA75" s="324"/>
      <c r="FB75" s="324"/>
      <c r="FC75" s="324"/>
      <c r="FD75" s="324"/>
      <c r="FE75" s="324"/>
      <c r="FF75" s="324"/>
      <c r="FG75" s="324"/>
      <c r="FH75" s="324"/>
      <c r="FI75" s="324"/>
      <c r="FJ75" s="324"/>
      <c r="FK75" s="324"/>
      <c r="FL75" s="324"/>
      <c r="FM75" s="324"/>
      <c r="FN75" s="324"/>
      <c r="FO75" s="324"/>
      <c r="FP75" s="324"/>
      <c r="FQ75" s="324"/>
      <c r="FR75" s="324"/>
      <c r="FS75" s="324"/>
      <c r="FT75" s="324"/>
      <c r="FU75" s="324"/>
      <c r="FV75" s="324"/>
      <c r="FW75" s="324"/>
      <c r="FX75" s="324"/>
      <c r="FY75" s="324"/>
      <c r="FZ75" s="324"/>
      <c r="GA75" s="324"/>
      <c r="GB75" s="324"/>
      <c r="GC75" s="324"/>
      <c r="GD75" s="324"/>
      <c r="GE75" s="324"/>
      <c r="GF75" s="324"/>
      <c r="GG75" s="324"/>
      <c r="GH75" s="324"/>
      <c r="GI75" s="324"/>
      <c r="GJ75" s="324"/>
      <c r="GK75" s="324"/>
      <c r="GL75" s="324"/>
      <c r="GM75" s="324"/>
      <c r="GN75" s="324"/>
      <c r="GO75" s="324"/>
      <c r="GP75" s="324"/>
      <c r="GQ75" s="324"/>
      <c r="GR75" s="324"/>
      <c r="GS75" s="324"/>
      <c r="GT75" s="324"/>
      <c r="GU75" s="324"/>
      <c r="GV75" s="324"/>
      <c r="GW75" s="324"/>
      <c r="GX75" s="324"/>
    </row>
    <row r="76" customFormat="false" ht="15" hidden="false" customHeight="true" outlineLevel="0" collapsed="false">
      <c r="A76" s="285" t="n">
        <v>8678</v>
      </c>
      <c r="B76" s="285"/>
      <c r="C76" s="286" t="s">
        <v>261</v>
      </c>
      <c r="D76" s="287" t="s">
        <v>261</v>
      </c>
      <c r="E76" s="288" t="n">
        <f aca="false">IF(I76="regional",IF(R76*0.2975,S76*0.3484),S76*0.1939)</f>
        <v>31779.8222</v>
      </c>
      <c r="F76" s="288" t="n">
        <v>0</v>
      </c>
      <c r="G76" s="289" t="n">
        <f aca="false">E76+F76</f>
        <v>31779.8222</v>
      </c>
      <c r="H76" s="286"/>
      <c r="I76" s="287" t="s">
        <v>62</v>
      </c>
      <c r="J76" s="287"/>
      <c r="K76" s="287" t="s">
        <v>260</v>
      </c>
      <c r="L76" s="287"/>
      <c r="M76" s="317" t="n">
        <v>12</v>
      </c>
      <c r="N76" s="317" t="n">
        <v>0.793</v>
      </c>
      <c r="O76" s="317" t="n">
        <v>0.793</v>
      </c>
      <c r="P76" s="317" t="n">
        <v>0.754</v>
      </c>
      <c r="Q76" s="317" t="n">
        <v>0.827</v>
      </c>
      <c r="R76" s="317" t="n">
        <v>0</v>
      </c>
      <c r="S76" s="317" t="n">
        <v>163898</v>
      </c>
      <c r="T76" s="318" t="n">
        <f aca="false">IF(I76="regional",IF(R76&gt;0,R76*0.2975,S76*0.3484),S76*0.1939)</f>
        <v>31779.8222</v>
      </c>
      <c r="U76" s="317" t="n">
        <v>142229</v>
      </c>
      <c r="V76" s="317" t="n">
        <v>21669</v>
      </c>
      <c r="W76" s="317" t="n">
        <v>900</v>
      </c>
      <c r="X76" s="317" t="n">
        <v>0</v>
      </c>
      <c r="Y76" s="317" t="n">
        <v>0</v>
      </c>
      <c r="Z76" s="317" t="n">
        <v>0</v>
      </c>
      <c r="AA76" s="317" t="n">
        <v>195677.8222</v>
      </c>
      <c r="AB76" s="317" t="n">
        <v>31779.8222</v>
      </c>
      <c r="AC76" s="317" t="n">
        <v>163898</v>
      </c>
      <c r="AD76" s="317" t="n">
        <v>0</v>
      </c>
      <c r="AE76" s="317" t="n">
        <v>0</v>
      </c>
      <c r="AF76" s="317" t="n">
        <v>0</v>
      </c>
      <c r="AG76" s="317" t="n">
        <v>163898</v>
      </c>
      <c r="AH76" s="317" t="n">
        <v>0</v>
      </c>
      <c r="AI76" s="317" t="n">
        <v>0</v>
      </c>
      <c r="AJ76" s="286" t="n">
        <v>4</v>
      </c>
      <c r="AK76" s="286" t="s">
        <v>720</v>
      </c>
      <c r="AL76" s="287" t="s">
        <v>62</v>
      </c>
      <c r="AM76" s="286"/>
      <c r="AN76" s="287" t="s">
        <v>261</v>
      </c>
      <c r="AO76" s="287" t="n">
        <v>31779.8222</v>
      </c>
      <c r="AP76" s="319" t="n">
        <f aca="false">AR76+AT76+AU76+AV76+AX76+AY76+AZ76+BD76+BF76+BG76+BH76+BJ76+BK76+(BL76+BM76+BN76)/1000+(0.1*BO76)</f>
        <v>25.3058</v>
      </c>
      <c r="AQ76" s="319" t="n">
        <f aca="false">AR76+AT76+AU76+AV76+AX76+AY76+AZ76+BB76+BC76+BD76+BF76+BG76+BH76+BJ76+BK76+(BL76+BM76+BN76)/1000+(0.1*BO76)</f>
        <v>26.3058</v>
      </c>
      <c r="AR76" s="302" t="n">
        <v>0</v>
      </c>
      <c r="AS76" s="302" t="n">
        <v>0</v>
      </c>
      <c r="AT76" s="302" t="n">
        <v>13</v>
      </c>
      <c r="AU76" s="302" t="n">
        <v>0</v>
      </c>
      <c r="AV76" s="302" t="n">
        <v>0</v>
      </c>
      <c r="AW76" s="302" t="n">
        <v>0</v>
      </c>
      <c r="AX76" s="302" t="n">
        <v>0</v>
      </c>
      <c r="AY76" s="302" t="n">
        <v>0</v>
      </c>
      <c r="AZ76" s="302" t="n">
        <v>0</v>
      </c>
      <c r="BA76" s="302" t="n">
        <v>0</v>
      </c>
      <c r="BB76" s="302" t="n">
        <v>0</v>
      </c>
      <c r="BC76" s="302" t="n">
        <v>1</v>
      </c>
      <c r="BD76" s="285" t="n">
        <v>0</v>
      </c>
      <c r="BE76" s="285" t="n">
        <v>0</v>
      </c>
      <c r="BF76" s="285" t="n">
        <v>0</v>
      </c>
      <c r="BG76" s="285" t="n">
        <v>0</v>
      </c>
      <c r="BH76" s="285" t="n">
        <v>0</v>
      </c>
      <c r="BI76" s="285" t="n">
        <v>0</v>
      </c>
      <c r="BJ76" s="285" t="n">
        <v>0</v>
      </c>
      <c r="BK76" s="285" t="n">
        <v>0</v>
      </c>
      <c r="BL76" s="302" t="n">
        <v>0</v>
      </c>
      <c r="BM76" s="302" t="n">
        <v>0</v>
      </c>
      <c r="BN76" s="302" t="n">
        <v>9880</v>
      </c>
      <c r="BO76" s="302" t="n">
        <v>24.258</v>
      </c>
      <c r="BP76" s="324"/>
      <c r="BR76" s="290" t="n">
        <f aca="false">AR76*1000/0.072</f>
        <v>0</v>
      </c>
      <c r="BS76" s="290" t="n">
        <f aca="false">AT76*1000/0.072</f>
        <v>180555.555555556</v>
      </c>
      <c r="BT76" s="290" t="n">
        <f aca="false">AU76*1000/0.072</f>
        <v>0</v>
      </c>
      <c r="BU76" s="290" t="n">
        <f aca="false">SUM(BR76:BT76)</f>
        <v>180555.555555556</v>
      </c>
      <c r="BV76" s="290" t="n">
        <f aca="false">AV76*1000/5</f>
        <v>0</v>
      </c>
      <c r="BW76" s="290" t="n">
        <f aca="false">AX76*1000/5</f>
        <v>0</v>
      </c>
      <c r="BX76" s="290" t="n">
        <f aca="false">AY76*1000/5</f>
        <v>0</v>
      </c>
      <c r="BY76" s="290" t="n">
        <f aca="false">SUM(BV76:BX76)</f>
        <v>0</v>
      </c>
      <c r="CA76" s="290" t="n">
        <f aca="false">IF($AM76="n",0,BR76)</f>
        <v>0</v>
      </c>
      <c r="CB76" s="290" t="n">
        <f aca="false">IF($AM76="n",0,BS76)</f>
        <v>180555.555555556</v>
      </c>
      <c r="CC76" s="290" t="n">
        <f aca="false">IF($AM76="n",0,BT76)</f>
        <v>0</v>
      </c>
      <c r="CD76" s="290" t="n">
        <f aca="false">SUM(CA76:CC76)</f>
        <v>180555.555555556</v>
      </c>
      <c r="CE76" s="290" t="n">
        <f aca="false">IF($AM$2="n",0,BV76)</f>
        <v>0</v>
      </c>
      <c r="CF76" s="290" t="n">
        <f aca="false">IF($AM$2="n",0,BW76)</f>
        <v>0</v>
      </c>
      <c r="CG76" s="290" t="n">
        <f aca="false">IF($AM$2="n",0,BX76)</f>
        <v>0</v>
      </c>
      <c r="CH76" s="290" t="n">
        <f aca="false">SUM(CE76:CG76)</f>
        <v>0</v>
      </c>
      <c r="CJ76" s="324"/>
      <c r="CK76" s="324"/>
      <c r="CL76" s="324"/>
      <c r="CM76" s="324"/>
      <c r="CN76" s="324"/>
      <c r="CO76" s="324"/>
      <c r="CP76" s="324"/>
      <c r="CQ76" s="324"/>
      <c r="CR76" s="324"/>
      <c r="CS76" s="324"/>
      <c r="CT76" s="324"/>
      <c r="CU76" s="324"/>
      <c r="CV76" s="324"/>
      <c r="CW76" s="324"/>
      <c r="CX76" s="324"/>
      <c r="CY76" s="324"/>
      <c r="CZ76" s="324"/>
      <c r="DA76" s="324"/>
      <c r="DB76" s="324"/>
      <c r="DC76" s="324"/>
      <c r="DD76" s="324"/>
      <c r="DE76" s="324"/>
      <c r="DF76" s="324"/>
      <c r="DG76" s="324"/>
      <c r="DH76" s="324"/>
      <c r="DI76" s="324"/>
      <c r="DJ76" s="324"/>
      <c r="DK76" s="324"/>
      <c r="DL76" s="324"/>
      <c r="DM76" s="324"/>
      <c r="DN76" s="324"/>
      <c r="DO76" s="324"/>
      <c r="DP76" s="324"/>
      <c r="DQ76" s="324"/>
      <c r="DR76" s="324"/>
      <c r="DS76" s="324"/>
      <c r="DT76" s="324"/>
      <c r="DU76" s="324"/>
      <c r="DV76" s="324"/>
      <c r="DW76" s="324"/>
      <c r="DX76" s="324"/>
      <c r="DY76" s="324"/>
      <c r="DZ76" s="324"/>
      <c r="EA76" s="324"/>
      <c r="EB76" s="324"/>
      <c r="EC76" s="324"/>
      <c r="ED76" s="324"/>
      <c r="EE76" s="324"/>
      <c r="EF76" s="324"/>
      <c r="EG76" s="324"/>
      <c r="EH76" s="324"/>
      <c r="EI76" s="324"/>
      <c r="EJ76" s="324"/>
      <c r="EK76" s="324"/>
      <c r="EL76" s="324"/>
      <c r="EM76" s="324"/>
      <c r="EN76" s="324"/>
      <c r="EO76" s="324"/>
      <c r="EP76" s="324"/>
      <c r="EQ76" s="324"/>
      <c r="ER76" s="324"/>
      <c r="ES76" s="324"/>
      <c r="ET76" s="324"/>
      <c r="EU76" s="324"/>
      <c r="EV76" s="324"/>
      <c r="EW76" s="324"/>
      <c r="EX76" s="324"/>
      <c r="EY76" s="324"/>
      <c r="EZ76" s="324"/>
      <c r="FA76" s="324"/>
      <c r="FB76" s="324"/>
      <c r="FC76" s="324"/>
      <c r="FD76" s="324"/>
      <c r="FE76" s="324"/>
      <c r="FF76" s="324"/>
      <c r="FG76" s="324"/>
      <c r="FH76" s="324"/>
      <c r="FI76" s="324"/>
      <c r="FJ76" s="324"/>
      <c r="FK76" s="324"/>
      <c r="FL76" s="324"/>
      <c r="FM76" s="324"/>
      <c r="FN76" s="324"/>
      <c r="FO76" s="324"/>
      <c r="FP76" s="324"/>
      <c r="FQ76" s="324"/>
      <c r="FR76" s="324"/>
      <c r="FS76" s="324"/>
      <c r="FT76" s="324"/>
      <c r="FU76" s="324"/>
      <c r="FV76" s="324"/>
      <c r="FW76" s="324"/>
      <c r="FX76" s="324"/>
      <c r="FY76" s="324"/>
      <c r="FZ76" s="324"/>
      <c r="GA76" s="324"/>
      <c r="GB76" s="324"/>
      <c r="GC76" s="324"/>
      <c r="GD76" s="324"/>
      <c r="GE76" s="324"/>
      <c r="GF76" s="324"/>
      <c r="GG76" s="324"/>
      <c r="GH76" s="324"/>
      <c r="GI76" s="324"/>
      <c r="GJ76" s="324"/>
      <c r="GK76" s="324"/>
      <c r="GL76" s="324"/>
      <c r="GM76" s="324"/>
      <c r="GN76" s="324"/>
      <c r="GO76" s="324"/>
      <c r="GP76" s="324"/>
      <c r="GQ76" s="324"/>
      <c r="GR76" s="324"/>
      <c r="GS76" s="324"/>
      <c r="GT76" s="324"/>
      <c r="GU76" s="324"/>
      <c r="GV76" s="324"/>
      <c r="GW76" s="324"/>
      <c r="GX76" s="324"/>
      <c r="GY76" s="333"/>
      <c r="GZ76" s="333"/>
      <c r="HA76" s="333"/>
      <c r="HB76" s="333"/>
      <c r="HC76" s="333"/>
      <c r="HD76" s="333"/>
      <c r="HE76" s="333"/>
      <c r="HF76" s="333"/>
      <c r="HG76" s="333"/>
      <c r="HH76" s="333"/>
      <c r="HI76" s="333"/>
      <c r="HJ76" s="333"/>
      <c r="HK76" s="333"/>
      <c r="HL76" s="333"/>
      <c r="HM76" s="333"/>
      <c r="HN76" s="333"/>
      <c r="HO76" s="333"/>
      <c r="HP76" s="333"/>
      <c r="HQ76" s="333"/>
      <c r="HR76" s="333"/>
      <c r="HS76" s="333"/>
      <c r="HT76" s="333"/>
      <c r="HU76" s="333"/>
      <c r="HV76" s="333"/>
      <c r="HW76" s="333"/>
      <c r="HX76" s="333"/>
      <c r="HY76" s="333"/>
      <c r="HZ76" s="333"/>
      <c r="IA76" s="333"/>
      <c r="IB76" s="333"/>
      <c r="IC76" s="333"/>
      <c r="ID76" s="333"/>
      <c r="IE76" s="333"/>
      <c r="IF76" s="333"/>
      <c r="IG76" s="333"/>
      <c r="IH76" s="333"/>
      <c r="II76" s="333"/>
      <c r="IJ76" s="333"/>
      <c r="IK76" s="333"/>
      <c r="IL76" s="333"/>
      <c r="IM76" s="333"/>
      <c r="IN76" s="333"/>
      <c r="IO76" s="333"/>
      <c r="IP76" s="333"/>
      <c r="IQ76" s="333"/>
      <c r="IR76" s="333"/>
      <c r="IS76" s="333"/>
      <c r="IT76" s="333"/>
      <c r="IU76" s="333"/>
      <c r="IV76" s="333"/>
      <c r="IW76" s="333"/>
    </row>
    <row r="77" customFormat="false" ht="15" hidden="false" customHeight="true" outlineLevel="0" collapsed="false">
      <c r="A77" s="300" t="n">
        <v>9375</v>
      </c>
      <c r="B77" s="300" t="s">
        <v>44</v>
      </c>
      <c r="C77" s="299" t="s">
        <v>262</v>
      </c>
      <c r="D77" s="287" t="s">
        <v>262</v>
      </c>
      <c r="E77" s="288" t="n">
        <f aca="false">IF(I77="regional",IF(R77*0.2975,S77*0.3484),S77*0.1939)</f>
        <v>57829.1238</v>
      </c>
      <c r="F77" s="288" t="n">
        <v>0</v>
      </c>
      <c r="G77" s="289" t="n">
        <f aca="false">E77+F77</f>
        <v>57829.1238</v>
      </c>
      <c r="H77" s="286" t="s">
        <v>49</v>
      </c>
      <c r="I77" s="287" t="s">
        <v>62</v>
      </c>
      <c r="J77" s="287"/>
      <c r="K77" s="287" t="s">
        <v>155</v>
      </c>
      <c r="L77" s="287"/>
      <c r="M77" s="317" t="n">
        <v>15</v>
      </c>
      <c r="N77" s="317" t="n">
        <v>0.832</v>
      </c>
      <c r="O77" s="317" t="n">
        <v>0.832</v>
      </c>
      <c r="P77" s="317" t="n">
        <v>0.813</v>
      </c>
      <c r="Q77" s="317" t="n">
        <v>0.768</v>
      </c>
      <c r="R77" s="317" t="n">
        <v>0</v>
      </c>
      <c r="S77" s="288" t="n">
        <v>298242</v>
      </c>
      <c r="T77" s="318" t="n">
        <f aca="false">IF(I77="regional",IF(R77&gt;0,R77*0.2975,S77*0.3484),S77*0.1939)</f>
        <v>57829.1238</v>
      </c>
      <c r="U77" s="317" t="n">
        <v>247025</v>
      </c>
      <c r="V77" s="317" t="n">
        <v>51217</v>
      </c>
      <c r="W77" s="317" t="n">
        <v>1500</v>
      </c>
      <c r="X77" s="317" t="n">
        <v>0</v>
      </c>
      <c r="Y77" s="317" t="n">
        <v>0</v>
      </c>
      <c r="Z77" s="317" t="n">
        <v>0</v>
      </c>
      <c r="AA77" s="317" t="n">
        <v>356071.1238</v>
      </c>
      <c r="AB77" s="317" t="n">
        <v>57829.1238</v>
      </c>
      <c r="AC77" s="317" t="n">
        <v>298242</v>
      </c>
      <c r="AD77" s="317" t="n">
        <v>0</v>
      </c>
      <c r="AE77" s="317" t="n">
        <v>0</v>
      </c>
      <c r="AF77" s="317" t="n">
        <v>0</v>
      </c>
      <c r="AG77" s="317" t="n">
        <v>298242</v>
      </c>
      <c r="AH77" s="317" t="n">
        <v>0</v>
      </c>
      <c r="AI77" s="317" t="n">
        <v>0</v>
      </c>
      <c r="AJ77" s="286" t="s">
        <v>715</v>
      </c>
      <c r="AK77" s="286" t="s">
        <v>716</v>
      </c>
      <c r="AL77" s="321" t="s">
        <v>62</v>
      </c>
      <c r="AM77" s="286" t="s">
        <v>49</v>
      </c>
      <c r="AN77" s="337" t="s">
        <v>733</v>
      </c>
      <c r="AO77" s="328" t="n">
        <v>0</v>
      </c>
      <c r="AP77" s="329" t="n">
        <v>0</v>
      </c>
      <c r="AQ77" s="319" t="n">
        <f aca="false">AR77+AT77+AU77+AV77+AX77+AY77+AZ77+BB77+BC77+BD77+BF77+BG77+BH77+BJ77+BK77+(BL77+BM77+BN77)/1000+(0.1*BO77)</f>
        <v>22</v>
      </c>
      <c r="AR77" s="334" t="n">
        <v>0</v>
      </c>
      <c r="AS77" s="334" t="n">
        <v>671</v>
      </c>
      <c r="AT77" s="334" t="n">
        <v>0</v>
      </c>
      <c r="AU77" s="334" t="n">
        <v>1</v>
      </c>
      <c r="AV77" s="334" t="n">
        <v>0</v>
      </c>
      <c r="AW77" s="334" t="n">
        <v>6</v>
      </c>
      <c r="AX77" s="334" t="n">
        <v>0</v>
      </c>
      <c r="AY77" s="334" t="n">
        <v>0</v>
      </c>
      <c r="AZ77" s="334" t="n">
        <v>0</v>
      </c>
      <c r="BA77" s="334" t="n">
        <v>0</v>
      </c>
      <c r="BB77" s="334" t="n">
        <v>21</v>
      </c>
      <c r="BC77" s="334" t="n">
        <v>0</v>
      </c>
      <c r="BD77" s="285" t="n">
        <v>0</v>
      </c>
      <c r="BE77" s="285" t="n">
        <v>0</v>
      </c>
      <c r="BF77" s="285" t="n">
        <v>0</v>
      </c>
      <c r="BG77" s="285" t="n">
        <v>0</v>
      </c>
      <c r="BH77" s="285" t="n">
        <v>0</v>
      </c>
      <c r="BI77" s="285" t="n">
        <v>0</v>
      </c>
      <c r="BJ77" s="285" t="n">
        <v>0</v>
      </c>
      <c r="BK77" s="285" t="n">
        <v>0</v>
      </c>
      <c r="BL77" s="285" t="n">
        <v>0</v>
      </c>
      <c r="BM77" s="285" t="n">
        <v>0</v>
      </c>
      <c r="BN77" s="285" t="n">
        <v>0</v>
      </c>
      <c r="BO77" s="165"/>
      <c r="BP77" s="324"/>
      <c r="BR77" s="290" t="n">
        <f aca="false">AR77*1000/0.072</f>
        <v>0</v>
      </c>
      <c r="BS77" s="290" t="n">
        <f aca="false">AT77*1000/0.072</f>
        <v>0</v>
      </c>
      <c r="BT77" s="290" t="n">
        <f aca="false">AU77*1000/0.072</f>
        <v>13888.8888888889</v>
      </c>
      <c r="BU77" s="290" t="n">
        <f aca="false">SUM(BR77:BT77)</f>
        <v>13888.8888888889</v>
      </c>
      <c r="BV77" s="290" t="n">
        <f aca="false">AV77*1000/5</f>
        <v>0</v>
      </c>
      <c r="BW77" s="290" t="n">
        <f aca="false">AX77*1000/5</f>
        <v>0</v>
      </c>
      <c r="BX77" s="290" t="n">
        <f aca="false">AY77*1000/5</f>
        <v>0</v>
      </c>
      <c r="BY77" s="290" t="n">
        <f aca="false">SUM(BV77:BX77)</f>
        <v>0</v>
      </c>
      <c r="CA77" s="290" t="n">
        <f aca="false">IF($AM77="n",0,BR77)</f>
        <v>0</v>
      </c>
      <c r="CB77" s="290" t="n">
        <f aca="false">IF($AM77="n",0,BS77)</f>
        <v>0</v>
      </c>
      <c r="CC77" s="290" t="n">
        <f aca="false">IF($AM77="n",0,BT77)</f>
        <v>0</v>
      </c>
      <c r="CD77" s="290" t="n">
        <f aca="false">SUM(CA77:CC77)</f>
        <v>0</v>
      </c>
      <c r="CE77" s="290" t="n">
        <f aca="false">IF($AM$2="n",0,BV77)</f>
        <v>0</v>
      </c>
      <c r="CF77" s="290" t="n">
        <f aca="false">IF($AM$2="n",0,BW77)</f>
        <v>0</v>
      </c>
      <c r="CG77" s="290" t="n">
        <f aca="false">IF($AM$2="n",0,BX77)</f>
        <v>0</v>
      </c>
      <c r="CH77" s="290" t="n">
        <f aca="false">SUM(CE77:CG77)</f>
        <v>0</v>
      </c>
      <c r="CJ77" s="324"/>
      <c r="CK77" s="324"/>
      <c r="CL77" s="324"/>
      <c r="CM77" s="324"/>
      <c r="CN77" s="324"/>
      <c r="CO77" s="324"/>
      <c r="CP77" s="324"/>
      <c r="CQ77" s="324"/>
      <c r="CR77" s="324"/>
      <c r="CS77" s="324"/>
      <c r="CT77" s="324"/>
      <c r="CU77" s="324"/>
      <c r="CV77" s="324"/>
      <c r="CW77" s="324"/>
      <c r="CX77" s="324"/>
      <c r="CY77" s="324"/>
      <c r="CZ77" s="324"/>
      <c r="DA77" s="324"/>
      <c r="DB77" s="324"/>
      <c r="DC77" s="324"/>
      <c r="DD77" s="324"/>
      <c r="DE77" s="324"/>
      <c r="DF77" s="324"/>
      <c r="DG77" s="324"/>
      <c r="DH77" s="324"/>
      <c r="DI77" s="324"/>
      <c r="DJ77" s="324"/>
      <c r="DK77" s="324"/>
      <c r="DL77" s="324"/>
      <c r="DM77" s="324"/>
      <c r="DN77" s="324"/>
      <c r="DO77" s="324"/>
      <c r="DP77" s="324"/>
      <c r="DQ77" s="324"/>
      <c r="DR77" s="324"/>
      <c r="DS77" s="324"/>
      <c r="DT77" s="324"/>
      <c r="DU77" s="324"/>
      <c r="DV77" s="324"/>
      <c r="DW77" s="324"/>
      <c r="DX77" s="324"/>
      <c r="DY77" s="324"/>
      <c r="DZ77" s="324"/>
      <c r="EA77" s="324"/>
      <c r="EB77" s="324"/>
      <c r="EC77" s="324"/>
      <c r="ED77" s="324"/>
      <c r="EE77" s="324"/>
      <c r="EF77" s="324"/>
      <c r="EG77" s="324"/>
      <c r="EH77" s="324"/>
      <c r="EI77" s="324"/>
      <c r="EJ77" s="324"/>
      <c r="EK77" s="324"/>
      <c r="EL77" s="324"/>
      <c r="EM77" s="324"/>
      <c r="EN77" s="324"/>
      <c r="EO77" s="324"/>
      <c r="EP77" s="324"/>
      <c r="EQ77" s="324"/>
      <c r="ER77" s="324"/>
      <c r="ES77" s="324"/>
      <c r="ET77" s="324"/>
      <c r="EU77" s="324"/>
      <c r="EV77" s="324"/>
      <c r="EW77" s="324"/>
      <c r="EX77" s="324"/>
      <c r="EY77" s="324"/>
      <c r="EZ77" s="324"/>
      <c r="FA77" s="324"/>
      <c r="FB77" s="324"/>
      <c r="FC77" s="324"/>
      <c r="FD77" s="324"/>
      <c r="FE77" s="324"/>
      <c r="FF77" s="324"/>
      <c r="FG77" s="324"/>
      <c r="FH77" s="324"/>
      <c r="FI77" s="324"/>
      <c r="FJ77" s="324"/>
      <c r="FK77" s="324"/>
      <c r="FL77" s="324"/>
      <c r="FM77" s="324"/>
      <c r="FN77" s="324"/>
      <c r="FO77" s="324"/>
      <c r="FP77" s="324"/>
      <c r="FQ77" s="324"/>
      <c r="FR77" s="324"/>
      <c r="FS77" s="324"/>
      <c r="FT77" s="324"/>
      <c r="FU77" s="324"/>
      <c r="FV77" s="324"/>
      <c r="FW77" s="324"/>
      <c r="FX77" s="324"/>
      <c r="FY77" s="324"/>
      <c r="FZ77" s="324"/>
      <c r="GA77" s="324"/>
      <c r="GB77" s="324"/>
      <c r="GC77" s="324"/>
      <c r="GD77" s="324"/>
      <c r="GE77" s="324"/>
      <c r="GF77" s="324"/>
      <c r="GG77" s="324"/>
      <c r="GH77" s="324"/>
      <c r="GI77" s="324"/>
      <c r="GJ77" s="324"/>
      <c r="GK77" s="324"/>
      <c r="GL77" s="324"/>
      <c r="GM77" s="324"/>
      <c r="GN77" s="324"/>
      <c r="GO77" s="324"/>
      <c r="GP77" s="324"/>
      <c r="GQ77" s="324"/>
      <c r="GR77" s="324"/>
      <c r="GS77" s="324"/>
      <c r="GT77" s="324"/>
      <c r="GU77" s="324"/>
      <c r="GV77" s="324"/>
      <c r="GW77" s="324"/>
      <c r="GX77" s="324"/>
    </row>
    <row r="78" customFormat="false" ht="15" hidden="false" customHeight="true" outlineLevel="0" collapsed="false">
      <c r="A78" s="285" t="n">
        <v>1325</v>
      </c>
      <c r="B78" s="285" t="s">
        <v>44</v>
      </c>
      <c r="C78" s="286" t="s">
        <v>264</v>
      </c>
      <c r="D78" s="287" t="s">
        <v>264</v>
      </c>
      <c r="E78" s="288" t="n">
        <f aca="false">IF(I78="regional",IF(R78*0.2975,S78*0.3484),S78*0.1939)</f>
        <v>436277.6288</v>
      </c>
      <c r="F78" s="288" t="n">
        <v>0</v>
      </c>
      <c r="G78" s="289" t="n">
        <f aca="false">E78+F78</f>
        <v>436277.6288</v>
      </c>
      <c r="H78" s="286"/>
      <c r="I78" s="287" t="s">
        <v>48</v>
      </c>
      <c r="J78" s="287" t="s">
        <v>44</v>
      </c>
      <c r="K78" s="287" t="s">
        <v>170</v>
      </c>
      <c r="L78" s="287"/>
      <c r="M78" s="317" t="n">
        <v>144</v>
      </c>
      <c r="N78" s="317" t="n">
        <v>0.898</v>
      </c>
      <c r="O78" s="317" t="n">
        <v>0.896</v>
      </c>
      <c r="P78" s="317" t="n">
        <v>0.938</v>
      </c>
      <c r="Q78" s="317" t="n">
        <v>0.937</v>
      </c>
      <c r="R78" s="317" t="n">
        <v>1322843</v>
      </c>
      <c r="S78" s="317" t="n">
        <v>1252232</v>
      </c>
      <c r="T78" s="318" t="n">
        <f aca="false">IF(I78="regional",IF(R78&gt;0,R78*0.2975,S78*0.3484),S78*0.1939)</f>
        <v>393545.7925</v>
      </c>
      <c r="U78" s="317" t="n">
        <v>898928</v>
      </c>
      <c r="V78" s="317" t="n">
        <v>353304</v>
      </c>
      <c r="W78" s="317" t="n">
        <v>6000</v>
      </c>
      <c r="X78" s="317" t="n">
        <v>0</v>
      </c>
      <c r="Y78" s="317" t="n">
        <v>0</v>
      </c>
      <c r="Z78" s="317" t="n">
        <v>0</v>
      </c>
      <c r="AA78" s="317" t="n">
        <v>1645777.793</v>
      </c>
      <c r="AB78" s="317" t="n">
        <v>393545.7925</v>
      </c>
      <c r="AC78" s="317" t="n">
        <v>1252232</v>
      </c>
      <c r="AD78" s="317" t="n">
        <v>0</v>
      </c>
      <c r="AE78" s="317" t="n">
        <v>0</v>
      </c>
      <c r="AF78" s="317" t="n">
        <v>1252232</v>
      </c>
      <c r="AG78" s="317" t="n">
        <v>0</v>
      </c>
      <c r="AH78" s="317" t="n">
        <v>764000</v>
      </c>
      <c r="AI78" s="317" t="n">
        <v>598000</v>
      </c>
      <c r="AJ78" s="286" t="n">
        <v>4</v>
      </c>
      <c r="AK78" s="286" t="s">
        <v>720</v>
      </c>
      <c r="AL78" s="287" t="s">
        <v>48</v>
      </c>
      <c r="AM78" s="286"/>
      <c r="AN78" s="287" t="s">
        <v>264</v>
      </c>
      <c r="AO78" s="287" t="n">
        <v>393545.7925</v>
      </c>
      <c r="AP78" s="322" t="n">
        <f aca="false">AR78+AT78+AU78+AV78+AX78+AY78+AZ78+BD78+BF78+BG78+BH78+BJ78+BK78+(BL78+BM78+BN78)/1000+(0.1*BO78)</f>
        <v>313.6075</v>
      </c>
      <c r="AQ78" s="319" t="n">
        <f aca="false">AR78+AT78+AU78+AV78+AX78+AY78+AZ78+BB78+BC78+BD78+BF78+BG78+BH78+BJ78+BK78+(BL78+BM78+BN78)/1000+(0.1*BO78)</f>
        <v>338.6075</v>
      </c>
      <c r="AR78" s="285" t="n">
        <v>72</v>
      </c>
      <c r="AS78" s="285" t="n">
        <v>598</v>
      </c>
      <c r="AT78" s="285" t="n">
        <v>101</v>
      </c>
      <c r="AU78" s="285" t="n">
        <v>3</v>
      </c>
      <c r="AV78" s="285" t="n">
        <v>0</v>
      </c>
      <c r="AW78" s="285" t="n">
        <v>0</v>
      </c>
      <c r="AX78" s="285" t="n">
        <v>5</v>
      </c>
      <c r="AY78" s="285" t="n">
        <v>1</v>
      </c>
      <c r="AZ78" s="285" t="n">
        <v>0</v>
      </c>
      <c r="BA78" s="285" t="n">
        <v>30</v>
      </c>
      <c r="BB78" s="285" t="n">
        <v>24</v>
      </c>
      <c r="BC78" s="285" t="n">
        <v>1</v>
      </c>
      <c r="BD78" s="285" t="n">
        <v>0</v>
      </c>
      <c r="BE78" s="285" t="n">
        <v>0</v>
      </c>
      <c r="BF78" s="285" t="n">
        <v>0</v>
      </c>
      <c r="BG78" s="285" t="n">
        <v>0</v>
      </c>
      <c r="BH78" s="285" t="n">
        <v>0</v>
      </c>
      <c r="BI78" s="285" t="n">
        <v>2</v>
      </c>
      <c r="BJ78" s="285" t="n">
        <v>0</v>
      </c>
      <c r="BK78" s="285" t="n">
        <v>0</v>
      </c>
      <c r="BL78" s="285" t="n">
        <v>17163</v>
      </c>
      <c r="BM78" s="285" t="n">
        <v>0</v>
      </c>
      <c r="BN78" s="285" t="n">
        <v>23122</v>
      </c>
      <c r="BO78" s="285" t="n">
        <v>913.225</v>
      </c>
      <c r="BP78" s="324"/>
      <c r="BR78" s="290" t="n">
        <f aca="false">AR78*1000/0.072</f>
        <v>1000000</v>
      </c>
      <c r="BS78" s="290" t="n">
        <f aca="false">AT78*1000/0.072</f>
        <v>1402777.77777778</v>
      </c>
      <c r="BT78" s="290" t="n">
        <f aca="false">AU78*1000/0.072</f>
        <v>41666.6666666667</v>
      </c>
      <c r="BU78" s="290" t="n">
        <f aca="false">SUM(BR78:BT78)</f>
        <v>2444444.44444444</v>
      </c>
      <c r="BV78" s="290" t="n">
        <f aca="false">AV78*1000/5</f>
        <v>0</v>
      </c>
      <c r="BW78" s="290" t="n">
        <f aca="false">AX78*1000/5</f>
        <v>1000</v>
      </c>
      <c r="BX78" s="290" t="n">
        <f aca="false">AY78*1000/5</f>
        <v>200</v>
      </c>
      <c r="BY78" s="290" t="n">
        <f aca="false">SUM(BV78:BX78)</f>
        <v>1200</v>
      </c>
      <c r="CA78" s="290" t="n">
        <f aca="false">IF($AM78="n",0,BR78)</f>
        <v>1000000</v>
      </c>
      <c r="CB78" s="290" t="n">
        <f aca="false">IF($AM78="n",0,BS78)</f>
        <v>1402777.77777778</v>
      </c>
      <c r="CC78" s="290" t="n">
        <f aca="false">IF($AM78="n",0,BT78)</f>
        <v>41666.6666666667</v>
      </c>
      <c r="CD78" s="290" t="n">
        <f aca="false">SUM(CA78:CC78)</f>
        <v>2444444.44444444</v>
      </c>
      <c r="CE78" s="290" t="n">
        <f aca="false">IF($AM$2="n",0,BV78)</f>
        <v>0</v>
      </c>
      <c r="CF78" s="290" t="n">
        <f aca="false">IF($AM$2="n",0,BW78)</f>
        <v>1000</v>
      </c>
      <c r="CG78" s="290" t="n">
        <f aca="false">IF($AM$2="n",0,BX78)</f>
        <v>200</v>
      </c>
      <c r="CH78" s="290" t="n">
        <f aca="false">SUM(CE78:CG78)</f>
        <v>1200</v>
      </c>
      <c r="CJ78" s="324"/>
      <c r="CK78" s="324"/>
      <c r="CL78" s="324"/>
      <c r="CM78" s="324"/>
      <c r="CN78" s="324"/>
      <c r="CO78" s="324"/>
      <c r="CP78" s="324"/>
      <c r="CQ78" s="324"/>
      <c r="CR78" s="324"/>
      <c r="CS78" s="324"/>
      <c r="CT78" s="324"/>
      <c r="CU78" s="324"/>
      <c r="CV78" s="324"/>
      <c r="CW78" s="324"/>
      <c r="CX78" s="324"/>
      <c r="CY78" s="324"/>
      <c r="CZ78" s="324"/>
      <c r="DA78" s="324"/>
      <c r="DB78" s="324"/>
      <c r="DC78" s="324"/>
      <c r="DD78" s="324"/>
      <c r="DE78" s="324"/>
      <c r="DF78" s="324"/>
      <c r="DG78" s="324"/>
      <c r="DH78" s="324"/>
      <c r="DI78" s="324"/>
      <c r="DJ78" s="324"/>
      <c r="DK78" s="324"/>
      <c r="DL78" s="324"/>
      <c r="DM78" s="324"/>
      <c r="DN78" s="324"/>
      <c r="DO78" s="324"/>
      <c r="DP78" s="324"/>
      <c r="DQ78" s="324"/>
      <c r="DR78" s="324"/>
      <c r="DS78" s="324"/>
      <c r="DT78" s="324"/>
      <c r="DU78" s="324"/>
      <c r="DV78" s="324"/>
      <c r="DW78" s="324"/>
      <c r="DX78" s="324"/>
      <c r="DY78" s="324"/>
      <c r="DZ78" s="324"/>
      <c r="EA78" s="324"/>
      <c r="EB78" s="324"/>
      <c r="EC78" s="324"/>
      <c r="ED78" s="324"/>
      <c r="EE78" s="324"/>
      <c r="EF78" s="324"/>
      <c r="EG78" s="324"/>
      <c r="EH78" s="324"/>
      <c r="EI78" s="324"/>
      <c r="EJ78" s="324"/>
      <c r="EK78" s="324"/>
      <c r="EL78" s="324"/>
      <c r="EM78" s="324"/>
      <c r="EN78" s="324"/>
      <c r="EO78" s="324"/>
      <c r="EP78" s="324"/>
      <c r="EQ78" s="324"/>
      <c r="ER78" s="324"/>
      <c r="ES78" s="324"/>
      <c r="ET78" s="324"/>
      <c r="EU78" s="324"/>
      <c r="EV78" s="324"/>
      <c r="EW78" s="324"/>
      <c r="EX78" s="324"/>
      <c r="EY78" s="324"/>
      <c r="EZ78" s="324"/>
      <c r="FA78" s="324"/>
      <c r="FB78" s="324"/>
      <c r="FC78" s="324"/>
      <c r="FD78" s="324"/>
      <c r="FE78" s="324"/>
      <c r="FF78" s="324"/>
      <c r="FG78" s="324"/>
      <c r="FH78" s="324"/>
      <c r="FI78" s="324"/>
      <c r="FJ78" s="324"/>
      <c r="FK78" s="324"/>
      <c r="FL78" s="324"/>
      <c r="FM78" s="324"/>
      <c r="FN78" s="324"/>
      <c r="FO78" s="324"/>
      <c r="FP78" s="324"/>
      <c r="FQ78" s="324"/>
      <c r="FR78" s="324"/>
      <c r="FS78" s="324"/>
      <c r="FT78" s="324"/>
      <c r="FU78" s="324"/>
      <c r="FV78" s="324"/>
      <c r="FW78" s="324"/>
      <c r="FX78" s="324"/>
      <c r="FY78" s="324"/>
      <c r="FZ78" s="324"/>
      <c r="GA78" s="324"/>
      <c r="GB78" s="324"/>
      <c r="GC78" s="324"/>
      <c r="GD78" s="324"/>
      <c r="GE78" s="324"/>
      <c r="GF78" s="324"/>
      <c r="GG78" s="324"/>
      <c r="GH78" s="324"/>
      <c r="GI78" s="324"/>
      <c r="GJ78" s="324"/>
      <c r="GK78" s="324"/>
      <c r="GL78" s="324"/>
      <c r="GM78" s="324"/>
      <c r="GN78" s="324"/>
      <c r="GO78" s="324"/>
      <c r="GP78" s="324"/>
      <c r="GQ78" s="324"/>
      <c r="GR78" s="324"/>
      <c r="GS78" s="324"/>
      <c r="GT78" s="324"/>
      <c r="GU78" s="324"/>
      <c r="GV78" s="324"/>
      <c r="GW78" s="324"/>
      <c r="GX78" s="324"/>
    </row>
    <row r="79" customFormat="false" ht="15" hidden="false" customHeight="true" outlineLevel="0" collapsed="false">
      <c r="A79" s="285" t="n">
        <v>1329</v>
      </c>
      <c r="B79" s="285"/>
      <c r="C79" s="286" t="s">
        <v>266</v>
      </c>
      <c r="D79" s="287" t="s">
        <v>266</v>
      </c>
      <c r="E79" s="288" t="n">
        <f aca="false">IF(I79="regional",IF(R79*0.2975,S79*0.3484),S79*0.1939)</f>
        <v>28918.246</v>
      </c>
      <c r="F79" s="288" t="n">
        <v>0</v>
      </c>
      <c r="G79" s="289" t="n">
        <f aca="false">E79+F79</f>
        <v>28918.246</v>
      </c>
      <c r="H79" s="286"/>
      <c r="I79" s="287" t="s">
        <v>62</v>
      </c>
      <c r="J79" s="287"/>
      <c r="K79" s="287" t="s">
        <v>170</v>
      </c>
      <c r="L79" s="287"/>
      <c r="M79" s="317" t="n">
        <v>0</v>
      </c>
      <c r="N79" s="317" t="n">
        <v>1</v>
      </c>
      <c r="O79" s="317" t="n">
        <v>1</v>
      </c>
      <c r="P79" s="317" t="n">
        <v>1</v>
      </c>
      <c r="Q79" s="317" t="n">
        <v>0.975</v>
      </c>
      <c r="R79" s="317" t="n">
        <v>0</v>
      </c>
      <c r="S79" s="317" t="n">
        <v>149140</v>
      </c>
      <c r="T79" s="318" t="n">
        <f aca="false">IF(I79="regional",IF(R79&gt;0,R79*0.2975,S79*0.3484),S79*0.1939)</f>
        <v>28918.246</v>
      </c>
      <c r="U79" s="317" t="n">
        <v>149140</v>
      </c>
      <c r="V79" s="317" t="n">
        <v>0</v>
      </c>
      <c r="W79" s="317" t="n">
        <v>1660</v>
      </c>
      <c r="X79" s="317" t="n">
        <v>0</v>
      </c>
      <c r="Y79" s="317" t="n">
        <v>0</v>
      </c>
      <c r="Z79" s="317" t="n">
        <v>0</v>
      </c>
      <c r="AA79" s="317" t="n">
        <v>178058.246</v>
      </c>
      <c r="AB79" s="317" t="n">
        <v>28918.246</v>
      </c>
      <c r="AC79" s="317" t="n">
        <v>149140</v>
      </c>
      <c r="AD79" s="317" t="n">
        <v>0</v>
      </c>
      <c r="AE79" s="317" t="n">
        <v>0</v>
      </c>
      <c r="AF79" s="317" t="n">
        <v>0</v>
      </c>
      <c r="AG79" s="317" t="n">
        <v>149140</v>
      </c>
      <c r="AH79" s="317" t="n">
        <v>0</v>
      </c>
      <c r="AI79" s="317" t="n">
        <v>0</v>
      </c>
      <c r="AJ79" s="286" t="n">
        <v>4</v>
      </c>
      <c r="AK79" s="286" t="s">
        <v>720</v>
      </c>
      <c r="AL79" s="287" t="s">
        <v>62</v>
      </c>
      <c r="AM79" s="286"/>
      <c r="AN79" s="287" t="s">
        <v>266</v>
      </c>
      <c r="AO79" s="287" t="n">
        <v>28918.246</v>
      </c>
      <c r="AP79" s="322" t="n">
        <f aca="false">AR79+AT79+AU79+AV79+AX79+AY79+AZ79+BD79+BF79+BG79+BH79+BJ79+BK79+(BL79+BM79+BN79)/1000+(0.1*BO79)</f>
        <v>0</v>
      </c>
      <c r="AQ79" s="319" t="n">
        <f aca="false">AR79+AT79+AU79+AV79+AX79+AY79+AZ79+BB79+BC79+BD79+BF79+BG79+BH79+BJ79+BK79+(BL79+BM79+BN79)/1000+(0.1*BO79)</f>
        <v>0</v>
      </c>
      <c r="AR79" s="285" t="n">
        <v>0</v>
      </c>
      <c r="AS79" s="285" t="n">
        <v>0</v>
      </c>
      <c r="AT79" s="285" t="n">
        <v>0</v>
      </c>
      <c r="AU79" s="285" t="n">
        <v>0</v>
      </c>
      <c r="AV79" s="285" t="n">
        <v>0</v>
      </c>
      <c r="AW79" s="285" t="n">
        <v>0</v>
      </c>
      <c r="AX79" s="285" t="n">
        <v>0</v>
      </c>
      <c r="AY79" s="285" t="n">
        <v>0</v>
      </c>
      <c r="AZ79" s="285" t="n">
        <v>0</v>
      </c>
      <c r="BA79" s="285" t="n">
        <v>3</v>
      </c>
      <c r="BB79" s="285" t="n">
        <v>0</v>
      </c>
      <c r="BC79" s="285" t="n">
        <v>0</v>
      </c>
      <c r="BD79" s="285" t="n">
        <v>0</v>
      </c>
      <c r="BE79" s="285" t="n">
        <v>0</v>
      </c>
      <c r="BF79" s="285" t="n">
        <v>0</v>
      </c>
      <c r="BG79" s="285" t="n">
        <v>0</v>
      </c>
      <c r="BH79" s="285" t="n">
        <v>0</v>
      </c>
      <c r="BI79" s="285" t="n">
        <v>0</v>
      </c>
      <c r="BJ79" s="285" t="n">
        <v>0</v>
      </c>
      <c r="BK79" s="285" t="n">
        <v>0</v>
      </c>
      <c r="BL79" s="285" t="n">
        <v>0</v>
      </c>
      <c r="BM79" s="285" t="n">
        <v>0</v>
      </c>
      <c r="BN79" s="285" t="n">
        <v>0</v>
      </c>
      <c r="BO79" s="285" t="n">
        <v>0</v>
      </c>
      <c r="BR79" s="290" t="n">
        <f aca="false">AR79*1000/0.072</f>
        <v>0</v>
      </c>
      <c r="BS79" s="290" t="n">
        <f aca="false">AT79*1000/0.072</f>
        <v>0</v>
      </c>
      <c r="BT79" s="290" t="n">
        <f aca="false">AU79*1000/0.072</f>
        <v>0</v>
      </c>
      <c r="BU79" s="290" t="n">
        <f aca="false">SUM(BR79:BT79)</f>
        <v>0</v>
      </c>
      <c r="BV79" s="290" t="n">
        <f aca="false">AV79*1000/5</f>
        <v>0</v>
      </c>
      <c r="BW79" s="290" t="n">
        <f aca="false">AX79*1000/5</f>
        <v>0</v>
      </c>
      <c r="BX79" s="290" t="n">
        <f aca="false">AY79*1000/5</f>
        <v>0</v>
      </c>
      <c r="BY79" s="290" t="n">
        <f aca="false">SUM(BV79:BX79)</f>
        <v>0</v>
      </c>
      <c r="CA79" s="290" t="n">
        <f aca="false">IF($AM79="n",0,BR79)</f>
        <v>0</v>
      </c>
      <c r="CB79" s="290" t="n">
        <f aca="false">IF($AM79="n",0,BS79)</f>
        <v>0</v>
      </c>
      <c r="CC79" s="290" t="n">
        <f aca="false">IF($AM79="n",0,BT79)</f>
        <v>0</v>
      </c>
      <c r="CD79" s="290" t="n">
        <f aca="false">SUM(CA79:CC79)</f>
        <v>0</v>
      </c>
      <c r="CE79" s="290" t="n">
        <f aca="false">IF($AM$2="n",0,BV79)</f>
        <v>0</v>
      </c>
      <c r="CF79" s="290" t="n">
        <f aca="false">IF($AM$2="n",0,BW79)</f>
        <v>0</v>
      </c>
      <c r="CG79" s="290" t="n">
        <f aca="false">IF($AM$2="n",0,BX79)</f>
        <v>0</v>
      </c>
      <c r="CH79" s="290" t="n">
        <f aca="false">SUM(CE79:CG79)</f>
        <v>0</v>
      </c>
      <c r="CJ79" s="324"/>
      <c r="CK79" s="324"/>
      <c r="CL79" s="324"/>
      <c r="CM79" s="324"/>
      <c r="CN79" s="324"/>
      <c r="CO79" s="324"/>
      <c r="CP79" s="324"/>
      <c r="CQ79" s="324"/>
      <c r="CR79" s="324"/>
      <c r="CS79" s="324"/>
      <c r="CT79" s="324"/>
      <c r="CU79" s="324"/>
      <c r="CV79" s="324"/>
      <c r="CW79" s="324"/>
      <c r="CX79" s="324"/>
      <c r="CY79" s="324"/>
      <c r="CZ79" s="324"/>
      <c r="DA79" s="324"/>
      <c r="DB79" s="324"/>
      <c r="DC79" s="324"/>
      <c r="DD79" s="324"/>
      <c r="DE79" s="324"/>
      <c r="DF79" s="324"/>
      <c r="DG79" s="324"/>
      <c r="DH79" s="324"/>
      <c r="DI79" s="324"/>
      <c r="DJ79" s="324"/>
      <c r="DK79" s="324"/>
      <c r="DL79" s="324"/>
      <c r="DM79" s="324"/>
      <c r="DN79" s="324"/>
      <c r="DO79" s="324"/>
      <c r="DP79" s="324"/>
      <c r="DQ79" s="324"/>
      <c r="DR79" s="324"/>
      <c r="DS79" s="324"/>
      <c r="DT79" s="324"/>
      <c r="DU79" s="324"/>
      <c r="DV79" s="324"/>
      <c r="DW79" s="324"/>
      <c r="DX79" s="324"/>
      <c r="DY79" s="324"/>
      <c r="DZ79" s="324"/>
      <c r="EA79" s="324"/>
      <c r="EB79" s="324"/>
      <c r="EC79" s="324"/>
      <c r="ED79" s="324"/>
      <c r="EE79" s="324"/>
      <c r="EF79" s="324"/>
      <c r="EG79" s="324"/>
      <c r="EH79" s="324"/>
      <c r="EI79" s="324"/>
      <c r="EJ79" s="324"/>
      <c r="EK79" s="324"/>
      <c r="EL79" s="324"/>
      <c r="EM79" s="324"/>
      <c r="EN79" s="324"/>
      <c r="EO79" s="324"/>
      <c r="EP79" s="324"/>
      <c r="EQ79" s="324"/>
      <c r="ER79" s="324"/>
      <c r="ES79" s="324"/>
      <c r="ET79" s="324"/>
      <c r="EU79" s="324"/>
      <c r="EV79" s="324"/>
      <c r="EW79" s="324"/>
      <c r="EX79" s="324"/>
      <c r="EY79" s="324"/>
      <c r="EZ79" s="324"/>
      <c r="FA79" s="324"/>
      <c r="FB79" s="324"/>
      <c r="FC79" s="324"/>
      <c r="FD79" s="324"/>
      <c r="FE79" s="324"/>
      <c r="FF79" s="324"/>
      <c r="FG79" s="324"/>
      <c r="FH79" s="324"/>
      <c r="FI79" s="324"/>
      <c r="FJ79" s="324"/>
      <c r="FK79" s="324"/>
      <c r="FL79" s="324"/>
      <c r="FM79" s="324"/>
      <c r="FN79" s="324"/>
      <c r="FO79" s="324"/>
      <c r="FP79" s="324"/>
      <c r="FQ79" s="324"/>
      <c r="FR79" s="324"/>
      <c r="FS79" s="324"/>
      <c r="FT79" s="324"/>
      <c r="FU79" s="324"/>
      <c r="FV79" s="324"/>
      <c r="FW79" s="324"/>
      <c r="FX79" s="324"/>
      <c r="FY79" s="324"/>
      <c r="FZ79" s="324"/>
      <c r="GA79" s="324"/>
      <c r="GB79" s="324"/>
      <c r="GC79" s="324"/>
      <c r="GD79" s="324"/>
      <c r="GE79" s="324"/>
      <c r="GF79" s="324"/>
      <c r="GG79" s="324"/>
      <c r="GH79" s="324"/>
      <c r="GI79" s="324"/>
      <c r="GJ79" s="324"/>
      <c r="GK79" s="324"/>
      <c r="GL79" s="324"/>
      <c r="GM79" s="324"/>
      <c r="GN79" s="324"/>
      <c r="GO79" s="324"/>
      <c r="GP79" s="324"/>
      <c r="GQ79" s="324"/>
      <c r="GR79" s="324"/>
      <c r="GS79" s="324"/>
      <c r="GT79" s="324"/>
      <c r="GU79" s="324"/>
      <c r="GV79" s="324"/>
      <c r="GW79" s="324"/>
      <c r="GX79" s="324"/>
    </row>
    <row r="80" customFormat="false" ht="15" hidden="false" customHeight="true" outlineLevel="0" collapsed="false">
      <c r="A80" s="285" t="n">
        <v>1331</v>
      </c>
      <c r="B80" s="285"/>
      <c r="C80" s="286" t="s">
        <v>267</v>
      </c>
      <c r="D80" s="287" t="s">
        <v>267</v>
      </c>
      <c r="E80" s="288" t="n">
        <f aca="false">IF(I80="regional",IF(R80*0.2975,S80*0.3484),S80*0.1939)</f>
        <v>50674.9894</v>
      </c>
      <c r="F80" s="288" t="n">
        <v>0</v>
      </c>
      <c r="G80" s="289" t="n">
        <f aca="false">E80+F80</f>
        <v>50674.9894</v>
      </c>
      <c r="H80" s="286"/>
      <c r="I80" s="287" t="s">
        <v>62</v>
      </c>
      <c r="J80" s="287"/>
      <c r="K80" s="287" t="s">
        <v>141</v>
      </c>
      <c r="L80" s="287"/>
      <c r="M80" s="317" t="n">
        <v>15</v>
      </c>
      <c r="N80" s="317" t="n">
        <v>0.735</v>
      </c>
      <c r="O80" s="317" t="n">
        <v>0.882</v>
      </c>
      <c r="P80" s="317" t="n">
        <v>0.973</v>
      </c>
      <c r="Q80" s="317" t="n">
        <v>0.992</v>
      </c>
      <c r="R80" s="317" t="n">
        <v>0</v>
      </c>
      <c r="S80" s="317" t="n">
        <v>261346</v>
      </c>
      <c r="T80" s="318" t="n">
        <f aca="false">IF(I80="regional",IF(R80&gt;0,R80*0.2975,S80*0.3484),S80*0.1939)</f>
        <v>50674.9894</v>
      </c>
      <c r="U80" s="317" t="n">
        <v>205774</v>
      </c>
      <c r="V80" s="317" t="n">
        <v>55572</v>
      </c>
      <c r="W80" s="317" t="n">
        <v>1644</v>
      </c>
      <c r="X80" s="317" t="n">
        <v>0</v>
      </c>
      <c r="Y80" s="317" t="n">
        <v>0</v>
      </c>
      <c r="Z80" s="317" t="n">
        <v>0</v>
      </c>
      <c r="AA80" s="317" t="n">
        <v>312020.9894</v>
      </c>
      <c r="AB80" s="317" t="n">
        <v>50674.9894</v>
      </c>
      <c r="AC80" s="317" t="n">
        <v>261346</v>
      </c>
      <c r="AD80" s="317" t="n">
        <v>0</v>
      </c>
      <c r="AE80" s="317" t="n">
        <v>0</v>
      </c>
      <c r="AF80" s="317" t="n">
        <v>0</v>
      </c>
      <c r="AG80" s="317" t="n">
        <v>261346</v>
      </c>
      <c r="AH80" s="317" t="n">
        <v>0</v>
      </c>
      <c r="AI80" s="317" t="n">
        <v>0</v>
      </c>
      <c r="AJ80" s="286" t="n">
        <v>4</v>
      </c>
      <c r="AK80" s="286" t="s">
        <v>720</v>
      </c>
      <c r="AL80" s="287" t="s">
        <v>62</v>
      </c>
      <c r="AM80" s="286"/>
      <c r="AN80" s="287" t="s">
        <v>267</v>
      </c>
      <c r="AO80" s="287" t="n">
        <v>50674.9894</v>
      </c>
      <c r="AP80" s="319" t="n">
        <f aca="false">AR80+AT80+AU80+AV80+AX80+AY80+AZ80+BD80+BF80+BG80+BH80+BJ80+BK80+(BL80+BM80+BN80)/1000+(0.1*BO80)</f>
        <v>16</v>
      </c>
      <c r="AQ80" s="319" t="n">
        <f aca="false">AR80+AT80+AU80+AV80+AX80+AY80+AZ80+BB80+BC80+BD80+BF80+BG80+BH80+BJ80+BK80+(BL80+BM80+BN80)/1000+(0.1*BO80)</f>
        <v>21</v>
      </c>
      <c r="AR80" s="285" t="n">
        <v>0</v>
      </c>
      <c r="AS80" s="285" t="n">
        <v>0</v>
      </c>
      <c r="AT80" s="285" t="n">
        <v>12</v>
      </c>
      <c r="AU80" s="285" t="n">
        <v>2</v>
      </c>
      <c r="AV80" s="285" t="n">
        <v>0</v>
      </c>
      <c r="AW80" s="285" t="n">
        <v>0</v>
      </c>
      <c r="AX80" s="285" t="n">
        <v>0</v>
      </c>
      <c r="AY80" s="285" t="n">
        <v>2</v>
      </c>
      <c r="AZ80" s="285" t="n">
        <v>0</v>
      </c>
      <c r="BA80" s="285" t="n">
        <v>0</v>
      </c>
      <c r="BB80" s="285" t="n">
        <v>4</v>
      </c>
      <c r="BC80" s="285" t="n">
        <v>1</v>
      </c>
      <c r="BD80" s="285" t="n">
        <v>0</v>
      </c>
      <c r="BE80" s="285" t="n">
        <v>0</v>
      </c>
      <c r="BF80" s="285" t="n">
        <v>0</v>
      </c>
      <c r="BG80" s="285" t="n">
        <v>0</v>
      </c>
      <c r="BH80" s="285" t="n">
        <v>0</v>
      </c>
      <c r="BI80" s="285" t="n">
        <v>0</v>
      </c>
      <c r="BJ80" s="285" t="n">
        <v>0</v>
      </c>
      <c r="BK80" s="285" t="n">
        <v>0</v>
      </c>
      <c r="BL80" s="285" t="n">
        <v>0</v>
      </c>
      <c r="BM80" s="285" t="n">
        <v>0</v>
      </c>
      <c r="BN80" s="285" t="n">
        <v>0</v>
      </c>
      <c r="BO80" s="285" t="n">
        <v>0</v>
      </c>
      <c r="BR80" s="290" t="n">
        <f aca="false">AR80*1000/0.072</f>
        <v>0</v>
      </c>
      <c r="BS80" s="290" t="n">
        <f aca="false">AT80*1000/0.072</f>
        <v>166666.666666667</v>
      </c>
      <c r="BT80" s="290" t="n">
        <f aca="false">AU80*1000/0.072</f>
        <v>27777.7777777778</v>
      </c>
      <c r="BU80" s="290" t="n">
        <f aca="false">SUM(BR80:BT80)</f>
        <v>194444.444444444</v>
      </c>
      <c r="BV80" s="290" t="n">
        <f aca="false">AV80*1000/5</f>
        <v>0</v>
      </c>
      <c r="BW80" s="290" t="n">
        <f aca="false">AX80*1000/5</f>
        <v>0</v>
      </c>
      <c r="BX80" s="290" t="n">
        <f aca="false">AY80*1000/5</f>
        <v>400</v>
      </c>
      <c r="BY80" s="290" t="n">
        <f aca="false">SUM(BV80:BX80)</f>
        <v>400</v>
      </c>
      <c r="CA80" s="290" t="n">
        <f aca="false">IF($AM80="n",0,BR80)</f>
        <v>0</v>
      </c>
      <c r="CB80" s="290" t="n">
        <f aca="false">IF($AM80="n",0,BS80)</f>
        <v>166666.666666667</v>
      </c>
      <c r="CC80" s="290" t="n">
        <f aca="false">IF($AM80="n",0,BT80)</f>
        <v>27777.7777777778</v>
      </c>
      <c r="CD80" s="290" t="n">
        <f aca="false">SUM(CA80:CC80)</f>
        <v>194444.444444444</v>
      </c>
      <c r="CE80" s="290" t="n">
        <f aca="false">IF($AM$2="n",0,BV80)</f>
        <v>0</v>
      </c>
      <c r="CF80" s="290" t="n">
        <f aca="false">IF($AM$2="n",0,BW80)</f>
        <v>0</v>
      </c>
      <c r="CG80" s="290" t="n">
        <f aca="false">IF($AM$2="n",0,BX80)</f>
        <v>400</v>
      </c>
      <c r="CH80" s="290" t="n">
        <f aca="false">SUM(CE80:CG80)</f>
        <v>400</v>
      </c>
      <c r="CJ80" s="324"/>
      <c r="CK80" s="324"/>
      <c r="CL80" s="324"/>
      <c r="CM80" s="324"/>
      <c r="CN80" s="324"/>
      <c r="CO80" s="324"/>
      <c r="CP80" s="324"/>
      <c r="CQ80" s="324"/>
      <c r="CR80" s="324"/>
      <c r="CS80" s="324"/>
      <c r="CT80" s="324"/>
      <c r="CU80" s="324"/>
      <c r="CV80" s="324"/>
      <c r="CW80" s="324"/>
      <c r="CX80" s="324"/>
      <c r="CY80" s="324"/>
      <c r="CZ80" s="324"/>
      <c r="DA80" s="324"/>
      <c r="DB80" s="324"/>
      <c r="DC80" s="324"/>
      <c r="DD80" s="324"/>
      <c r="DE80" s="324"/>
      <c r="DF80" s="324"/>
      <c r="DG80" s="324"/>
      <c r="DH80" s="324"/>
      <c r="DI80" s="324"/>
      <c r="DJ80" s="324"/>
      <c r="DK80" s="324"/>
      <c r="DL80" s="324"/>
      <c r="DM80" s="324"/>
      <c r="DN80" s="324"/>
      <c r="DO80" s="324"/>
      <c r="DP80" s="324"/>
      <c r="DQ80" s="324"/>
      <c r="DR80" s="324"/>
      <c r="DS80" s="324"/>
      <c r="DT80" s="324"/>
      <c r="DU80" s="324"/>
      <c r="DV80" s="324"/>
      <c r="DW80" s="324"/>
      <c r="DX80" s="324"/>
      <c r="DY80" s="324"/>
      <c r="DZ80" s="324"/>
      <c r="EA80" s="324"/>
      <c r="EB80" s="324"/>
      <c r="EC80" s="324"/>
      <c r="ED80" s="324"/>
      <c r="EE80" s="324"/>
      <c r="EF80" s="324"/>
      <c r="EG80" s="324"/>
      <c r="EH80" s="324"/>
      <c r="EI80" s="324"/>
      <c r="EJ80" s="324"/>
      <c r="EK80" s="324"/>
      <c r="EL80" s="324"/>
      <c r="EM80" s="324"/>
      <c r="EN80" s="324"/>
      <c r="EO80" s="324"/>
      <c r="EP80" s="324"/>
      <c r="EQ80" s="324"/>
      <c r="ER80" s="324"/>
      <c r="ES80" s="324"/>
      <c r="ET80" s="324"/>
      <c r="EU80" s="324"/>
      <c r="EV80" s="324"/>
      <c r="EW80" s="324"/>
      <c r="EX80" s="324"/>
      <c r="EY80" s="324"/>
      <c r="EZ80" s="324"/>
      <c r="FA80" s="324"/>
      <c r="FB80" s="324"/>
      <c r="FC80" s="324"/>
      <c r="FD80" s="324"/>
      <c r="FE80" s="324"/>
      <c r="FF80" s="324"/>
      <c r="FG80" s="324"/>
      <c r="FH80" s="324"/>
      <c r="FI80" s="324"/>
      <c r="FJ80" s="324"/>
      <c r="FK80" s="324"/>
      <c r="FL80" s="324"/>
      <c r="FM80" s="324"/>
      <c r="FN80" s="324"/>
      <c r="FO80" s="324"/>
      <c r="FP80" s="324"/>
      <c r="FQ80" s="324"/>
      <c r="FR80" s="324"/>
      <c r="FS80" s="324"/>
      <c r="FT80" s="324"/>
      <c r="FU80" s="324"/>
      <c r="FV80" s="324"/>
      <c r="FW80" s="324"/>
      <c r="FX80" s="324"/>
      <c r="FY80" s="324"/>
      <c r="FZ80" s="324"/>
      <c r="GA80" s="324"/>
      <c r="GB80" s="324"/>
      <c r="GC80" s="324"/>
      <c r="GD80" s="324"/>
      <c r="GE80" s="324"/>
      <c r="GF80" s="324"/>
      <c r="GG80" s="324"/>
      <c r="GH80" s="324"/>
      <c r="GI80" s="324"/>
      <c r="GJ80" s="324"/>
      <c r="GK80" s="324"/>
      <c r="GL80" s="324"/>
      <c r="GM80" s="324"/>
      <c r="GN80" s="324"/>
      <c r="GO80" s="324"/>
      <c r="GP80" s="324"/>
      <c r="GQ80" s="324"/>
      <c r="GR80" s="324"/>
      <c r="GS80" s="324"/>
      <c r="GT80" s="324"/>
      <c r="GU80" s="324"/>
      <c r="GV80" s="324"/>
      <c r="GW80" s="324"/>
      <c r="GX80" s="324"/>
    </row>
    <row r="81" customFormat="false" ht="15" hidden="false" customHeight="true" outlineLevel="0" collapsed="false">
      <c r="A81" s="285" t="n">
        <v>8682</v>
      </c>
      <c r="B81" s="285"/>
      <c r="C81" s="286" t="s">
        <v>269</v>
      </c>
      <c r="D81" s="287" t="s">
        <v>269</v>
      </c>
      <c r="E81" s="288" t="n">
        <f aca="false">IF(I81="regional",IF(R81*0.2975,S81*0.3484),S81*0.1939)</f>
        <v>35678.1817</v>
      </c>
      <c r="F81" s="288" t="n">
        <v>0</v>
      </c>
      <c r="G81" s="289" t="n">
        <f aca="false">E81+F81</f>
        <v>35678.1817</v>
      </c>
      <c r="H81" s="286"/>
      <c r="I81" s="287" t="s">
        <v>62</v>
      </c>
      <c r="J81" s="287"/>
      <c r="K81" s="287" t="s">
        <v>271</v>
      </c>
      <c r="L81" s="287"/>
      <c r="M81" s="317" t="n">
        <v>12</v>
      </c>
      <c r="N81" s="317" t="n">
        <v>1</v>
      </c>
      <c r="O81" s="317" t="n">
        <v>1</v>
      </c>
      <c r="P81" s="317" t="n">
        <v>1</v>
      </c>
      <c r="Q81" s="317" t="n">
        <v>0.962</v>
      </c>
      <c r="R81" s="317" t="n">
        <v>0</v>
      </c>
      <c r="S81" s="317" t="n">
        <v>184003</v>
      </c>
      <c r="T81" s="318" t="n">
        <f aca="false">IF(I81="regional",IF(R81&gt;0,R81*0.2975,S81*0.3484),S81*0.1939)</f>
        <v>35678.1817</v>
      </c>
      <c r="U81" s="317" t="n">
        <v>154723</v>
      </c>
      <c r="V81" s="317" t="n">
        <v>29280</v>
      </c>
      <c r="W81" s="317" t="n">
        <v>1100</v>
      </c>
      <c r="X81" s="317" t="n">
        <v>0</v>
      </c>
      <c r="Y81" s="317" t="n">
        <v>0</v>
      </c>
      <c r="Z81" s="317" t="n">
        <v>0</v>
      </c>
      <c r="AA81" s="317" t="n">
        <v>219681.1817</v>
      </c>
      <c r="AB81" s="317" t="n">
        <v>35678.1817</v>
      </c>
      <c r="AC81" s="317" t="n">
        <v>184003</v>
      </c>
      <c r="AD81" s="317" t="n">
        <v>0</v>
      </c>
      <c r="AE81" s="317" t="n">
        <v>0</v>
      </c>
      <c r="AF81" s="317" t="n">
        <v>0</v>
      </c>
      <c r="AG81" s="317" t="n">
        <v>184003</v>
      </c>
      <c r="AH81" s="317" t="n">
        <v>0</v>
      </c>
      <c r="AI81" s="317" t="n">
        <v>0</v>
      </c>
      <c r="AJ81" s="286" t="s">
        <v>707</v>
      </c>
      <c r="AK81" s="286" t="s">
        <v>714</v>
      </c>
      <c r="AL81" s="287" t="s">
        <v>62</v>
      </c>
      <c r="AM81" s="286"/>
      <c r="AN81" s="287" t="s">
        <v>269</v>
      </c>
      <c r="AO81" s="287" t="n">
        <v>35678.1817</v>
      </c>
      <c r="AP81" s="319" t="n">
        <f aca="false">AR81+AT81+AU81+AV81+AX81+AY81+AZ81+BD81+BF81+BG81+BH81+BJ81+BK81+(BL81+BM81+BN81)/1000+(0.1*BO81)</f>
        <v>7.7119</v>
      </c>
      <c r="AQ81" s="319" t="n">
        <f aca="false">AR81+AT81+AU81+AV81+AX81+AY81+AZ81+BB81+BC81+BD81+BF81+BG81+BH81+BJ81+BK81+(BL81+BM81+BN81)/1000+(0.1*BO81)</f>
        <v>7.7119</v>
      </c>
      <c r="AR81" s="285" t="n">
        <v>0</v>
      </c>
      <c r="AS81" s="285" t="n">
        <v>0</v>
      </c>
      <c r="AT81" s="285" t="n">
        <v>5</v>
      </c>
      <c r="AU81" s="285" t="n">
        <v>0</v>
      </c>
      <c r="AV81" s="285" t="n">
        <v>0</v>
      </c>
      <c r="AW81" s="285" t="n">
        <v>0</v>
      </c>
      <c r="AX81" s="285" t="n">
        <v>0</v>
      </c>
      <c r="AY81" s="285" t="n">
        <v>0</v>
      </c>
      <c r="AZ81" s="285" t="n">
        <v>0</v>
      </c>
      <c r="BA81" s="285" t="n">
        <v>0</v>
      </c>
      <c r="BB81" s="285" t="n">
        <v>0</v>
      </c>
      <c r="BC81" s="285" t="n">
        <v>0</v>
      </c>
      <c r="BD81" s="285" t="n">
        <v>0</v>
      </c>
      <c r="BE81" s="285" t="n">
        <v>0</v>
      </c>
      <c r="BF81" s="285" t="n">
        <v>0</v>
      </c>
      <c r="BG81" s="285" t="n">
        <v>0</v>
      </c>
      <c r="BH81" s="285" t="n">
        <v>0</v>
      </c>
      <c r="BI81" s="285" t="n">
        <v>0</v>
      </c>
      <c r="BJ81" s="285" t="n">
        <v>0</v>
      </c>
      <c r="BK81" s="285" t="n">
        <v>0</v>
      </c>
      <c r="BL81" s="285" t="n">
        <v>0</v>
      </c>
      <c r="BM81" s="285" t="n">
        <v>0</v>
      </c>
      <c r="BN81" s="285" t="n">
        <v>0</v>
      </c>
      <c r="BO81" s="285" t="n">
        <v>27.119</v>
      </c>
      <c r="BR81" s="290" t="n">
        <f aca="false">AR81*1000/0.072</f>
        <v>0</v>
      </c>
      <c r="BS81" s="290" t="n">
        <f aca="false">AT81*1000/0.072</f>
        <v>69444.4444444445</v>
      </c>
      <c r="BT81" s="290" t="n">
        <f aca="false">AU81*1000/0.072</f>
        <v>0</v>
      </c>
      <c r="BU81" s="290" t="n">
        <f aca="false">SUM(BR81:BT81)</f>
        <v>69444.4444444445</v>
      </c>
      <c r="BV81" s="290" t="n">
        <f aca="false">AV81*1000/5</f>
        <v>0</v>
      </c>
      <c r="BW81" s="290" t="n">
        <f aca="false">AX81*1000/5</f>
        <v>0</v>
      </c>
      <c r="BX81" s="290" t="n">
        <f aca="false">AY81*1000/5</f>
        <v>0</v>
      </c>
      <c r="BY81" s="290" t="n">
        <f aca="false">SUM(BV81:BX81)</f>
        <v>0</v>
      </c>
      <c r="CA81" s="290" t="n">
        <f aca="false">IF($AM81="n",0,BR81)</f>
        <v>0</v>
      </c>
      <c r="CB81" s="290" t="n">
        <f aca="false">IF($AM81="n",0,BS81)</f>
        <v>69444.4444444445</v>
      </c>
      <c r="CC81" s="290" t="n">
        <f aca="false">IF($AM81="n",0,BT81)</f>
        <v>0</v>
      </c>
      <c r="CD81" s="290" t="n">
        <f aca="false">SUM(CA81:CC81)</f>
        <v>69444.4444444445</v>
      </c>
      <c r="CE81" s="290" t="n">
        <f aca="false">IF($AM$2="n",0,BV81)</f>
        <v>0</v>
      </c>
      <c r="CF81" s="290" t="n">
        <f aca="false">IF($AM$2="n",0,BW81)</f>
        <v>0</v>
      </c>
      <c r="CG81" s="290" t="n">
        <f aca="false">IF($AM$2="n",0,BX81)</f>
        <v>0</v>
      </c>
      <c r="CH81" s="290" t="n">
        <f aca="false">SUM(CE81:CG81)</f>
        <v>0</v>
      </c>
      <c r="CJ81" s="324"/>
      <c r="CK81" s="324"/>
      <c r="CL81" s="324"/>
      <c r="CM81" s="324"/>
      <c r="CN81" s="324"/>
      <c r="CO81" s="324"/>
      <c r="CP81" s="324"/>
      <c r="CQ81" s="324"/>
      <c r="CR81" s="324"/>
      <c r="CS81" s="324"/>
      <c r="CT81" s="324"/>
      <c r="CU81" s="324"/>
      <c r="CV81" s="324"/>
      <c r="CW81" s="324"/>
      <c r="CX81" s="324"/>
      <c r="CY81" s="324"/>
      <c r="CZ81" s="324"/>
      <c r="DA81" s="324"/>
      <c r="DB81" s="324"/>
      <c r="DC81" s="324"/>
      <c r="DD81" s="324"/>
      <c r="DE81" s="324"/>
      <c r="DF81" s="324"/>
      <c r="DG81" s="324"/>
      <c r="DH81" s="324"/>
      <c r="DI81" s="324"/>
      <c r="DJ81" s="324"/>
      <c r="DK81" s="324"/>
      <c r="DL81" s="324"/>
      <c r="DM81" s="324"/>
      <c r="DN81" s="324"/>
      <c r="DO81" s="324"/>
      <c r="DP81" s="324"/>
      <c r="DQ81" s="324"/>
      <c r="DR81" s="324"/>
      <c r="DS81" s="324"/>
      <c r="DT81" s="324"/>
      <c r="DU81" s="324"/>
      <c r="DV81" s="324"/>
      <c r="DW81" s="324"/>
      <c r="DX81" s="324"/>
      <c r="DY81" s="324"/>
      <c r="DZ81" s="324"/>
      <c r="EA81" s="324"/>
      <c r="EB81" s="324"/>
      <c r="EC81" s="324"/>
      <c r="ED81" s="324"/>
      <c r="EE81" s="324"/>
      <c r="EF81" s="324"/>
      <c r="EG81" s="324"/>
      <c r="EH81" s="324"/>
      <c r="EI81" s="324"/>
      <c r="EJ81" s="324"/>
      <c r="EK81" s="324"/>
      <c r="EL81" s="324"/>
      <c r="EM81" s="324"/>
      <c r="EN81" s="324"/>
      <c r="EO81" s="324"/>
      <c r="EP81" s="324"/>
      <c r="EQ81" s="324"/>
      <c r="ER81" s="324"/>
      <c r="ES81" s="324"/>
      <c r="ET81" s="324"/>
      <c r="EU81" s="324"/>
      <c r="EV81" s="324"/>
      <c r="EW81" s="324"/>
      <c r="EX81" s="324"/>
      <c r="EY81" s="324"/>
      <c r="EZ81" s="324"/>
      <c r="FA81" s="324"/>
      <c r="FB81" s="324"/>
      <c r="FC81" s="324"/>
      <c r="FD81" s="324"/>
      <c r="FE81" s="324"/>
      <c r="FF81" s="324"/>
      <c r="FG81" s="324"/>
      <c r="FH81" s="324"/>
      <c r="FI81" s="324"/>
      <c r="FJ81" s="324"/>
      <c r="FK81" s="324"/>
      <c r="FL81" s="324"/>
      <c r="FM81" s="324"/>
      <c r="FN81" s="324"/>
      <c r="FO81" s="324"/>
      <c r="FP81" s="324"/>
      <c r="FQ81" s="324"/>
      <c r="FR81" s="324"/>
      <c r="FS81" s="324"/>
      <c r="FT81" s="324"/>
      <c r="FU81" s="324"/>
      <c r="FV81" s="324"/>
      <c r="FW81" s="324"/>
      <c r="FX81" s="324"/>
      <c r="FY81" s="324"/>
      <c r="FZ81" s="324"/>
      <c r="GA81" s="324"/>
      <c r="GB81" s="324"/>
      <c r="GC81" s="324"/>
      <c r="GD81" s="324"/>
      <c r="GE81" s="324"/>
      <c r="GF81" s="324"/>
      <c r="GG81" s="324"/>
      <c r="GH81" s="324"/>
      <c r="GI81" s="324"/>
      <c r="GJ81" s="324"/>
      <c r="GK81" s="324"/>
      <c r="GL81" s="324"/>
      <c r="GM81" s="324"/>
      <c r="GN81" s="324"/>
      <c r="GO81" s="324"/>
      <c r="GP81" s="324"/>
      <c r="GQ81" s="324"/>
      <c r="GR81" s="324"/>
      <c r="GS81" s="324"/>
      <c r="GT81" s="324"/>
      <c r="GU81" s="324"/>
      <c r="GV81" s="324"/>
      <c r="GW81" s="324"/>
      <c r="GX81" s="324"/>
    </row>
    <row r="82" customFormat="false" ht="15" hidden="false" customHeight="true" outlineLevel="0" collapsed="false">
      <c r="A82" s="285" t="n">
        <v>8688</v>
      </c>
      <c r="B82" s="285"/>
      <c r="C82" s="286" t="s">
        <v>272</v>
      </c>
      <c r="D82" s="287" t="s">
        <v>272</v>
      </c>
      <c r="E82" s="288" t="n">
        <f aca="false">IF(I82="regional",IF(R82*0.2975,S82*0.3484),S82*0.1939)</f>
        <v>280548.4032</v>
      </c>
      <c r="F82" s="288" t="n">
        <v>0</v>
      </c>
      <c r="G82" s="289" t="n">
        <f aca="false">E82+F82</f>
        <v>280548.4032</v>
      </c>
      <c r="H82" s="286"/>
      <c r="I82" s="287" t="s">
        <v>48</v>
      </c>
      <c r="J82" s="287"/>
      <c r="K82" s="287" t="s">
        <v>229</v>
      </c>
      <c r="L82" s="287"/>
      <c r="M82" s="317" t="n">
        <v>112</v>
      </c>
      <c r="N82" s="317" t="n">
        <v>0.816</v>
      </c>
      <c r="O82" s="317" t="n">
        <v>0.831</v>
      </c>
      <c r="P82" s="317" t="n">
        <v>0.796</v>
      </c>
      <c r="Q82" s="317" t="n">
        <v>0.832</v>
      </c>
      <c r="R82" s="317" t="n">
        <v>829678</v>
      </c>
      <c r="S82" s="317" t="n">
        <v>805248</v>
      </c>
      <c r="T82" s="318" t="n">
        <f aca="false">IF(I82="regional",IF(R82&gt;0,R82*0.2975,S82*0.3484),S82*0.1939)</f>
        <v>246829.205</v>
      </c>
      <c r="U82" s="317" t="n">
        <v>568882</v>
      </c>
      <c r="V82" s="317" t="n">
        <v>236366</v>
      </c>
      <c r="W82" s="317" t="n">
        <v>4890</v>
      </c>
      <c r="X82" s="317" t="n">
        <v>0</v>
      </c>
      <c r="Y82" s="317" t="n">
        <v>0</v>
      </c>
      <c r="Z82" s="317" t="n">
        <v>0</v>
      </c>
      <c r="AA82" s="317" t="n">
        <v>1052077.205</v>
      </c>
      <c r="AB82" s="317" t="n">
        <v>246829.205</v>
      </c>
      <c r="AC82" s="317" t="n">
        <v>805248</v>
      </c>
      <c r="AD82" s="317" t="n">
        <v>0</v>
      </c>
      <c r="AE82" s="317" t="n">
        <v>0</v>
      </c>
      <c r="AF82" s="317" t="n">
        <v>0</v>
      </c>
      <c r="AG82" s="317" t="n">
        <v>805248</v>
      </c>
      <c r="AH82" s="317" t="n">
        <v>0</v>
      </c>
      <c r="AI82" s="317" t="n">
        <v>0</v>
      </c>
      <c r="AJ82" s="286" t="s">
        <v>707</v>
      </c>
      <c r="AK82" s="286" t="s">
        <v>714</v>
      </c>
      <c r="AL82" s="287" t="s">
        <v>48</v>
      </c>
      <c r="AM82" s="286"/>
      <c r="AN82" s="287" t="s">
        <v>272</v>
      </c>
      <c r="AO82" s="287" t="n">
        <v>246829.205</v>
      </c>
      <c r="AP82" s="319" t="n">
        <f aca="false">AR82+AT82+AU82+AV82+AX82+AY82+AZ82+BD82+BF82+BG82+BH82+BJ82+BK82+(BL82+BM82+BN82)/1000+(0.1*BO82)</f>
        <v>179.1422</v>
      </c>
      <c r="AQ82" s="319" t="n">
        <f aca="false">AR82+AT82+AU82+AV82+AX82+AY82+AZ82+BB82+BC82+BD82+BF82+BG82+BH82+BJ82+BK82+(BL82+BM82+BN82)/1000+(0.1*BO82)</f>
        <v>237.1422</v>
      </c>
      <c r="AR82" s="285" t="n">
        <v>0</v>
      </c>
      <c r="AS82" s="285" t="n">
        <v>0</v>
      </c>
      <c r="AT82" s="285" t="n">
        <v>131</v>
      </c>
      <c r="AU82" s="285" t="n">
        <v>3</v>
      </c>
      <c r="AV82" s="285" t="n">
        <v>0</v>
      </c>
      <c r="AW82" s="285" t="n">
        <v>0</v>
      </c>
      <c r="AX82" s="285" t="n">
        <v>0</v>
      </c>
      <c r="AY82" s="285" t="n">
        <v>0</v>
      </c>
      <c r="AZ82" s="285" t="n">
        <v>0</v>
      </c>
      <c r="BA82" s="285" t="n">
        <v>0</v>
      </c>
      <c r="BB82" s="285" t="n">
        <v>57</v>
      </c>
      <c r="BC82" s="285" t="n">
        <v>1</v>
      </c>
      <c r="BD82" s="285" t="n">
        <v>0</v>
      </c>
      <c r="BE82" s="285" t="n">
        <v>0</v>
      </c>
      <c r="BF82" s="285" t="n">
        <v>0</v>
      </c>
      <c r="BG82" s="285" t="n">
        <v>0</v>
      </c>
      <c r="BH82" s="285" t="n">
        <v>0</v>
      </c>
      <c r="BI82" s="285" t="n">
        <v>0</v>
      </c>
      <c r="BJ82" s="285" t="n">
        <v>0</v>
      </c>
      <c r="BK82" s="285" t="n">
        <v>0</v>
      </c>
      <c r="BL82" s="285" t="n">
        <v>0</v>
      </c>
      <c r="BM82" s="285" t="n">
        <v>20592</v>
      </c>
      <c r="BN82" s="285" t="n">
        <v>0</v>
      </c>
      <c r="BO82" s="285" t="n">
        <v>245.502</v>
      </c>
      <c r="BR82" s="290" t="n">
        <f aca="false">AR82*1000/0.072</f>
        <v>0</v>
      </c>
      <c r="BS82" s="290" t="n">
        <f aca="false">AT82*1000/0.072</f>
        <v>1819444.44444444</v>
      </c>
      <c r="BT82" s="290" t="n">
        <f aca="false">AU82*1000/0.072</f>
        <v>41666.6666666667</v>
      </c>
      <c r="BU82" s="290" t="n">
        <f aca="false">SUM(BR82:BT82)</f>
        <v>1861111.11111111</v>
      </c>
      <c r="BV82" s="290" t="n">
        <f aca="false">AV82*1000/5</f>
        <v>0</v>
      </c>
      <c r="BW82" s="290" t="n">
        <f aca="false">AX82*1000/5</f>
        <v>0</v>
      </c>
      <c r="BX82" s="290" t="n">
        <f aca="false">AY82*1000/5</f>
        <v>0</v>
      </c>
      <c r="BY82" s="290" t="n">
        <f aca="false">SUM(BV82:BX82)</f>
        <v>0</v>
      </c>
      <c r="CA82" s="290" t="n">
        <f aca="false">IF($AM82="n",0,BR82)</f>
        <v>0</v>
      </c>
      <c r="CB82" s="290" t="n">
        <f aca="false">IF($AM82="n",0,BS82)</f>
        <v>1819444.44444444</v>
      </c>
      <c r="CC82" s="290" t="n">
        <f aca="false">IF($AM82="n",0,BT82)</f>
        <v>41666.6666666667</v>
      </c>
      <c r="CD82" s="290" t="n">
        <f aca="false">SUM(CA82:CC82)</f>
        <v>1861111.11111111</v>
      </c>
      <c r="CE82" s="290" t="n">
        <f aca="false">IF($AM$2="n",0,BV82)</f>
        <v>0</v>
      </c>
      <c r="CF82" s="290" t="n">
        <f aca="false">IF($AM$2="n",0,BW82)</f>
        <v>0</v>
      </c>
      <c r="CG82" s="290" t="n">
        <f aca="false">IF($AM$2="n",0,BX82)</f>
        <v>0</v>
      </c>
      <c r="CH82" s="290" t="n">
        <f aca="false">SUM(CE82:CG82)</f>
        <v>0</v>
      </c>
      <c r="CJ82" s="324"/>
      <c r="CK82" s="324"/>
      <c r="CL82" s="324"/>
      <c r="CM82" s="324"/>
      <c r="CN82" s="324"/>
      <c r="CO82" s="324"/>
      <c r="CP82" s="324"/>
      <c r="CQ82" s="324"/>
      <c r="CR82" s="324"/>
      <c r="CS82" s="324"/>
      <c r="CT82" s="324"/>
      <c r="CU82" s="324"/>
      <c r="CV82" s="324"/>
      <c r="CW82" s="324"/>
      <c r="CX82" s="324"/>
      <c r="CY82" s="324"/>
      <c r="CZ82" s="324"/>
      <c r="DA82" s="324"/>
      <c r="DB82" s="324"/>
      <c r="DC82" s="324"/>
      <c r="DD82" s="324"/>
      <c r="DE82" s="324"/>
      <c r="DF82" s="324"/>
      <c r="DG82" s="324"/>
      <c r="DH82" s="324"/>
      <c r="DI82" s="324"/>
      <c r="DJ82" s="324"/>
      <c r="DK82" s="324"/>
      <c r="DL82" s="324"/>
      <c r="DM82" s="324"/>
      <c r="DN82" s="324"/>
      <c r="DO82" s="324"/>
      <c r="DP82" s="324"/>
      <c r="DQ82" s="324"/>
      <c r="DR82" s="324"/>
      <c r="DS82" s="324"/>
      <c r="DT82" s="324"/>
      <c r="DU82" s="324"/>
      <c r="DV82" s="324"/>
      <c r="DW82" s="324"/>
      <c r="DX82" s="324"/>
      <c r="DY82" s="324"/>
      <c r="DZ82" s="324"/>
      <c r="EA82" s="324"/>
      <c r="EB82" s="324"/>
      <c r="EC82" s="324"/>
      <c r="ED82" s="324"/>
      <c r="EE82" s="324"/>
      <c r="EF82" s="324"/>
      <c r="EG82" s="324"/>
      <c r="EH82" s="324"/>
      <c r="EI82" s="324"/>
      <c r="EJ82" s="324"/>
      <c r="EK82" s="324"/>
      <c r="EL82" s="324"/>
      <c r="EM82" s="324"/>
      <c r="EN82" s="324"/>
      <c r="EO82" s="324"/>
      <c r="EP82" s="324"/>
      <c r="EQ82" s="324"/>
      <c r="ER82" s="324"/>
      <c r="ES82" s="324"/>
      <c r="ET82" s="324"/>
      <c r="EU82" s="324"/>
      <c r="EV82" s="324"/>
      <c r="EW82" s="324"/>
      <c r="EX82" s="324"/>
      <c r="EY82" s="324"/>
      <c r="EZ82" s="324"/>
      <c r="FA82" s="324"/>
      <c r="FB82" s="324"/>
      <c r="FC82" s="324"/>
      <c r="FD82" s="324"/>
      <c r="FE82" s="324"/>
      <c r="FF82" s="324"/>
      <c r="FG82" s="324"/>
      <c r="FH82" s="324"/>
      <c r="FI82" s="324"/>
      <c r="FJ82" s="324"/>
      <c r="FK82" s="324"/>
      <c r="FL82" s="324"/>
      <c r="FM82" s="324"/>
      <c r="FN82" s="324"/>
      <c r="FO82" s="324"/>
      <c r="FP82" s="324"/>
      <c r="FQ82" s="324"/>
      <c r="FR82" s="324"/>
      <c r="FS82" s="324"/>
      <c r="FT82" s="324"/>
      <c r="FU82" s="324"/>
      <c r="FV82" s="324"/>
      <c r="FW82" s="324"/>
      <c r="FX82" s="324"/>
      <c r="FY82" s="324"/>
      <c r="FZ82" s="324"/>
      <c r="GA82" s="324"/>
      <c r="GB82" s="324"/>
      <c r="GC82" s="324"/>
      <c r="GD82" s="324"/>
      <c r="GE82" s="324"/>
      <c r="GF82" s="324"/>
      <c r="GG82" s="324"/>
      <c r="GH82" s="324"/>
      <c r="GI82" s="324"/>
      <c r="GJ82" s="324"/>
      <c r="GK82" s="324"/>
      <c r="GL82" s="324"/>
      <c r="GM82" s="324"/>
      <c r="GN82" s="324"/>
      <c r="GO82" s="324"/>
      <c r="GP82" s="324"/>
      <c r="GQ82" s="324"/>
      <c r="GR82" s="324"/>
      <c r="GS82" s="324"/>
      <c r="GT82" s="324"/>
      <c r="GU82" s="324"/>
      <c r="GV82" s="324"/>
      <c r="GW82" s="324"/>
      <c r="GX82" s="324"/>
    </row>
    <row r="83" customFormat="false" ht="15" hidden="false" customHeight="true" outlineLevel="0" collapsed="false">
      <c r="A83" s="285" t="n">
        <v>4824</v>
      </c>
      <c r="B83" s="285" t="s">
        <v>44</v>
      </c>
      <c r="C83" s="286" t="s">
        <v>274</v>
      </c>
      <c r="D83" s="287" t="s">
        <v>274</v>
      </c>
      <c r="E83" s="288" t="n">
        <f aca="false">IF(I83="regional",IF(R83*0.2975,S83*0.3484),S83*0.1939)</f>
        <v>432016</v>
      </c>
      <c r="F83" s="288" t="n">
        <v>0</v>
      </c>
      <c r="G83" s="289" t="n">
        <f aca="false">E83+F83</f>
        <v>432016</v>
      </c>
      <c r="H83" s="286" t="s">
        <v>49</v>
      </c>
      <c r="I83" s="287" t="s">
        <v>48</v>
      </c>
      <c r="J83" s="287" t="s">
        <v>44</v>
      </c>
      <c r="K83" s="287" t="s">
        <v>277</v>
      </c>
      <c r="L83" s="287"/>
      <c r="M83" s="317" t="n">
        <v>198</v>
      </c>
      <c r="N83" s="317" t="n">
        <v>0.914</v>
      </c>
      <c r="O83" s="317" t="n">
        <v>0.94</v>
      </c>
      <c r="P83" s="317" t="n">
        <v>0.925</v>
      </c>
      <c r="Q83" s="317" t="n">
        <v>0.952</v>
      </c>
      <c r="R83" s="317" t="n">
        <v>807096</v>
      </c>
      <c r="S83" s="317" t="n">
        <v>1240000</v>
      </c>
      <c r="T83" s="318" t="n">
        <f aca="false">IF(I83="regional",IF(R83&gt;0,R83*0.2975,S83*0.3484),S83*0.1939)</f>
        <v>240111.06</v>
      </c>
      <c r="U83" s="317" t="n">
        <v>807096</v>
      </c>
      <c r="V83" s="317" t="n">
        <v>432904</v>
      </c>
      <c r="W83" s="317" t="n">
        <v>5900</v>
      </c>
      <c r="X83" s="317" t="n">
        <v>0</v>
      </c>
      <c r="Y83" s="317" t="n">
        <v>0</v>
      </c>
      <c r="Z83" s="317" t="n">
        <v>0</v>
      </c>
      <c r="AA83" s="317" t="n">
        <v>1480111.06</v>
      </c>
      <c r="AB83" s="317" t="n">
        <v>240111.06</v>
      </c>
      <c r="AC83" s="317" t="n">
        <v>1240000</v>
      </c>
      <c r="AD83" s="317" t="n">
        <v>0</v>
      </c>
      <c r="AE83" s="317" t="n">
        <v>0</v>
      </c>
      <c r="AF83" s="317" t="n">
        <v>1240000</v>
      </c>
      <c r="AG83" s="317" t="n">
        <v>0</v>
      </c>
      <c r="AH83" s="317" t="n">
        <v>1083000</v>
      </c>
      <c r="AI83" s="317" t="n">
        <v>965000</v>
      </c>
      <c r="AJ83" s="286" t="s">
        <v>707</v>
      </c>
      <c r="AK83" s="286" t="s">
        <v>712</v>
      </c>
      <c r="AL83" s="287" t="s">
        <v>48</v>
      </c>
      <c r="AM83" s="286" t="s">
        <v>49</v>
      </c>
      <c r="AN83" s="287" t="s">
        <v>274</v>
      </c>
      <c r="AO83" s="287" t="n">
        <v>240111.06</v>
      </c>
      <c r="AP83" s="319" t="n">
        <f aca="false">AR83+AT83+AU83+AV83+AX83+AY83+AZ83+BD83+BF83+BG83+BH83+BJ83+BK83+(BL83+BM83+BN83)/1000+(0.1*BO83)</f>
        <v>828</v>
      </c>
      <c r="AQ83" s="319" t="n">
        <f aca="false">AR83+AT83+AU83+AV83+AX83+AY83+AZ83+BB83+BC83+BD83+BF83+BG83+BH83+BJ83+BK83+(BL83+BM83+BN83)/1000+(0.1*BO83)</f>
        <v>877</v>
      </c>
      <c r="AR83" s="285" t="n">
        <v>483</v>
      </c>
      <c r="AS83" s="285" t="n">
        <v>965</v>
      </c>
      <c r="AT83" s="285" t="n">
        <v>313</v>
      </c>
      <c r="AU83" s="285" t="n">
        <v>0</v>
      </c>
      <c r="AV83" s="285" t="n">
        <v>0</v>
      </c>
      <c r="AW83" s="285" t="n">
        <v>0</v>
      </c>
      <c r="AX83" s="285" t="n">
        <v>0</v>
      </c>
      <c r="AY83" s="285" t="n">
        <v>0</v>
      </c>
      <c r="AZ83" s="285" t="n">
        <v>0</v>
      </c>
      <c r="BA83" s="285" t="n">
        <v>171</v>
      </c>
      <c r="BB83" s="285" t="n">
        <v>49</v>
      </c>
      <c r="BC83" s="285" t="n">
        <v>0</v>
      </c>
      <c r="BD83" s="285" t="n">
        <v>0</v>
      </c>
      <c r="BE83" s="285" t="n">
        <v>0</v>
      </c>
      <c r="BF83" s="285" t="n">
        <v>0</v>
      </c>
      <c r="BG83" s="285" t="n">
        <v>0</v>
      </c>
      <c r="BH83" s="285" t="n">
        <v>32</v>
      </c>
      <c r="BI83" s="285" t="n">
        <v>6</v>
      </c>
      <c r="BJ83" s="285" t="n">
        <v>0</v>
      </c>
      <c r="BK83" s="285" t="n">
        <v>0</v>
      </c>
      <c r="BL83" s="285" t="n">
        <v>0</v>
      </c>
      <c r="BM83" s="285" t="n">
        <v>0</v>
      </c>
      <c r="BN83" s="285" t="n">
        <v>0</v>
      </c>
      <c r="BO83" s="285" t="n">
        <v>0</v>
      </c>
      <c r="BR83" s="290" t="n">
        <f aca="false">AR83*1000/0.072</f>
        <v>6708333.33333333</v>
      </c>
      <c r="BS83" s="290" t="n">
        <f aca="false">AT83*1000/0.072</f>
        <v>4347222.22222222</v>
      </c>
      <c r="BT83" s="290" t="n">
        <f aca="false">AU83*1000/0.072</f>
        <v>0</v>
      </c>
      <c r="BU83" s="290" t="n">
        <f aca="false">SUM(BR83:BT83)</f>
        <v>11055555.5555556</v>
      </c>
      <c r="BV83" s="290" t="n">
        <f aca="false">AV83*1000/5</f>
        <v>0</v>
      </c>
      <c r="BW83" s="290" t="n">
        <f aca="false">AX83*1000/5</f>
        <v>0</v>
      </c>
      <c r="BX83" s="290" t="n">
        <f aca="false">AY83*1000/5</f>
        <v>0</v>
      </c>
      <c r="BY83" s="290" t="n">
        <f aca="false">SUM(BV83:BX83)</f>
        <v>0</v>
      </c>
      <c r="CA83" s="290" t="n">
        <f aca="false">IF($AM83="n",0,BR83)</f>
        <v>0</v>
      </c>
      <c r="CB83" s="290" t="n">
        <f aca="false">IF($AM83="n",0,BS83)</f>
        <v>0</v>
      </c>
      <c r="CC83" s="290" t="n">
        <f aca="false">IF($AM83="n",0,BT83)</f>
        <v>0</v>
      </c>
      <c r="CD83" s="290" t="n">
        <f aca="false">SUM(CA83:CC83)</f>
        <v>0</v>
      </c>
      <c r="CE83" s="290" t="n">
        <f aca="false">IF($AM$2="n",0,BV83)</f>
        <v>0</v>
      </c>
      <c r="CF83" s="290" t="n">
        <f aca="false">IF($AM$2="n",0,BW83)</f>
        <v>0</v>
      </c>
      <c r="CG83" s="290" t="n">
        <f aca="false">IF($AM$2="n",0,BX83)</f>
        <v>0</v>
      </c>
      <c r="CH83" s="290" t="n">
        <f aca="false">SUM(CE83:CG83)</f>
        <v>0</v>
      </c>
      <c r="CJ83" s="324"/>
      <c r="CK83" s="324"/>
      <c r="CL83" s="324"/>
      <c r="CM83" s="324"/>
      <c r="CN83" s="324"/>
      <c r="CO83" s="324"/>
      <c r="CP83" s="324"/>
      <c r="CQ83" s="324"/>
      <c r="CR83" s="324"/>
      <c r="CS83" s="324"/>
      <c r="CT83" s="324"/>
      <c r="CU83" s="324"/>
      <c r="CV83" s="324"/>
      <c r="CW83" s="324"/>
      <c r="CX83" s="324"/>
      <c r="CY83" s="324"/>
      <c r="CZ83" s="324"/>
      <c r="DA83" s="324"/>
      <c r="DB83" s="324"/>
      <c r="DC83" s="324"/>
      <c r="DD83" s="324"/>
      <c r="DE83" s="324"/>
      <c r="DF83" s="324"/>
      <c r="DG83" s="324"/>
      <c r="DH83" s="324"/>
      <c r="DI83" s="324"/>
      <c r="DJ83" s="324"/>
      <c r="DK83" s="324"/>
      <c r="DL83" s="324"/>
      <c r="DM83" s="324"/>
      <c r="DN83" s="324"/>
      <c r="DO83" s="324"/>
      <c r="DP83" s="324"/>
      <c r="DQ83" s="324"/>
      <c r="DR83" s="324"/>
      <c r="DS83" s="324"/>
      <c r="DT83" s="324"/>
      <c r="DU83" s="324"/>
      <c r="DV83" s="324"/>
      <c r="DW83" s="324"/>
      <c r="DX83" s="324"/>
      <c r="DY83" s="324"/>
      <c r="DZ83" s="324"/>
      <c r="EA83" s="324"/>
      <c r="EB83" s="324"/>
      <c r="EC83" s="324"/>
      <c r="ED83" s="324"/>
      <c r="EE83" s="324"/>
      <c r="EF83" s="324"/>
      <c r="EG83" s="324"/>
      <c r="EH83" s="324"/>
      <c r="EI83" s="324"/>
      <c r="EJ83" s="324"/>
      <c r="EK83" s="324"/>
      <c r="EL83" s="324"/>
      <c r="EM83" s="324"/>
      <c r="EN83" s="324"/>
      <c r="EO83" s="324"/>
      <c r="EP83" s="324"/>
      <c r="EQ83" s="324"/>
      <c r="ER83" s="324"/>
      <c r="ES83" s="324"/>
      <c r="ET83" s="324"/>
      <c r="EU83" s="324"/>
      <c r="EV83" s="324"/>
      <c r="EW83" s="324"/>
      <c r="EX83" s="324"/>
      <c r="EY83" s="324"/>
      <c r="EZ83" s="324"/>
      <c r="FA83" s="324"/>
      <c r="FB83" s="324"/>
      <c r="FC83" s="324"/>
      <c r="FD83" s="324"/>
      <c r="FE83" s="324"/>
      <c r="FF83" s="324"/>
      <c r="FG83" s="324"/>
      <c r="FH83" s="324"/>
      <c r="FI83" s="324"/>
      <c r="FJ83" s="324"/>
      <c r="FK83" s="324"/>
      <c r="FL83" s="324"/>
      <c r="FM83" s="324"/>
      <c r="FN83" s="324"/>
      <c r="FO83" s="324"/>
      <c r="FP83" s="324"/>
      <c r="FQ83" s="324"/>
      <c r="FR83" s="324"/>
      <c r="FS83" s="324"/>
      <c r="FT83" s="324"/>
      <c r="FU83" s="324"/>
      <c r="FV83" s="324"/>
      <c r="FW83" s="324"/>
      <c r="FX83" s="324"/>
      <c r="FY83" s="324"/>
      <c r="FZ83" s="324"/>
      <c r="GA83" s="324"/>
      <c r="GB83" s="324"/>
      <c r="GC83" s="324"/>
      <c r="GD83" s="324"/>
      <c r="GE83" s="324"/>
      <c r="GF83" s="324"/>
      <c r="GG83" s="324"/>
      <c r="GH83" s="324"/>
      <c r="GI83" s="324"/>
      <c r="GJ83" s="324"/>
      <c r="GK83" s="324"/>
      <c r="GL83" s="324"/>
      <c r="GM83" s="324"/>
      <c r="GN83" s="324"/>
      <c r="GO83" s="324"/>
      <c r="GP83" s="324"/>
      <c r="GQ83" s="324"/>
      <c r="GR83" s="324"/>
      <c r="GS83" s="324"/>
      <c r="GT83" s="324"/>
      <c r="GU83" s="324"/>
      <c r="GV83" s="324"/>
      <c r="GW83" s="324"/>
      <c r="GX83" s="324"/>
    </row>
    <row r="84" customFormat="false" ht="15" hidden="false" customHeight="true" outlineLevel="0" collapsed="false">
      <c r="A84" s="285" t="n">
        <v>4825</v>
      </c>
      <c r="B84" s="285" t="s">
        <v>44</v>
      </c>
      <c r="C84" s="286" t="s">
        <v>734</v>
      </c>
      <c r="D84" s="287" t="s">
        <v>278</v>
      </c>
      <c r="E84" s="288" t="n">
        <f aca="false">IF(I84="regional",IF(R84*0.2975,S84*0.3484),S84*0.1939)</f>
        <v>437242</v>
      </c>
      <c r="F84" s="288" t="n">
        <v>460000</v>
      </c>
      <c r="G84" s="289" t="n">
        <f aca="false">E84+F84</f>
        <v>897242</v>
      </c>
      <c r="H84" s="286"/>
      <c r="I84" s="287" t="s">
        <v>48</v>
      </c>
      <c r="J84" s="287" t="s">
        <v>44</v>
      </c>
      <c r="K84" s="287" t="s">
        <v>280</v>
      </c>
      <c r="L84" s="287" t="s">
        <v>44</v>
      </c>
      <c r="M84" s="317" t="n">
        <v>138</v>
      </c>
      <c r="N84" s="317" t="n">
        <v>0.963</v>
      </c>
      <c r="O84" s="317" t="n">
        <v>0.963</v>
      </c>
      <c r="P84" s="317" t="n">
        <v>0.925</v>
      </c>
      <c r="Q84" s="317" t="n">
        <v>0.952</v>
      </c>
      <c r="R84" s="317" t="n">
        <v>1332847</v>
      </c>
      <c r="S84" s="317" t="n">
        <v>1255000</v>
      </c>
      <c r="T84" s="318" t="n">
        <f aca="false">IF(I84="regional",IF(R84&gt;0,R84*0.2975,S84*0.3484),S84*0.1939)</f>
        <v>396521.9825</v>
      </c>
      <c r="U84" s="317" t="n">
        <v>887000</v>
      </c>
      <c r="V84" s="317" t="n">
        <v>368000</v>
      </c>
      <c r="W84" s="317" t="n">
        <v>7000</v>
      </c>
      <c r="X84" s="317" t="n">
        <v>856521.9825</v>
      </c>
      <c r="Y84" s="317" t="n">
        <v>396521.9825</v>
      </c>
      <c r="Z84" s="317" t="n">
        <v>460000</v>
      </c>
      <c r="AA84" s="317" t="n">
        <v>795000</v>
      </c>
      <c r="AB84" s="317" t="n">
        <v>0</v>
      </c>
      <c r="AC84" s="317" t="n">
        <v>795000</v>
      </c>
      <c r="AD84" s="317" t="n">
        <v>460000</v>
      </c>
      <c r="AE84" s="317" t="n">
        <v>0</v>
      </c>
      <c r="AF84" s="317" t="n">
        <v>795000</v>
      </c>
      <c r="AG84" s="317" t="n">
        <v>0</v>
      </c>
      <c r="AH84" s="317" t="n">
        <v>812000</v>
      </c>
      <c r="AI84" s="317" t="n">
        <v>477000</v>
      </c>
      <c r="AJ84" s="286" t="s">
        <v>707</v>
      </c>
      <c r="AK84" s="286" t="s">
        <v>712</v>
      </c>
      <c r="AL84" s="287" t="s">
        <v>48</v>
      </c>
      <c r="AM84" s="286"/>
      <c r="AN84" s="287" t="s">
        <v>278</v>
      </c>
      <c r="AO84" s="287" t="n">
        <v>856521.9825</v>
      </c>
      <c r="AP84" s="319" t="n">
        <f aca="false">AR84+AT84+AU84+AV84+AX84+AY84+AZ84+BD84+BF84+BG84+BH84+BJ84+BK84+(BL84+BM84+BN84)/1000+(0.1*BO84)</f>
        <v>590.638</v>
      </c>
      <c r="AQ84" s="319" t="n">
        <f aca="false">AR84+AT84+AU84+AV84+AX84+AY84+AZ84+BB84+BC84+BD84+BF84+BG84+BH84+BJ84+BK84+(BL84+BM84+BN84)/1000+(0.1*BO84)</f>
        <v>618.638</v>
      </c>
      <c r="AR84" s="285" t="n">
        <v>248</v>
      </c>
      <c r="AS84" s="285" t="n">
        <v>477</v>
      </c>
      <c r="AT84" s="285" t="n">
        <v>151</v>
      </c>
      <c r="AU84" s="285" t="n">
        <v>0</v>
      </c>
      <c r="AV84" s="285" t="n">
        <v>0</v>
      </c>
      <c r="AW84" s="285" t="n">
        <v>0</v>
      </c>
      <c r="AX84" s="285" t="n">
        <v>0</v>
      </c>
      <c r="AY84" s="285" t="n">
        <v>0</v>
      </c>
      <c r="AZ84" s="285" t="n">
        <v>14</v>
      </c>
      <c r="BA84" s="285" t="n">
        <v>37</v>
      </c>
      <c r="BB84" s="285" t="n">
        <v>28</v>
      </c>
      <c r="BC84" s="285" t="n">
        <v>0</v>
      </c>
      <c r="BD84" s="285" t="n">
        <v>4</v>
      </c>
      <c r="BE84" s="285" t="n">
        <v>1</v>
      </c>
      <c r="BF84" s="285" t="n">
        <v>0</v>
      </c>
      <c r="BG84" s="285" t="n">
        <v>0</v>
      </c>
      <c r="BH84" s="285" t="n">
        <v>31</v>
      </c>
      <c r="BI84" s="285" t="n">
        <v>0</v>
      </c>
      <c r="BJ84" s="285" t="n">
        <v>0</v>
      </c>
      <c r="BK84" s="285" t="n">
        <v>0</v>
      </c>
      <c r="BL84" s="285" t="n">
        <v>0</v>
      </c>
      <c r="BM84" s="285" t="n">
        <v>0</v>
      </c>
      <c r="BN84" s="285" t="n">
        <v>142638</v>
      </c>
      <c r="BO84" s="285" t="n">
        <v>0</v>
      </c>
      <c r="BR84" s="290" t="n">
        <f aca="false">AR84*1000/0.072</f>
        <v>3444444.44444444</v>
      </c>
      <c r="BS84" s="290" t="n">
        <f aca="false">AT84*1000/0.072</f>
        <v>2097222.22222222</v>
      </c>
      <c r="BT84" s="290" t="n">
        <f aca="false">AU84*1000/0.072</f>
        <v>0</v>
      </c>
      <c r="BU84" s="290" t="n">
        <f aca="false">SUM(BR84:BT84)</f>
        <v>5541666.66666667</v>
      </c>
      <c r="BV84" s="290" t="n">
        <f aca="false">AV84*1000/5</f>
        <v>0</v>
      </c>
      <c r="BW84" s="290" t="n">
        <f aca="false">AX84*1000/5</f>
        <v>0</v>
      </c>
      <c r="BX84" s="290" t="n">
        <f aca="false">AY84*1000/5</f>
        <v>0</v>
      </c>
      <c r="BY84" s="290" t="n">
        <f aca="false">SUM(BV84:BX84)</f>
        <v>0</v>
      </c>
      <c r="CA84" s="290" t="n">
        <f aca="false">IF($AM84="n",0,BR84)</f>
        <v>3444444.44444444</v>
      </c>
      <c r="CB84" s="290" t="n">
        <f aca="false">IF($AM84="n",0,BS84)</f>
        <v>2097222.22222222</v>
      </c>
      <c r="CC84" s="290" t="n">
        <f aca="false">IF($AM84="n",0,BT84)</f>
        <v>0</v>
      </c>
      <c r="CD84" s="290" t="n">
        <f aca="false">SUM(CA84:CC84)</f>
        <v>5541666.66666667</v>
      </c>
      <c r="CE84" s="290" t="n">
        <f aca="false">IF($AM$2="n",0,BV84)</f>
        <v>0</v>
      </c>
      <c r="CF84" s="290" t="n">
        <f aca="false">IF($AM$2="n",0,BW84)</f>
        <v>0</v>
      </c>
      <c r="CG84" s="290" t="n">
        <f aca="false">IF($AM$2="n",0,BX84)</f>
        <v>0</v>
      </c>
      <c r="CH84" s="290" t="n">
        <f aca="false">SUM(CE84:CG84)</f>
        <v>0</v>
      </c>
      <c r="CJ84" s="324"/>
      <c r="CK84" s="324"/>
      <c r="CL84" s="324"/>
      <c r="CM84" s="324"/>
      <c r="CN84" s="324"/>
      <c r="CO84" s="324"/>
      <c r="CP84" s="324"/>
      <c r="CQ84" s="324"/>
      <c r="CR84" s="324"/>
      <c r="CS84" s="324"/>
      <c r="CT84" s="324"/>
      <c r="CU84" s="324"/>
      <c r="CV84" s="324"/>
      <c r="CW84" s="324"/>
      <c r="CX84" s="324"/>
      <c r="CY84" s="324"/>
      <c r="CZ84" s="324"/>
      <c r="DA84" s="324"/>
      <c r="DB84" s="324"/>
      <c r="DC84" s="324"/>
      <c r="DD84" s="324"/>
      <c r="DE84" s="324"/>
      <c r="DF84" s="324"/>
      <c r="DG84" s="324"/>
      <c r="DH84" s="324"/>
      <c r="DI84" s="324"/>
      <c r="DJ84" s="324"/>
      <c r="DK84" s="324"/>
      <c r="DL84" s="324"/>
      <c r="DM84" s="324"/>
      <c r="DN84" s="324"/>
      <c r="DO84" s="324"/>
      <c r="DP84" s="324"/>
      <c r="DQ84" s="324"/>
      <c r="DR84" s="324"/>
      <c r="DS84" s="324"/>
      <c r="DT84" s="324"/>
      <c r="DU84" s="324"/>
      <c r="DV84" s="324"/>
      <c r="DW84" s="324"/>
      <c r="DX84" s="324"/>
      <c r="DY84" s="324"/>
      <c r="DZ84" s="324"/>
      <c r="EA84" s="324"/>
      <c r="EB84" s="324"/>
      <c r="EC84" s="324"/>
      <c r="ED84" s="324"/>
      <c r="EE84" s="324"/>
      <c r="EF84" s="324"/>
      <c r="EG84" s="324"/>
      <c r="EH84" s="324"/>
      <c r="EI84" s="324"/>
      <c r="EJ84" s="324"/>
      <c r="EK84" s="324"/>
      <c r="EL84" s="324"/>
      <c r="EM84" s="324"/>
      <c r="EN84" s="324"/>
      <c r="EO84" s="324"/>
      <c r="EP84" s="324"/>
      <c r="EQ84" s="324"/>
      <c r="ER84" s="324"/>
      <c r="ES84" s="324"/>
      <c r="ET84" s="324"/>
      <c r="EU84" s="324"/>
      <c r="EV84" s="324"/>
      <c r="EW84" s="324"/>
      <c r="EX84" s="324"/>
      <c r="EY84" s="324"/>
      <c r="EZ84" s="324"/>
      <c r="FA84" s="324"/>
      <c r="FB84" s="324"/>
      <c r="FC84" s="324"/>
      <c r="FD84" s="324"/>
      <c r="FE84" s="324"/>
      <c r="FF84" s="324"/>
      <c r="FG84" s="324"/>
      <c r="FH84" s="324"/>
      <c r="FI84" s="324"/>
      <c r="FJ84" s="324"/>
      <c r="FK84" s="324"/>
      <c r="FL84" s="324"/>
      <c r="FM84" s="324"/>
      <c r="FN84" s="324"/>
      <c r="FO84" s="324"/>
      <c r="FP84" s="324"/>
      <c r="FQ84" s="324"/>
      <c r="FR84" s="324"/>
      <c r="FS84" s="324"/>
      <c r="FT84" s="324"/>
      <c r="FU84" s="324"/>
      <c r="FV84" s="324"/>
      <c r="FW84" s="324"/>
      <c r="FX84" s="324"/>
      <c r="FY84" s="324"/>
      <c r="FZ84" s="324"/>
      <c r="GA84" s="324"/>
      <c r="GB84" s="324"/>
      <c r="GC84" s="324"/>
      <c r="GD84" s="324"/>
      <c r="GE84" s="324"/>
      <c r="GF84" s="324"/>
      <c r="GG84" s="324"/>
      <c r="GH84" s="324"/>
      <c r="GI84" s="324"/>
      <c r="GJ84" s="324"/>
      <c r="GK84" s="324"/>
      <c r="GL84" s="324"/>
      <c r="GM84" s="324"/>
      <c r="GN84" s="324"/>
      <c r="GO84" s="324"/>
      <c r="GP84" s="324"/>
      <c r="GQ84" s="324"/>
      <c r="GR84" s="324"/>
      <c r="GS84" s="324"/>
      <c r="GT84" s="324"/>
      <c r="GU84" s="324"/>
      <c r="GV84" s="324"/>
      <c r="GW84" s="324"/>
      <c r="GX84" s="324"/>
    </row>
    <row r="85" customFormat="false" ht="15" hidden="false" customHeight="true" outlineLevel="0" collapsed="false">
      <c r="A85" s="285" t="n">
        <v>1518</v>
      </c>
      <c r="B85" s="285" t="s">
        <v>44</v>
      </c>
      <c r="C85" s="286" t="s">
        <v>281</v>
      </c>
      <c r="D85" s="287" t="s">
        <v>281</v>
      </c>
      <c r="E85" s="288" t="n">
        <f aca="false">IF(I85="regional",IF(R85*0.2975,S85*0.3484),S85*0.1939)</f>
        <v>218857.912</v>
      </c>
      <c r="F85" s="288" t="n">
        <v>0</v>
      </c>
      <c r="G85" s="289" t="n">
        <f aca="false">E85+F85</f>
        <v>218857.912</v>
      </c>
      <c r="H85" s="286"/>
      <c r="I85" s="287" t="s">
        <v>48</v>
      </c>
      <c r="J85" s="287" t="s">
        <v>44</v>
      </c>
      <c r="K85" s="287" t="s">
        <v>283</v>
      </c>
      <c r="L85" s="287"/>
      <c r="M85" s="317" t="n">
        <v>78</v>
      </c>
      <c r="N85" s="317" t="n">
        <v>0.825</v>
      </c>
      <c r="O85" s="317" t="n">
        <v>0.867</v>
      </c>
      <c r="P85" s="317" t="n">
        <v>0.826</v>
      </c>
      <c r="Q85" s="317" t="n">
        <v>0.813</v>
      </c>
      <c r="R85" s="317" t="n">
        <v>652086</v>
      </c>
      <c r="S85" s="317" t="n">
        <v>628180</v>
      </c>
      <c r="T85" s="318" t="n">
        <f aca="false">IF(I85="regional",IF(R85&gt;0,R85*0.2975,S85*0.3484),S85*0.1939)</f>
        <v>193995.585</v>
      </c>
      <c r="U85" s="317" t="n">
        <v>382700</v>
      </c>
      <c r="V85" s="317" t="n">
        <v>245480</v>
      </c>
      <c r="W85" s="317" t="n">
        <v>3500</v>
      </c>
      <c r="X85" s="317" t="n">
        <v>0</v>
      </c>
      <c r="Y85" s="317" t="n">
        <v>0</v>
      </c>
      <c r="Z85" s="317" t="n">
        <v>0</v>
      </c>
      <c r="AA85" s="317" t="n">
        <v>822175.585</v>
      </c>
      <c r="AB85" s="317" t="n">
        <v>193995.585</v>
      </c>
      <c r="AC85" s="317" t="n">
        <v>628180</v>
      </c>
      <c r="AD85" s="317" t="n">
        <v>0</v>
      </c>
      <c r="AE85" s="317" t="n">
        <v>0</v>
      </c>
      <c r="AF85" s="317" t="n">
        <v>628180</v>
      </c>
      <c r="AG85" s="317" t="n">
        <v>0</v>
      </c>
      <c r="AH85" s="317" t="n">
        <v>418000</v>
      </c>
      <c r="AI85" s="317" t="n">
        <v>378000</v>
      </c>
      <c r="AJ85" s="286" t="s">
        <v>707</v>
      </c>
      <c r="AK85" s="286" t="s">
        <v>729</v>
      </c>
      <c r="AL85" s="287" t="s">
        <v>48</v>
      </c>
      <c r="AM85" s="286"/>
      <c r="AN85" s="287" t="s">
        <v>281</v>
      </c>
      <c r="AO85" s="287" t="n">
        <v>193995.585</v>
      </c>
      <c r="AP85" s="319" t="n">
        <f aca="false">AR85+AT85+AU85+AV85+AX85+AY85+AZ85+BD85+BF85+BG85+BH85+BJ85+BK85+(BL85+BM85+BN85)/1000+(0.1*BO85)</f>
        <v>142.274</v>
      </c>
      <c r="AQ85" s="319" t="n">
        <f aca="false">AR85+AT85+AU85+AV85+AX85+AY85+AZ85+BB85+BC85+BD85+BF85+BG85+BH85+BJ85+BK85+(BL85+BM85+BN85)/1000+(0.1*BO85)</f>
        <v>161.274</v>
      </c>
      <c r="AR85" s="285" t="n">
        <v>66</v>
      </c>
      <c r="AS85" s="285" t="n">
        <v>378</v>
      </c>
      <c r="AT85" s="285" t="n">
        <v>32</v>
      </c>
      <c r="AU85" s="285" t="n">
        <v>1</v>
      </c>
      <c r="AV85" s="285" t="n">
        <v>0</v>
      </c>
      <c r="AW85" s="285" t="n">
        <v>0</v>
      </c>
      <c r="AX85" s="285" t="n">
        <v>0</v>
      </c>
      <c r="AY85" s="285" t="n">
        <v>0</v>
      </c>
      <c r="AZ85" s="285" t="n">
        <v>0</v>
      </c>
      <c r="BA85" s="285" t="n">
        <v>11</v>
      </c>
      <c r="BB85" s="285" t="n">
        <v>19</v>
      </c>
      <c r="BC85" s="285" t="n">
        <v>0</v>
      </c>
      <c r="BD85" s="285" t="n">
        <v>0</v>
      </c>
      <c r="BE85" s="285" t="n">
        <v>0</v>
      </c>
      <c r="BF85" s="285" t="n">
        <v>0</v>
      </c>
      <c r="BG85" s="285" t="n">
        <v>0</v>
      </c>
      <c r="BH85" s="285" t="n">
        <v>0</v>
      </c>
      <c r="BI85" s="285" t="n">
        <v>2</v>
      </c>
      <c r="BJ85" s="285" t="n">
        <v>0</v>
      </c>
      <c r="BK85" s="285" t="n">
        <v>0</v>
      </c>
      <c r="BL85" s="285" t="n">
        <v>12674</v>
      </c>
      <c r="BM85" s="285" t="n">
        <v>0</v>
      </c>
      <c r="BN85" s="285" t="n">
        <v>30600</v>
      </c>
      <c r="BO85" s="285" t="n">
        <v>0</v>
      </c>
      <c r="BR85" s="290" t="n">
        <f aca="false">AR85*1000/0.072</f>
        <v>916666.666666667</v>
      </c>
      <c r="BS85" s="290" t="n">
        <f aca="false">AT85*1000/0.072</f>
        <v>444444.444444445</v>
      </c>
      <c r="BT85" s="290" t="n">
        <f aca="false">AU85*1000/0.072</f>
        <v>13888.8888888889</v>
      </c>
      <c r="BU85" s="290" t="n">
        <f aca="false">SUM(BR85:BT85)</f>
        <v>1375000</v>
      </c>
      <c r="BV85" s="290" t="n">
        <f aca="false">AV85*1000/5</f>
        <v>0</v>
      </c>
      <c r="BW85" s="290" t="n">
        <f aca="false">AX85*1000/5</f>
        <v>0</v>
      </c>
      <c r="BX85" s="290" t="n">
        <f aca="false">AY85*1000/5</f>
        <v>0</v>
      </c>
      <c r="BY85" s="290" t="n">
        <f aca="false">SUM(BV85:BX85)</f>
        <v>0</v>
      </c>
      <c r="CA85" s="290" t="n">
        <f aca="false">IF($AM85="n",0,BR85)</f>
        <v>916666.666666667</v>
      </c>
      <c r="CB85" s="290" t="n">
        <f aca="false">IF($AM85="n",0,BS85)</f>
        <v>444444.444444445</v>
      </c>
      <c r="CC85" s="290" t="n">
        <f aca="false">IF($AM85="n",0,BT85)</f>
        <v>13888.8888888889</v>
      </c>
      <c r="CD85" s="290" t="n">
        <f aca="false">SUM(CA85:CC85)</f>
        <v>1375000</v>
      </c>
      <c r="CE85" s="290" t="n">
        <f aca="false">IF($AM$2="n",0,BV85)</f>
        <v>0</v>
      </c>
      <c r="CF85" s="290" t="n">
        <f aca="false">IF($AM$2="n",0,BW85)</f>
        <v>0</v>
      </c>
      <c r="CG85" s="290" t="n">
        <f aca="false">IF($AM$2="n",0,BX85)</f>
        <v>0</v>
      </c>
      <c r="CH85" s="290" t="n">
        <f aca="false">SUM(CE85:CG85)</f>
        <v>0</v>
      </c>
      <c r="CJ85" s="324"/>
      <c r="CK85" s="324"/>
      <c r="CL85" s="324"/>
      <c r="CM85" s="324"/>
      <c r="CN85" s="324"/>
      <c r="CO85" s="324"/>
      <c r="CP85" s="324"/>
      <c r="CQ85" s="324"/>
      <c r="CR85" s="324"/>
      <c r="CS85" s="324"/>
      <c r="CT85" s="324"/>
      <c r="CU85" s="324"/>
      <c r="CV85" s="324"/>
      <c r="CW85" s="324"/>
      <c r="CX85" s="324"/>
      <c r="CY85" s="324"/>
      <c r="CZ85" s="324"/>
      <c r="DA85" s="324"/>
      <c r="DB85" s="324"/>
      <c r="DC85" s="324"/>
      <c r="DD85" s="324"/>
      <c r="DE85" s="324"/>
      <c r="DF85" s="324"/>
      <c r="DG85" s="324"/>
      <c r="DH85" s="324"/>
      <c r="DI85" s="324"/>
      <c r="DJ85" s="324"/>
      <c r="DK85" s="324"/>
      <c r="DL85" s="324"/>
      <c r="DM85" s="324"/>
      <c r="DN85" s="324"/>
      <c r="DO85" s="324"/>
      <c r="DP85" s="324"/>
      <c r="DQ85" s="324"/>
      <c r="DR85" s="324"/>
      <c r="DS85" s="324"/>
      <c r="DT85" s="324"/>
      <c r="DU85" s="324"/>
      <c r="DV85" s="324"/>
      <c r="DW85" s="324"/>
      <c r="DX85" s="324"/>
      <c r="DY85" s="324"/>
      <c r="DZ85" s="324"/>
      <c r="EA85" s="324"/>
      <c r="EB85" s="324"/>
      <c r="EC85" s="324"/>
      <c r="ED85" s="324"/>
      <c r="EE85" s="324"/>
      <c r="EF85" s="324"/>
      <c r="EG85" s="324"/>
      <c r="EH85" s="324"/>
      <c r="EI85" s="324"/>
      <c r="EJ85" s="324"/>
      <c r="EK85" s="324"/>
      <c r="EL85" s="324"/>
      <c r="EM85" s="324"/>
      <c r="EN85" s="324"/>
      <c r="EO85" s="324"/>
      <c r="EP85" s="324"/>
      <c r="EQ85" s="324"/>
      <c r="ER85" s="324"/>
      <c r="ES85" s="324"/>
      <c r="ET85" s="324"/>
      <c r="EU85" s="324"/>
      <c r="EV85" s="324"/>
      <c r="EW85" s="324"/>
      <c r="EX85" s="324"/>
      <c r="EY85" s="324"/>
      <c r="EZ85" s="324"/>
      <c r="FA85" s="324"/>
      <c r="FB85" s="324"/>
      <c r="FC85" s="324"/>
      <c r="FD85" s="324"/>
      <c r="FE85" s="324"/>
      <c r="FF85" s="324"/>
      <c r="FG85" s="324"/>
      <c r="FH85" s="324"/>
      <c r="FI85" s="324"/>
      <c r="FJ85" s="324"/>
      <c r="FK85" s="324"/>
      <c r="FL85" s="324"/>
      <c r="FM85" s="324"/>
      <c r="FN85" s="324"/>
      <c r="FO85" s="324"/>
      <c r="FP85" s="324"/>
      <c r="FQ85" s="324"/>
      <c r="FR85" s="324"/>
      <c r="FS85" s="324"/>
      <c r="FT85" s="324"/>
      <c r="FU85" s="324"/>
      <c r="FV85" s="324"/>
      <c r="FW85" s="324"/>
      <c r="FX85" s="324"/>
      <c r="FY85" s="324"/>
      <c r="FZ85" s="324"/>
      <c r="GA85" s="324"/>
      <c r="GB85" s="324"/>
      <c r="GC85" s="324"/>
      <c r="GD85" s="324"/>
      <c r="GE85" s="324"/>
      <c r="GF85" s="324"/>
      <c r="GG85" s="324"/>
      <c r="GH85" s="324"/>
      <c r="GI85" s="324"/>
      <c r="GJ85" s="324"/>
      <c r="GK85" s="324"/>
      <c r="GL85" s="324"/>
      <c r="GM85" s="324"/>
      <c r="GN85" s="324"/>
      <c r="GO85" s="324"/>
      <c r="GP85" s="324"/>
      <c r="GQ85" s="324"/>
      <c r="GR85" s="324"/>
      <c r="GS85" s="324"/>
      <c r="GT85" s="324"/>
      <c r="GU85" s="324"/>
      <c r="GV85" s="324"/>
      <c r="GW85" s="324"/>
      <c r="GX85" s="324"/>
    </row>
    <row r="86" customFormat="false" ht="15" hidden="false" customHeight="true" outlineLevel="0" collapsed="false">
      <c r="A86" s="285" t="n">
        <v>8735</v>
      </c>
      <c r="B86" s="285"/>
      <c r="C86" s="286" t="s">
        <v>284</v>
      </c>
      <c r="D86" s="287" t="s">
        <v>284</v>
      </c>
      <c r="E86" s="288" t="n">
        <f aca="false">IF(I86="regional",IF(R86*0.2975,S86*0.3484),S86*0.1939)</f>
        <v>83683.1681</v>
      </c>
      <c r="F86" s="288" t="n">
        <v>0</v>
      </c>
      <c r="G86" s="289" t="n">
        <f aca="false">E86+F86</f>
        <v>83683.1681</v>
      </c>
      <c r="H86" s="286"/>
      <c r="I86" s="287" t="s">
        <v>62</v>
      </c>
      <c r="J86" s="287" t="s">
        <v>49</v>
      </c>
      <c r="K86" s="287" t="s">
        <v>229</v>
      </c>
      <c r="L86" s="287"/>
      <c r="M86" s="317" t="n">
        <v>35</v>
      </c>
      <c r="N86" s="317" t="n">
        <v>0.996</v>
      </c>
      <c r="O86" s="317" t="n">
        <v>0.976</v>
      </c>
      <c r="P86" s="317" t="n">
        <v>0.992</v>
      </c>
      <c r="Q86" s="317" t="n">
        <v>0.826</v>
      </c>
      <c r="R86" s="317" t="n">
        <v>0</v>
      </c>
      <c r="S86" s="317" t="n">
        <v>431579</v>
      </c>
      <c r="T86" s="318" t="n">
        <f aca="false">IF(I86="regional",IF(R86&gt;0,R86*0.2975,S86*0.3484),S86*0.1939)</f>
        <v>83683.1681</v>
      </c>
      <c r="U86" s="317" t="n">
        <v>353962</v>
      </c>
      <c r="V86" s="317" t="n">
        <v>77617</v>
      </c>
      <c r="W86" s="317" t="n">
        <v>2400</v>
      </c>
      <c r="X86" s="317" t="n">
        <v>0</v>
      </c>
      <c r="Y86" s="317" t="n">
        <v>0</v>
      </c>
      <c r="Z86" s="317" t="n">
        <v>0</v>
      </c>
      <c r="AA86" s="317" t="n">
        <v>515262.1681</v>
      </c>
      <c r="AB86" s="317" t="n">
        <v>83683.1681</v>
      </c>
      <c r="AC86" s="317" t="n">
        <v>431579</v>
      </c>
      <c r="AD86" s="317" t="n">
        <v>0</v>
      </c>
      <c r="AE86" s="317" t="n">
        <v>0</v>
      </c>
      <c r="AF86" s="317" t="n">
        <v>0</v>
      </c>
      <c r="AG86" s="317" t="n">
        <v>431579</v>
      </c>
      <c r="AH86" s="317" t="n">
        <v>0</v>
      </c>
      <c r="AI86" s="317" t="n">
        <v>0</v>
      </c>
      <c r="AJ86" s="286" t="s">
        <v>707</v>
      </c>
      <c r="AK86" s="286" t="s">
        <v>714</v>
      </c>
      <c r="AL86" s="287" t="s">
        <v>62</v>
      </c>
      <c r="AM86" s="286"/>
      <c r="AN86" s="287" t="s">
        <v>284</v>
      </c>
      <c r="AO86" s="287" t="n">
        <v>83683.1681</v>
      </c>
      <c r="AP86" s="319" t="n">
        <f aca="false">AR86+AT86+AU86+AV86+AX86+AY86+AZ86+BD86+BF86+BG86+BH86+BJ86+BK86+(BL86+BM86+BN86)/1000+(0.1*BO86)</f>
        <v>34</v>
      </c>
      <c r="AQ86" s="319" t="n">
        <f aca="false">AR86+AT86+AU86+AV86+AX86+AY86+AZ86+BB86+BC86+BD86+BF86+BG86+BH86+BJ86+BK86+(BL86+BM86+BN86)/1000+(0.1*BO86)</f>
        <v>185</v>
      </c>
      <c r="AR86" s="285" t="n">
        <v>0</v>
      </c>
      <c r="AS86" s="285" t="n">
        <v>0</v>
      </c>
      <c r="AT86" s="285" t="n">
        <v>33</v>
      </c>
      <c r="AU86" s="285" t="n">
        <v>1</v>
      </c>
      <c r="AV86" s="285" t="n">
        <v>0</v>
      </c>
      <c r="AW86" s="285" t="n">
        <v>0</v>
      </c>
      <c r="AX86" s="285" t="n">
        <v>0</v>
      </c>
      <c r="AY86" s="285" t="n">
        <v>0</v>
      </c>
      <c r="AZ86" s="285" t="n">
        <v>0</v>
      </c>
      <c r="BA86" s="285" t="n">
        <v>-11</v>
      </c>
      <c r="BB86" s="285" t="n">
        <v>151</v>
      </c>
      <c r="BC86" s="285" t="n">
        <v>0</v>
      </c>
      <c r="BD86" s="285" t="n">
        <v>0</v>
      </c>
      <c r="BE86" s="285" t="n">
        <v>0</v>
      </c>
      <c r="BF86" s="285" t="n">
        <v>0</v>
      </c>
      <c r="BG86" s="285" t="n">
        <v>0</v>
      </c>
      <c r="BH86" s="285" t="n">
        <v>0</v>
      </c>
      <c r="BI86" s="285" t="n">
        <v>0</v>
      </c>
      <c r="BJ86" s="285" t="n">
        <v>0</v>
      </c>
      <c r="BK86" s="285" t="n">
        <v>0</v>
      </c>
      <c r="BL86" s="285" t="n">
        <v>0</v>
      </c>
      <c r="BM86" s="285" t="n">
        <v>0</v>
      </c>
      <c r="BN86" s="285" t="n">
        <v>0</v>
      </c>
      <c r="BO86" s="285" t="n">
        <v>0</v>
      </c>
      <c r="BR86" s="290" t="n">
        <f aca="false">AR86*1000/0.072</f>
        <v>0</v>
      </c>
      <c r="BS86" s="290" t="n">
        <f aca="false">AT86*1000/0.072</f>
        <v>458333.333333333</v>
      </c>
      <c r="BT86" s="290" t="n">
        <f aca="false">AU86*1000/0.072</f>
        <v>13888.8888888889</v>
      </c>
      <c r="BU86" s="290" t="n">
        <f aca="false">SUM(BR86:BT86)</f>
        <v>472222.222222222</v>
      </c>
      <c r="BV86" s="290" t="n">
        <f aca="false">AV86*1000/5</f>
        <v>0</v>
      </c>
      <c r="BW86" s="290" t="n">
        <f aca="false">AX86*1000/5</f>
        <v>0</v>
      </c>
      <c r="BX86" s="290" t="n">
        <f aca="false">AY86*1000/5</f>
        <v>0</v>
      </c>
      <c r="BY86" s="290" t="n">
        <f aca="false">SUM(BV86:BX86)</f>
        <v>0</v>
      </c>
      <c r="CA86" s="290" t="n">
        <f aca="false">IF($AM86="n",0,BR86)</f>
        <v>0</v>
      </c>
      <c r="CB86" s="290" t="n">
        <f aca="false">IF($AM86="n",0,BS86)</f>
        <v>458333.333333333</v>
      </c>
      <c r="CC86" s="290" t="n">
        <f aca="false">IF($AM86="n",0,BT86)</f>
        <v>13888.8888888889</v>
      </c>
      <c r="CD86" s="290" t="n">
        <f aca="false">SUM(CA86:CC86)</f>
        <v>472222.222222222</v>
      </c>
      <c r="CE86" s="290" t="n">
        <f aca="false">IF($AM$2="n",0,BV86)</f>
        <v>0</v>
      </c>
      <c r="CF86" s="290" t="n">
        <f aca="false">IF($AM$2="n",0,BW86)</f>
        <v>0</v>
      </c>
      <c r="CG86" s="290" t="n">
        <f aca="false">IF($AM$2="n",0,BX86)</f>
        <v>0</v>
      </c>
      <c r="CH86" s="290" t="n">
        <f aca="false">SUM(CE86:CG86)</f>
        <v>0</v>
      </c>
      <c r="CJ86" s="324"/>
      <c r="CK86" s="324"/>
      <c r="CL86" s="324"/>
      <c r="CM86" s="324"/>
      <c r="CN86" s="324"/>
      <c r="CO86" s="324"/>
      <c r="CP86" s="324"/>
      <c r="CQ86" s="324"/>
      <c r="CR86" s="324"/>
      <c r="CS86" s="324"/>
      <c r="CT86" s="324"/>
      <c r="CU86" s="324"/>
      <c r="CV86" s="324"/>
      <c r="CW86" s="324"/>
      <c r="CX86" s="324"/>
      <c r="CY86" s="324"/>
      <c r="CZ86" s="324"/>
      <c r="DA86" s="324"/>
      <c r="DB86" s="324"/>
      <c r="DC86" s="324"/>
      <c r="DD86" s="324"/>
      <c r="DE86" s="324"/>
      <c r="DF86" s="324"/>
      <c r="DG86" s="324"/>
      <c r="DH86" s="324"/>
      <c r="DI86" s="324"/>
      <c r="DJ86" s="324"/>
      <c r="DK86" s="324"/>
      <c r="DL86" s="324"/>
      <c r="DM86" s="324"/>
      <c r="DN86" s="324"/>
      <c r="DO86" s="324"/>
      <c r="DP86" s="324"/>
      <c r="DQ86" s="324"/>
      <c r="DR86" s="324"/>
      <c r="DS86" s="324"/>
      <c r="DT86" s="324"/>
      <c r="DU86" s="324"/>
      <c r="DV86" s="324"/>
      <c r="DW86" s="324"/>
      <c r="DX86" s="324"/>
      <c r="DY86" s="324"/>
      <c r="DZ86" s="324"/>
      <c r="EA86" s="324"/>
      <c r="EB86" s="324"/>
      <c r="EC86" s="324"/>
      <c r="ED86" s="324"/>
      <c r="EE86" s="324"/>
      <c r="EF86" s="324"/>
      <c r="EG86" s="324"/>
      <c r="EH86" s="324"/>
      <c r="EI86" s="324"/>
      <c r="EJ86" s="324"/>
      <c r="EK86" s="324"/>
      <c r="EL86" s="324"/>
      <c r="EM86" s="324"/>
      <c r="EN86" s="324"/>
      <c r="EO86" s="324"/>
      <c r="EP86" s="324"/>
      <c r="EQ86" s="324"/>
      <c r="ER86" s="324"/>
      <c r="ES86" s="324"/>
      <c r="ET86" s="324"/>
      <c r="EU86" s="324"/>
      <c r="EV86" s="324"/>
      <c r="EW86" s="324"/>
      <c r="EX86" s="324"/>
      <c r="EY86" s="324"/>
      <c r="EZ86" s="324"/>
      <c r="FA86" s="324"/>
      <c r="FB86" s="324"/>
      <c r="FC86" s="324"/>
      <c r="FD86" s="324"/>
      <c r="FE86" s="324"/>
      <c r="FF86" s="324"/>
      <c r="FG86" s="324"/>
      <c r="FH86" s="324"/>
      <c r="FI86" s="324"/>
      <c r="FJ86" s="324"/>
      <c r="FK86" s="324"/>
      <c r="FL86" s="324"/>
      <c r="FM86" s="324"/>
      <c r="FN86" s="324"/>
      <c r="FO86" s="324"/>
      <c r="FP86" s="324"/>
      <c r="FQ86" s="324"/>
      <c r="FR86" s="324"/>
      <c r="FS86" s="324"/>
      <c r="FT86" s="324"/>
      <c r="FU86" s="324"/>
      <c r="FV86" s="324"/>
      <c r="FW86" s="324"/>
      <c r="FX86" s="324"/>
      <c r="FY86" s="324"/>
      <c r="FZ86" s="324"/>
      <c r="GA86" s="324"/>
      <c r="GB86" s="324"/>
      <c r="GC86" s="324"/>
      <c r="GD86" s="324"/>
      <c r="GE86" s="324"/>
      <c r="GF86" s="324"/>
      <c r="GG86" s="324"/>
      <c r="GH86" s="324"/>
      <c r="GI86" s="324"/>
      <c r="GJ86" s="324"/>
      <c r="GK86" s="324"/>
      <c r="GL86" s="324"/>
      <c r="GM86" s="324"/>
      <c r="GN86" s="324"/>
      <c r="GO86" s="324"/>
      <c r="GP86" s="324"/>
      <c r="GQ86" s="324"/>
      <c r="GR86" s="324"/>
      <c r="GS86" s="324"/>
      <c r="GT86" s="324"/>
      <c r="GU86" s="324"/>
      <c r="GV86" s="324"/>
      <c r="GW86" s="324"/>
      <c r="GX86" s="324"/>
    </row>
    <row r="87" customFormat="false" ht="15" hidden="false" customHeight="true" outlineLevel="0" collapsed="false">
      <c r="A87" s="285" t="n">
        <v>1552</v>
      </c>
      <c r="B87" s="285" t="s">
        <v>44</v>
      </c>
      <c r="C87" s="286" t="s">
        <v>286</v>
      </c>
      <c r="D87" s="287" t="s">
        <v>286</v>
      </c>
      <c r="E87" s="288" t="n">
        <f aca="false">IF(I87="regional",IF(R87*0.2975,S87*0.3484),S87*0.1939)</f>
        <v>183178.6164</v>
      </c>
      <c r="F87" s="288" t="n">
        <v>0</v>
      </c>
      <c r="G87" s="289" t="n">
        <f aca="false">E87+F87</f>
        <v>183178.6164</v>
      </c>
      <c r="H87" s="286"/>
      <c r="I87" s="287" t="s">
        <v>48</v>
      </c>
      <c r="J87" s="287" t="s">
        <v>44</v>
      </c>
      <c r="K87" s="287" t="s">
        <v>289</v>
      </c>
      <c r="L87" s="287"/>
      <c r="M87" s="317" t="n">
        <v>92</v>
      </c>
      <c r="N87" s="317" t="n">
        <v>0.735</v>
      </c>
      <c r="O87" s="317" t="n">
        <v>0.718</v>
      </c>
      <c r="P87" s="317" t="n">
        <v>0.706</v>
      </c>
      <c r="Q87" s="317" t="n">
        <v>0.743</v>
      </c>
      <c r="R87" s="317" t="n">
        <v>616089</v>
      </c>
      <c r="S87" s="317" t="n">
        <v>525771</v>
      </c>
      <c r="T87" s="318" t="n">
        <f aca="false">IF(I87="regional",IF(R87&gt;0,R87*0.2975,S87*0.3484),S87*0.1939)</f>
        <v>183286.4775</v>
      </c>
      <c r="U87" s="317" t="n">
        <v>277665</v>
      </c>
      <c r="V87" s="317" t="n">
        <v>248106</v>
      </c>
      <c r="W87" s="317" t="n">
        <v>2472</v>
      </c>
      <c r="X87" s="317" t="n">
        <v>0</v>
      </c>
      <c r="Y87" s="317" t="n">
        <v>0</v>
      </c>
      <c r="Z87" s="317" t="n">
        <v>0</v>
      </c>
      <c r="AA87" s="317" t="n">
        <v>709057.4775</v>
      </c>
      <c r="AB87" s="317" t="n">
        <v>183286.4775</v>
      </c>
      <c r="AC87" s="317" t="n">
        <v>525771</v>
      </c>
      <c r="AD87" s="317" t="n">
        <v>0</v>
      </c>
      <c r="AE87" s="317" t="n">
        <v>0</v>
      </c>
      <c r="AF87" s="317" t="n">
        <v>525771</v>
      </c>
      <c r="AG87" s="317" t="n">
        <v>0</v>
      </c>
      <c r="AH87" s="317" t="n">
        <v>186000</v>
      </c>
      <c r="AI87" s="317" t="n">
        <v>221000</v>
      </c>
      <c r="AJ87" s="286" t="s">
        <v>707</v>
      </c>
      <c r="AK87" s="286" t="s">
        <v>729</v>
      </c>
      <c r="AL87" s="287" t="s">
        <v>48</v>
      </c>
      <c r="AM87" s="286"/>
      <c r="AN87" s="287" t="s">
        <v>286</v>
      </c>
      <c r="AO87" s="287" t="n">
        <v>183286.4775</v>
      </c>
      <c r="AP87" s="319" t="n">
        <f aca="false">AR87+AT87+AU87+AV87+AX87+AY87+AZ87+BD87+BF87+BG87+BH87+BJ87+BK87+(BL87+BM87+BN87)/1000+(0.1*BO87)</f>
        <v>102.846</v>
      </c>
      <c r="AQ87" s="319" t="n">
        <f aca="false">AR87+AT87+AU87+AV87+AX87+AY87+AZ87+BB87+BC87+BD87+BF87+BG87+BH87+BJ87+BK87+(BL87+BM87+BN87)/1000+(0.1*BO87)</f>
        <v>109.846</v>
      </c>
      <c r="AR87" s="285" t="n">
        <v>56</v>
      </c>
      <c r="AS87" s="285" t="n">
        <v>221</v>
      </c>
      <c r="AT87" s="285" t="n">
        <v>43</v>
      </c>
      <c r="AU87" s="285" t="n">
        <v>0</v>
      </c>
      <c r="AV87" s="285" t="n">
        <v>0</v>
      </c>
      <c r="AW87" s="285" t="n">
        <v>0</v>
      </c>
      <c r="AX87" s="285" t="n">
        <v>0</v>
      </c>
      <c r="AY87" s="285" t="n">
        <v>0</v>
      </c>
      <c r="AZ87" s="285" t="n">
        <v>0</v>
      </c>
      <c r="BA87" s="285" t="n">
        <v>7</v>
      </c>
      <c r="BB87" s="285" t="n">
        <v>7</v>
      </c>
      <c r="BC87" s="285" t="n">
        <v>0</v>
      </c>
      <c r="BD87" s="285" t="n">
        <v>0</v>
      </c>
      <c r="BE87" s="285" t="n">
        <v>0</v>
      </c>
      <c r="BF87" s="285" t="n">
        <v>0</v>
      </c>
      <c r="BG87" s="285" t="n">
        <v>0</v>
      </c>
      <c r="BH87" s="285" t="n">
        <v>0</v>
      </c>
      <c r="BI87" s="285" t="n">
        <v>0</v>
      </c>
      <c r="BJ87" s="285" t="n">
        <v>0</v>
      </c>
      <c r="BK87" s="285" t="n">
        <v>0</v>
      </c>
      <c r="BL87" s="285" t="n">
        <v>3846</v>
      </c>
      <c r="BM87" s="285" t="n">
        <v>0</v>
      </c>
      <c r="BN87" s="285" t="n">
        <v>0</v>
      </c>
      <c r="BO87" s="285" t="n">
        <v>0</v>
      </c>
      <c r="BR87" s="290" t="n">
        <f aca="false">AR87*1000/0.072</f>
        <v>777777.777777778</v>
      </c>
      <c r="BS87" s="290" t="n">
        <f aca="false">AT87*1000/0.072</f>
        <v>597222.222222222</v>
      </c>
      <c r="BT87" s="290" t="n">
        <f aca="false">AU87*1000/0.072</f>
        <v>0</v>
      </c>
      <c r="BU87" s="290" t="n">
        <f aca="false">SUM(BR87:BT87)</f>
        <v>1375000</v>
      </c>
      <c r="BV87" s="290" t="n">
        <f aca="false">AV87*1000/5</f>
        <v>0</v>
      </c>
      <c r="BW87" s="290" t="n">
        <f aca="false">AX87*1000/5</f>
        <v>0</v>
      </c>
      <c r="BX87" s="290" t="n">
        <f aca="false">AY87*1000/5</f>
        <v>0</v>
      </c>
      <c r="BY87" s="290" t="n">
        <f aca="false">SUM(BV87:BX87)</f>
        <v>0</v>
      </c>
      <c r="CA87" s="290" t="n">
        <f aca="false">IF($AM87="n",0,BR87)</f>
        <v>777777.777777778</v>
      </c>
      <c r="CB87" s="290" t="n">
        <f aca="false">IF($AM87="n",0,BS87)</f>
        <v>597222.222222222</v>
      </c>
      <c r="CC87" s="290" t="n">
        <f aca="false">IF($AM87="n",0,BT87)</f>
        <v>0</v>
      </c>
      <c r="CD87" s="290" t="n">
        <f aca="false">SUM(CA87:CC87)</f>
        <v>1375000</v>
      </c>
      <c r="CE87" s="290" t="n">
        <f aca="false">IF($AM$2="n",0,BV87)</f>
        <v>0</v>
      </c>
      <c r="CF87" s="290" t="n">
        <f aca="false">IF($AM$2="n",0,BW87)</f>
        <v>0</v>
      </c>
      <c r="CG87" s="290" t="n">
        <f aca="false">IF($AM$2="n",0,BX87)</f>
        <v>0</v>
      </c>
      <c r="CH87" s="290" t="n">
        <f aca="false">SUM(CE87:CG87)</f>
        <v>0</v>
      </c>
      <c r="CJ87" s="324"/>
      <c r="CK87" s="324"/>
      <c r="CL87" s="324"/>
      <c r="CM87" s="324"/>
      <c r="CN87" s="324"/>
      <c r="CO87" s="324"/>
      <c r="CP87" s="324"/>
      <c r="CQ87" s="324"/>
      <c r="CR87" s="324"/>
      <c r="CS87" s="324"/>
      <c r="CT87" s="324"/>
      <c r="CU87" s="324"/>
      <c r="CV87" s="324"/>
      <c r="CW87" s="324"/>
      <c r="CX87" s="324"/>
      <c r="CY87" s="324"/>
      <c r="CZ87" s="324"/>
      <c r="DA87" s="324"/>
      <c r="DB87" s="324"/>
      <c r="DC87" s="324"/>
      <c r="DD87" s="324"/>
      <c r="DE87" s="324"/>
      <c r="DF87" s="324"/>
      <c r="DG87" s="324"/>
      <c r="DH87" s="324"/>
      <c r="DI87" s="324"/>
      <c r="DJ87" s="324"/>
      <c r="DK87" s="324"/>
      <c r="DL87" s="324"/>
      <c r="DM87" s="324"/>
      <c r="DN87" s="324"/>
      <c r="DO87" s="324"/>
      <c r="DP87" s="324"/>
      <c r="DQ87" s="324"/>
      <c r="DR87" s="324"/>
      <c r="DS87" s="324"/>
      <c r="DT87" s="324"/>
      <c r="DU87" s="324"/>
      <c r="DV87" s="324"/>
      <c r="DW87" s="324"/>
      <c r="DX87" s="324"/>
      <c r="DY87" s="324"/>
      <c r="DZ87" s="324"/>
      <c r="EA87" s="324"/>
      <c r="EB87" s="324"/>
      <c r="EC87" s="324"/>
      <c r="ED87" s="324"/>
      <c r="EE87" s="324"/>
      <c r="EF87" s="324"/>
      <c r="EG87" s="324"/>
      <c r="EH87" s="324"/>
      <c r="EI87" s="324"/>
      <c r="EJ87" s="324"/>
      <c r="EK87" s="324"/>
      <c r="EL87" s="324"/>
      <c r="EM87" s="324"/>
      <c r="EN87" s="324"/>
      <c r="EO87" s="324"/>
      <c r="EP87" s="324"/>
      <c r="EQ87" s="324"/>
      <c r="ER87" s="324"/>
      <c r="ES87" s="324"/>
      <c r="ET87" s="324"/>
      <c r="EU87" s="324"/>
      <c r="EV87" s="324"/>
      <c r="EW87" s="324"/>
      <c r="EX87" s="324"/>
      <c r="EY87" s="324"/>
      <c r="EZ87" s="324"/>
      <c r="FA87" s="324"/>
      <c r="FB87" s="324"/>
      <c r="FC87" s="324"/>
      <c r="FD87" s="324"/>
      <c r="FE87" s="324"/>
      <c r="FF87" s="324"/>
      <c r="FG87" s="324"/>
      <c r="FH87" s="324"/>
      <c r="FI87" s="324"/>
      <c r="FJ87" s="324"/>
      <c r="FK87" s="324"/>
      <c r="FL87" s="324"/>
      <c r="FM87" s="324"/>
      <c r="FN87" s="324"/>
      <c r="FO87" s="324"/>
      <c r="FP87" s="324"/>
      <c r="FQ87" s="324"/>
      <c r="FR87" s="324"/>
      <c r="FS87" s="324"/>
      <c r="FT87" s="324"/>
      <c r="FU87" s="324"/>
      <c r="FV87" s="324"/>
      <c r="FW87" s="324"/>
      <c r="FX87" s="324"/>
      <c r="FY87" s="324"/>
      <c r="FZ87" s="324"/>
      <c r="GA87" s="324"/>
      <c r="GB87" s="324"/>
      <c r="GC87" s="324"/>
      <c r="GD87" s="324"/>
      <c r="GE87" s="324"/>
      <c r="GF87" s="324"/>
      <c r="GG87" s="324"/>
      <c r="GH87" s="324"/>
      <c r="GI87" s="324"/>
      <c r="GJ87" s="324"/>
      <c r="GK87" s="324"/>
      <c r="GL87" s="324"/>
      <c r="GM87" s="324"/>
      <c r="GN87" s="324"/>
      <c r="GO87" s="324"/>
      <c r="GP87" s="324"/>
      <c r="GQ87" s="324"/>
      <c r="GR87" s="324"/>
      <c r="GS87" s="324"/>
      <c r="GT87" s="324"/>
      <c r="GU87" s="324"/>
      <c r="GV87" s="324"/>
      <c r="GW87" s="324"/>
      <c r="GX87" s="324"/>
    </row>
    <row r="88" customFormat="false" ht="15" hidden="false" customHeight="true" outlineLevel="0" collapsed="false">
      <c r="A88" s="285" t="n">
        <v>1704</v>
      </c>
      <c r="B88" s="285" t="s">
        <v>44</v>
      </c>
      <c r="C88" s="286" t="s">
        <v>290</v>
      </c>
      <c r="D88" s="287" t="s">
        <v>290</v>
      </c>
      <c r="E88" s="288" t="n">
        <f aca="false">IF(I88="regional",IF(R88*0.2975,S88*0.3484),S88*0.1939)</f>
        <v>300459.4632</v>
      </c>
      <c r="F88" s="288" t="n">
        <v>787736</v>
      </c>
      <c r="G88" s="289" t="n">
        <f aca="false">E88+F88</f>
        <v>1088195.4632</v>
      </c>
      <c r="H88" s="286"/>
      <c r="I88" s="287" t="s">
        <v>48</v>
      </c>
      <c r="J88" s="287" t="s">
        <v>44</v>
      </c>
      <c r="K88" s="287" t="s">
        <v>292</v>
      </c>
      <c r="L88" s="287" t="s">
        <v>44</v>
      </c>
      <c r="M88" s="317" t="n">
        <v>100</v>
      </c>
      <c r="N88" s="317" t="n">
        <v>0.856</v>
      </c>
      <c r="O88" s="317" t="n">
        <v>0.863</v>
      </c>
      <c r="P88" s="317" t="n">
        <v>0.724</v>
      </c>
      <c r="Q88" s="317" t="n">
        <v>0.769</v>
      </c>
      <c r="R88" s="317" t="n">
        <v>1347605</v>
      </c>
      <c r="S88" s="317" t="n">
        <v>862398</v>
      </c>
      <c r="T88" s="318" t="n">
        <f aca="false">IF(I88="regional",IF(R88&gt;0,R88*0.2975,S88*0.3484),S88*0.1939)</f>
        <v>400912.4875</v>
      </c>
      <c r="U88" s="317" t="n">
        <v>471463</v>
      </c>
      <c r="V88" s="317" t="n">
        <v>390935</v>
      </c>
      <c r="W88" s="317" t="n">
        <v>4350</v>
      </c>
      <c r="X88" s="317" t="n">
        <v>1188648.488</v>
      </c>
      <c r="Y88" s="317" t="n">
        <v>400912.4875</v>
      </c>
      <c r="Z88" s="317" t="n">
        <v>787736</v>
      </c>
      <c r="AA88" s="317" t="n">
        <v>74662</v>
      </c>
      <c r="AB88" s="317" t="n">
        <v>0</v>
      </c>
      <c r="AC88" s="317" t="n">
        <v>74662</v>
      </c>
      <c r="AD88" s="317" t="n">
        <v>787736</v>
      </c>
      <c r="AE88" s="317" t="n">
        <v>0</v>
      </c>
      <c r="AF88" s="317" t="n">
        <v>74662</v>
      </c>
      <c r="AG88" s="317" t="n">
        <v>0</v>
      </c>
      <c r="AH88" s="317" t="n">
        <v>779000</v>
      </c>
      <c r="AI88" s="317" t="n">
        <v>461000</v>
      </c>
      <c r="AJ88" s="286" t="n">
        <v>4</v>
      </c>
      <c r="AK88" s="286" t="s">
        <v>706</v>
      </c>
      <c r="AL88" s="287" t="s">
        <v>48</v>
      </c>
      <c r="AM88" s="286"/>
      <c r="AN88" s="287" t="s">
        <v>290</v>
      </c>
      <c r="AO88" s="287" t="n">
        <v>1188648.4875</v>
      </c>
      <c r="AP88" s="319" t="n">
        <f aca="false">AR88+AT88+AU88+AV88+AX88+AY88+AZ88+BD88+BF88+BG88+BH88+BJ88+BK88+(BL88+BM88+BN88)/1000+(0.1*BO88)</f>
        <v>663.721</v>
      </c>
      <c r="AQ88" s="319" t="n">
        <f aca="false">AR88+AT88+AU88+AV88+AX88+AY88+AZ88+BB88+BC88+BD88+BF88+BG88+BH88+BJ88+BK88+(BL88+BM88+BN88)/1000+(0.1*BO88)</f>
        <v>665.721</v>
      </c>
      <c r="AR88" s="285" t="n">
        <v>218</v>
      </c>
      <c r="AS88" s="285" t="n">
        <v>461</v>
      </c>
      <c r="AT88" s="285" t="n">
        <v>148</v>
      </c>
      <c r="AU88" s="285" t="n">
        <v>24</v>
      </c>
      <c r="AV88" s="285" t="n">
        <v>0</v>
      </c>
      <c r="AW88" s="285" t="n">
        <v>0</v>
      </c>
      <c r="AX88" s="285" t="n">
        <v>0</v>
      </c>
      <c r="AY88" s="285" t="n">
        <v>0</v>
      </c>
      <c r="AZ88" s="285" t="n">
        <v>16</v>
      </c>
      <c r="BA88" s="285" t="n">
        <v>74</v>
      </c>
      <c r="BB88" s="285" t="n">
        <v>2</v>
      </c>
      <c r="BC88" s="285" t="n">
        <v>0</v>
      </c>
      <c r="BD88" s="285" t="n">
        <v>12</v>
      </c>
      <c r="BE88" s="285" t="n">
        <v>0</v>
      </c>
      <c r="BF88" s="285" t="n">
        <v>0</v>
      </c>
      <c r="BG88" s="285" t="n">
        <v>0</v>
      </c>
      <c r="BH88" s="285" t="n">
        <v>154</v>
      </c>
      <c r="BI88" s="285" t="n">
        <v>0</v>
      </c>
      <c r="BJ88" s="285" t="n">
        <v>0</v>
      </c>
      <c r="BK88" s="285" t="n">
        <v>0</v>
      </c>
      <c r="BL88" s="285" t="n">
        <v>0</v>
      </c>
      <c r="BM88" s="285" t="n">
        <v>0</v>
      </c>
      <c r="BN88" s="285" t="n">
        <v>0</v>
      </c>
      <c r="BO88" s="285" t="n">
        <v>917.21</v>
      </c>
      <c r="BR88" s="290" t="n">
        <f aca="false">AR88*1000/0.072</f>
        <v>3027777.77777778</v>
      </c>
      <c r="BS88" s="290" t="n">
        <f aca="false">AT88*1000/0.072</f>
        <v>2055555.55555556</v>
      </c>
      <c r="BT88" s="290" t="n">
        <f aca="false">AU88*1000/0.072</f>
        <v>333333.333333333</v>
      </c>
      <c r="BU88" s="290" t="n">
        <f aca="false">SUM(BR88:BT88)</f>
        <v>5416666.66666667</v>
      </c>
      <c r="BV88" s="290" t="n">
        <f aca="false">AV88*1000/5</f>
        <v>0</v>
      </c>
      <c r="BW88" s="290" t="n">
        <f aca="false">AX88*1000/5</f>
        <v>0</v>
      </c>
      <c r="BX88" s="290" t="n">
        <f aca="false">AY88*1000/5</f>
        <v>0</v>
      </c>
      <c r="BY88" s="290" t="n">
        <f aca="false">SUM(BV88:BX88)</f>
        <v>0</v>
      </c>
      <c r="CA88" s="290" t="n">
        <f aca="false">IF($AM88="n",0,BR88)</f>
        <v>3027777.77777778</v>
      </c>
      <c r="CB88" s="290" t="n">
        <f aca="false">IF($AM88="n",0,BS88)</f>
        <v>2055555.55555556</v>
      </c>
      <c r="CC88" s="290" t="n">
        <f aca="false">IF($AM88="n",0,BT88)</f>
        <v>333333.333333333</v>
      </c>
      <c r="CD88" s="290" t="n">
        <f aca="false">SUM(CA88:CC88)</f>
        <v>5416666.66666667</v>
      </c>
      <c r="CE88" s="290" t="n">
        <f aca="false">IF($AM$2="n",0,BV88)</f>
        <v>0</v>
      </c>
      <c r="CF88" s="290" t="n">
        <f aca="false">IF($AM$2="n",0,BW88)</f>
        <v>0</v>
      </c>
      <c r="CG88" s="290" t="n">
        <f aca="false">IF($AM$2="n",0,BX88)</f>
        <v>0</v>
      </c>
      <c r="CH88" s="290" t="n">
        <f aca="false">SUM(CE88:CG88)</f>
        <v>0</v>
      </c>
      <c r="CJ88" s="324"/>
      <c r="CK88" s="324"/>
      <c r="CL88" s="324"/>
      <c r="CM88" s="324"/>
      <c r="CN88" s="324"/>
      <c r="CO88" s="324"/>
      <c r="CP88" s="324"/>
      <c r="CQ88" s="324"/>
      <c r="CR88" s="324"/>
      <c r="CS88" s="324"/>
      <c r="CT88" s="324"/>
      <c r="CU88" s="324"/>
      <c r="CV88" s="324"/>
      <c r="CW88" s="324"/>
      <c r="CX88" s="324"/>
      <c r="CY88" s="324"/>
      <c r="CZ88" s="324"/>
      <c r="DA88" s="324"/>
      <c r="DB88" s="324"/>
      <c r="DC88" s="324"/>
      <c r="DD88" s="324"/>
      <c r="DE88" s="324"/>
      <c r="DF88" s="324"/>
      <c r="DG88" s="324"/>
      <c r="DH88" s="324"/>
      <c r="DI88" s="324"/>
      <c r="DJ88" s="324"/>
      <c r="DK88" s="324"/>
      <c r="DL88" s="324"/>
      <c r="DM88" s="324"/>
      <c r="DN88" s="324"/>
      <c r="DO88" s="324"/>
      <c r="DP88" s="324"/>
      <c r="DQ88" s="324"/>
      <c r="DR88" s="324"/>
      <c r="DS88" s="324"/>
      <c r="DT88" s="324"/>
      <c r="DU88" s="324"/>
      <c r="DV88" s="324"/>
      <c r="DW88" s="324"/>
      <c r="DX88" s="324"/>
      <c r="DY88" s="324"/>
      <c r="DZ88" s="324"/>
      <c r="EA88" s="324"/>
      <c r="EB88" s="324"/>
      <c r="EC88" s="324"/>
      <c r="ED88" s="324"/>
      <c r="EE88" s="324"/>
      <c r="EF88" s="324"/>
      <c r="EG88" s="324"/>
      <c r="EH88" s="324"/>
      <c r="EI88" s="324"/>
      <c r="EJ88" s="324"/>
      <c r="EK88" s="324"/>
      <c r="EL88" s="324"/>
      <c r="EM88" s="324"/>
      <c r="EN88" s="324"/>
      <c r="EO88" s="324"/>
      <c r="EP88" s="324"/>
      <c r="EQ88" s="324"/>
      <c r="ER88" s="324"/>
      <c r="ES88" s="324"/>
      <c r="ET88" s="324"/>
      <c r="EU88" s="324"/>
      <c r="EV88" s="324"/>
      <c r="EW88" s="324"/>
      <c r="EX88" s="324"/>
      <c r="EY88" s="324"/>
      <c r="EZ88" s="324"/>
      <c r="FA88" s="324"/>
      <c r="FB88" s="324"/>
      <c r="FC88" s="324"/>
      <c r="FD88" s="324"/>
      <c r="FE88" s="324"/>
      <c r="FF88" s="324"/>
      <c r="FG88" s="324"/>
      <c r="FH88" s="324"/>
      <c r="FI88" s="324"/>
      <c r="FJ88" s="324"/>
      <c r="FK88" s="324"/>
      <c r="FL88" s="324"/>
      <c r="FM88" s="324"/>
      <c r="FN88" s="324"/>
      <c r="FO88" s="324"/>
      <c r="FP88" s="324"/>
      <c r="FQ88" s="324"/>
      <c r="FR88" s="324"/>
      <c r="FS88" s="324"/>
      <c r="FT88" s="324"/>
      <c r="FU88" s="324"/>
      <c r="FV88" s="324"/>
      <c r="FW88" s="324"/>
      <c r="FX88" s="324"/>
      <c r="FY88" s="324"/>
      <c r="FZ88" s="324"/>
      <c r="GA88" s="324"/>
      <c r="GB88" s="324"/>
      <c r="GC88" s="324"/>
      <c r="GD88" s="324"/>
      <c r="GE88" s="324"/>
      <c r="GF88" s="324"/>
      <c r="GG88" s="324"/>
      <c r="GH88" s="324"/>
      <c r="GI88" s="324"/>
      <c r="GJ88" s="324"/>
      <c r="GK88" s="324"/>
      <c r="GL88" s="324"/>
      <c r="GM88" s="324"/>
      <c r="GN88" s="324"/>
      <c r="GO88" s="324"/>
      <c r="GP88" s="324"/>
      <c r="GQ88" s="324"/>
      <c r="GR88" s="324"/>
      <c r="GS88" s="324"/>
      <c r="GT88" s="324"/>
      <c r="GU88" s="324"/>
      <c r="GV88" s="324"/>
      <c r="GW88" s="324"/>
      <c r="GX88" s="324"/>
    </row>
    <row r="89" customFormat="false" ht="15" hidden="false" customHeight="true" outlineLevel="0" collapsed="false">
      <c r="A89" s="285" t="n">
        <v>8807</v>
      </c>
      <c r="B89" s="285"/>
      <c r="C89" s="286" t="s">
        <v>293</v>
      </c>
      <c r="D89" s="287" t="s">
        <v>293</v>
      </c>
      <c r="E89" s="288" t="n">
        <f aca="false">IF(I89="regional",IF(R89*0.2975,S89*0.3484),S89*0.1939)</f>
        <v>51102.345</v>
      </c>
      <c r="F89" s="288" t="n">
        <v>0</v>
      </c>
      <c r="G89" s="289" t="n">
        <f aca="false">E89+F89</f>
        <v>51102.345</v>
      </c>
      <c r="H89" s="286" t="s">
        <v>49</v>
      </c>
      <c r="I89" s="287" t="s">
        <v>62</v>
      </c>
      <c r="J89" s="287"/>
      <c r="K89" s="287" t="s">
        <v>295</v>
      </c>
      <c r="L89" s="287"/>
      <c r="M89" s="317" t="n">
        <v>0</v>
      </c>
      <c r="N89" s="317" t="n">
        <v>0.984</v>
      </c>
      <c r="O89" s="317" t="n">
        <v>0.984</v>
      </c>
      <c r="P89" s="317" t="n">
        <v>0.97</v>
      </c>
      <c r="Q89" s="317" t="n">
        <v>0.826</v>
      </c>
      <c r="R89" s="317" t="n">
        <v>0</v>
      </c>
      <c r="S89" s="317" t="n">
        <v>263550</v>
      </c>
      <c r="T89" s="318" t="n">
        <f aca="false">IF(I89="regional",IF(R89&gt;0,R89*0.2975,S89*0.3484),S89*0.1939)</f>
        <v>51102.345</v>
      </c>
      <c r="U89" s="317" t="n">
        <v>253782</v>
      </c>
      <c r="V89" s="317" t="n">
        <v>9768</v>
      </c>
      <c r="W89" s="317" t="n">
        <v>0</v>
      </c>
      <c r="X89" s="317" t="n">
        <v>0</v>
      </c>
      <c r="Y89" s="317" t="n">
        <v>0</v>
      </c>
      <c r="Z89" s="317" t="n">
        <v>0</v>
      </c>
      <c r="AA89" s="317" t="n">
        <v>314652.345</v>
      </c>
      <c r="AB89" s="317" t="n">
        <v>51102.345</v>
      </c>
      <c r="AC89" s="317" t="n">
        <v>263550</v>
      </c>
      <c r="AD89" s="317" t="n">
        <v>0</v>
      </c>
      <c r="AE89" s="317" t="n">
        <v>0</v>
      </c>
      <c r="AF89" s="317" t="n">
        <v>0</v>
      </c>
      <c r="AG89" s="317" t="n">
        <v>263550</v>
      </c>
      <c r="AH89" s="317" t="n">
        <v>0</v>
      </c>
      <c r="AI89" s="317" t="n">
        <v>0</v>
      </c>
      <c r="AJ89" s="286" t="s">
        <v>707</v>
      </c>
      <c r="AK89" s="286" t="s">
        <v>714</v>
      </c>
      <c r="AL89" s="287" t="s">
        <v>62</v>
      </c>
      <c r="AM89" s="286" t="s">
        <v>49</v>
      </c>
      <c r="AN89" s="287" t="s">
        <v>293</v>
      </c>
      <c r="AO89" s="287" t="n">
        <v>51102.345</v>
      </c>
      <c r="AP89" s="319" t="n">
        <f aca="false">AR89+AT89+AU89+AV89+AX89+AY89+AZ89+BD89+BF89+BG89+BH89+BJ89+BK89+(BL89+BM89+BN89)/1000+(0.1*BO89)</f>
        <v>8</v>
      </c>
      <c r="AQ89" s="319" t="n">
        <f aca="false">AR89+AT89+AU89+AV89+AX89+AY89+AZ89+BB89+BC89+BD89+BF89+BG89+BH89+BJ89+BK89+(BL89+BM89+BN89)/1000+(0.1*BO89)</f>
        <v>8</v>
      </c>
      <c r="AR89" s="285" t="n">
        <v>0</v>
      </c>
      <c r="AS89" s="285" t="n">
        <v>0</v>
      </c>
      <c r="AT89" s="285" t="n">
        <v>8</v>
      </c>
      <c r="AU89" s="285" t="n">
        <v>0</v>
      </c>
      <c r="AV89" s="285" t="n">
        <v>0</v>
      </c>
      <c r="AW89" s="285" t="n">
        <v>0</v>
      </c>
      <c r="AX89" s="285" t="n">
        <v>0</v>
      </c>
      <c r="AY89" s="285" t="n">
        <v>0</v>
      </c>
      <c r="AZ89" s="285" t="n">
        <v>0</v>
      </c>
      <c r="BA89" s="285" t="n">
        <v>0</v>
      </c>
      <c r="BB89" s="285" t="n">
        <v>0</v>
      </c>
      <c r="BC89" s="285" t="n">
        <v>0</v>
      </c>
      <c r="BD89" s="285" t="n">
        <v>0</v>
      </c>
      <c r="BE89" s="285" t="n">
        <v>0</v>
      </c>
      <c r="BF89" s="285" t="n">
        <v>0</v>
      </c>
      <c r="BG89" s="285" t="n">
        <v>0</v>
      </c>
      <c r="BH89" s="285" t="n">
        <v>0</v>
      </c>
      <c r="BI89" s="285" t="n">
        <v>0</v>
      </c>
      <c r="BJ89" s="285" t="n">
        <v>0</v>
      </c>
      <c r="BK89" s="285" t="n">
        <v>0</v>
      </c>
      <c r="BL89" s="285" t="n">
        <v>0</v>
      </c>
      <c r="BM89" s="285" t="n">
        <v>0</v>
      </c>
      <c r="BN89" s="285" t="n">
        <v>0</v>
      </c>
      <c r="BO89" s="285" t="n">
        <v>0</v>
      </c>
      <c r="BR89" s="290" t="n">
        <f aca="false">AR89*1000/0.072</f>
        <v>0</v>
      </c>
      <c r="BS89" s="290" t="n">
        <f aca="false">AT89*1000/0.072</f>
        <v>111111.111111111</v>
      </c>
      <c r="BT89" s="290" t="n">
        <f aca="false">AU89*1000/0.072</f>
        <v>0</v>
      </c>
      <c r="BU89" s="290" t="n">
        <f aca="false">SUM(BR89:BT89)</f>
        <v>111111.111111111</v>
      </c>
      <c r="BV89" s="290" t="n">
        <f aca="false">AV89*1000/5</f>
        <v>0</v>
      </c>
      <c r="BW89" s="290" t="n">
        <f aca="false">AX89*1000/5</f>
        <v>0</v>
      </c>
      <c r="BX89" s="290" t="n">
        <f aca="false">AY89*1000/5</f>
        <v>0</v>
      </c>
      <c r="BY89" s="290" t="n">
        <f aca="false">SUM(BV89:BX89)</f>
        <v>0</v>
      </c>
      <c r="CA89" s="290" t="n">
        <f aca="false">IF($AM89="n",0,BR89)</f>
        <v>0</v>
      </c>
      <c r="CB89" s="290" t="n">
        <f aca="false">IF($AM89="n",0,BS89)</f>
        <v>0</v>
      </c>
      <c r="CC89" s="290" t="n">
        <f aca="false">IF($AM89="n",0,BT89)</f>
        <v>0</v>
      </c>
      <c r="CD89" s="290" t="n">
        <f aca="false">SUM(CA89:CC89)</f>
        <v>0</v>
      </c>
      <c r="CE89" s="290" t="n">
        <f aca="false">IF($AM$2="n",0,BV89)</f>
        <v>0</v>
      </c>
      <c r="CF89" s="290" t="n">
        <f aca="false">IF($AM$2="n",0,BW89)</f>
        <v>0</v>
      </c>
      <c r="CG89" s="290" t="n">
        <f aca="false">IF($AM$2="n",0,BX89)</f>
        <v>0</v>
      </c>
      <c r="CH89" s="290" t="n">
        <f aca="false">SUM(CE89:CG89)</f>
        <v>0</v>
      </c>
      <c r="CJ89" s="324"/>
      <c r="CK89" s="324"/>
      <c r="CL89" s="324"/>
      <c r="CM89" s="324"/>
      <c r="CN89" s="324"/>
      <c r="CO89" s="324"/>
      <c r="CP89" s="324"/>
      <c r="CQ89" s="324"/>
      <c r="CR89" s="324"/>
      <c r="CS89" s="324"/>
      <c r="CT89" s="324"/>
      <c r="CU89" s="324"/>
      <c r="CV89" s="324"/>
      <c r="CW89" s="324"/>
      <c r="CX89" s="324"/>
      <c r="CY89" s="324"/>
      <c r="CZ89" s="324"/>
      <c r="DA89" s="324"/>
      <c r="DB89" s="324"/>
      <c r="DC89" s="324"/>
      <c r="DD89" s="324"/>
      <c r="DE89" s="324"/>
      <c r="DF89" s="324"/>
      <c r="DG89" s="324"/>
      <c r="DH89" s="324"/>
      <c r="DI89" s="324"/>
      <c r="DJ89" s="324"/>
      <c r="DK89" s="324"/>
      <c r="DL89" s="324"/>
      <c r="DM89" s="324"/>
      <c r="DN89" s="324"/>
      <c r="DO89" s="324"/>
      <c r="DP89" s="324"/>
      <c r="DQ89" s="324"/>
      <c r="DR89" s="324"/>
      <c r="DS89" s="324"/>
      <c r="DT89" s="324"/>
      <c r="DU89" s="324"/>
      <c r="DV89" s="324"/>
      <c r="DW89" s="324"/>
      <c r="DX89" s="324"/>
      <c r="DY89" s="324"/>
      <c r="DZ89" s="324"/>
      <c r="EA89" s="324"/>
      <c r="EB89" s="324"/>
      <c r="EC89" s="324"/>
      <c r="ED89" s="324"/>
      <c r="EE89" s="324"/>
      <c r="EF89" s="324"/>
      <c r="EG89" s="324"/>
      <c r="EH89" s="324"/>
      <c r="EI89" s="324"/>
      <c r="EJ89" s="324"/>
      <c r="EK89" s="324"/>
      <c r="EL89" s="324"/>
      <c r="EM89" s="324"/>
      <c r="EN89" s="324"/>
      <c r="EO89" s="324"/>
      <c r="EP89" s="324"/>
      <c r="EQ89" s="324"/>
      <c r="ER89" s="324"/>
      <c r="ES89" s="324"/>
      <c r="ET89" s="324"/>
      <c r="EU89" s="324"/>
      <c r="EV89" s="324"/>
      <c r="EW89" s="324"/>
      <c r="EX89" s="324"/>
      <c r="EY89" s="324"/>
      <c r="EZ89" s="324"/>
      <c r="FA89" s="324"/>
      <c r="FB89" s="324"/>
      <c r="FC89" s="324"/>
      <c r="FD89" s="324"/>
      <c r="FE89" s="324"/>
      <c r="FF89" s="324"/>
      <c r="FG89" s="324"/>
      <c r="FH89" s="324"/>
      <c r="FI89" s="324"/>
      <c r="FJ89" s="324"/>
      <c r="FK89" s="324"/>
      <c r="FL89" s="324"/>
      <c r="FM89" s="324"/>
      <c r="FN89" s="324"/>
      <c r="FO89" s="324"/>
      <c r="FP89" s="324"/>
      <c r="FQ89" s="324"/>
      <c r="FR89" s="324"/>
      <c r="FS89" s="324"/>
      <c r="FT89" s="324"/>
      <c r="FU89" s="324"/>
      <c r="FV89" s="324"/>
      <c r="FW89" s="324"/>
      <c r="FX89" s="324"/>
      <c r="FY89" s="324"/>
      <c r="FZ89" s="324"/>
      <c r="GA89" s="324"/>
      <c r="GB89" s="324"/>
      <c r="GC89" s="324"/>
      <c r="GD89" s="324"/>
      <c r="GE89" s="324"/>
      <c r="GF89" s="324"/>
      <c r="GG89" s="324"/>
      <c r="GH89" s="324"/>
      <c r="GI89" s="324"/>
      <c r="GJ89" s="324"/>
      <c r="GK89" s="324"/>
      <c r="GL89" s="324"/>
      <c r="GM89" s="324"/>
      <c r="GN89" s="324"/>
      <c r="GO89" s="324"/>
      <c r="GP89" s="324"/>
      <c r="GQ89" s="324"/>
      <c r="GR89" s="324"/>
      <c r="GS89" s="324"/>
      <c r="GT89" s="324"/>
      <c r="GU89" s="324"/>
      <c r="GV89" s="324"/>
      <c r="GW89" s="324"/>
      <c r="GX89" s="324"/>
    </row>
    <row r="90" customFormat="false" ht="15" hidden="false" customHeight="true" outlineLevel="0" collapsed="false">
      <c r="A90" s="285" t="n">
        <v>8808</v>
      </c>
      <c r="B90" s="285" t="s">
        <v>44</v>
      </c>
      <c r="C90" s="286" t="s">
        <v>296</v>
      </c>
      <c r="D90" s="287" t="s">
        <v>296</v>
      </c>
      <c r="E90" s="288" t="n">
        <f aca="false">IF(I90="regional",IF(R90*0.2975,S90*0.3484),S90*0.1939)</f>
        <v>261640.7352</v>
      </c>
      <c r="F90" s="288" t="n">
        <v>0</v>
      </c>
      <c r="G90" s="289" t="n">
        <f aca="false">E90+F90</f>
        <v>261640.7352</v>
      </c>
      <c r="H90" s="286" t="s">
        <v>49</v>
      </c>
      <c r="I90" s="287" t="s">
        <v>48</v>
      </c>
      <c r="J90" s="287" t="s">
        <v>44</v>
      </c>
      <c r="K90" s="287" t="s">
        <v>295</v>
      </c>
      <c r="L90" s="287"/>
      <c r="M90" s="317" t="n">
        <v>106</v>
      </c>
      <c r="N90" s="317" t="n">
        <v>0.866</v>
      </c>
      <c r="O90" s="317" t="n">
        <v>0.866</v>
      </c>
      <c r="P90" s="317" t="n">
        <v>0.819</v>
      </c>
      <c r="Q90" s="317" t="n">
        <v>0.781</v>
      </c>
      <c r="R90" s="317" t="n">
        <v>701772</v>
      </c>
      <c r="S90" s="317" t="n">
        <v>750978</v>
      </c>
      <c r="T90" s="318" t="n">
        <f aca="false">IF(I90="regional",IF(R90&gt;0,R90*0.2975,S90*0.3484),S90*0.1939)</f>
        <v>208777.17</v>
      </c>
      <c r="U90" s="317" t="n">
        <v>447346</v>
      </c>
      <c r="V90" s="317" t="n">
        <v>303632</v>
      </c>
      <c r="W90" s="317" t="n">
        <v>2758</v>
      </c>
      <c r="X90" s="317" t="n">
        <v>0</v>
      </c>
      <c r="Y90" s="317" t="n">
        <v>0</v>
      </c>
      <c r="Z90" s="317" t="n">
        <v>0</v>
      </c>
      <c r="AA90" s="317" t="n">
        <v>959755.17</v>
      </c>
      <c r="AB90" s="317" t="n">
        <v>208777.17</v>
      </c>
      <c r="AC90" s="317" t="n">
        <v>750978</v>
      </c>
      <c r="AD90" s="317" t="n">
        <v>0</v>
      </c>
      <c r="AE90" s="317" t="n">
        <v>0</v>
      </c>
      <c r="AF90" s="317" t="n">
        <v>750978</v>
      </c>
      <c r="AG90" s="317" t="n">
        <v>0</v>
      </c>
      <c r="AH90" s="317" t="n">
        <v>553000</v>
      </c>
      <c r="AI90" s="317" t="n">
        <v>583000</v>
      </c>
      <c r="AJ90" s="286" t="s">
        <v>707</v>
      </c>
      <c r="AK90" s="286" t="s">
        <v>714</v>
      </c>
      <c r="AL90" s="287" t="s">
        <v>48</v>
      </c>
      <c r="AM90" s="286" t="s">
        <v>49</v>
      </c>
      <c r="AN90" s="287" t="s">
        <v>296</v>
      </c>
      <c r="AO90" s="287" t="n">
        <v>208777.17</v>
      </c>
      <c r="AP90" s="319" t="n">
        <f aca="false">AR90+AT90+AU90+AV90+AX90+AY90+AZ90+BD90+BF90+BG90+BH90+BJ90+BK90+(BL90+BM90+BN90)/1000+(0.1*BO90)</f>
        <v>632.8432</v>
      </c>
      <c r="AQ90" s="319" t="n">
        <f aca="false">AR90+AT90+AU90+AV90+AX90+AY90+AZ90+BB90+BC90+BD90+BF90+BG90+BH90+BJ90+BK90+(BL90+BM90+BN90)/1000+(0.1*BO90)</f>
        <v>673.8432</v>
      </c>
      <c r="AR90" s="285" t="n">
        <v>280</v>
      </c>
      <c r="AS90" s="285" t="n">
        <v>583</v>
      </c>
      <c r="AT90" s="285" t="n">
        <v>288</v>
      </c>
      <c r="AU90" s="285" t="n">
        <v>0</v>
      </c>
      <c r="AV90" s="285" t="n">
        <v>0</v>
      </c>
      <c r="AW90" s="285" t="n">
        <v>0</v>
      </c>
      <c r="AX90" s="285" t="n">
        <v>0</v>
      </c>
      <c r="AY90" s="285" t="n">
        <v>0</v>
      </c>
      <c r="AZ90" s="285" t="n">
        <v>0</v>
      </c>
      <c r="BA90" s="285" t="n">
        <v>0</v>
      </c>
      <c r="BB90" s="285" t="n">
        <v>38</v>
      </c>
      <c r="BC90" s="285" t="n">
        <v>3</v>
      </c>
      <c r="BD90" s="285" t="n">
        <v>1</v>
      </c>
      <c r="BE90" s="285" t="n">
        <v>0</v>
      </c>
      <c r="BF90" s="285" t="n">
        <v>0</v>
      </c>
      <c r="BG90" s="285" t="n">
        <v>0</v>
      </c>
      <c r="BH90" s="285" t="n">
        <v>3</v>
      </c>
      <c r="BI90" s="285" t="n">
        <v>0</v>
      </c>
      <c r="BJ90" s="285" t="n">
        <v>0</v>
      </c>
      <c r="BK90" s="285" t="n">
        <v>0</v>
      </c>
      <c r="BL90" s="285" t="n">
        <v>0</v>
      </c>
      <c r="BM90" s="285" t="n">
        <v>0</v>
      </c>
      <c r="BN90" s="285" t="n">
        <v>0</v>
      </c>
      <c r="BO90" s="285" t="n">
        <v>608.432</v>
      </c>
      <c r="BR90" s="290" t="n">
        <f aca="false">AR90*1000/0.072</f>
        <v>3888888.88888889</v>
      </c>
      <c r="BS90" s="290" t="n">
        <f aca="false">AT90*1000/0.072</f>
        <v>4000000</v>
      </c>
      <c r="BT90" s="290" t="n">
        <f aca="false">AU90*1000/0.072</f>
        <v>0</v>
      </c>
      <c r="BU90" s="290" t="n">
        <f aca="false">SUM(BR90:BT90)</f>
        <v>7888888.88888889</v>
      </c>
      <c r="BV90" s="290" t="n">
        <f aca="false">AV90*1000/5</f>
        <v>0</v>
      </c>
      <c r="BW90" s="290" t="n">
        <f aca="false">AX90*1000/5</f>
        <v>0</v>
      </c>
      <c r="BX90" s="290" t="n">
        <f aca="false">AY90*1000/5</f>
        <v>0</v>
      </c>
      <c r="BY90" s="290" t="n">
        <f aca="false">SUM(BV90:BX90)</f>
        <v>0</v>
      </c>
      <c r="CA90" s="290" t="n">
        <f aca="false">IF($AM90="n",0,BR90)</f>
        <v>0</v>
      </c>
      <c r="CB90" s="290" t="n">
        <f aca="false">IF($AM90="n",0,BS90)</f>
        <v>0</v>
      </c>
      <c r="CC90" s="290" t="n">
        <f aca="false">IF($AM90="n",0,BT90)</f>
        <v>0</v>
      </c>
      <c r="CD90" s="290" t="n">
        <f aca="false">SUM(CA90:CC90)</f>
        <v>0</v>
      </c>
      <c r="CE90" s="290" t="n">
        <f aca="false">IF($AM$2="n",0,BV90)</f>
        <v>0</v>
      </c>
      <c r="CF90" s="290" t="n">
        <f aca="false">IF($AM$2="n",0,BW90)</f>
        <v>0</v>
      </c>
      <c r="CG90" s="290" t="n">
        <f aca="false">IF($AM$2="n",0,BX90)</f>
        <v>0</v>
      </c>
      <c r="CH90" s="290" t="n">
        <f aca="false">SUM(CE90:CG90)</f>
        <v>0</v>
      </c>
      <c r="CJ90" s="324"/>
      <c r="CK90" s="324"/>
      <c r="CL90" s="324"/>
      <c r="CM90" s="324"/>
      <c r="CN90" s="324"/>
      <c r="CO90" s="324"/>
      <c r="CP90" s="324"/>
      <c r="CQ90" s="324"/>
      <c r="CR90" s="324"/>
      <c r="CS90" s="324"/>
      <c r="CT90" s="324"/>
      <c r="CU90" s="324"/>
      <c r="CV90" s="324"/>
      <c r="CW90" s="324"/>
      <c r="CX90" s="324"/>
      <c r="CY90" s="324"/>
      <c r="CZ90" s="324"/>
      <c r="DA90" s="324"/>
      <c r="DB90" s="324"/>
      <c r="DC90" s="324"/>
      <c r="DD90" s="324"/>
      <c r="DE90" s="324"/>
      <c r="DF90" s="324"/>
      <c r="DG90" s="324"/>
      <c r="DH90" s="324"/>
      <c r="DI90" s="324"/>
      <c r="DJ90" s="324"/>
      <c r="DK90" s="324"/>
      <c r="DL90" s="324"/>
      <c r="DM90" s="324"/>
      <c r="DN90" s="324"/>
      <c r="DO90" s="324"/>
      <c r="DP90" s="324"/>
      <c r="DQ90" s="324"/>
      <c r="DR90" s="324"/>
      <c r="DS90" s="324"/>
      <c r="DT90" s="324"/>
      <c r="DU90" s="324"/>
      <c r="DV90" s="324"/>
      <c r="DW90" s="324"/>
      <c r="DX90" s="324"/>
      <c r="DY90" s="324"/>
      <c r="DZ90" s="324"/>
      <c r="EA90" s="324"/>
      <c r="EB90" s="324"/>
      <c r="EC90" s="324"/>
      <c r="ED90" s="324"/>
      <c r="EE90" s="324"/>
      <c r="EF90" s="324"/>
      <c r="EG90" s="324"/>
      <c r="EH90" s="324"/>
      <c r="EI90" s="324"/>
      <c r="EJ90" s="324"/>
      <c r="EK90" s="324"/>
      <c r="EL90" s="324"/>
      <c r="EM90" s="324"/>
      <c r="EN90" s="324"/>
      <c r="EO90" s="324"/>
      <c r="EP90" s="324"/>
      <c r="EQ90" s="324"/>
      <c r="ER90" s="324"/>
      <c r="ES90" s="324"/>
      <c r="ET90" s="324"/>
      <c r="EU90" s="324"/>
      <c r="EV90" s="324"/>
      <c r="EW90" s="324"/>
      <c r="EX90" s="324"/>
      <c r="EY90" s="324"/>
      <c r="EZ90" s="324"/>
      <c r="FA90" s="324"/>
      <c r="FB90" s="324"/>
      <c r="FC90" s="324"/>
      <c r="FD90" s="324"/>
      <c r="FE90" s="324"/>
      <c r="FF90" s="324"/>
      <c r="FG90" s="324"/>
      <c r="FH90" s="324"/>
      <c r="FI90" s="324"/>
      <c r="FJ90" s="324"/>
      <c r="FK90" s="324"/>
      <c r="FL90" s="324"/>
      <c r="FM90" s="324"/>
      <c r="FN90" s="324"/>
      <c r="FO90" s="324"/>
      <c r="FP90" s="324"/>
      <c r="FQ90" s="324"/>
      <c r="FR90" s="324"/>
      <c r="FS90" s="324"/>
      <c r="FT90" s="324"/>
      <c r="FU90" s="324"/>
      <c r="FV90" s="324"/>
      <c r="FW90" s="324"/>
      <c r="FX90" s="324"/>
      <c r="FY90" s="324"/>
      <c r="FZ90" s="324"/>
      <c r="GA90" s="324"/>
      <c r="GB90" s="324"/>
      <c r="GC90" s="324"/>
      <c r="GD90" s="324"/>
      <c r="GE90" s="324"/>
      <c r="GF90" s="324"/>
      <c r="GG90" s="324"/>
      <c r="GH90" s="324"/>
      <c r="GI90" s="324"/>
      <c r="GJ90" s="324"/>
      <c r="GK90" s="324"/>
      <c r="GL90" s="324"/>
      <c r="GM90" s="324"/>
      <c r="GN90" s="324"/>
      <c r="GO90" s="324"/>
      <c r="GP90" s="324"/>
      <c r="GQ90" s="324"/>
      <c r="GR90" s="324"/>
      <c r="GS90" s="324"/>
      <c r="GT90" s="324"/>
      <c r="GU90" s="324"/>
      <c r="GV90" s="324"/>
      <c r="GW90" s="324"/>
      <c r="GX90" s="324"/>
    </row>
    <row r="91" customFormat="false" ht="15" hidden="false" customHeight="true" outlineLevel="0" collapsed="false">
      <c r="A91" s="285" t="n">
        <v>1711</v>
      </c>
      <c r="B91" s="285" t="s">
        <v>44</v>
      </c>
      <c r="C91" s="286" t="s">
        <v>297</v>
      </c>
      <c r="D91" s="287" t="s">
        <v>297</v>
      </c>
      <c r="E91" s="288" t="n">
        <f aca="false">IF(I91="regional",IF(R91*0.2975,S91*0.3484),S91*0.1939)</f>
        <v>392699.06</v>
      </c>
      <c r="F91" s="288" t="n">
        <v>546597</v>
      </c>
      <c r="G91" s="289" t="n">
        <f aca="false">E91+F91</f>
        <v>939296.06</v>
      </c>
      <c r="H91" s="286"/>
      <c r="I91" s="287" t="s">
        <v>48</v>
      </c>
      <c r="J91" s="287" t="s">
        <v>44</v>
      </c>
      <c r="K91" s="287" t="s">
        <v>299</v>
      </c>
      <c r="L91" s="287" t="s">
        <v>44</v>
      </c>
      <c r="M91" s="317" t="n">
        <v>159</v>
      </c>
      <c r="N91" s="317" t="n">
        <v>0.897</v>
      </c>
      <c r="O91" s="317" t="n">
        <v>0.912</v>
      </c>
      <c r="P91" s="317" t="n">
        <v>0.9</v>
      </c>
      <c r="Q91" s="317" t="n">
        <v>0.893</v>
      </c>
      <c r="R91" s="317" t="n">
        <v>1357308</v>
      </c>
      <c r="S91" s="317" t="n">
        <v>1127150</v>
      </c>
      <c r="T91" s="318" t="n">
        <f aca="false">IF(I91="regional",IF(R91&gt;0,R91*0.2975,S91*0.3484),S91*0.1939)</f>
        <v>403799.13</v>
      </c>
      <c r="U91" s="317" t="n">
        <v>751704</v>
      </c>
      <c r="V91" s="317" t="n">
        <v>375446</v>
      </c>
      <c r="W91" s="317" t="n">
        <v>5000</v>
      </c>
      <c r="X91" s="317" t="n">
        <v>950396.13</v>
      </c>
      <c r="Y91" s="317" t="n">
        <v>403799.13</v>
      </c>
      <c r="Z91" s="317" t="n">
        <v>546597</v>
      </c>
      <c r="AA91" s="317" t="n">
        <v>580553</v>
      </c>
      <c r="AB91" s="317" t="n">
        <v>0</v>
      </c>
      <c r="AC91" s="317" t="n">
        <v>580553</v>
      </c>
      <c r="AD91" s="317" t="n">
        <v>546597</v>
      </c>
      <c r="AE91" s="317" t="n">
        <v>0</v>
      </c>
      <c r="AF91" s="317" t="n">
        <v>580553</v>
      </c>
      <c r="AG91" s="317" t="n">
        <v>0</v>
      </c>
      <c r="AH91" s="317" t="n">
        <v>621000</v>
      </c>
      <c r="AI91" s="317" t="n">
        <v>558000</v>
      </c>
      <c r="AJ91" s="286" t="s">
        <v>707</v>
      </c>
      <c r="AK91" s="286" t="s">
        <v>708</v>
      </c>
      <c r="AL91" s="287" t="s">
        <v>48</v>
      </c>
      <c r="AM91" s="286"/>
      <c r="AN91" s="287" t="s">
        <v>297</v>
      </c>
      <c r="AO91" s="287" t="n">
        <v>950396.13</v>
      </c>
      <c r="AP91" s="319" t="n">
        <f aca="false">AR91+AT91+AU91+AV91+AX91+AY91+AZ91+BD91+BF91+BG91+BH91+BJ91+BK91+(BL91+BM91+BN91)/1000+(0.1*BO91)</f>
        <v>519.9007</v>
      </c>
      <c r="AQ91" s="319" t="n">
        <f aca="false">AR91+AT91+AU91+AV91+AX91+AY91+AZ91+BB91+BC91+BD91+BF91+BG91+BH91+BJ91+BK91+(BL91+BM91+BN91)/1000+(0.1*BO91)</f>
        <v>546.9007</v>
      </c>
      <c r="AR91" s="285" t="n">
        <v>223</v>
      </c>
      <c r="AS91" s="285" t="n">
        <v>558</v>
      </c>
      <c r="AT91" s="285" t="n">
        <v>63</v>
      </c>
      <c r="AU91" s="285" t="n">
        <v>0</v>
      </c>
      <c r="AV91" s="285" t="n">
        <v>0</v>
      </c>
      <c r="AW91" s="285" t="n">
        <v>0</v>
      </c>
      <c r="AX91" s="285" t="n">
        <v>0</v>
      </c>
      <c r="AY91" s="285" t="n">
        <v>0</v>
      </c>
      <c r="AZ91" s="285" t="n">
        <v>9</v>
      </c>
      <c r="BA91" s="285" t="n">
        <v>42</v>
      </c>
      <c r="BB91" s="285" t="n">
        <v>27</v>
      </c>
      <c r="BC91" s="285" t="n">
        <v>0</v>
      </c>
      <c r="BD91" s="285" t="n">
        <v>4</v>
      </c>
      <c r="BE91" s="285" t="n">
        <v>0</v>
      </c>
      <c r="BF91" s="285" t="n">
        <v>0</v>
      </c>
      <c r="BG91" s="285" t="n">
        <v>0</v>
      </c>
      <c r="BH91" s="285" t="n">
        <v>62</v>
      </c>
      <c r="BI91" s="285" t="n">
        <v>2</v>
      </c>
      <c r="BJ91" s="285" t="n">
        <v>0</v>
      </c>
      <c r="BK91" s="285" t="n">
        <v>0</v>
      </c>
      <c r="BL91" s="285" t="n">
        <v>10399</v>
      </c>
      <c r="BM91" s="285" t="n">
        <v>0</v>
      </c>
      <c r="BN91" s="285" t="n">
        <v>50502</v>
      </c>
      <c r="BO91" s="285" t="n">
        <v>979.997</v>
      </c>
      <c r="BR91" s="290" t="n">
        <f aca="false">AR91*1000/0.072</f>
        <v>3097222.22222222</v>
      </c>
      <c r="BS91" s="290" t="n">
        <f aca="false">AT91*1000/0.072</f>
        <v>875000</v>
      </c>
      <c r="BT91" s="290" t="n">
        <f aca="false">AU91*1000/0.072</f>
        <v>0</v>
      </c>
      <c r="BU91" s="290" t="n">
        <f aca="false">SUM(BR91:BT91)</f>
        <v>3972222.22222222</v>
      </c>
      <c r="BV91" s="290" t="n">
        <f aca="false">AV91*1000/5</f>
        <v>0</v>
      </c>
      <c r="BW91" s="290" t="n">
        <f aca="false">AX91*1000/5</f>
        <v>0</v>
      </c>
      <c r="BX91" s="290" t="n">
        <f aca="false">AY91*1000/5</f>
        <v>0</v>
      </c>
      <c r="BY91" s="290" t="n">
        <f aca="false">SUM(BV91:BX91)</f>
        <v>0</v>
      </c>
      <c r="CA91" s="290" t="n">
        <f aca="false">IF($AM91="n",0,BR91)</f>
        <v>3097222.22222222</v>
      </c>
      <c r="CB91" s="290" t="n">
        <f aca="false">IF($AM91="n",0,BS91)</f>
        <v>875000</v>
      </c>
      <c r="CC91" s="290" t="n">
        <f aca="false">IF($AM91="n",0,BT91)</f>
        <v>0</v>
      </c>
      <c r="CD91" s="290" t="n">
        <f aca="false">SUM(CA91:CC91)</f>
        <v>3972222.22222222</v>
      </c>
      <c r="CE91" s="290" t="n">
        <f aca="false">IF($AM$2="n",0,BV91)</f>
        <v>0</v>
      </c>
      <c r="CF91" s="290" t="n">
        <f aca="false">IF($AM$2="n",0,BW91)</f>
        <v>0</v>
      </c>
      <c r="CG91" s="290" t="n">
        <f aca="false">IF($AM$2="n",0,BX91)</f>
        <v>0</v>
      </c>
      <c r="CH91" s="290" t="n">
        <f aca="false">SUM(CE91:CG91)</f>
        <v>0</v>
      </c>
      <c r="CJ91" s="324"/>
      <c r="CK91" s="324"/>
      <c r="CL91" s="324"/>
      <c r="CM91" s="324"/>
      <c r="CN91" s="324"/>
      <c r="CO91" s="324"/>
      <c r="CP91" s="324"/>
      <c r="CQ91" s="324"/>
      <c r="CR91" s="324"/>
      <c r="CS91" s="324"/>
      <c r="CT91" s="324"/>
      <c r="CU91" s="324"/>
      <c r="CV91" s="324"/>
      <c r="CW91" s="324"/>
      <c r="CX91" s="324"/>
      <c r="CY91" s="324"/>
      <c r="CZ91" s="324"/>
      <c r="DA91" s="324"/>
      <c r="DB91" s="324"/>
      <c r="DC91" s="324"/>
      <c r="DD91" s="324"/>
      <c r="DE91" s="324"/>
      <c r="DF91" s="324"/>
      <c r="DG91" s="324"/>
      <c r="DH91" s="324"/>
      <c r="DI91" s="324"/>
      <c r="DJ91" s="324"/>
      <c r="DK91" s="324"/>
      <c r="DL91" s="324"/>
      <c r="DM91" s="324"/>
      <c r="DN91" s="324"/>
      <c r="DO91" s="324"/>
      <c r="DP91" s="324"/>
      <c r="DQ91" s="324"/>
      <c r="DR91" s="324"/>
      <c r="DS91" s="324"/>
      <c r="DT91" s="324"/>
      <c r="DU91" s="324"/>
      <c r="DV91" s="324"/>
      <c r="DW91" s="324"/>
      <c r="DX91" s="324"/>
      <c r="DY91" s="324"/>
      <c r="DZ91" s="324"/>
      <c r="EA91" s="324"/>
      <c r="EB91" s="324"/>
      <c r="EC91" s="324"/>
      <c r="ED91" s="324"/>
      <c r="EE91" s="324"/>
      <c r="EF91" s="324"/>
      <c r="EG91" s="324"/>
      <c r="EH91" s="324"/>
      <c r="EI91" s="324"/>
      <c r="EJ91" s="324"/>
      <c r="EK91" s="324"/>
      <c r="EL91" s="324"/>
      <c r="EM91" s="324"/>
      <c r="EN91" s="324"/>
      <c r="EO91" s="324"/>
      <c r="EP91" s="324"/>
      <c r="EQ91" s="324"/>
      <c r="ER91" s="324"/>
      <c r="ES91" s="324"/>
      <c r="ET91" s="324"/>
      <c r="EU91" s="324"/>
      <c r="EV91" s="324"/>
      <c r="EW91" s="324"/>
      <c r="EX91" s="324"/>
      <c r="EY91" s="324"/>
      <c r="EZ91" s="324"/>
      <c r="FA91" s="324"/>
      <c r="FB91" s="324"/>
      <c r="FC91" s="324"/>
      <c r="FD91" s="324"/>
      <c r="FE91" s="324"/>
      <c r="FF91" s="324"/>
      <c r="FG91" s="324"/>
      <c r="FH91" s="324"/>
      <c r="FI91" s="324"/>
      <c r="FJ91" s="324"/>
      <c r="FK91" s="324"/>
      <c r="FL91" s="324"/>
      <c r="FM91" s="324"/>
      <c r="FN91" s="324"/>
      <c r="FO91" s="324"/>
      <c r="FP91" s="324"/>
      <c r="FQ91" s="324"/>
      <c r="FR91" s="324"/>
      <c r="FS91" s="324"/>
      <c r="FT91" s="324"/>
      <c r="FU91" s="324"/>
      <c r="FV91" s="324"/>
      <c r="FW91" s="324"/>
      <c r="FX91" s="324"/>
      <c r="FY91" s="324"/>
      <c r="FZ91" s="324"/>
      <c r="GA91" s="324"/>
      <c r="GB91" s="324"/>
      <c r="GC91" s="324"/>
      <c r="GD91" s="324"/>
      <c r="GE91" s="324"/>
      <c r="GF91" s="324"/>
      <c r="GG91" s="324"/>
      <c r="GH91" s="324"/>
      <c r="GI91" s="324"/>
      <c r="GJ91" s="324"/>
      <c r="GK91" s="324"/>
      <c r="GL91" s="324"/>
      <c r="GM91" s="324"/>
      <c r="GN91" s="324"/>
      <c r="GO91" s="324"/>
      <c r="GP91" s="324"/>
      <c r="GQ91" s="324"/>
      <c r="GR91" s="324"/>
      <c r="GS91" s="324"/>
      <c r="GT91" s="324"/>
      <c r="GU91" s="324"/>
      <c r="GV91" s="324"/>
      <c r="GW91" s="324"/>
      <c r="GX91" s="324"/>
    </row>
    <row r="92" customFormat="false" ht="15" hidden="false" customHeight="true" outlineLevel="0" collapsed="false">
      <c r="A92" s="285" t="n">
        <v>1712</v>
      </c>
      <c r="B92" s="285"/>
      <c r="C92" s="286" t="s">
        <v>300</v>
      </c>
      <c r="D92" s="287" t="s">
        <v>300</v>
      </c>
      <c r="E92" s="288" t="n">
        <f aca="false">IF(I92="regional",IF(R92*0.2975,S92*0.3484),S92*0.1939)</f>
        <v>21623.3402</v>
      </c>
      <c r="F92" s="288" t="n">
        <v>0</v>
      </c>
      <c r="G92" s="289" t="n">
        <f aca="false">E92+F92</f>
        <v>21623.3402</v>
      </c>
      <c r="H92" s="286"/>
      <c r="I92" s="287" t="s">
        <v>62</v>
      </c>
      <c r="J92" s="287"/>
      <c r="K92" s="287" t="s">
        <v>299</v>
      </c>
      <c r="L92" s="287"/>
      <c r="M92" s="317" t="n">
        <v>0</v>
      </c>
      <c r="N92" s="317" t="n">
        <v>1</v>
      </c>
      <c r="O92" s="317" t="n">
        <v>1</v>
      </c>
      <c r="P92" s="317" t="n">
        <v>1</v>
      </c>
      <c r="Q92" s="317" t="n">
        <v>1</v>
      </c>
      <c r="R92" s="317" t="n">
        <v>0</v>
      </c>
      <c r="S92" s="317" t="n">
        <v>111518</v>
      </c>
      <c r="T92" s="318" t="n">
        <f aca="false">IF(I92="regional",IF(R92&gt;0,R92*0.2975,S92*0.3484),S92*0.1939)</f>
        <v>21623.3402</v>
      </c>
      <c r="U92" s="317" t="n">
        <v>111518</v>
      </c>
      <c r="V92" s="317" t="n">
        <v>0</v>
      </c>
      <c r="W92" s="317" t="n">
        <v>600</v>
      </c>
      <c r="X92" s="317" t="n">
        <v>0</v>
      </c>
      <c r="Y92" s="317" t="n">
        <v>0</v>
      </c>
      <c r="Z92" s="317" t="n">
        <v>0</v>
      </c>
      <c r="AA92" s="317" t="n">
        <v>133141.3402</v>
      </c>
      <c r="AB92" s="317" t="n">
        <v>21623.3402</v>
      </c>
      <c r="AC92" s="317" t="n">
        <v>111518</v>
      </c>
      <c r="AD92" s="317" t="n">
        <v>0</v>
      </c>
      <c r="AE92" s="317" t="n">
        <v>0</v>
      </c>
      <c r="AF92" s="317" t="n">
        <v>0</v>
      </c>
      <c r="AG92" s="317" t="n">
        <v>111518</v>
      </c>
      <c r="AH92" s="317" t="n">
        <v>0</v>
      </c>
      <c r="AI92" s="317" t="n">
        <v>0</v>
      </c>
      <c r="AJ92" s="286" t="s">
        <v>707</v>
      </c>
      <c r="AK92" s="286" t="s">
        <v>708</v>
      </c>
      <c r="AL92" s="287" t="s">
        <v>62</v>
      </c>
      <c r="AM92" s="286"/>
      <c r="AN92" s="287" t="s">
        <v>300</v>
      </c>
      <c r="AO92" s="287" t="n">
        <v>21623.3402</v>
      </c>
      <c r="AP92" s="319" t="n">
        <f aca="false">AR92+AT92+AU92+AV92+AX92+AY92+AZ92+BD92+BF92+BG92+BH92+BJ92+BK92+(BL92+BM92+BN92)/1000+(0.1*BO92)</f>
        <v>3.2512</v>
      </c>
      <c r="AQ92" s="319" t="n">
        <f aca="false">AR92+AT92+AU92+AV92+AX92+AY92+AZ92+BB92+BC92+BD92+BF92+BG92+BH92+BJ92+BK92+(BL92+BM92+BN92)/1000+(0.1*BO92)</f>
        <v>3.2512</v>
      </c>
      <c r="AR92" s="285" t="n">
        <v>0</v>
      </c>
      <c r="AS92" s="285" t="n">
        <v>0</v>
      </c>
      <c r="AT92" s="285" t="n">
        <v>2</v>
      </c>
      <c r="AU92" s="285" t="n">
        <v>0</v>
      </c>
      <c r="AV92" s="285" t="n">
        <v>0</v>
      </c>
      <c r="AW92" s="285" t="n">
        <v>0</v>
      </c>
      <c r="AX92" s="285" t="n">
        <v>0</v>
      </c>
      <c r="AY92" s="285" t="n">
        <v>0</v>
      </c>
      <c r="AZ92" s="285" t="n">
        <v>0</v>
      </c>
      <c r="BA92" s="285" t="n">
        <v>0</v>
      </c>
      <c r="BB92" s="285" t="n">
        <v>0</v>
      </c>
      <c r="BC92" s="285" t="n">
        <v>0</v>
      </c>
      <c r="BD92" s="285" t="n">
        <v>0</v>
      </c>
      <c r="BE92" s="285" t="n">
        <v>0</v>
      </c>
      <c r="BF92" s="285" t="n">
        <v>0</v>
      </c>
      <c r="BG92" s="285" t="n">
        <v>0</v>
      </c>
      <c r="BH92" s="285" t="n">
        <v>0</v>
      </c>
      <c r="BI92" s="285" t="n">
        <v>0</v>
      </c>
      <c r="BJ92" s="285" t="n">
        <v>0</v>
      </c>
      <c r="BK92" s="285" t="n">
        <v>0</v>
      </c>
      <c r="BL92" s="285" t="n">
        <v>0</v>
      </c>
      <c r="BM92" s="285" t="n">
        <v>0</v>
      </c>
      <c r="BN92" s="285" t="n">
        <v>0</v>
      </c>
      <c r="BO92" s="285" t="n">
        <v>12.512</v>
      </c>
      <c r="BR92" s="290" t="n">
        <f aca="false">AR92*1000/0.072</f>
        <v>0</v>
      </c>
      <c r="BS92" s="290" t="n">
        <f aca="false">AT92*1000/0.072</f>
        <v>27777.7777777778</v>
      </c>
      <c r="BT92" s="290" t="n">
        <f aca="false">AU92*1000/0.072</f>
        <v>0</v>
      </c>
      <c r="BU92" s="290" t="n">
        <f aca="false">SUM(BR92:BT92)</f>
        <v>27777.7777777778</v>
      </c>
      <c r="BV92" s="290" t="n">
        <f aca="false">AV92*1000/5</f>
        <v>0</v>
      </c>
      <c r="BW92" s="290" t="n">
        <f aca="false">AX92*1000/5</f>
        <v>0</v>
      </c>
      <c r="BX92" s="290" t="n">
        <f aca="false">AY92*1000/5</f>
        <v>0</v>
      </c>
      <c r="BY92" s="290" t="n">
        <f aca="false">SUM(BV92:BX92)</f>
        <v>0</v>
      </c>
      <c r="CA92" s="290" t="n">
        <f aca="false">IF($AM92="n",0,BR92)</f>
        <v>0</v>
      </c>
      <c r="CB92" s="290" t="n">
        <f aca="false">IF($AM92="n",0,BS92)</f>
        <v>27777.7777777778</v>
      </c>
      <c r="CC92" s="290" t="n">
        <f aca="false">IF($AM92="n",0,BT92)</f>
        <v>0</v>
      </c>
      <c r="CD92" s="290" t="n">
        <f aca="false">SUM(CA92:CC92)</f>
        <v>27777.7777777778</v>
      </c>
      <c r="CE92" s="290" t="n">
        <f aca="false">IF($AM$2="n",0,BV92)</f>
        <v>0</v>
      </c>
      <c r="CF92" s="290" t="n">
        <f aca="false">IF($AM$2="n",0,BW92)</f>
        <v>0</v>
      </c>
      <c r="CG92" s="290" t="n">
        <f aca="false">IF($AM$2="n",0,BX92)</f>
        <v>0</v>
      </c>
      <c r="CH92" s="290" t="n">
        <f aca="false">SUM(CE92:CG92)</f>
        <v>0</v>
      </c>
      <c r="CJ92" s="324"/>
      <c r="CK92" s="324"/>
      <c r="CL92" s="324"/>
      <c r="CM92" s="324"/>
      <c r="CN92" s="324"/>
      <c r="CO92" s="324"/>
      <c r="CP92" s="324"/>
      <c r="CQ92" s="324"/>
      <c r="CR92" s="324"/>
      <c r="CS92" s="324"/>
      <c r="CT92" s="324"/>
      <c r="CU92" s="324"/>
      <c r="CV92" s="324"/>
      <c r="CW92" s="324"/>
      <c r="CX92" s="324"/>
      <c r="CY92" s="324"/>
      <c r="CZ92" s="324"/>
      <c r="DA92" s="324"/>
      <c r="DB92" s="324"/>
      <c r="DC92" s="324"/>
      <c r="DD92" s="324"/>
      <c r="DE92" s="324"/>
      <c r="DF92" s="324"/>
      <c r="DG92" s="324"/>
      <c r="DH92" s="324"/>
      <c r="DI92" s="324"/>
      <c r="DJ92" s="324"/>
      <c r="DK92" s="324"/>
      <c r="DL92" s="324"/>
      <c r="DM92" s="324"/>
      <c r="DN92" s="324"/>
      <c r="DO92" s="324"/>
      <c r="DP92" s="324"/>
      <c r="DQ92" s="324"/>
      <c r="DR92" s="324"/>
      <c r="DS92" s="324"/>
      <c r="DT92" s="324"/>
      <c r="DU92" s="324"/>
      <c r="DV92" s="324"/>
      <c r="DW92" s="324"/>
      <c r="DX92" s="324"/>
      <c r="DY92" s="324"/>
      <c r="DZ92" s="324"/>
      <c r="EA92" s="324"/>
      <c r="EB92" s="324"/>
      <c r="EC92" s="324"/>
      <c r="ED92" s="324"/>
      <c r="EE92" s="324"/>
      <c r="EF92" s="324"/>
      <c r="EG92" s="324"/>
      <c r="EH92" s="324"/>
      <c r="EI92" s="324"/>
      <c r="EJ92" s="324"/>
      <c r="EK92" s="324"/>
      <c r="EL92" s="324"/>
      <c r="EM92" s="324"/>
      <c r="EN92" s="324"/>
      <c r="EO92" s="324"/>
      <c r="EP92" s="324"/>
      <c r="EQ92" s="324"/>
      <c r="ER92" s="324"/>
      <c r="ES92" s="324"/>
      <c r="ET92" s="324"/>
      <c r="EU92" s="324"/>
      <c r="EV92" s="324"/>
      <c r="EW92" s="324"/>
      <c r="EX92" s="324"/>
      <c r="EY92" s="324"/>
      <c r="EZ92" s="324"/>
      <c r="FA92" s="324"/>
      <c r="FB92" s="324"/>
      <c r="FC92" s="324"/>
      <c r="FD92" s="324"/>
      <c r="FE92" s="324"/>
      <c r="FF92" s="324"/>
      <c r="FG92" s="324"/>
      <c r="FH92" s="324"/>
      <c r="FI92" s="324"/>
      <c r="FJ92" s="324"/>
      <c r="FK92" s="324"/>
      <c r="FL92" s="324"/>
      <c r="FM92" s="324"/>
      <c r="FN92" s="324"/>
      <c r="FO92" s="324"/>
      <c r="FP92" s="324"/>
      <c r="FQ92" s="324"/>
      <c r="FR92" s="324"/>
      <c r="FS92" s="324"/>
      <c r="FT92" s="324"/>
      <c r="FU92" s="324"/>
      <c r="FV92" s="324"/>
      <c r="FW92" s="324"/>
      <c r="FX92" s="324"/>
      <c r="FY92" s="324"/>
      <c r="FZ92" s="324"/>
      <c r="GA92" s="324"/>
      <c r="GB92" s="324"/>
      <c r="GC92" s="324"/>
      <c r="GD92" s="324"/>
      <c r="GE92" s="324"/>
      <c r="GF92" s="324"/>
      <c r="GG92" s="324"/>
      <c r="GH92" s="324"/>
      <c r="GI92" s="324"/>
      <c r="GJ92" s="324"/>
      <c r="GK92" s="324"/>
      <c r="GL92" s="324"/>
      <c r="GM92" s="324"/>
      <c r="GN92" s="324"/>
      <c r="GO92" s="324"/>
      <c r="GP92" s="324"/>
      <c r="GQ92" s="324"/>
      <c r="GR92" s="324"/>
      <c r="GS92" s="324"/>
      <c r="GT92" s="324"/>
      <c r="GU92" s="324"/>
      <c r="GV92" s="324"/>
      <c r="GW92" s="324"/>
      <c r="GX92" s="324"/>
    </row>
    <row r="93" customFormat="false" ht="15" hidden="false" customHeight="true" outlineLevel="0" collapsed="false">
      <c r="A93" s="285" t="n">
        <v>1731</v>
      </c>
      <c r="B93" s="285" t="s">
        <v>44</v>
      </c>
      <c r="C93" s="286" t="s">
        <v>301</v>
      </c>
      <c r="D93" s="287" t="s">
        <v>301</v>
      </c>
      <c r="E93" s="288" t="n">
        <f aca="false">IF(I93="regional",IF(R93*0.2975,S93*0.3484),S93*0.1939)</f>
        <v>385063.874</v>
      </c>
      <c r="F93" s="288" t="n">
        <v>0</v>
      </c>
      <c r="G93" s="289" t="n">
        <f aca="false">E93+F93</f>
        <v>385063.874</v>
      </c>
      <c r="H93" s="286"/>
      <c r="I93" s="287" t="s">
        <v>48</v>
      </c>
      <c r="J93" s="287" t="s">
        <v>44</v>
      </c>
      <c r="K93" s="287" t="s">
        <v>303</v>
      </c>
      <c r="L93" s="287"/>
      <c r="M93" s="317" t="n">
        <v>152</v>
      </c>
      <c r="N93" s="317" t="n">
        <v>0.869</v>
      </c>
      <c r="O93" s="317" t="n">
        <v>0.885</v>
      </c>
      <c r="P93" s="317" t="n">
        <v>0.842</v>
      </c>
      <c r="Q93" s="317" t="n">
        <v>0.939</v>
      </c>
      <c r="R93" s="317" t="n">
        <v>1215199</v>
      </c>
      <c r="S93" s="317" t="n">
        <v>1105235</v>
      </c>
      <c r="T93" s="318" t="n">
        <f aca="false">IF(I93="regional",IF(R93&gt;0,R93*0.2975,S93*0.3484),S93*0.1939)</f>
        <v>361521.7025</v>
      </c>
      <c r="U93" s="317" t="n">
        <v>740284</v>
      </c>
      <c r="V93" s="317" t="n">
        <v>364951</v>
      </c>
      <c r="W93" s="317" t="n">
        <v>4144</v>
      </c>
      <c r="X93" s="317" t="n">
        <v>0</v>
      </c>
      <c r="Y93" s="317" t="n">
        <v>0</v>
      </c>
      <c r="Z93" s="317" t="n">
        <v>0</v>
      </c>
      <c r="AA93" s="317" t="n">
        <v>1466756.703</v>
      </c>
      <c r="AB93" s="317" t="n">
        <v>361521.7025</v>
      </c>
      <c r="AC93" s="317" t="n">
        <v>1105235</v>
      </c>
      <c r="AD93" s="317" t="n">
        <v>0</v>
      </c>
      <c r="AE93" s="317" t="n">
        <v>0</v>
      </c>
      <c r="AF93" s="317" t="n">
        <v>1105235</v>
      </c>
      <c r="AG93" s="317" t="n">
        <v>0</v>
      </c>
      <c r="AH93" s="317" t="n">
        <v>813000</v>
      </c>
      <c r="AI93" s="317" t="n">
        <v>678000</v>
      </c>
      <c r="AJ93" s="286" t="s">
        <v>707</v>
      </c>
      <c r="AK93" s="286" t="s">
        <v>708</v>
      </c>
      <c r="AL93" s="287" t="s">
        <v>48</v>
      </c>
      <c r="AM93" s="286"/>
      <c r="AN93" s="287" t="s">
        <v>301</v>
      </c>
      <c r="AO93" s="287" t="n">
        <v>361521.7025</v>
      </c>
      <c r="AP93" s="319" t="n">
        <f aca="false">AR93+AT93+AU93+AV93+AX93+AY93+AZ93+BD93+BF93+BG93+BH93+BJ93+BK93+(BL93+BM93+BN93)/1000+(0.1*BO93)</f>
        <v>283.5204</v>
      </c>
      <c r="AQ93" s="319" t="n">
        <f aca="false">AR93+AT93+AU93+AV93+AX93+AY93+AZ93+BB93+BC93+BD93+BF93+BG93+BH93+BJ93+BK93+(BL93+BM93+BN93)/1000+(0.1*BO93)</f>
        <v>365.5204</v>
      </c>
      <c r="AR93" s="285" t="n">
        <v>111</v>
      </c>
      <c r="AS93" s="285" t="n">
        <v>678</v>
      </c>
      <c r="AT93" s="285" t="n">
        <v>105</v>
      </c>
      <c r="AU93" s="285" t="n">
        <v>0</v>
      </c>
      <c r="AV93" s="285" t="n">
        <v>0</v>
      </c>
      <c r="AW93" s="285" t="n">
        <v>0</v>
      </c>
      <c r="AX93" s="285" t="n">
        <v>7</v>
      </c>
      <c r="AY93" s="285" t="n">
        <v>0</v>
      </c>
      <c r="AZ93" s="285" t="n">
        <v>0</v>
      </c>
      <c r="BA93" s="285" t="n">
        <v>21</v>
      </c>
      <c r="BB93" s="285" t="n">
        <v>82</v>
      </c>
      <c r="BC93" s="285" t="n">
        <v>0</v>
      </c>
      <c r="BD93" s="285" t="n">
        <v>0</v>
      </c>
      <c r="BE93" s="285" t="n">
        <v>0</v>
      </c>
      <c r="BF93" s="285" t="n">
        <v>0</v>
      </c>
      <c r="BG93" s="285" t="n">
        <v>0</v>
      </c>
      <c r="BH93" s="285" t="n">
        <v>0</v>
      </c>
      <c r="BI93" s="285" t="n">
        <v>4</v>
      </c>
      <c r="BJ93" s="285" t="n">
        <v>0</v>
      </c>
      <c r="BK93" s="285" t="n">
        <v>0</v>
      </c>
      <c r="BL93" s="285" t="n">
        <v>17842</v>
      </c>
      <c r="BM93" s="285" t="n">
        <v>0</v>
      </c>
      <c r="BN93" s="285" t="n">
        <v>2280</v>
      </c>
      <c r="BO93" s="285" t="n">
        <v>403.984</v>
      </c>
      <c r="BR93" s="290" t="n">
        <f aca="false">AR93*1000/0.072</f>
        <v>1541666.66666667</v>
      </c>
      <c r="BS93" s="290" t="n">
        <f aca="false">AT93*1000/0.072</f>
        <v>1458333.33333333</v>
      </c>
      <c r="BT93" s="290" t="n">
        <f aca="false">AU93*1000/0.072</f>
        <v>0</v>
      </c>
      <c r="BU93" s="290" t="n">
        <f aca="false">SUM(BR93:BT93)</f>
        <v>3000000</v>
      </c>
      <c r="BV93" s="290" t="n">
        <f aca="false">AV93*1000/5</f>
        <v>0</v>
      </c>
      <c r="BW93" s="290" t="n">
        <f aca="false">AX93*1000/5</f>
        <v>1400</v>
      </c>
      <c r="BX93" s="290" t="n">
        <f aca="false">AY93*1000/5</f>
        <v>0</v>
      </c>
      <c r="BY93" s="290" t="n">
        <f aca="false">SUM(BV93:BX93)</f>
        <v>1400</v>
      </c>
      <c r="CA93" s="290" t="n">
        <f aca="false">IF($AM93="n",0,BR93)</f>
        <v>1541666.66666667</v>
      </c>
      <c r="CB93" s="290" t="n">
        <f aca="false">IF($AM93="n",0,BS93)</f>
        <v>1458333.33333333</v>
      </c>
      <c r="CC93" s="290" t="n">
        <f aca="false">IF($AM93="n",0,BT93)</f>
        <v>0</v>
      </c>
      <c r="CD93" s="290" t="n">
        <f aca="false">SUM(CA93:CC93)</f>
        <v>3000000</v>
      </c>
      <c r="CE93" s="290" t="n">
        <f aca="false">IF($AM$2="n",0,BV93)</f>
        <v>0</v>
      </c>
      <c r="CF93" s="290" t="n">
        <f aca="false">IF($AM$2="n",0,BW93)</f>
        <v>1400</v>
      </c>
      <c r="CG93" s="290" t="n">
        <f aca="false">IF($AM$2="n",0,BX93)</f>
        <v>0</v>
      </c>
      <c r="CH93" s="290" t="n">
        <f aca="false">SUM(CE93:CG93)</f>
        <v>1400</v>
      </c>
      <c r="CJ93" s="324"/>
      <c r="CK93" s="324"/>
      <c r="CL93" s="324"/>
      <c r="CM93" s="324"/>
      <c r="CN93" s="324"/>
      <c r="CO93" s="324"/>
      <c r="CP93" s="324"/>
      <c r="CQ93" s="324"/>
      <c r="CR93" s="324"/>
      <c r="CS93" s="324"/>
      <c r="CT93" s="324"/>
      <c r="CU93" s="324"/>
      <c r="CV93" s="324"/>
      <c r="CW93" s="324"/>
      <c r="CX93" s="324"/>
      <c r="CY93" s="324"/>
      <c r="CZ93" s="324"/>
      <c r="DA93" s="324"/>
      <c r="DB93" s="324"/>
      <c r="DC93" s="324"/>
      <c r="DD93" s="324"/>
      <c r="DE93" s="324"/>
      <c r="DF93" s="324"/>
      <c r="DG93" s="324"/>
      <c r="DH93" s="324"/>
      <c r="DI93" s="324"/>
      <c r="DJ93" s="324"/>
      <c r="DK93" s="324"/>
      <c r="DL93" s="324"/>
      <c r="DM93" s="324"/>
      <c r="DN93" s="324"/>
      <c r="DO93" s="324"/>
      <c r="DP93" s="324"/>
      <c r="DQ93" s="324"/>
      <c r="DR93" s="324"/>
      <c r="DS93" s="324"/>
      <c r="DT93" s="324"/>
      <c r="DU93" s="324"/>
      <c r="DV93" s="324"/>
      <c r="DW93" s="324"/>
      <c r="DX93" s="324"/>
      <c r="DY93" s="324"/>
      <c r="DZ93" s="324"/>
      <c r="EA93" s="324"/>
      <c r="EB93" s="324"/>
      <c r="EC93" s="324"/>
      <c r="ED93" s="324"/>
      <c r="EE93" s="324"/>
      <c r="EF93" s="324"/>
      <c r="EG93" s="324"/>
      <c r="EH93" s="324"/>
      <c r="EI93" s="324"/>
      <c r="EJ93" s="324"/>
      <c r="EK93" s="324"/>
      <c r="EL93" s="324"/>
      <c r="EM93" s="324"/>
      <c r="EN93" s="324"/>
      <c r="EO93" s="324"/>
      <c r="EP93" s="324"/>
      <c r="EQ93" s="324"/>
      <c r="ER93" s="324"/>
      <c r="ES93" s="324"/>
      <c r="ET93" s="324"/>
      <c r="EU93" s="324"/>
      <c r="EV93" s="324"/>
      <c r="EW93" s="324"/>
      <c r="EX93" s="324"/>
      <c r="EY93" s="324"/>
      <c r="EZ93" s="324"/>
      <c r="FA93" s="324"/>
      <c r="FB93" s="324"/>
      <c r="FC93" s="324"/>
      <c r="FD93" s="324"/>
      <c r="FE93" s="324"/>
      <c r="FF93" s="324"/>
      <c r="FG93" s="324"/>
      <c r="FH93" s="324"/>
      <c r="FI93" s="324"/>
      <c r="FJ93" s="324"/>
      <c r="FK93" s="324"/>
      <c r="FL93" s="324"/>
      <c r="FM93" s="324"/>
      <c r="FN93" s="324"/>
      <c r="FO93" s="324"/>
      <c r="FP93" s="324"/>
      <c r="FQ93" s="324"/>
      <c r="FR93" s="324"/>
      <c r="FS93" s="324"/>
      <c r="FT93" s="324"/>
      <c r="FU93" s="324"/>
      <c r="FV93" s="324"/>
      <c r="FW93" s="324"/>
      <c r="FX93" s="324"/>
      <c r="FY93" s="324"/>
      <c r="FZ93" s="324"/>
      <c r="GA93" s="324"/>
      <c r="GB93" s="324"/>
      <c r="GC93" s="324"/>
      <c r="GD93" s="324"/>
      <c r="GE93" s="324"/>
      <c r="GF93" s="324"/>
      <c r="GG93" s="324"/>
      <c r="GH93" s="324"/>
      <c r="GI93" s="324"/>
      <c r="GJ93" s="324"/>
      <c r="GK93" s="324"/>
      <c r="GL93" s="324"/>
      <c r="GM93" s="324"/>
      <c r="GN93" s="324"/>
      <c r="GO93" s="324"/>
      <c r="GP93" s="324"/>
      <c r="GQ93" s="324"/>
      <c r="GR93" s="324"/>
      <c r="GS93" s="324"/>
      <c r="GT93" s="324"/>
      <c r="GU93" s="324"/>
      <c r="GV93" s="324"/>
      <c r="GW93" s="324"/>
      <c r="GX93" s="324"/>
    </row>
    <row r="94" customFormat="false" ht="15" hidden="false" customHeight="true" outlineLevel="0" collapsed="false">
      <c r="A94" s="285" t="n">
        <v>3811</v>
      </c>
      <c r="B94" s="285" t="s">
        <v>44</v>
      </c>
      <c r="C94" s="286" t="s">
        <v>304</v>
      </c>
      <c r="D94" s="287" t="s">
        <v>304</v>
      </c>
      <c r="E94" s="288" t="n">
        <f aca="false">IF(I94="regional",IF(R94*0.2975,S94*0.3484),S94*0.1939)</f>
        <v>203327.982</v>
      </c>
      <c r="F94" s="288" t="n">
        <v>443648</v>
      </c>
      <c r="G94" s="289" t="n">
        <f aca="false">E94+F94</f>
        <v>646975.982</v>
      </c>
      <c r="H94" s="286"/>
      <c r="I94" s="287" t="s">
        <v>48</v>
      </c>
      <c r="J94" s="287" t="s">
        <v>44</v>
      </c>
      <c r="K94" s="287" t="s">
        <v>306</v>
      </c>
      <c r="L94" s="287" t="s">
        <v>44</v>
      </c>
      <c r="M94" s="317" t="n">
        <v>112</v>
      </c>
      <c r="N94" s="317" t="n">
        <v>0.934</v>
      </c>
      <c r="O94" s="317" t="n">
        <v>0.934</v>
      </c>
      <c r="P94" s="317" t="n">
        <v>0.941</v>
      </c>
      <c r="Q94" s="317" t="n">
        <v>0.905</v>
      </c>
      <c r="R94" s="317" t="n">
        <v>777054</v>
      </c>
      <c r="S94" s="317" t="n">
        <v>583605</v>
      </c>
      <c r="T94" s="318" t="n">
        <f aca="false">IF(I94="regional",IF(R94&gt;0,R94*0.2975,S94*0.3484),S94*0.1939)</f>
        <v>231173.565</v>
      </c>
      <c r="U94" s="317" t="n">
        <v>311865</v>
      </c>
      <c r="V94" s="317" t="n">
        <v>271740</v>
      </c>
      <c r="W94" s="317" t="n">
        <v>2950</v>
      </c>
      <c r="X94" s="317" t="n">
        <v>674821.565</v>
      </c>
      <c r="Y94" s="317" t="n">
        <v>231173.565</v>
      </c>
      <c r="Z94" s="317" t="n">
        <v>443648</v>
      </c>
      <c r="AA94" s="317" t="n">
        <v>139957</v>
      </c>
      <c r="AB94" s="317" t="n">
        <v>0</v>
      </c>
      <c r="AC94" s="317" t="n">
        <v>139957</v>
      </c>
      <c r="AD94" s="317" t="n">
        <v>443648</v>
      </c>
      <c r="AE94" s="317" t="n">
        <v>0</v>
      </c>
      <c r="AF94" s="317" t="n">
        <v>139957</v>
      </c>
      <c r="AG94" s="317" t="n">
        <v>0</v>
      </c>
      <c r="AH94" s="317" t="n">
        <v>1144000</v>
      </c>
      <c r="AI94" s="317" t="n">
        <v>825000</v>
      </c>
      <c r="AJ94" s="286" t="n">
        <v>4</v>
      </c>
      <c r="AK94" s="286" t="s">
        <v>724</v>
      </c>
      <c r="AL94" s="287" t="s">
        <v>48</v>
      </c>
      <c r="AM94" s="286"/>
      <c r="AN94" s="287" t="s">
        <v>304</v>
      </c>
      <c r="AO94" s="287" t="n">
        <v>674821.565</v>
      </c>
      <c r="AP94" s="319" t="n">
        <f aca="false">AR94+AT94+AU94+AV94+AX94+AY94+AZ94+BD94+BF94+BG94+BH94+BJ94+BK94+(BL94+BM94+BN94)/1000+(0.1*BO94)</f>
        <v>715.0627</v>
      </c>
      <c r="AQ94" s="319" t="n">
        <f aca="false">AR94+AT94+AU94+AV94+AX94+AY94+AZ94+BB94+BC94+BD94+BF94+BG94+BH94+BJ94+BK94+(BL94+BM94+BN94)/1000+(0.1*BO94)</f>
        <v>702.0627</v>
      </c>
      <c r="AR94" s="302" t="n">
        <v>454</v>
      </c>
      <c r="AS94" s="302" t="n">
        <v>825</v>
      </c>
      <c r="AT94" s="302" t="n">
        <v>107</v>
      </c>
      <c r="AU94" s="302" t="n">
        <v>10</v>
      </c>
      <c r="AV94" s="285" t="n">
        <v>1</v>
      </c>
      <c r="AW94" s="285" t="n">
        <v>40</v>
      </c>
      <c r="AX94" s="285" t="n">
        <v>0</v>
      </c>
      <c r="AY94" s="285" t="n">
        <v>0</v>
      </c>
      <c r="AZ94" s="285" t="n">
        <v>35</v>
      </c>
      <c r="BA94" s="285" t="n">
        <v>35</v>
      </c>
      <c r="BB94" s="285" t="n">
        <v>-13</v>
      </c>
      <c r="BC94" s="285" t="n">
        <v>0</v>
      </c>
      <c r="BD94" s="285" t="n">
        <v>23</v>
      </c>
      <c r="BE94" s="285" t="n">
        <v>0</v>
      </c>
      <c r="BF94" s="285" t="n">
        <v>0</v>
      </c>
      <c r="BG94" s="285" t="n">
        <v>0</v>
      </c>
      <c r="BH94" s="285" t="n">
        <v>47</v>
      </c>
      <c r="BI94" s="285" t="n">
        <v>0</v>
      </c>
      <c r="BJ94" s="285" t="n">
        <v>0</v>
      </c>
      <c r="BK94" s="285" t="n">
        <v>0</v>
      </c>
      <c r="BL94" s="285" t="n">
        <v>6305</v>
      </c>
      <c r="BM94" s="285" t="n">
        <v>0</v>
      </c>
      <c r="BN94" s="285" t="n">
        <v>0</v>
      </c>
      <c r="BO94" s="285" t="n">
        <v>317.577</v>
      </c>
      <c r="BP94" s="324"/>
      <c r="BR94" s="290" t="n">
        <f aca="false">AR94*1000/0.072</f>
        <v>6305555.55555556</v>
      </c>
      <c r="BS94" s="290" t="n">
        <f aca="false">AT94*1000/0.072</f>
        <v>1486111.11111111</v>
      </c>
      <c r="BT94" s="290" t="n">
        <f aca="false">AU94*1000/0.072</f>
        <v>138888.888888889</v>
      </c>
      <c r="BU94" s="290" t="n">
        <f aca="false">SUM(BR94:BT94)</f>
        <v>7930555.55555556</v>
      </c>
      <c r="BV94" s="290" t="n">
        <f aca="false">AV94*1000/5</f>
        <v>200</v>
      </c>
      <c r="BW94" s="290" t="n">
        <f aca="false">AX94*1000/5</f>
        <v>0</v>
      </c>
      <c r="BX94" s="290" t="n">
        <f aca="false">AY94*1000/5</f>
        <v>0</v>
      </c>
      <c r="BY94" s="290" t="n">
        <f aca="false">SUM(BV94:BX94)</f>
        <v>200</v>
      </c>
      <c r="CA94" s="290" t="n">
        <f aca="false">IF($AM94="n",0,BR94)</f>
        <v>6305555.55555556</v>
      </c>
      <c r="CB94" s="290" t="n">
        <f aca="false">IF($AM94="n",0,BS94)</f>
        <v>1486111.11111111</v>
      </c>
      <c r="CC94" s="290" t="n">
        <f aca="false">IF($AM94="n",0,BT94)</f>
        <v>138888.888888889</v>
      </c>
      <c r="CD94" s="290" t="n">
        <f aca="false">SUM(CA94:CC94)</f>
        <v>7930555.55555556</v>
      </c>
      <c r="CE94" s="290" t="n">
        <f aca="false">IF($AM$2="n",0,BV94)</f>
        <v>200</v>
      </c>
      <c r="CF94" s="290" t="n">
        <f aca="false">IF($AM$2="n",0,BW94)</f>
        <v>0</v>
      </c>
      <c r="CG94" s="290" t="n">
        <f aca="false">IF($AM$2="n",0,BX94)</f>
        <v>0</v>
      </c>
      <c r="CH94" s="290" t="n">
        <f aca="false">SUM(CE94:CG94)</f>
        <v>200</v>
      </c>
      <c r="CJ94" s="324"/>
      <c r="CK94" s="324"/>
      <c r="CL94" s="324"/>
      <c r="CM94" s="324"/>
      <c r="CN94" s="324"/>
      <c r="CO94" s="324"/>
      <c r="CP94" s="324"/>
      <c r="CQ94" s="324"/>
      <c r="CR94" s="324"/>
      <c r="CS94" s="324"/>
      <c r="CT94" s="324"/>
      <c r="CU94" s="324"/>
      <c r="CV94" s="324"/>
      <c r="CW94" s="324"/>
      <c r="CX94" s="324"/>
      <c r="CY94" s="324"/>
      <c r="CZ94" s="324"/>
      <c r="DA94" s="324"/>
      <c r="DB94" s="324"/>
      <c r="DC94" s="324"/>
      <c r="DD94" s="324"/>
      <c r="DE94" s="324"/>
      <c r="DF94" s="324"/>
      <c r="DG94" s="324"/>
      <c r="DH94" s="324"/>
      <c r="DI94" s="324"/>
      <c r="DJ94" s="324"/>
      <c r="DK94" s="324"/>
      <c r="DL94" s="324"/>
      <c r="DM94" s="324"/>
      <c r="DN94" s="324"/>
      <c r="DO94" s="324"/>
      <c r="DP94" s="324"/>
      <c r="DQ94" s="324"/>
      <c r="DR94" s="324"/>
      <c r="DS94" s="324"/>
      <c r="DT94" s="324"/>
      <c r="DU94" s="324"/>
      <c r="DV94" s="324"/>
      <c r="DW94" s="324"/>
      <c r="DX94" s="324"/>
      <c r="DY94" s="324"/>
      <c r="DZ94" s="324"/>
      <c r="EA94" s="324"/>
      <c r="EB94" s="324"/>
      <c r="EC94" s="324"/>
      <c r="ED94" s="324"/>
      <c r="EE94" s="324"/>
      <c r="EF94" s="324"/>
      <c r="EG94" s="324"/>
      <c r="EH94" s="324"/>
      <c r="EI94" s="324"/>
      <c r="EJ94" s="324"/>
      <c r="EK94" s="324"/>
      <c r="EL94" s="324"/>
      <c r="EM94" s="324"/>
      <c r="EN94" s="324"/>
      <c r="EO94" s="324"/>
      <c r="EP94" s="324"/>
      <c r="EQ94" s="324"/>
      <c r="ER94" s="324"/>
      <c r="ES94" s="324"/>
      <c r="ET94" s="324"/>
      <c r="EU94" s="324"/>
      <c r="EV94" s="324"/>
      <c r="EW94" s="324"/>
      <c r="EX94" s="324"/>
      <c r="EY94" s="324"/>
      <c r="EZ94" s="324"/>
      <c r="FA94" s="324"/>
      <c r="FB94" s="324"/>
      <c r="FC94" s="324"/>
      <c r="FD94" s="324"/>
      <c r="FE94" s="324"/>
      <c r="FF94" s="324"/>
      <c r="FG94" s="324"/>
      <c r="FH94" s="324"/>
      <c r="FI94" s="324"/>
      <c r="FJ94" s="324"/>
      <c r="FK94" s="324"/>
      <c r="FL94" s="324"/>
      <c r="FM94" s="324"/>
      <c r="FN94" s="324"/>
      <c r="FO94" s="324"/>
      <c r="FP94" s="324"/>
      <c r="FQ94" s="324"/>
      <c r="FR94" s="324"/>
      <c r="FS94" s="324"/>
      <c r="FT94" s="324"/>
      <c r="FU94" s="324"/>
      <c r="FV94" s="324"/>
      <c r="FW94" s="324"/>
      <c r="FX94" s="324"/>
      <c r="FY94" s="324"/>
      <c r="FZ94" s="324"/>
      <c r="GA94" s="324"/>
      <c r="GB94" s="324"/>
      <c r="GC94" s="324"/>
      <c r="GD94" s="324"/>
      <c r="GE94" s="324"/>
      <c r="GF94" s="324"/>
      <c r="GG94" s="324"/>
      <c r="GH94" s="324"/>
      <c r="GI94" s="324"/>
      <c r="GJ94" s="324"/>
      <c r="GK94" s="324"/>
      <c r="GL94" s="324"/>
      <c r="GM94" s="324"/>
      <c r="GN94" s="324"/>
      <c r="GO94" s="324"/>
      <c r="GP94" s="324"/>
      <c r="GQ94" s="324"/>
      <c r="GR94" s="324"/>
      <c r="GS94" s="324"/>
      <c r="GT94" s="324"/>
      <c r="GU94" s="324"/>
      <c r="GV94" s="324"/>
      <c r="GW94" s="324"/>
      <c r="GX94" s="324"/>
      <c r="GY94" s="330"/>
      <c r="GZ94" s="330"/>
      <c r="HA94" s="330"/>
      <c r="HB94" s="330"/>
      <c r="HC94" s="330"/>
      <c r="HD94" s="330"/>
      <c r="HE94" s="330"/>
      <c r="HF94" s="330"/>
      <c r="HG94" s="330"/>
      <c r="HH94" s="330"/>
      <c r="HI94" s="330"/>
      <c r="HJ94" s="330"/>
      <c r="HK94" s="330"/>
      <c r="HL94" s="330"/>
      <c r="HM94" s="330"/>
      <c r="HN94" s="330"/>
      <c r="HO94" s="330"/>
      <c r="HP94" s="330"/>
      <c r="HQ94" s="330"/>
      <c r="HR94" s="330"/>
      <c r="HS94" s="330"/>
      <c r="HT94" s="330"/>
      <c r="HU94" s="330"/>
      <c r="HV94" s="330"/>
      <c r="HW94" s="330"/>
      <c r="HX94" s="330"/>
      <c r="HY94" s="330"/>
      <c r="HZ94" s="330"/>
      <c r="IA94" s="330"/>
      <c r="IB94" s="330"/>
      <c r="IC94" s="330"/>
      <c r="ID94" s="330"/>
      <c r="IE94" s="330"/>
      <c r="IF94" s="330"/>
      <c r="IG94" s="330"/>
      <c r="IH94" s="330"/>
      <c r="II94" s="330"/>
      <c r="IJ94" s="330"/>
      <c r="IK94" s="330"/>
      <c r="IL94" s="330"/>
      <c r="IM94" s="330"/>
      <c r="IN94" s="330"/>
      <c r="IO94" s="330"/>
      <c r="IP94" s="330"/>
      <c r="IQ94" s="330"/>
      <c r="IR94" s="330"/>
      <c r="IS94" s="330"/>
      <c r="IT94" s="330"/>
      <c r="IU94" s="330"/>
      <c r="IV94" s="330"/>
      <c r="IW94" s="330"/>
    </row>
    <row r="95" customFormat="false" ht="15" hidden="false" customHeight="true" outlineLevel="0" collapsed="false">
      <c r="A95" s="298" t="n">
        <v>2114</v>
      </c>
      <c r="B95" s="298"/>
      <c r="C95" s="299" t="s">
        <v>308</v>
      </c>
      <c r="D95" s="293" t="s">
        <v>308</v>
      </c>
      <c r="E95" s="288" t="n">
        <f aca="false">IF(I95="regional",IF(R95*0.2975,S95*0.3484),S95*0.1939)</f>
        <v>0</v>
      </c>
      <c r="F95" s="294"/>
      <c r="G95" s="289" t="n">
        <f aca="false">E95+F95</f>
        <v>0</v>
      </c>
      <c r="H95" s="292"/>
      <c r="I95" s="293" t="s">
        <v>48</v>
      </c>
      <c r="J95" s="293"/>
      <c r="K95" s="293"/>
      <c r="L95" s="293"/>
      <c r="M95" s="320"/>
      <c r="N95" s="320"/>
      <c r="O95" s="320"/>
      <c r="P95" s="320"/>
      <c r="Q95" s="320"/>
      <c r="R95" s="320"/>
      <c r="S95" s="320"/>
      <c r="T95" s="318" t="n">
        <f aca="false">IF(I95="regional",IF(R95&gt;0,R95*0.2975,S95*0.3484),S95*0.1939)</f>
        <v>0</v>
      </c>
      <c r="U95" s="320"/>
      <c r="V95" s="320"/>
      <c r="W95" s="320"/>
      <c r="X95" s="320"/>
      <c r="Y95" s="320"/>
      <c r="Z95" s="320"/>
      <c r="AA95" s="320"/>
      <c r="AB95" s="320"/>
      <c r="AC95" s="320"/>
      <c r="AD95" s="320"/>
      <c r="AE95" s="320"/>
      <c r="AF95" s="320"/>
      <c r="AG95" s="320"/>
      <c r="AH95" s="320"/>
      <c r="AI95" s="320"/>
      <c r="AJ95" s="292" t="n">
        <v>4</v>
      </c>
      <c r="AK95" s="292" t="s">
        <v>720</v>
      </c>
      <c r="AL95" s="321" t="s">
        <v>62</v>
      </c>
      <c r="AM95" s="292"/>
      <c r="AN95" s="328" t="s">
        <v>308</v>
      </c>
      <c r="AO95" s="328" t="n">
        <v>0</v>
      </c>
      <c r="AP95" s="329" t="n">
        <v>0</v>
      </c>
      <c r="AQ95" s="319" t="n">
        <f aca="false">AR95+AT95+AU95+AV95+AX95+AY95+AZ95+BB95+BC95+BD95+BF95+BG95+BH95+BJ95+BK95+(BL95+BM95+BN95)/1000+(0.1*BO95)</f>
        <v>5</v>
      </c>
      <c r="AR95" s="185" t="n">
        <v>0</v>
      </c>
      <c r="AS95" s="185" t="n">
        <v>0</v>
      </c>
      <c r="AT95" s="185" t="n">
        <v>3</v>
      </c>
      <c r="AU95" s="185" t="n">
        <v>2</v>
      </c>
      <c r="AV95" s="298"/>
      <c r="AW95" s="298"/>
      <c r="AX95" s="298"/>
      <c r="AY95" s="298"/>
      <c r="AZ95" s="298"/>
      <c r="BA95" s="298"/>
      <c r="BB95" s="298"/>
      <c r="BC95" s="298"/>
      <c r="BD95" s="298"/>
      <c r="BE95" s="298"/>
      <c r="BF95" s="298"/>
      <c r="BG95" s="298"/>
      <c r="BH95" s="298"/>
      <c r="BI95" s="298"/>
      <c r="BJ95" s="298"/>
      <c r="BK95" s="298"/>
      <c r="BL95" s="298"/>
      <c r="BM95" s="298"/>
      <c r="BN95" s="298"/>
      <c r="BO95" s="298"/>
      <c r="BR95" s="290" t="n">
        <f aca="false">AR95*1000/0.072</f>
        <v>0</v>
      </c>
      <c r="BS95" s="290" t="n">
        <f aca="false">AT95*1000/0.072</f>
        <v>41666.6666666667</v>
      </c>
      <c r="BT95" s="290" t="n">
        <f aca="false">AU95*1000/0.072</f>
        <v>27777.7777777778</v>
      </c>
      <c r="BU95" s="290" t="n">
        <f aca="false">SUM(BR95:BT95)</f>
        <v>69444.4444444445</v>
      </c>
      <c r="BV95" s="290" t="n">
        <v>0</v>
      </c>
      <c r="BW95" s="290" t="n">
        <v>0</v>
      </c>
      <c r="BX95" s="290" t="n">
        <v>0</v>
      </c>
      <c r="BY95" s="290" t="n">
        <f aca="false">SUM(BV95:BX95)</f>
        <v>0</v>
      </c>
      <c r="CA95" s="290" t="n">
        <f aca="false">IF($AM95="n",0,BR95)</f>
        <v>0</v>
      </c>
      <c r="CB95" s="290" t="n">
        <f aca="false">IF($AM95="n",0,BS95)</f>
        <v>41666.6666666667</v>
      </c>
      <c r="CC95" s="290" t="n">
        <f aca="false">IF($AM95="n",0,BT95)</f>
        <v>27777.7777777778</v>
      </c>
      <c r="CD95" s="290" t="n">
        <f aca="false">SUM(CA95:CC95)</f>
        <v>69444.4444444445</v>
      </c>
      <c r="CE95" s="290" t="n">
        <f aca="false">IF($AM$2="n",0,BV95)</f>
        <v>0</v>
      </c>
      <c r="CF95" s="290" t="n">
        <f aca="false">IF($AM$2="n",0,BW95)</f>
        <v>0</v>
      </c>
      <c r="CG95" s="290" t="n">
        <f aca="false">IF($AM$2="n",0,BX95)</f>
        <v>0</v>
      </c>
      <c r="CH95" s="290" t="n">
        <f aca="false">SUM(CE95:CG95)</f>
        <v>0</v>
      </c>
      <c r="CJ95" s="324"/>
      <c r="CK95" s="324"/>
      <c r="CL95" s="324"/>
      <c r="CM95" s="324"/>
      <c r="CN95" s="324"/>
      <c r="CO95" s="324"/>
      <c r="CP95" s="324"/>
      <c r="CQ95" s="324"/>
      <c r="CR95" s="324"/>
      <c r="CS95" s="324"/>
      <c r="CT95" s="324"/>
      <c r="CU95" s="324"/>
      <c r="CV95" s="324"/>
      <c r="CW95" s="324"/>
      <c r="CX95" s="324"/>
      <c r="CY95" s="324"/>
      <c r="CZ95" s="324"/>
      <c r="DA95" s="324"/>
      <c r="DB95" s="324"/>
      <c r="DC95" s="324"/>
      <c r="DD95" s="324"/>
      <c r="DE95" s="324"/>
      <c r="DF95" s="324"/>
      <c r="DG95" s="324"/>
      <c r="DH95" s="324"/>
      <c r="DI95" s="324"/>
      <c r="DJ95" s="324"/>
      <c r="DK95" s="324"/>
      <c r="DL95" s="324"/>
      <c r="DM95" s="324"/>
      <c r="DN95" s="324"/>
      <c r="DO95" s="324"/>
      <c r="DP95" s="324"/>
      <c r="DQ95" s="324"/>
      <c r="DR95" s="324"/>
      <c r="DS95" s="324"/>
      <c r="DT95" s="324"/>
      <c r="DU95" s="324"/>
      <c r="DV95" s="324"/>
      <c r="DW95" s="324"/>
      <c r="DX95" s="324"/>
      <c r="DY95" s="324"/>
      <c r="DZ95" s="324"/>
      <c r="EA95" s="324"/>
      <c r="EB95" s="324"/>
      <c r="EC95" s="324"/>
      <c r="ED95" s="324"/>
      <c r="EE95" s="324"/>
      <c r="EF95" s="324"/>
      <c r="EG95" s="324"/>
      <c r="EH95" s="324"/>
      <c r="EI95" s="324"/>
      <c r="EJ95" s="324"/>
      <c r="EK95" s="324"/>
      <c r="EL95" s="324"/>
      <c r="EM95" s="324"/>
      <c r="EN95" s="324"/>
      <c r="EO95" s="324"/>
      <c r="EP95" s="324"/>
      <c r="EQ95" s="324"/>
      <c r="ER95" s="324"/>
      <c r="ES95" s="324"/>
      <c r="ET95" s="324"/>
      <c r="EU95" s="324"/>
      <c r="EV95" s="324"/>
      <c r="EW95" s="324"/>
      <c r="EX95" s="324"/>
      <c r="EY95" s="324"/>
      <c r="EZ95" s="324"/>
      <c r="FA95" s="324"/>
      <c r="FB95" s="324"/>
      <c r="FC95" s="324"/>
      <c r="FD95" s="324"/>
      <c r="FE95" s="324"/>
      <c r="FF95" s="324"/>
      <c r="FG95" s="324"/>
      <c r="FH95" s="324"/>
      <c r="FI95" s="324"/>
      <c r="FJ95" s="324"/>
      <c r="FK95" s="324"/>
      <c r="FL95" s="324"/>
      <c r="FM95" s="324"/>
      <c r="FN95" s="324"/>
      <c r="FO95" s="324"/>
      <c r="FP95" s="324"/>
      <c r="FQ95" s="324"/>
      <c r="FR95" s="324"/>
      <c r="FS95" s="324"/>
      <c r="FT95" s="324"/>
      <c r="FU95" s="324"/>
      <c r="FV95" s="324"/>
      <c r="FW95" s="324"/>
      <c r="FX95" s="324"/>
      <c r="FY95" s="324"/>
      <c r="FZ95" s="324"/>
      <c r="GA95" s="324"/>
      <c r="GB95" s="324"/>
      <c r="GC95" s="324"/>
      <c r="GD95" s="324"/>
      <c r="GE95" s="324"/>
      <c r="GF95" s="324"/>
      <c r="GG95" s="324"/>
      <c r="GH95" s="324"/>
      <c r="GI95" s="324"/>
      <c r="GJ95" s="324"/>
      <c r="GK95" s="324"/>
      <c r="GL95" s="324"/>
      <c r="GM95" s="324"/>
      <c r="GN95" s="324"/>
      <c r="GO95" s="324"/>
      <c r="GP95" s="324"/>
      <c r="GQ95" s="324"/>
      <c r="GR95" s="324"/>
      <c r="GS95" s="324"/>
      <c r="GT95" s="324"/>
      <c r="GU95" s="324"/>
      <c r="GV95" s="324"/>
      <c r="GW95" s="324"/>
      <c r="GX95" s="324"/>
    </row>
    <row r="96" customFormat="false" ht="15" hidden="false" customHeight="true" outlineLevel="0" collapsed="false">
      <c r="A96" s="285" t="n">
        <v>906</v>
      </c>
      <c r="B96" s="285" t="s">
        <v>44</v>
      </c>
      <c r="C96" s="286" t="s">
        <v>309</v>
      </c>
      <c r="D96" s="287" t="s">
        <v>309</v>
      </c>
      <c r="E96" s="288" t="n">
        <f aca="false">IF(I96="regional",IF(R96*0.2975,S96*0.3484),S96*0.1939)</f>
        <v>342621.0892</v>
      </c>
      <c r="F96" s="288" t="n">
        <v>549013</v>
      </c>
      <c r="G96" s="289" t="n">
        <f aca="false">E96+F96</f>
        <v>891634.0892</v>
      </c>
      <c r="H96" s="286"/>
      <c r="I96" s="287" t="s">
        <v>48</v>
      </c>
      <c r="J96" s="287" t="s">
        <v>44</v>
      </c>
      <c r="K96" s="287" t="s">
        <v>312</v>
      </c>
      <c r="L96" s="287" t="s">
        <v>44</v>
      </c>
      <c r="M96" s="317" t="n">
        <v>165</v>
      </c>
      <c r="N96" s="317" t="n">
        <v>0.815</v>
      </c>
      <c r="O96" s="317" t="n">
        <v>0.815</v>
      </c>
      <c r="P96" s="317" t="n">
        <v>0.871</v>
      </c>
      <c r="Q96" s="317" t="n">
        <v>0.812</v>
      </c>
      <c r="R96" s="317" t="n">
        <v>1238108</v>
      </c>
      <c r="S96" s="317" t="n">
        <v>983413</v>
      </c>
      <c r="T96" s="318" t="n">
        <f aca="false">IF(I96="regional",IF(R96&gt;0,R96*0.2975,S96*0.3484),S96*0.1939)</f>
        <v>368337.13</v>
      </c>
      <c r="U96" s="317" t="n">
        <v>597028</v>
      </c>
      <c r="V96" s="317" t="n">
        <v>386385</v>
      </c>
      <c r="W96" s="317" t="n">
        <v>4846</v>
      </c>
      <c r="X96" s="317" t="n">
        <v>917350.13</v>
      </c>
      <c r="Y96" s="317" t="n">
        <v>368337.13</v>
      </c>
      <c r="Z96" s="317" t="n">
        <v>549013</v>
      </c>
      <c r="AA96" s="317" t="n">
        <v>434400</v>
      </c>
      <c r="AB96" s="317" t="n">
        <v>0</v>
      </c>
      <c r="AC96" s="317" t="n">
        <v>434400</v>
      </c>
      <c r="AD96" s="317" t="n">
        <v>549013</v>
      </c>
      <c r="AE96" s="317" t="n">
        <v>0</v>
      </c>
      <c r="AF96" s="317" t="n">
        <v>434400</v>
      </c>
      <c r="AG96" s="317" t="n">
        <v>0</v>
      </c>
      <c r="AH96" s="317" t="n">
        <v>581000</v>
      </c>
      <c r="AI96" s="317" t="n">
        <v>561000</v>
      </c>
      <c r="AJ96" s="286" t="s">
        <v>707</v>
      </c>
      <c r="AK96" s="286" t="s">
        <v>712</v>
      </c>
      <c r="AL96" s="287" t="s">
        <v>48</v>
      </c>
      <c r="AM96" s="286"/>
      <c r="AN96" s="287" t="s">
        <v>309</v>
      </c>
      <c r="AO96" s="287" t="n">
        <v>917350.13</v>
      </c>
      <c r="AP96" s="319" t="n">
        <f aca="false">AR96+AT96+AU96+AV96+AX96+AY96+AZ96+BD96+BF96+BG96+BH96+BJ96+BK96+(BL96+BM96+BN96)/1000+(0.1*BO96)</f>
        <v>1036.2949</v>
      </c>
      <c r="AQ96" s="319" t="n">
        <f aca="false">AR96+AT96+AU96+AV96+AX96+AY96+AZ96+BB96+BC96+BD96+BF96+BG96+BH96+BJ96+BK96+(BL96+BM96+BN96)/1000+(0.1*BO96)</f>
        <v>1089.2949</v>
      </c>
      <c r="AR96" s="285" t="n">
        <v>442</v>
      </c>
      <c r="AS96" s="285" t="n">
        <v>561</v>
      </c>
      <c r="AT96" s="285" t="n">
        <v>116</v>
      </c>
      <c r="AU96" s="285" t="n">
        <v>0</v>
      </c>
      <c r="AV96" s="285" t="n">
        <v>0</v>
      </c>
      <c r="AW96" s="285" t="n">
        <v>17</v>
      </c>
      <c r="AX96" s="285" t="n">
        <v>0</v>
      </c>
      <c r="AY96" s="285" t="n">
        <v>0</v>
      </c>
      <c r="AZ96" s="285" t="n">
        <v>17</v>
      </c>
      <c r="BA96" s="285" t="n">
        <v>59</v>
      </c>
      <c r="BB96" s="285" t="n">
        <v>53</v>
      </c>
      <c r="BC96" s="285" t="n">
        <v>0</v>
      </c>
      <c r="BD96" s="285" t="n">
        <v>30</v>
      </c>
      <c r="BE96" s="285" t="n">
        <v>0</v>
      </c>
      <c r="BF96" s="285" t="n">
        <v>0</v>
      </c>
      <c r="BG96" s="285" t="n">
        <v>0</v>
      </c>
      <c r="BH96" s="285" t="n">
        <v>64</v>
      </c>
      <c r="BI96" s="285" t="n">
        <v>0</v>
      </c>
      <c r="BJ96" s="285" t="n">
        <v>0</v>
      </c>
      <c r="BK96" s="285" t="n">
        <v>0</v>
      </c>
      <c r="BL96" s="285" t="n">
        <v>0</v>
      </c>
      <c r="BM96" s="285" t="n">
        <v>0</v>
      </c>
      <c r="BN96" s="285" t="n">
        <v>293400</v>
      </c>
      <c r="BO96" s="285" t="n">
        <v>738.949</v>
      </c>
      <c r="BR96" s="290" t="n">
        <f aca="false">AR96*1000/0.072</f>
        <v>6138888.88888889</v>
      </c>
      <c r="BS96" s="290" t="n">
        <f aca="false">AT96*1000/0.072</f>
        <v>1611111.11111111</v>
      </c>
      <c r="BT96" s="290" t="n">
        <f aca="false">AU96*1000/0.072</f>
        <v>0</v>
      </c>
      <c r="BU96" s="290" t="n">
        <f aca="false">SUM(BR96:BT96)</f>
        <v>7750000</v>
      </c>
      <c r="BV96" s="290" t="n">
        <f aca="false">AV96*1000/5</f>
        <v>0</v>
      </c>
      <c r="BW96" s="290" t="n">
        <f aca="false">AX96*1000/5</f>
        <v>0</v>
      </c>
      <c r="BX96" s="290" t="n">
        <f aca="false">AY96*1000/5</f>
        <v>0</v>
      </c>
      <c r="BY96" s="290" t="n">
        <f aca="false">SUM(BV96:BX96)</f>
        <v>0</v>
      </c>
      <c r="CA96" s="290" t="n">
        <f aca="false">IF($AM96="n",0,BR96)</f>
        <v>6138888.88888889</v>
      </c>
      <c r="CB96" s="290" t="n">
        <f aca="false">IF($AM96="n",0,BS96)</f>
        <v>1611111.11111111</v>
      </c>
      <c r="CC96" s="290" t="n">
        <f aca="false">IF($AM96="n",0,BT96)</f>
        <v>0</v>
      </c>
      <c r="CD96" s="290" t="n">
        <f aca="false">SUM(CA96:CC96)</f>
        <v>7750000</v>
      </c>
      <c r="CE96" s="290" t="n">
        <f aca="false">IF($AM$2="n",0,BV96)</f>
        <v>0</v>
      </c>
      <c r="CF96" s="290" t="n">
        <f aca="false">IF($AM$2="n",0,BW96)</f>
        <v>0</v>
      </c>
      <c r="CG96" s="290" t="n">
        <f aca="false">IF($AM$2="n",0,BX96)</f>
        <v>0</v>
      </c>
      <c r="CH96" s="290" t="n">
        <f aca="false">SUM(CE96:CG96)</f>
        <v>0</v>
      </c>
      <c r="CJ96" s="324"/>
      <c r="CK96" s="324"/>
      <c r="CL96" s="324"/>
      <c r="CM96" s="324"/>
      <c r="CN96" s="324"/>
      <c r="CO96" s="324"/>
      <c r="CP96" s="324"/>
      <c r="CQ96" s="324"/>
      <c r="CR96" s="324"/>
      <c r="CS96" s="324"/>
      <c r="CT96" s="324"/>
      <c r="CU96" s="324"/>
      <c r="CV96" s="324"/>
      <c r="CW96" s="324"/>
      <c r="CX96" s="324"/>
      <c r="CY96" s="324"/>
      <c r="CZ96" s="324"/>
      <c r="DA96" s="324"/>
      <c r="DB96" s="324"/>
      <c r="DC96" s="324"/>
      <c r="DD96" s="324"/>
      <c r="DE96" s="324"/>
      <c r="DF96" s="324"/>
      <c r="DG96" s="324"/>
      <c r="DH96" s="324"/>
      <c r="DI96" s="324"/>
      <c r="DJ96" s="324"/>
      <c r="DK96" s="324"/>
      <c r="DL96" s="324"/>
      <c r="DM96" s="324"/>
      <c r="DN96" s="324"/>
      <c r="DO96" s="324"/>
      <c r="DP96" s="324"/>
      <c r="DQ96" s="324"/>
      <c r="DR96" s="324"/>
      <c r="DS96" s="324"/>
      <c r="DT96" s="324"/>
      <c r="DU96" s="324"/>
      <c r="DV96" s="324"/>
      <c r="DW96" s="324"/>
      <c r="DX96" s="324"/>
      <c r="DY96" s="324"/>
      <c r="DZ96" s="324"/>
      <c r="EA96" s="324"/>
      <c r="EB96" s="324"/>
      <c r="EC96" s="324"/>
      <c r="ED96" s="324"/>
      <c r="EE96" s="324"/>
      <c r="EF96" s="324"/>
      <c r="EG96" s="324"/>
      <c r="EH96" s="324"/>
      <c r="EI96" s="324"/>
      <c r="EJ96" s="324"/>
      <c r="EK96" s="324"/>
      <c r="EL96" s="324"/>
      <c r="EM96" s="324"/>
      <c r="EN96" s="324"/>
      <c r="EO96" s="324"/>
      <c r="EP96" s="324"/>
      <c r="EQ96" s="324"/>
      <c r="ER96" s="324"/>
      <c r="ES96" s="324"/>
      <c r="ET96" s="324"/>
      <c r="EU96" s="324"/>
      <c r="EV96" s="324"/>
      <c r="EW96" s="324"/>
      <c r="EX96" s="324"/>
      <c r="EY96" s="324"/>
      <c r="EZ96" s="324"/>
      <c r="FA96" s="324"/>
      <c r="FB96" s="324"/>
      <c r="FC96" s="324"/>
      <c r="FD96" s="324"/>
      <c r="FE96" s="324"/>
      <c r="FF96" s="324"/>
      <c r="FG96" s="324"/>
      <c r="FH96" s="324"/>
      <c r="FI96" s="324"/>
      <c r="FJ96" s="324"/>
      <c r="FK96" s="324"/>
      <c r="FL96" s="324"/>
      <c r="FM96" s="324"/>
      <c r="FN96" s="324"/>
      <c r="FO96" s="324"/>
      <c r="FP96" s="324"/>
      <c r="FQ96" s="324"/>
      <c r="FR96" s="324"/>
      <c r="FS96" s="324"/>
      <c r="FT96" s="324"/>
      <c r="FU96" s="324"/>
      <c r="FV96" s="324"/>
      <c r="FW96" s="324"/>
      <c r="FX96" s="324"/>
      <c r="FY96" s="324"/>
      <c r="FZ96" s="324"/>
      <c r="GA96" s="324"/>
      <c r="GB96" s="324"/>
      <c r="GC96" s="324"/>
      <c r="GD96" s="324"/>
      <c r="GE96" s="324"/>
      <c r="GF96" s="324"/>
      <c r="GG96" s="324"/>
      <c r="GH96" s="324"/>
      <c r="GI96" s="324"/>
      <c r="GJ96" s="324"/>
      <c r="GK96" s="324"/>
      <c r="GL96" s="324"/>
      <c r="GM96" s="324"/>
      <c r="GN96" s="324"/>
      <c r="GO96" s="324"/>
      <c r="GP96" s="324"/>
      <c r="GQ96" s="324"/>
      <c r="GR96" s="324"/>
      <c r="GS96" s="324"/>
      <c r="GT96" s="324"/>
      <c r="GU96" s="324"/>
      <c r="GV96" s="324"/>
      <c r="GW96" s="324"/>
      <c r="GX96" s="324"/>
    </row>
    <row r="97" customFormat="false" ht="15" hidden="false" customHeight="true" outlineLevel="0" collapsed="false">
      <c r="A97" s="285" t="n">
        <v>907</v>
      </c>
      <c r="B97" s="285"/>
      <c r="C97" s="286" t="s">
        <v>313</v>
      </c>
      <c r="D97" s="287" t="s">
        <v>313</v>
      </c>
      <c r="E97" s="288" t="n">
        <f aca="false">IF(I97="regional",IF(R97*0.2975,S97*0.3484),S97*0.1939)</f>
        <v>34962.109</v>
      </c>
      <c r="F97" s="288" t="n">
        <v>0</v>
      </c>
      <c r="G97" s="289" t="n">
        <f aca="false">E97+F97</f>
        <v>34962.109</v>
      </c>
      <c r="H97" s="286"/>
      <c r="I97" s="287" t="s">
        <v>62</v>
      </c>
      <c r="J97" s="287"/>
      <c r="K97" s="287" t="s">
        <v>312</v>
      </c>
      <c r="L97" s="287"/>
      <c r="M97" s="317" t="n">
        <v>0</v>
      </c>
      <c r="N97" s="317" t="n">
        <v>1</v>
      </c>
      <c r="O97" s="317" t="n">
        <v>1</v>
      </c>
      <c r="P97" s="317" t="n">
        <v>0.604</v>
      </c>
      <c r="Q97" s="317" t="n">
        <v>1</v>
      </c>
      <c r="R97" s="317" t="n">
        <v>0</v>
      </c>
      <c r="S97" s="317" t="n">
        <v>180310</v>
      </c>
      <c r="T97" s="318" t="n">
        <f aca="false">IF(I97="regional",IF(R97&gt;0,R97*0.2975,S97*0.3484),S97*0.1939)</f>
        <v>34962.109</v>
      </c>
      <c r="U97" s="317" t="n">
        <v>180355</v>
      </c>
      <c r="V97" s="317" t="n">
        <v>-45</v>
      </c>
      <c r="W97" s="317" t="n">
        <v>700</v>
      </c>
      <c r="X97" s="317" t="n">
        <v>0</v>
      </c>
      <c r="Y97" s="317" t="n">
        <v>0</v>
      </c>
      <c r="Z97" s="317" t="n">
        <v>0</v>
      </c>
      <c r="AA97" s="317" t="n">
        <v>215272.109</v>
      </c>
      <c r="AB97" s="317" t="n">
        <v>34962.109</v>
      </c>
      <c r="AC97" s="317" t="n">
        <v>180310</v>
      </c>
      <c r="AD97" s="317" t="n">
        <v>0</v>
      </c>
      <c r="AE97" s="317" t="n">
        <v>0</v>
      </c>
      <c r="AF97" s="317" t="n">
        <v>0</v>
      </c>
      <c r="AG97" s="317" t="n">
        <v>180310</v>
      </c>
      <c r="AH97" s="317" t="n">
        <v>0</v>
      </c>
      <c r="AI97" s="317" t="n">
        <v>0</v>
      </c>
      <c r="AJ97" s="286" t="s">
        <v>707</v>
      </c>
      <c r="AK97" s="286" t="s">
        <v>712</v>
      </c>
      <c r="AL97" s="287" t="s">
        <v>62</v>
      </c>
      <c r="AM97" s="286"/>
      <c r="AN97" s="287" t="s">
        <v>313</v>
      </c>
      <c r="AO97" s="287" t="n">
        <v>34962.109</v>
      </c>
      <c r="AP97" s="319" t="n">
        <f aca="false">AR97+AT97+AU97+AV97+AX97+AY97+AZ97+BD97+BF97+BG97+BH97+BJ97+BK97+(BL97+BM97+BN97)/1000+(0.1*BO97)</f>
        <v>13.54</v>
      </c>
      <c r="AQ97" s="319" t="n">
        <f aca="false">AR97+AT97+AU97+AV97+AX97+AY97+AZ97+BB97+BC97+BD97+BF97+BG97+BH97+BJ97+BK97+(BL97+BM97+BN97)/1000+(0.1*BO97)</f>
        <v>14.54</v>
      </c>
      <c r="AR97" s="285" t="n">
        <v>0</v>
      </c>
      <c r="AS97" s="285" t="n">
        <v>0</v>
      </c>
      <c r="AT97" s="285" t="n">
        <v>3</v>
      </c>
      <c r="AU97" s="285" t="n">
        <v>10</v>
      </c>
      <c r="AV97" s="285" t="n">
        <v>0</v>
      </c>
      <c r="AW97" s="285" t="n">
        <v>0</v>
      </c>
      <c r="AX97" s="285" t="n">
        <v>0</v>
      </c>
      <c r="AY97" s="285" t="n">
        <v>0</v>
      </c>
      <c r="AZ97" s="285" t="n">
        <v>0</v>
      </c>
      <c r="BA97" s="285" t="n">
        <v>0</v>
      </c>
      <c r="BB97" s="285" t="n">
        <v>0</v>
      </c>
      <c r="BC97" s="285" t="n">
        <v>1</v>
      </c>
      <c r="BD97" s="285" t="n">
        <v>0</v>
      </c>
      <c r="BE97" s="285" t="n">
        <v>0</v>
      </c>
      <c r="BF97" s="285" t="n">
        <v>0</v>
      </c>
      <c r="BG97" s="285" t="n">
        <v>0</v>
      </c>
      <c r="BH97" s="285" t="n">
        <v>0</v>
      </c>
      <c r="BI97" s="285" t="n">
        <v>0</v>
      </c>
      <c r="BJ97" s="285" t="n">
        <v>0</v>
      </c>
      <c r="BK97" s="285" t="n">
        <v>0</v>
      </c>
      <c r="BL97" s="285" t="n">
        <v>0</v>
      </c>
      <c r="BM97" s="285" t="n">
        <v>0</v>
      </c>
      <c r="BN97" s="285" t="n">
        <v>0</v>
      </c>
      <c r="BO97" s="285" t="n">
        <v>5.4</v>
      </c>
      <c r="BR97" s="290" t="n">
        <f aca="false">AR97*1000/0.072</f>
        <v>0</v>
      </c>
      <c r="BS97" s="290" t="n">
        <f aca="false">AT97*1000/0.072</f>
        <v>41666.6666666667</v>
      </c>
      <c r="BT97" s="290" t="n">
        <f aca="false">AU97*1000/0.072</f>
        <v>138888.888888889</v>
      </c>
      <c r="BU97" s="290" t="n">
        <f aca="false">SUM(BR97:BT97)</f>
        <v>180555.555555556</v>
      </c>
      <c r="BV97" s="290" t="n">
        <f aca="false">AV97*1000/5</f>
        <v>0</v>
      </c>
      <c r="BW97" s="290" t="n">
        <f aca="false">AX97*1000/5</f>
        <v>0</v>
      </c>
      <c r="BX97" s="290" t="n">
        <f aca="false">AY97*1000/5</f>
        <v>0</v>
      </c>
      <c r="BY97" s="290" t="n">
        <f aca="false">SUM(BV97:BX97)</f>
        <v>0</v>
      </c>
      <c r="CA97" s="290" t="n">
        <f aca="false">IF($AM97="n",0,BR97)</f>
        <v>0</v>
      </c>
      <c r="CB97" s="290" t="n">
        <f aca="false">IF($AM97="n",0,BS97)</f>
        <v>41666.6666666667</v>
      </c>
      <c r="CC97" s="290" t="n">
        <f aca="false">IF($AM97="n",0,BT97)</f>
        <v>138888.888888889</v>
      </c>
      <c r="CD97" s="290" t="n">
        <f aca="false">SUM(CA97:CC97)</f>
        <v>180555.555555556</v>
      </c>
      <c r="CE97" s="290" t="n">
        <f aca="false">IF($AM$2="n",0,BV97)</f>
        <v>0</v>
      </c>
      <c r="CF97" s="290" t="n">
        <f aca="false">IF($AM$2="n",0,BW97)</f>
        <v>0</v>
      </c>
      <c r="CG97" s="290" t="n">
        <f aca="false">IF($AM$2="n",0,BX97)</f>
        <v>0</v>
      </c>
      <c r="CH97" s="290" t="n">
        <f aca="false">SUM(CE97:CG97)</f>
        <v>0</v>
      </c>
      <c r="CJ97" s="324"/>
      <c r="CK97" s="324"/>
      <c r="CL97" s="324"/>
      <c r="CM97" s="324"/>
      <c r="CN97" s="324"/>
      <c r="CO97" s="324"/>
      <c r="CP97" s="324"/>
      <c r="CQ97" s="324"/>
      <c r="CR97" s="324"/>
      <c r="CS97" s="324"/>
      <c r="CT97" s="324"/>
      <c r="CU97" s="324"/>
      <c r="CV97" s="324"/>
      <c r="CW97" s="324"/>
      <c r="CX97" s="324"/>
      <c r="CY97" s="324"/>
      <c r="CZ97" s="324"/>
      <c r="DA97" s="324"/>
      <c r="DB97" s="324"/>
      <c r="DC97" s="324"/>
      <c r="DD97" s="324"/>
      <c r="DE97" s="324"/>
      <c r="DF97" s="324"/>
      <c r="DG97" s="324"/>
      <c r="DH97" s="324"/>
      <c r="DI97" s="324"/>
      <c r="DJ97" s="324"/>
      <c r="DK97" s="324"/>
      <c r="DL97" s="324"/>
      <c r="DM97" s="324"/>
      <c r="DN97" s="324"/>
      <c r="DO97" s="324"/>
      <c r="DP97" s="324"/>
      <c r="DQ97" s="324"/>
      <c r="DR97" s="324"/>
      <c r="DS97" s="324"/>
      <c r="DT97" s="324"/>
      <c r="DU97" s="324"/>
      <c r="DV97" s="324"/>
      <c r="DW97" s="324"/>
      <c r="DX97" s="324"/>
      <c r="DY97" s="324"/>
      <c r="DZ97" s="324"/>
      <c r="EA97" s="324"/>
      <c r="EB97" s="324"/>
      <c r="EC97" s="324"/>
      <c r="ED97" s="324"/>
      <c r="EE97" s="324"/>
      <c r="EF97" s="324"/>
      <c r="EG97" s="324"/>
      <c r="EH97" s="324"/>
      <c r="EI97" s="324"/>
      <c r="EJ97" s="324"/>
      <c r="EK97" s="324"/>
      <c r="EL97" s="324"/>
      <c r="EM97" s="324"/>
      <c r="EN97" s="324"/>
      <c r="EO97" s="324"/>
      <c r="EP97" s="324"/>
      <c r="EQ97" s="324"/>
      <c r="ER97" s="324"/>
      <c r="ES97" s="324"/>
      <c r="ET97" s="324"/>
      <c r="EU97" s="324"/>
      <c r="EV97" s="324"/>
      <c r="EW97" s="324"/>
      <c r="EX97" s="324"/>
      <c r="EY97" s="324"/>
      <c r="EZ97" s="324"/>
      <c r="FA97" s="324"/>
      <c r="FB97" s="324"/>
      <c r="FC97" s="324"/>
      <c r="FD97" s="324"/>
      <c r="FE97" s="324"/>
      <c r="FF97" s="324"/>
      <c r="FG97" s="324"/>
      <c r="FH97" s="324"/>
      <c r="FI97" s="324"/>
      <c r="FJ97" s="324"/>
      <c r="FK97" s="324"/>
      <c r="FL97" s="324"/>
      <c r="FM97" s="324"/>
      <c r="FN97" s="324"/>
      <c r="FO97" s="324"/>
      <c r="FP97" s="324"/>
      <c r="FQ97" s="324"/>
      <c r="FR97" s="324"/>
      <c r="FS97" s="324"/>
      <c r="FT97" s="324"/>
      <c r="FU97" s="324"/>
      <c r="FV97" s="324"/>
      <c r="FW97" s="324"/>
      <c r="FX97" s="324"/>
      <c r="FY97" s="324"/>
      <c r="FZ97" s="324"/>
      <c r="GA97" s="324"/>
      <c r="GB97" s="324"/>
      <c r="GC97" s="324"/>
      <c r="GD97" s="324"/>
      <c r="GE97" s="324"/>
      <c r="GF97" s="324"/>
      <c r="GG97" s="324"/>
      <c r="GH97" s="324"/>
      <c r="GI97" s="324"/>
      <c r="GJ97" s="324"/>
      <c r="GK97" s="324"/>
      <c r="GL97" s="324"/>
      <c r="GM97" s="324"/>
      <c r="GN97" s="324"/>
      <c r="GO97" s="324"/>
      <c r="GP97" s="324"/>
      <c r="GQ97" s="324"/>
      <c r="GR97" s="324"/>
      <c r="GS97" s="324"/>
      <c r="GT97" s="324"/>
      <c r="GU97" s="324"/>
      <c r="GV97" s="324"/>
      <c r="GW97" s="324"/>
      <c r="GX97" s="324"/>
    </row>
    <row r="98" customFormat="false" ht="15" hidden="false" customHeight="true" outlineLevel="0" collapsed="false">
      <c r="A98" s="285" t="n">
        <v>2546</v>
      </c>
      <c r="B98" s="285" t="s">
        <v>44</v>
      </c>
      <c r="C98" s="286" t="s">
        <v>314</v>
      </c>
      <c r="D98" s="287" t="s">
        <v>314</v>
      </c>
      <c r="E98" s="288" t="n">
        <f aca="false">IF(I98="regional",IF(R98*0.2975,S98*0.3484),S98*0.1939)</f>
        <v>334150.44</v>
      </c>
      <c r="F98" s="288" t="n">
        <v>0</v>
      </c>
      <c r="G98" s="289" t="n">
        <f aca="false">E98+F98</f>
        <v>334150.44</v>
      </c>
      <c r="H98" s="286"/>
      <c r="I98" s="287" t="s">
        <v>48</v>
      </c>
      <c r="J98" s="287" t="s">
        <v>44</v>
      </c>
      <c r="K98" s="287" t="s">
        <v>316</v>
      </c>
      <c r="L98" s="287"/>
      <c r="M98" s="317" t="n">
        <v>114</v>
      </c>
      <c r="N98" s="317" t="n">
        <v>0.939</v>
      </c>
      <c r="O98" s="317" t="n">
        <v>0.992</v>
      </c>
      <c r="P98" s="317" t="n">
        <v>0.989</v>
      </c>
      <c r="Q98" s="317" t="n">
        <v>0.977</v>
      </c>
      <c r="R98" s="317" t="n">
        <v>1049405</v>
      </c>
      <c r="S98" s="317" t="n">
        <v>959100</v>
      </c>
      <c r="T98" s="318" t="n">
        <f aca="false">IF(I98="regional",IF(R98&gt;0,R98*0.2975,S98*0.3484),S98*0.1939)</f>
        <v>312197.9875</v>
      </c>
      <c r="U98" s="317" t="n">
        <v>639742</v>
      </c>
      <c r="V98" s="317" t="n">
        <v>319358</v>
      </c>
      <c r="W98" s="317" t="n">
        <v>4100</v>
      </c>
      <c r="X98" s="317" t="n">
        <v>0</v>
      </c>
      <c r="Y98" s="317" t="n">
        <v>0</v>
      </c>
      <c r="Z98" s="317" t="n">
        <v>0</v>
      </c>
      <c r="AA98" s="317" t="n">
        <v>1271297.988</v>
      </c>
      <c r="AB98" s="317" t="n">
        <v>312197.9875</v>
      </c>
      <c r="AC98" s="317" t="n">
        <v>959100</v>
      </c>
      <c r="AD98" s="317" t="n">
        <v>0</v>
      </c>
      <c r="AE98" s="317" t="n">
        <v>0</v>
      </c>
      <c r="AF98" s="317" t="n">
        <v>959100</v>
      </c>
      <c r="AG98" s="317" t="n">
        <v>0</v>
      </c>
      <c r="AH98" s="317" t="n">
        <v>1390000</v>
      </c>
      <c r="AI98" s="317" t="n">
        <v>1300000</v>
      </c>
      <c r="AJ98" s="286" t="s">
        <v>707</v>
      </c>
      <c r="AK98" s="286" t="s">
        <v>708</v>
      </c>
      <c r="AL98" s="287" t="s">
        <v>48</v>
      </c>
      <c r="AM98" s="286"/>
      <c r="AN98" s="287" t="s">
        <v>314</v>
      </c>
      <c r="AO98" s="287" t="n">
        <v>312197.9875</v>
      </c>
      <c r="AP98" s="319" t="n">
        <f aca="false">AR98+AT98+AU98+AV98+AX98+AY98+AZ98+BD98+BF98+BG98+BH98+BJ98+BK98+(BL98+BM98+BN98)/1000+(0.1*BO98)</f>
        <v>403.2821</v>
      </c>
      <c r="AQ98" s="319" t="n">
        <f aca="false">AR98+AT98+AU98+AV98+AX98+AY98+AZ98+BB98+BC98+BD98+BF98+BG98+BH98+BJ98+BK98+(BL98+BM98+BN98)/1000+(0.1*BO98)</f>
        <v>427.2821</v>
      </c>
      <c r="AR98" s="285" t="n">
        <v>99</v>
      </c>
      <c r="AS98" s="338" t="n">
        <v>1300</v>
      </c>
      <c r="AT98" s="285" t="n">
        <v>106</v>
      </c>
      <c r="AU98" s="285" t="n">
        <v>18</v>
      </c>
      <c r="AV98" s="285" t="n">
        <v>0</v>
      </c>
      <c r="AW98" s="285" t="n">
        <v>0</v>
      </c>
      <c r="AX98" s="285" t="n">
        <v>0</v>
      </c>
      <c r="AY98" s="285" t="n">
        <v>0</v>
      </c>
      <c r="AZ98" s="285" t="n">
        <v>0</v>
      </c>
      <c r="BA98" s="285" t="n">
        <v>19</v>
      </c>
      <c r="BB98" s="285" t="n">
        <v>24</v>
      </c>
      <c r="BC98" s="285" t="n">
        <v>0</v>
      </c>
      <c r="BD98" s="285" t="n">
        <v>0</v>
      </c>
      <c r="BE98" s="285" t="n">
        <v>0</v>
      </c>
      <c r="BF98" s="285" t="n">
        <v>0</v>
      </c>
      <c r="BG98" s="285" t="n">
        <v>0</v>
      </c>
      <c r="BH98" s="285" t="n">
        <v>0</v>
      </c>
      <c r="BI98" s="285" t="n">
        <v>0</v>
      </c>
      <c r="BJ98" s="285" t="n">
        <v>0</v>
      </c>
      <c r="BK98" s="285" t="n">
        <v>0</v>
      </c>
      <c r="BL98" s="285" t="n">
        <v>0</v>
      </c>
      <c r="BM98" s="285" t="n">
        <v>0</v>
      </c>
      <c r="BN98" s="285" t="n">
        <v>100633</v>
      </c>
      <c r="BO98" s="285" t="n">
        <v>796.491</v>
      </c>
      <c r="BR98" s="290" t="n">
        <f aca="false">AR98*1000/0.072</f>
        <v>1375000</v>
      </c>
      <c r="BS98" s="290" t="n">
        <f aca="false">AT98*1000/0.072</f>
        <v>1472222.22222222</v>
      </c>
      <c r="BT98" s="290" t="n">
        <f aca="false">AU98*1000/0.072</f>
        <v>250000</v>
      </c>
      <c r="BU98" s="290" t="n">
        <f aca="false">SUM(BR98:BT98)</f>
        <v>3097222.22222222</v>
      </c>
      <c r="BV98" s="290" t="n">
        <f aca="false">AV98*1000/5</f>
        <v>0</v>
      </c>
      <c r="BW98" s="290" t="n">
        <f aca="false">AX98*1000/5</f>
        <v>0</v>
      </c>
      <c r="BX98" s="290" t="n">
        <f aca="false">AY98*1000/5</f>
        <v>0</v>
      </c>
      <c r="BY98" s="290" t="n">
        <f aca="false">SUM(BV98:BX98)</f>
        <v>0</v>
      </c>
      <c r="CA98" s="290" t="n">
        <f aca="false">IF($AM98="n",0,BR98)</f>
        <v>1375000</v>
      </c>
      <c r="CB98" s="290" t="n">
        <f aca="false">IF($AM98="n",0,BS98)</f>
        <v>1472222.22222222</v>
      </c>
      <c r="CC98" s="290" t="n">
        <f aca="false">IF($AM98="n",0,BT98)</f>
        <v>250000</v>
      </c>
      <c r="CD98" s="290" t="n">
        <f aca="false">SUM(CA98:CC98)</f>
        <v>3097222.22222222</v>
      </c>
      <c r="CE98" s="290" t="n">
        <f aca="false">IF($AM$2="n",0,BV98)</f>
        <v>0</v>
      </c>
      <c r="CF98" s="290" t="n">
        <f aca="false">IF($AM$2="n",0,BW98)</f>
        <v>0</v>
      </c>
      <c r="CG98" s="290" t="n">
        <f aca="false">IF($AM$2="n",0,BX98)</f>
        <v>0</v>
      </c>
      <c r="CH98" s="290" t="n">
        <f aca="false">SUM(CE98:CG98)</f>
        <v>0</v>
      </c>
      <c r="CJ98" s="324"/>
      <c r="CK98" s="324"/>
      <c r="CL98" s="324"/>
      <c r="CM98" s="324"/>
      <c r="CN98" s="324"/>
      <c r="CO98" s="324"/>
      <c r="CP98" s="324"/>
      <c r="CQ98" s="324"/>
      <c r="CR98" s="324"/>
      <c r="CS98" s="324"/>
      <c r="CT98" s="324"/>
      <c r="CU98" s="324"/>
      <c r="CV98" s="324"/>
      <c r="CW98" s="324"/>
      <c r="CX98" s="324"/>
      <c r="CY98" s="324"/>
      <c r="CZ98" s="324"/>
      <c r="DA98" s="324"/>
      <c r="DB98" s="324"/>
      <c r="DC98" s="324"/>
      <c r="DD98" s="324"/>
      <c r="DE98" s="324"/>
      <c r="DF98" s="324"/>
      <c r="DG98" s="324"/>
      <c r="DH98" s="324"/>
      <c r="DI98" s="324"/>
      <c r="DJ98" s="324"/>
      <c r="DK98" s="324"/>
      <c r="DL98" s="324"/>
      <c r="DM98" s="324"/>
      <c r="DN98" s="324"/>
      <c r="DO98" s="324"/>
      <c r="DP98" s="324"/>
      <c r="DQ98" s="324"/>
      <c r="DR98" s="324"/>
      <c r="DS98" s="324"/>
      <c r="DT98" s="324"/>
      <c r="DU98" s="324"/>
      <c r="DV98" s="324"/>
      <c r="DW98" s="324"/>
      <c r="DX98" s="324"/>
      <c r="DY98" s="324"/>
      <c r="DZ98" s="324"/>
      <c r="EA98" s="324"/>
      <c r="EB98" s="324"/>
      <c r="EC98" s="324"/>
      <c r="ED98" s="324"/>
      <c r="EE98" s="324"/>
      <c r="EF98" s="324"/>
      <c r="EG98" s="324"/>
      <c r="EH98" s="324"/>
      <c r="EI98" s="324"/>
      <c r="EJ98" s="324"/>
      <c r="EK98" s="324"/>
      <c r="EL98" s="324"/>
      <c r="EM98" s="324"/>
      <c r="EN98" s="324"/>
      <c r="EO98" s="324"/>
      <c r="EP98" s="324"/>
      <c r="EQ98" s="324"/>
      <c r="ER98" s="324"/>
      <c r="ES98" s="324"/>
      <c r="ET98" s="324"/>
      <c r="EU98" s="324"/>
      <c r="EV98" s="324"/>
      <c r="EW98" s="324"/>
      <c r="EX98" s="324"/>
      <c r="EY98" s="324"/>
      <c r="EZ98" s="324"/>
      <c r="FA98" s="324"/>
      <c r="FB98" s="324"/>
      <c r="FC98" s="324"/>
      <c r="FD98" s="324"/>
      <c r="FE98" s="324"/>
      <c r="FF98" s="324"/>
      <c r="FG98" s="324"/>
      <c r="FH98" s="324"/>
      <c r="FI98" s="324"/>
      <c r="FJ98" s="324"/>
      <c r="FK98" s="324"/>
      <c r="FL98" s="324"/>
      <c r="FM98" s="324"/>
      <c r="FN98" s="324"/>
      <c r="FO98" s="324"/>
      <c r="FP98" s="324"/>
      <c r="FQ98" s="324"/>
      <c r="FR98" s="324"/>
      <c r="FS98" s="324"/>
      <c r="FT98" s="324"/>
      <c r="FU98" s="324"/>
      <c r="FV98" s="324"/>
      <c r="FW98" s="324"/>
      <c r="FX98" s="324"/>
      <c r="FY98" s="324"/>
      <c r="FZ98" s="324"/>
      <c r="GA98" s="324"/>
      <c r="GB98" s="324"/>
      <c r="GC98" s="324"/>
      <c r="GD98" s="324"/>
      <c r="GE98" s="324"/>
      <c r="GF98" s="324"/>
      <c r="GG98" s="324"/>
      <c r="GH98" s="324"/>
      <c r="GI98" s="324"/>
      <c r="GJ98" s="324"/>
      <c r="GK98" s="324"/>
      <c r="GL98" s="324"/>
      <c r="GM98" s="324"/>
      <c r="GN98" s="324"/>
      <c r="GO98" s="324"/>
      <c r="GP98" s="324"/>
      <c r="GQ98" s="324"/>
      <c r="GR98" s="324"/>
      <c r="GS98" s="324"/>
      <c r="GT98" s="324"/>
      <c r="GU98" s="324"/>
      <c r="GV98" s="324"/>
      <c r="GW98" s="324"/>
      <c r="GX98" s="324"/>
    </row>
    <row r="99" customFormat="false" ht="15" hidden="false" customHeight="true" outlineLevel="0" collapsed="false">
      <c r="A99" s="285" t="n">
        <v>9060</v>
      </c>
      <c r="B99" s="285" t="s">
        <v>44</v>
      </c>
      <c r="C99" s="286" t="s">
        <v>317</v>
      </c>
      <c r="D99" s="287" t="s">
        <v>317</v>
      </c>
      <c r="E99" s="288" t="n">
        <f aca="false">IF(I99="regional",IF(R99*0.2975,S99*0.3484),S99*0.1939)</f>
        <v>415748.5072</v>
      </c>
      <c r="F99" s="288" t="n">
        <v>0</v>
      </c>
      <c r="G99" s="289" t="n">
        <f aca="false">E99+F99</f>
        <v>415748.5072</v>
      </c>
      <c r="H99" s="286"/>
      <c r="I99" s="287" t="s">
        <v>48</v>
      </c>
      <c r="J99" s="287" t="s">
        <v>44</v>
      </c>
      <c r="K99" s="287" t="s">
        <v>115</v>
      </c>
      <c r="L99" s="287"/>
      <c r="M99" s="317" t="n">
        <v>108</v>
      </c>
      <c r="N99" s="317" t="n">
        <v>0.909</v>
      </c>
      <c r="O99" s="317" t="n">
        <v>0.856</v>
      </c>
      <c r="P99" s="317" t="n">
        <v>0.873</v>
      </c>
      <c r="Q99" s="317" t="n">
        <v>0.809</v>
      </c>
      <c r="R99" s="317" t="n">
        <v>1342722</v>
      </c>
      <c r="S99" s="317" t="n">
        <v>1193308</v>
      </c>
      <c r="T99" s="318" t="n">
        <f aca="false">IF(I99="regional",IF(R99&gt;0,R99*0.2975,S99*0.3484),S99*0.1939)</f>
        <v>399459.795</v>
      </c>
      <c r="U99" s="317" t="n">
        <v>889002</v>
      </c>
      <c r="V99" s="317" t="n">
        <v>304306</v>
      </c>
      <c r="W99" s="317" t="n">
        <v>6417</v>
      </c>
      <c r="X99" s="317" t="n">
        <v>0</v>
      </c>
      <c r="Y99" s="317" t="n">
        <v>0</v>
      </c>
      <c r="Z99" s="317" t="n">
        <v>0</v>
      </c>
      <c r="AA99" s="317" t="n">
        <v>1592767.795</v>
      </c>
      <c r="AB99" s="317" t="n">
        <v>399459.795</v>
      </c>
      <c r="AC99" s="317" t="n">
        <v>1193308</v>
      </c>
      <c r="AD99" s="317" t="n">
        <v>0</v>
      </c>
      <c r="AE99" s="317" t="n">
        <v>0</v>
      </c>
      <c r="AF99" s="317" t="n">
        <v>1193308</v>
      </c>
      <c r="AG99" s="317" t="n">
        <v>0</v>
      </c>
      <c r="AH99" s="317" t="n">
        <v>170000</v>
      </c>
      <c r="AI99" s="317" t="n">
        <v>165000</v>
      </c>
      <c r="AJ99" s="286" t="n">
        <v>4</v>
      </c>
      <c r="AK99" s="286" t="s">
        <v>720</v>
      </c>
      <c r="AL99" s="287" t="s">
        <v>48</v>
      </c>
      <c r="AM99" s="286"/>
      <c r="AN99" s="287" t="s">
        <v>317</v>
      </c>
      <c r="AO99" s="287" t="n">
        <v>399459.795</v>
      </c>
      <c r="AP99" s="319" t="n">
        <f aca="false">AR99+AT99+AU99+AV99+AX99+AY99+AZ99+BD99+BF99+BG99+BH99+BJ99+BK99+(BL99+BM99+BN99)/1000+(0.1*BO99)</f>
        <v>262.2986</v>
      </c>
      <c r="AQ99" s="319" t="n">
        <f aca="false">AR99+AT99+AU99+AV99+AX99+AY99+AZ99+BB99+BC99+BD99+BF99+BG99+BH99+BJ99+BK99+(BL99+BM99+BN99)/1000+(0.1*BO99)</f>
        <v>275.2986</v>
      </c>
      <c r="AR99" s="339" t="n">
        <v>6</v>
      </c>
      <c r="AS99" s="302" t="n">
        <v>165</v>
      </c>
      <c r="AT99" s="340" t="n">
        <v>54</v>
      </c>
      <c r="AU99" s="285" t="n">
        <v>98</v>
      </c>
      <c r="AV99" s="285" t="n">
        <v>0</v>
      </c>
      <c r="AW99" s="285" t="n">
        <v>0</v>
      </c>
      <c r="AX99" s="285" t="n">
        <v>19</v>
      </c>
      <c r="AY99" s="285" t="n">
        <v>1</v>
      </c>
      <c r="AZ99" s="285" t="n">
        <v>0</v>
      </c>
      <c r="BA99" s="285" t="n">
        <v>0</v>
      </c>
      <c r="BB99" s="285" t="n">
        <v>9</v>
      </c>
      <c r="BC99" s="285" t="n">
        <v>4</v>
      </c>
      <c r="BD99" s="285" t="n">
        <v>0</v>
      </c>
      <c r="BE99" s="285" t="n">
        <v>0</v>
      </c>
      <c r="BF99" s="285" t="n">
        <v>0</v>
      </c>
      <c r="BG99" s="285" t="n">
        <v>0</v>
      </c>
      <c r="BH99" s="285" t="n">
        <v>0</v>
      </c>
      <c r="BI99" s="285" t="n">
        <v>0</v>
      </c>
      <c r="BJ99" s="285" t="n">
        <v>0</v>
      </c>
      <c r="BK99" s="285" t="n">
        <v>0</v>
      </c>
      <c r="BL99" s="285" t="n">
        <v>0</v>
      </c>
      <c r="BM99" s="285" t="n">
        <v>0</v>
      </c>
      <c r="BN99" s="285" t="n">
        <v>0</v>
      </c>
      <c r="BO99" s="285" t="n">
        <v>842.986</v>
      </c>
      <c r="BR99" s="290" t="n">
        <f aca="false">AR99*1000/0.072</f>
        <v>83333.3333333333</v>
      </c>
      <c r="BS99" s="290" t="n">
        <f aca="false">AT99*1000/0.072</f>
        <v>750000</v>
      </c>
      <c r="BT99" s="290" t="n">
        <f aca="false">AU99*1000/0.072</f>
        <v>1361111.11111111</v>
      </c>
      <c r="BU99" s="290" t="n">
        <f aca="false">SUM(BR99:BT99)</f>
        <v>2194444.44444444</v>
      </c>
      <c r="BV99" s="290" t="n">
        <f aca="false">AV99*1000/5</f>
        <v>0</v>
      </c>
      <c r="BW99" s="290" t="n">
        <f aca="false">AX99*1000/5</f>
        <v>3800</v>
      </c>
      <c r="BX99" s="290" t="n">
        <f aca="false">AY99*1000/5</f>
        <v>200</v>
      </c>
      <c r="BY99" s="290" t="n">
        <f aca="false">SUM(BV99:BX99)</f>
        <v>4000</v>
      </c>
      <c r="CA99" s="290" t="n">
        <f aca="false">IF($AM99="n",0,BR99)</f>
        <v>83333.3333333333</v>
      </c>
      <c r="CB99" s="290" t="n">
        <f aca="false">IF($AM99="n",0,BS99)</f>
        <v>750000</v>
      </c>
      <c r="CC99" s="290" t="n">
        <f aca="false">IF($AM99="n",0,BT99)</f>
        <v>1361111.11111111</v>
      </c>
      <c r="CD99" s="290" t="n">
        <f aca="false">SUM(CA99:CC99)</f>
        <v>2194444.44444444</v>
      </c>
      <c r="CE99" s="290" t="n">
        <f aca="false">IF($AM$2="n",0,BV99)</f>
        <v>0</v>
      </c>
      <c r="CF99" s="290" t="n">
        <f aca="false">IF($AM$2="n",0,BW99)</f>
        <v>3800</v>
      </c>
      <c r="CG99" s="290" t="n">
        <f aca="false">IF($AM$2="n",0,BX99)</f>
        <v>200</v>
      </c>
      <c r="CH99" s="290" t="n">
        <f aca="false">SUM(CE99:CG99)</f>
        <v>4000</v>
      </c>
      <c r="CJ99" s="324"/>
      <c r="CK99" s="324"/>
      <c r="CL99" s="324"/>
      <c r="CM99" s="324"/>
      <c r="CN99" s="324"/>
      <c r="CO99" s="324"/>
      <c r="CP99" s="324"/>
      <c r="CQ99" s="324"/>
      <c r="CR99" s="324"/>
      <c r="CS99" s="324"/>
      <c r="CT99" s="324"/>
      <c r="CU99" s="324"/>
      <c r="CV99" s="324"/>
      <c r="CW99" s="324"/>
      <c r="CX99" s="324"/>
      <c r="CY99" s="324"/>
      <c r="CZ99" s="324"/>
      <c r="DA99" s="324"/>
      <c r="DB99" s="324"/>
      <c r="DC99" s="324"/>
      <c r="DD99" s="324"/>
      <c r="DE99" s="324"/>
      <c r="DF99" s="324"/>
      <c r="DG99" s="324"/>
      <c r="DH99" s="324"/>
      <c r="DI99" s="324"/>
      <c r="DJ99" s="324"/>
      <c r="DK99" s="324"/>
      <c r="DL99" s="324"/>
      <c r="DM99" s="324"/>
      <c r="DN99" s="324"/>
      <c r="DO99" s="324"/>
      <c r="DP99" s="324"/>
      <c r="DQ99" s="324"/>
      <c r="DR99" s="324"/>
      <c r="DS99" s="324"/>
      <c r="DT99" s="324"/>
      <c r="DU99" s="324"/>
      <c r="DV99" s="324"/>
      <c r="DW99" s="324"/>
      <c r="DX99" s="324"/>
      <c r="DY99" s="324"/>
      <c r="DZ99" s="324"/>
      <c r="EA99" s="324"/>
      <c r="EB99" s="324"/>
      <c r="EC99" s="324"/>
      <c r="ED99" s="324"/>
      <c r="EE99" s="324"/>
      <c r="EF99" s="324"/>
      <c r="EG99" s="324"/>
      <c r="EH99" s="324"/>
      <c r="EI99" s="324"/>
      <c r="EJ99" s="324"/>
      <c r="EK99" s="324"/>
      <c r="EL99" s="324"/>
      <c r="EM99" s="324"/>
      <c r="EN99" s="324"/>
      <c r="EO99" s="324"/>
      <c r="EP99" s="324"/>
      <c r="EQ99" s="324"/>
      <c r="ER99" s="324"/>
      <c r="ES99" s="324"/>
      <c r="ET99" s="324"/>
      <c r="EU99" s="324"/>
      <c r="EV99" s="324"/>
      <c r="EW99" s="324"/>
      <c r="EX99" s="324"/>
      <c r="EY99" s="324"/>
      <c r="EZ99" s="324"/>
      <c r="FA99" s="324"/>
      <c r="FB99" s="324"/>
      <c r="FC99" s="324"/>
      <c r="FD99" s="324"/>
      <c r="FE99" s="324"/>
      <c r="FF99" s="324"/>
      <c r="FG99" s="324"/>
      <c r="FH99" s="324"/>
      <c r="FI99" s="324"/>
      <c r="FJ99" s="324"/>
      <c r="FK99" s="324"/>
      <c r="FL99" s="324"/>
      <c r="FM99" s="324"/>
      <c r="FN99" s="324"/>
      <c r="FO99" s="324"/>
      <c r="FP99" s="324"/>
      <c r="FQ99" s="324"/>
      <c r="FR99" s="324"/>
      <c r="FS99" s="324"/>
      <c r="FT99" s="324"/>
      <c r="FU99" s="324"/>
      <c r="FV99" s="324"/>
      <c r="FW99" s="324"/>
      <c r="FX99" s="324"/>
      <c r="FY99" s="324"/>
      <c r="FZ99" s="324"/>
      <c r="GA99" s="324"/>
      <c r="GB99" s="324"/>
      <c r="GC99" s="324"/>
      <c r="GD99" s="324"/>
      <c r="GE99" s="324"/>
      <c r="GF99" s="324"/>
      <c r="GG99" s="324"/>
      <c r="GH99" s="324"/>
      <c r="GI99" s="324"/>
      <c r="GJ99" s="324"/>
      <c r="GK99" s="324"/>
      <c r="GL99" s="324"/>
      <c r="GM99" s="324"/>
      <c r="GN99" s="324"/>
      <c r="GO99" s="324"/>
      <c r="GP99" s="324"/>
      <c r="GQ99" s="324"/>
      <c r="GR99" s="324"/>
      <c r="GS99" s="324"/>
      <c r="GT99" s="324"/>
      <c r="GU99" s="324"/>
      <c r="GV99" s="324"/>
      <c r="GW99" s="324"/>
      <c r="GX99" s="324"/>
    </row>
    <row r="100" customFormat="false" ht="15" hidden="false" customHeight="true" outlineLevel="0" collapsed="false">
      <c r="A100" s="285" t="n">
        <v>4665</v>
      </c>
      <c r="B100" s="285" t="s">
        <v>44</v>
      </c>
      <c r="C100" s="286" t="s">
        <v>318</v>
      </c>
      <c r="D100" s="287" t="s">
        <v>318</v>
      </c>
      <c r="E100" s="288" t="n">
        <f aca="false">IF(I100="regional",IF(R100*0.2975,S100*0.3484),S100*0.1939)</f>
        <v>260761.0252</v>
      </c>
      <c r="F100" s="288" t="n">
        <v>0</v>
      </c>
      <c r="G100" s="289" t="n">
        <f aca="false">E100+F100</f>
        <v>260761.0252</v>
      </c>
      <c r="H100" s="286"/>
      <c r="I100" s="287" t="s">
        <v>48</v>
      </c>
      <c r="J100" s="287" t="s">
        <v>44</v>
      </c>
      <c r="K100" s="287" t="s">
        <v>109</v>
      </c>
      <c r="L100" s="287"/>
      <c r="M100" s="317" t="n">
        <v>170</v>
      </c>
      <c r="N100" s="317" t="n">
        <v>0.889</v>
      </c>
      <c r="O100" s="317" t="n">
        <v>0.893</v>
      </c>
      <c r="P100" s="317" t="n">
        <v>0.862</v>
      </c>
      <c r="Q100" s="317" t="n">
        <v>0.952</v>
      </c>
      <c r="R100" s="317" t="n">
        <v>879099</v>
      </c>
      <c r="S100" s="317" t="n">
        <v>748453</v>
      </c>
      <c r="T100" s="318" t="n">
        <f aca="false">IF(I100="regional",IF(R100&gt;0,R100*0.2975,S100*0.3484),S100*0.1939)</f>
        <v>261531.9525</v>
      </c>
      <c r="U100" s="317" t="n">
        <v>528914</v>
      </c>
      <c r="V100" s="317" t="n">
        <v>219539</v>
      </c>
      <c r="W100" s="317" t="n">
        <v>4480</v>
      </c>
      <c r="X100" s="317" t="n">
        <v>0</v>
      </c>
      <c r="Y100" s="317" t="n">
        <v>0</v>
      </c>
      <c r="Z100" s="317" t="n">
        <v>0</v>
      </c>
      <c r="AA100" s="317" t="n">
        <v>1009984.953</v>
      </c>
      <c r="AB100" s="317" t="n">
        <v>261531.9525</v>
      </c>
      <c r="AC100" s="317" t="n">
        <v>748453</v>
      </c>
      <c r="AD100" s="317" t="n">
        <v>0</v>
      </c>
      <c r="AE100" s="317" t="n">
        <v>0</v>
      </c>
      <c r="AF100" s="317" t="n">
        <v>748453</v>
      </c>
      <c r="AG100" s="317" t="n">
        <v>0</v>
      </c>
      <c r="AH100" s="317" t="n">
        <v>659000</v>
      </c>
      <c r="AI100" s="317" t="n">
        <v>746000</v>
      </c>
      <c r="AJ100" s="286" t="s">
        <v>721</v>
      </c>
      <c r="AK100" s="286" t="s">
        <v>108</v>
      </c>
      <c r="AL100" s="287" t="s">
        <v>48</v>
      </c>
      <c r="AM100" s="286"/>
      <c r="AN100" s="287" t="s">
        <v>318</v>
      </c>
      <c r="AO100" s="287" t="n">
        <v>261531.9525</v>
      </c>
      <c r="AP100" s="319" t="n">
        <f aca="false">AR100+AT100+AU100+AV100+AX100+AY100+AZ100+BD100+BF100+BG100+BH100+BJ100+BK100+(BL100+BM100+BN100)/1000+(0.1*BO100)</f>
        <v>210.9275</v>
      </c>
      <c r="AQ100" s="319" t="n">
        <f aca="false">AR100+AT100+AU100+AV100+AX100+AY100+AZ100+BB100+BC100+BD100+BF100+BG100+BH100+BJ100+BK100+(BL100+BM100+BN100)/1000+(0.1*BO100)</f>
        <v>304.9275</v>
      </c>
      <c r="AR100" s="285" t="n">
        <v>0</v>
      </c>
      <c r="AS100" s="341" t="n">
        <v>746</v>
      </c>
      <c r="AT100" s="285" t="n">
        <v>193</v>
      </c>
      <c r="AU100" s="285" t="n">
        <v>1</v>
      </c>
      <c r="AV100" s="285" t="n">
        <v>0</v>
      </c>
      <c r="AW100" s="285" t="n">
        <v>0</v>
      </c>
      <c r="AX100" s="285" t="n">
        <v>0</v>
      </c>
      <c r="AY100" s="285" t="n">
        <v>0</v>
      </c>
      <c r="AZ100" s="285" t="n">
        <v>0</v>
      </c>
      <c r="BA100" s="285" t="n">
        <v>0</v>
      </c>
      <c r="BB100" s="285" t="n">
        <v>94</v>
      </c>
      <c r="BC100" s="285" t="n">
        <v>0</v>
      </c>
      <c r="BD100" s="285" t="n">
        <v>0</v>
      </c>
      <c r="BE100" s="285" t="n">
        <v>0</v>
      </c>
      <c r="BF100" s="285" t="n">
        <v>0</v>
      </c>
      <c r="BG100" s="285" t="n">
        <v>0</v>
      </c>
      <c r="BH100" s="285" t="n">
        <v>0</v>
      </c>
      <c r="BI100" s="285" t="n">
        <v>0</v>
      </c>
      <c r="BJ100" s="285" t="n">
        <v>0</v>
      </c>
      <c r="BK100" s="285" t="n">
        <v>0</v>
      </c>
      <c r="BL100" s="285" t="n">
        <v>0</v>
      </c>
      <c r="BM100" s="285" t="n">
        <v>0</v>
      </c>
      <c r="BN100" s="285" t="n">
        <v>0</v>
      </c>
      <c r="BO100" s="285" t="n">
        <v>169.275</v>
      </c>
      <c r="BR100" s="290" t="n">
        <f aca="false">AR100*1000/0.072</f>
        <v>0</v>
      </c>
      <c r="BS100" s="290" t="n">
        <f aca="false">AT100*1000/0.072</f>
        <v>2680555.55555556</v>
      </c>
      <c r="BT100" s="290" t="n">
        <f aca="false">AU100*1000/0.072</f>
        <v>13888.8888888889</v>
      </c>
      <c r="BU100" s="290" t="n">
        <f aca="false">SUM(BR100:BT100)</f>
        <v>2694444.44444445</v>
      </c>
      <c r="BV100" s="290" t="n">
        <f aca="false">AV100*1000/5</f>
        <v>0</v>
      </c>
      <c r="BW100" s="290" t="n">
        <f aca="false">AX100*1000/5</f>
        <v>0</v>
      </c>
      <c r="BX100" s="290" t="n">
        <f aca="false">AY100*1000/5</f>
        <v>0</v>
      </c>
      <c r="BY100" s="290" t="n">
        <f aca="false">SUM(BV100:BX100)</f>
        <v>0</v>
      </c>
      <c r="CA100" s="290" t="n">
        <f aca="false">IF($AM100="n",0,BR100)</f>
        <v>0</v>
      </c>
      <c r="CB100" s="290" t="n">
        <f aca="false">IF($AM100="n",0,BS100)</f>
        <v>2680555.55555556</v>
      </c>
      <c r="CC100" s="290" t="n">
        <f aca="false">IF($AM100="n",0,BT100)</f>
        <v>13888.8888888889</v>
      </c>
      <c r="CD100" s="290" t="n">
        <f aca="false">SUM(CA100:CC100)</f>
        <v>2694444.44444445</v>
      </c>
      <c r="CE100" s="290" t="n">
        <f aca="false">IF($AM$2="n",0,BV100)</f>
        <v>0</v>
      </c>
      <c r="CF100" s="290" t="n">
        <f aca="false">IF($AM$2="n",0,BW100)</f>
        <v>0</v>
      </c>
      <c r="CG100" s="290" t="n">
        <f aca="false">IF($AM$2="n",0,BX100)</f>
        <v>0</v>
      </c>
      <c r="CH100" s="290" t="n">
        <f aca="false">SUM(CE100:CG100)</f>
        <v>0</v>
      </c>
      <c r="CJ100" s="324"/>
      <c r="CK100" s="324"/>
      <c r="CL100" s="324"/>
      <c r="CM100" s="324"/>
      <c r="CN100" s="324"/>
      <c r="CO100" s="324"/>
      <c r="CP100" s="324"/>
      <c r="CQ100" s="324"/>
      <c r="CR100" s="324"/>
      <c r="CS100" s="324"/>
      <c r="CT100" s="324"/>
      <c r="CU100" s="324"/>
      <c r="CV100" s="324"/>
      <c r="CW100" s="324"/>
      <c r="CX100" s="324"/>
      <c r="CY100" s="324"/>
      <c r="CZ100" s="324"/>
      <c r="DA100" s="324"/>
      <c r="DB100" s="324"/>
      <c r="DC100" s="324"/>
      <c r="DD100" s="324"/>
      <c r="DE100" s="324"/>
      <c r="DF100" s="324"/>
      <c r="DG100" s="324"/>
      <c r="DH100" s="324"/>
      <c r="DI100" s="324"/>
      <c r="DJ100" s="324"/>
      <c r="DK100" s="324"/>
      <c r="DL100" s="324"/>
      <c r="DM100" s="324"/>
      <c r="DN100" s="324"/>
      <c r="DO100" s="324"/>
      <c r="DP100" s="324"/>
      <c r="DQ100" s="324"/>
      <c r="DR100" s="324"/>
      <c r="DS100" s="324"/>
      <c r="DT100" s="324"/>
      <c r="DU100" s="324"/>
      <c r="DV100" s="324"/>
      <c r="DW100" s="324"/>
      <c r="DX100" s="324"/>
      <c r="DY100" s="324"/>
      <c r="DZ100" s="324"/>
      <c r="EA100" s="324"/>
      <c r="EB100" s="324"/>
      <c r="EC100" s="324"/>
      <c r="ED100" s="324"/>
      <c r="EE100" s="324"/>
      <c r="EF100" s="324"/>
      <c r="EG100" s="324"/>
      <c r="EH100" s="324"/>
      <c r="EI100" s="324"/>
      <c r="EJ100" s="324"/>
      <c r="EK100" s="324"/>
      <c r="EL100" s="324"/>
      <c r="EM100" s="324"/>
      <c r="EN100" s="324"/>
      <c r="EO100" s="324"/>
      <c r="EP100" s="324"/>
      <c r="EQ100" s="324"/>
      <c r="ER100" s="324"/>
      <c r="ES100" s="324"/>
      <c r="ET100" s="324"/>
      <c r="EU100" s="324"/>
      <c r="EV100" s="324"/>
      <c r="EW100" s="324"/>
      <c r="EX100" s="324"/>
      <c r="EY100" s="324"/>
      <c r="EZ100" s="324"/>
      <c r="FA100" s="324"/>
      <c r="FB100" s="324"/>
      <c r="FC100" s="324"/>
      <c r="FD100" s="324"/>
      <c r="FE100" s="324"/>
      <c r="FF100" s="324"/>
      <c r="FG100" s="324"/>
      <c r="FH100" s="324"/>
      <c r="FI100" s="324"/>
      <c r="FJ100" s="324"/>
      <c r="FK100" s="324"/>
      <c r="FL100" s="324"/>
      <c r="FM100" s="324"/>
      <c r="FN100" s="324"/>
      <c r="FO100" s="324"/>
      <c r="FP100" s="324"/>
      <c r="FQ100" s="324"/>
      <c r="FR100" s="324"/>
      <c r="FS100" s="324"/>
      <c r="FT100" s="324"/>
      <c r="FU100" s="324"/>
      <c r="FV100" s="324"/>
      <c r="FW100" s="324"/>
      <c r="FX100" s="324"/>
      <c r="FY100" s="324"/>
      <c r="FZ100" s="324"/>
      <c r="GA100" s="324"/>
      <c r="GB100" s="324"/>
      <c r="GC100" s="324"/>
      <c r="GD100" s="324"/>
      <c r="GE100" s="324"/>
      <c r="GF100" s="324"/>
      <c r="GG100" s="324"/>
      <c r="GH100" s="324"/>
      <c r="GI100" s="324"/>
      <c r="GJ100" s="324"/>
      <c r="GK100" s="324"/>
      <c r="GL100" s="324"/>
      <c r="GM100" s="324"/>
      <c r="GN100" s="324"/>
      <c r="GO100" s="324"/>
      <c r="GP100" s="324"/>
      <c r="GQ100" s="324"/>
      <c r="GR100" s="324"/>
      <c r="GS100" s="324"/>
      <c r="GT100" s="324"/>
      <c r="GU100" s="324"/>
      <c r="GV100" s="324"/>
      <c r="GW100" s="324"/>
      <c r="GX100" s="324"/>
    </row>
    <row r="101" customFormat="false" ht="15" hidden="false" customHeight="true" outlineLevel="0" collapsed="false">
      <c r="A101" s="285" t="n">
        <v>4512</v>
      </c>
      <c r="B101" s="285"/>
      <c r="C101" s="286" t="s">
        <v>320</v>
      </c>
      <c r="D101" s="287" t="s">
        <v>320</v>
      </c>
      <c r="E101" s="288" t="n">
        <f aca="false">IF(I101="regional",IF(R101*0.2975,S101*0.3484),S101*0.1939)</f>
        <v>41785.0622</v>
      </c>
      <c r="F101" s="288" t="n">
        <v>0</v>
      </c>
      <c r="G101" s="289" t="n">
        <f aca="false">E101+F101</f>
        <v>41785.0622</v>
      </c>
      <c r="H101" s="286"/>
      <c r="I101" s="287" t="s">
        <v>62</v>
      </c>
      <c r="J101" s="287"/>
      <c r="K101" s="287" t="s">
        <v>98</v>
      </c>
      <c r="L101" s="287"/>
      <c r="M101" s="317" t="n">
        <v>15</v>
      </c>
      <c r="N101" s="317" t="n">
        <v>0.987</v>
      </c>
      <c r="O101" s="317" t="n">
        <v>0.984</v>
      </c>
      <c r="P101" s="317" t="n">
        <v>1</v>
      </c>
      <c r="Q101" s="317" t="n">
        <v>1</v>
      </c>
      <c r="R101" s="317" t="n">
        <v>0</v>
      </c>
      <c r="S101" s="317" t="n">
        <v>215498</v>
      </c>
      <c r="T101" s="318" t="n">
        <f aca="false">IF(I101="regional",IF(R101&gt;0,R101*0.2975,S101*0.3484),S101*0.1939)</f>
        <v>41785.0622</v>
      </c>
      <c r="U101" s="317" t="n">
        <v>170789</v>
      </c>
      <c r="V101" s="317" t="n">
        <v>44709</v>
      </c>
      <c r="W101" s="317" t="n">
        <v>1075</v>
      </c>
      <c r="X101" s="317" t="n">
        <v>0</v>
      </c>
      <c r="Y101" s="317" t="n">
        <v>0</v>
      </c>
      <c r="Z101" s="317" t="n">
        <v>0</v>
      </c>
      <c r="AA101" s="317" t="n">
        <v>257283.0622</v>
      </c>
      <c r="AB101" s="317" t="n">
        <v>41785.0622</v>
      </c>
      <c r="AC101" s="317" t="n">
        <v>215498</v>
      </c>
      <c r="AD101" s="317" t="n">
        <v>0</v>
      </c>
      <c r="AE101" s="317" t="n">
        <v>0</v>
      </c>
      <c r="AF101" s="317" t="n">
        <v>0</v>
      </c>
      <c r="AG101" s="317" t="n">
        <v>215498</v>
      </c>
      <c r="AH101" s="317" t="n">
        <v>0</v>
      </c>
      <c r="AI101" s="317" t="n">
        <v>0</v>
      </c>
      <c r="AJ101" s="286" t="n">
        <v>4</v>
      </c>
      <c r="AK101" s="286" t="s">
        <v>706</v>
      </c>
      <c r="AL101" s="287" t="s">
        <v>62</v>
      </c>
      <c r="AM101" s="286"/>
      <c r="AN101" s="287" t="s">
        <v>320</v>
      </c>
      <c r="AO101" s="287" t="n">
        <v>41785.0622</v>
      </c>
      <c r="AP101" s="319" t="n">
        <f aca="false">AR101+AT101+AU101+AV101+AX101+AY101+AZ101+BD101+BF101+BG101+BH101+BJ101+BK101+(BL101+BM101+BN101)/1000+(0.1*BO101)</f>
        <v>12</v>
      </c>
      <c r="AQ101" s="319" t="n">
        <f aca="false">AR101+AT101+AU101+AV101+AX101+AY101+AZ101+BB101+BC101+BD101+BF101+BG101+BH101+BJ101+BK101+(BL101+BM101+BN101)/1000+(0.1*BO101)</f>
        <v>12</v>
      </c>
      <c r="AR101" s="302" t="n">
        <v>0</v>
      </c>
      <c r="AS101" s="302" t="n">
        <v>0</v>
      </c>
      <c r="AT101" s="302" t="n">
        <v>12</v>
      </c>
      <c r="AU101" s="302" t="n">
        <v>0</v>
      </c>
      <c r="AV101" s="285" t="n">
        <v>0</v>
      </c>
      <c r="AW101" s="285" t="n">
        <v>0</v>
      </c>
      <c r="AX101" s="285" t="n">
        <v>0</v>
      </c>
      <c r="AY101" s="285" t="n">
        <v>0</v>
      </c>
      <c r="AZ101" s="302" t="n">
        <v>0</v>
      </c>
      <c r="BA101" s="302" t="n">
        <v>3</v>
      </c>
      <c r="BB101" s="302" t="n">
        <v>0</v>
      </c>
      <c r="BC101" s="302" t="n">
        <v>0</v>
      </c>
      <c r="BD101" s="285" t="n">
        <v>0</v>
      </c>
      <c r="BE101" s="285" t="n">
        <v>0</v>
      </c>
      <c r="BF101" s="285" t="n">
        <v>0</v>
      </c>
      <c r="BG101" s="285" t="n">
        <v>0</v>
      </c>
      <c r="BH101" s="285" t="n">
        <v>0</v>
      </c>
      <c r="BI101" s="285" t="n">
        <v>0</v>
      </c>
      <c r="BJ101" s="285" t="n">
        <v>0</v>
      </c>
      <c r="BK101" s="285" t="n">
        <v>0</v>
      </c>
      <c r="BL101" s="302" t="n">
        <v>0</v>
      </c>
      <c r="BM101" s="302" t="n">
        <v>0</v>
      </c>
      <c r="BN101" s="302" t="n">
        <v>0</v>
      </c>
      <c r="BO101" s="302" t="n">
        <v>0</v>
      </c>
      <c r="BP101" s="331"/>
      <c r="BR101" s="290" t="n">
        <f aca="false">AR101*1000/0.072</f>
        <v>0</v>
      </c>
      <c r="BS101" s="290" t="n">
        <f aca="false">AT101*1000/0.072</f>
        <v>166666.666666667</v>
      </c>
      <c r="BT101" s="290" t="n">
        <f aca="false">AU101*1000/0.072</f>
        <v>0</v>
      </c>
      <c r="BU101" s="290" t="n">
        <f aca="false">SUM(BR101:BT101)</f>
        <v>166666.666666667</v>
      </c>
      <c r="BV101" s="290" t="n">
        <f aca="false">AV101*1000/5</f>
        <v>0</v>
      </c>
      <c r="BW101" s="290" t="n">
        <f aca="false">AX101*1000/5</f>
        <v>0</v>
      </c>
      <c r="BX101" s="290" t="n">
        <f aca="false">AY101*1000/5</f>
        <v>0</v>
      </c>
      <c r="BY101" s="290" t="n">
        <f aca="false">SUM(BV101:BX101)</f>
        <v>0</v>
      </c>
      <c r="CA101" s="290" t="n">
        <f aca="false">IF($AM101="n",0,BR101)</f>
        <v>0</v>
      </c>
      <c r="CB101" s="290" t="n">
        <f aca="false">IF($AM101="n",0,BS101)</f>
        <v>166666.666666667</v>
      </c>
      <c r="CC101" s="290" t="n">
        <f aca="false">IF($AM101="n",0,BT101)</f>
        <v>0</v>
      </c>
      <c r="CD101" s="290" t="n">
        <f aca="false">SUM(CA101:CC101)</f>
        <v>166666.666666667</v>
      </c>
      <c r="CE101" s="290" t="n">
        <f aca="false">IF($AM$2="n",0,BV101)</f>
        <v>0</v>
      </c>
      <c r="CF101" s="290" t="n">
        <f aca="false">IF($AM$2="n",0,BW101)</f>
        <v>0</v>
      </c>
      <c r="CG101" s="290" t="n">
        <f aca="false">IF($AM$2="n",0,BX101)</f>
        <v>0</v>
      </c>
      <c r="CH101" s="290" t="n">
        <f aca="false">SUM(CE101:CG101)</f>
        <v>0</v>
      </c>
      <c r="CJ101" s="324"/>
      <c r="CK101" s="324"/>
      <c r="CL101" s="324"/>
      <c r="CM101" s="324"/>
      <c r="CN101" s="324"/>
      <c r="CO101" s="324"/>
      <c r="CP101" s="324"/>
      <c r="CQ101" s="324"/>
      <c r="CR101" s="324"/>
      <c r="CS101" s="324"/>
      <c r="CT101" s="324"/>
      <c r="CU101" s="324"/>
      <c r="CV101" s="324"/>
      <c r="CW101" s="324"/>
      <c r="CX101" s="324"/>
      <c r="CY101" s="324"/>
      <c r="CZ101" s="324"/>
      <c r="DA101" s="324"/>
      <c r="DB101" s="324"/>
      <c r="DC101" s="324"/>
      <c r="DD101" s="324"/>
      <c r="DE101" s="324"/>
      <c r="DF101" s="324"/>
      <c r="DG101" s="324"/>
      <c r="DH101" s="324"/>
      <c r="DI101" s="324"/>
      <c r="DJ101" s="324"/>
      <c r="DK101" s="324"/>
      <c r="DL101" s="324"/>
      <c r="DM101" s="324"/>
      <c r="DN101" s="324"/>
      <c r="DO101" s="324"/>
      <c r="DP101" s="324"/>
      <c r="DQ101" s="324"/>
      <c r="DR101" s="324"/>
      <c r="DS101" s="324"/>
      <c r="DT101" s="324"/>
      <c r="DU101" s="324"/>
      <c r="DV101" s="324"/>
      <c r="DW101" s="324"/>
      <c r="DX101" s="324"/>
      <c r="DY101" s="324"/>
      <c r="DZ101" s="324"/>
      <c r="EA101" s="324"/>
      <c r="EB101" s="324"/>
      <c r="EC101" s="324"/>
      <c r="ED101" s="324"/>
      <c r="EE101" s="324"/>
      <c r="EF101" s="324"/>
      <c r="EG101" s="324"/>
      <c r="EH101" s="324"/>
      <c r="EI101" s="324"/>
      <c r="EJ101" s="324"/>
      <c r="EK101" s="324"/>
      <c r="EL101" s="324"/>
      <c r="EM101" s="324"/>
      <c r="EN101" s="324"/>
      <c r="EO101" s="324"/>
      <c r="EP101" s="324"/>
      <c r="EQ101" s="324"/>
      <c r="ER101" s="324"/>
      <c r="ES101" s="324"/>
      <c r="ET101" s="324"/>
      <c r="EU101" s="324"/>
      <c r="EV101" s="324"/>
      <c r="EW101" s="324"/>
      <c r="EX101" s="324"/>
      <c r="EY101" s="324"/>
      <c r="EZ101" s="324"/>
      <c r="FA101" s="324"/>
      <c r="FB101" s="324"/>
      <c r="FC101" s="324"/>
      <c r="FD101" s="324"/>
      <c r="FE101" s="324"/>
      <c r="FF101" s="324"/>
      <c r="FG101" s="324"/>
      <c r="FH101" s="324"/>
      <c r="FI101" s="324"/>
      <c r="FJ101" s="324"/>
      <c r="FK101" s="324"/>
      <c r="FL101" s="324"/>
      <c r="FM101" s="324"/>
      <c r="FN101" s="324"/>
      <c r="FO101" s="324"/>
      <c r="FP101" s="324"/>
      <c r="FQ101" s="324"/>
      <c r="FR101" s="324"/>
      <c r="FS101" s="324"/>
      <c r="FT101" s="324"/>
      <c r="FU101" s="324"/>
      <c r="FV101" s="324"/>
      <c r="FW101" s="324"/>
      <c r="FX101" s="324"/>
      <c r="FY101" s="324"/>
      <c r="FZ101" s="324"/>
      <c r="GA101" s="324"/>
      <c r="GB101" s="324"/>
      <c r="GC101" s="324"/>
      <c r="GD101" s="324"/>
      <c r="GE101" s="324"/>
      <c r="GF101" s="324"/>
      <c r="GG101" s="324"/>
      <c r="GH101" s="324"/>
      <c r="GI101" s="324"/>
      <c r="GJ101" s="324"/>
      <c r="GK101" s="324"/>
      <c r="GL101" s="324"/>
      <c r="GM101" s="324"/>
      <c r="GN101" s="324"/>
      <c r="GO101" s="324"/>
      <c r="GP101" s="324"/>
      <c r="GQ101" s="324"/>
      <c r="GR101" s="324"/>
      <c r="GS101" s="324"/>
      <c r="GT101" s="324"/>
      <c r="GU101" s="324"/>
      <c r="GV101" s="324"/>
      <c r="GW101" s="324"/>
      <c r="GX101" s="324"/>
      <c r="GY101" s="330"/>
      <c r="GZ101" s="330"/>
      <c r="HA101" s="330"/>
      <c r="HB101" s="330"/>
      <c r="HC101" s="330"/>
      <c r="HD101" s="330"/>
      <c r="HE101" s="330"/>
      <c r="HF101" s="330"/>
      <c r="HG101" s="330"/>
      <c r="HH101" s="330"/>
      <c r="HI101" s="330"/>
      <c r="HJ101" s="330"/>
      <c r="HK101" s="330"/>
      <c r="HL101" s="330"/>
      <c r="HM101" s="330"/>
      <c r="HN101" s="330"/>
      <c r="HO101" s="330"/>
      <c r="HP101" s="330"/>
      <c r="HQ101" s="330"/>
      <c r="HR101" s="330"/>
      <c r="HS101" s="330"/>
      <c r="HT101" s="330"/>
      <c r="HU101" s="330"/>
      <c r="HV101" s="330"/>
      <c r="HW101" s="330"/>
      <c r="HX101" s="330"/>
      <c r="HY101" s="330"/>
      <c r="HZ101" s="330"/>
      <c r="IA101" s="330"/>
      <c r="IB101" s="330"/>
      <c r="IC101" s="330"/>
      <c r="ID101" s="330"/>
      <c r="IE101" s="330"/>
      <c r="IF101" s="330"/>
      <c r="IG101" s="330"/>
      <c r="IH101" s="330"/>
      <c r="II101" s="330"/>
      <c r="IJ101" s="330"/>
      <c r="IK101" s="330"/>
      <c r="IL101" s="330"/>
      <c r="IM101" s="330"/>
      <c r="IN101" s="330"/>
      <c r="IO101" s="330"/>
      <c r="IP101" s="330"/>
      <c r="IQ101" s="330"/>
      <c r="IR101" s="330"/>
      <c r="IS101" s="330"/>
      <c r="IT101" s="330"/>
      <c r="IU101" s="330"/>
      <c r="IV101" s="330"/>
      <c r="IW101" s="330"/>
    </row>
    <row r="102" customFormat="false" ht="15" hidden="false" customHeight="true" outlineLevel="0" collapsed="false">
      <c r="A102" s="300" t="n">
        <v>4774</v>
      </c>
      <c r="B102" s="300"/>
      <c r="C102" s="301" t="s">
        <v>735</v>
      </c>
      <c r="D102" s="287" t="s">
        <v>735</v>
      </c>
      <c r="E102" s="288" t="n">
        <f aca="false">IF(I102="regional",IF(R102*0.2975,S102*0.3484),S102*0.1939)</f>
        <v>0</v>
      </c>
      <c r="F102" s="288"/>
      <c r="G102" s="289" t="n">
        <f aca="false">E102+F102</f>
        <v>0</v>
      </c>
      <c r="H102" s="286" t="s">
        <v>49</v>
      </c>
      <c r="I102" s="287" t="s">
        <v>48</v>
      </c>
      <c r="J102" s="287"/>
      <c r="K102" s="287"/>
      <c r="L102" s="287"/>
      <c r="M102" s="317"/>
      <c r="N102" s="317"/>
      <c r="O102" s="317"/>
      <c r="P102" s="317"/>
      <c r="Q102" s="317"/>
      <c r="R102" s="317" t="n">
        <v>645028</v>
      </c>
      <c r="S102" s="317"/>
      <c r="T102" s="318" t="n">
        <f aca="false">IF(I102="regional",IF(R102&gt;0,R102*0.2975,S102*0.3484),S102*0.1939)</f>
        <v>191895.83</v>
      </c>
      <c r="U102" s="317"/>
      <c r="V102" s="317"/>
      <c r="W102" s="317"/>
      <c r="X102" s="317"/>
      <c r="Y102" s="317"/>
      <c r="Z102" s="317"/>
      <c r="AA102" s="317"/>
      <c r="AB102" s="317"/>
      <c r="AC102" s="317"/>
      <c r="AD102" s="317"/>
      <c r="AE102" s="317"/>
      <c r="AF102" s="317"/>
      <c r="AG102" s="317"/>
      <c r="AH102" s="317"/>
      <c r="AI102" s="317"/>
      <c r="AJ102" s="286" t="s">
        <v>707</v>
      </c>
      <c r="AK102" s="286" t="s">
        <v>714</v>
      </c>
      <c r="AL102" s="287" t="s">
        <v>128</v>
      </c>
      <c r="AM102" s="286" t="s">
        <v>49</v>
      </c>
      <c r="AN102" s="342" t="s">
        <v>735</v>
      </c>
      <c r="AO102" s="343" t="n">
        <v>0</v>
      </c>
      <c r="AP102" s="344" t="n">
        <v>0</v>
      </c>
      <c r="AQ102" s="319" t="n">
        <f aca="false">AR102+AT102+AU102+AV102+AX102+AY102+AZ102+BB102+BC102+BD102+BF102+BG102+BH102+BJ102+BK102+(BL102+BM102+BN102)/1000+(0.1*BO102)</f>
        <v>397</v>
      </c>
      <c r="AR102" s="185" t="n">
        <v>18</v>
      </c>
      <c r="AS102" s="185" t="n">
        <v>0</v>
      </c>
      <c r="AT102" s="185" t="n">
        <v>177</v>
      </c>
      <c r="AU102" s="185" t="n">
        <v>45</v>
      </c>
      <c r="AV102" s="300" t="n">
        <v>0</v>
      </c>
      <c r="AW102" s="300" t="n">
        <v>0</v>
      </c>
      <c r="AX102" s="300" t="n">
        <v>0</v>
      </c>
      <c r="AY102" s="300" t="n">
        <v>0</v>
      </c>
      <c r="AZ102" s="188" t="n">
        <v>0</v>
      </c>
      <c r="BA102" s="188" t="n">
        <v>63</v>
      </c>
      <c r="BB102" s="188" t="n">
        <v>57</v>
      </c>
      <c r="BC102" s="188" t="n">
        <v>0</v>
      </c>
      <c r="BD102" s="188" t="n">
        <v>0</v>
      </c>
      <c r="BE102" s="188" t="n">
        <v>0</v>
      </c>
      <c r="BF102" s="188" t="n">
        <v>0</v>
      </c>
      <c r="BG102" s="188" t="n">
        <v>0</v>
      </c>
      <c r="BH102" s="188" t="n">
        <v>0</v>
      </c>
      <c r="BI102" s="188" t="n">
        <v>0</v>
      </c>
      <c r="BJ102" s="188" t="n">
        <v>0</v>
      </c>
      <c r="BK102" s="188" t="n">
        <v>0</v>
      </c>
      <c r="BL102" s="185" t="n">
        <v>0</v>
      </c>
      <c r="BM102" s="185" t="n">
        <v>0</v>
      </c>
      <c r="BN102" s="185" t="n">
        <v>100000</v>
      </c>
      <c r="BO102" s="185" t="n">
        <v>0</v>
      </c>
      <c r="BR102" s="290" t="n">
        <f aca="false">AR102*1000/0.072</f>
        <v>250000</v>
      </c>
      <c r="BS102" s="290" t="n">
        <f aca="false">AT102*1000/0.072</f>
        <v>2458333.33333333</v>
      </c>
      <c r="BT102" s="290" t="n">
        <f aca="false">AU102*1000/0.072</f>
        <v>625000</v>
      </c>
      <c r="BU102" s="290" t="n">
        <f aca="false">SUM(BR102:BT102)</f>
        <v>3333333.33333333</v>
      </c>
      <c r="BV102" s="290" t="n">
        <f aca="false">AV102*1000/5</f>
        <v>0</v>
      </c>
      <c r="BW102" s="290" t="n">
        <f aca="false">AX102*1000/5</f>
        <v>0</v>
      </c>
      <c r="BX102" s="290" t="n">
        <f aca="false">AY102*1000/5</f>
        <v>0</v>
      </c>
      <c r="BY102" s="290" t="n">
        <f aca="false">SUM(BV102:BX102)</f>
        <v>0</v>
      </c>
      <c r="CA102" s="290" t="n">
        <f aca="false">IF($AM102="n",0,BR102)</f>
        <v>0</v>
      </c>
      <c r="CB102" s="290" t="n">
        <f aca="false">IF($AM102="n",0,BS102)</f>
        <v>0</v>
      </c>
      <c r="CC102" s="290" t="n">
        <f aca="false">IF($AM102="n",0,BT102)</f>
        <v>0</v>
      </c>
      <c r="CD102" s="290" t="n">
        <f aca="false">SUM(CA102:CC102)</f>
        <v>0</v>
      </c>
      <c r="CE102" s="290" t="n">
        <f aca="false">IF($AM$2="n",0,BV102)</f>
        <v>0</v>
      </c>
      <c r="CF102" s="290" t="n">
        <f aca="false">IF($AM$2="n",0,BW102)</f>
        <v>0</v>
      </c>
      <c r="CG102" s="290" t="n">
        <f aca="false">IF($AM$2="n",0,BX102)</f>
        <v>0</v>
      </c>
      <c r="CH102" s="290" t="n">
        <f aca="false">SUM(CE102:CG102)</f>
        <v>0</v>
      </c>
      <c r="CJ102" s="324"/>
      <c r="CK102" s="324"/>
      <c r="CL102" s="324"/>
      <c r="CM102" s="324"/>
      <c r="CN102" s="324"/>
      <c r="CO102" s="324"/>
      <c r="CP102" s="324"/>
      <c r="CQ102" s="324"/>
      <c r="CR102" s="324"/>
      <c r="CS102" s="324"/>
      <c r="CT102" s="324"/>
      <c r="CU102" s="324"/>
      <c r="CV102" s="324"/>
      <c r="CW102" s="324"/>
      <c r="CX102" s="324"/>
      <c r="CY102" s="324"/>
      <c r="CZ102" s="324"/>
      <c r="DA102" s="324"/>
      <c r="DB102" s="324"/>
      <c r="DC102" s="324"/>
      <c r="DD102" s="324"/>
      <c r="DE102" s="324"/>
      <c r="DF102" s="324"/>
      <c r="DG102" s="324"/>
      <c r="DH102" s="324"/>
      <c r="DI102" s="324"/>
      <c r="DJ102" s="324"/>
      <c r="DK102" s="324"/>
      <c r="DL102" s="324"/>
      <c r="DM102" s="324"/>
      <c r="DN102" s="324"/>
      <c r="DO102" s="324"/>
      <c r="DP102" s="324"/>
      <c r="DQ102" s="324"/>
      <c r="DR102" s="324"/>
      <c r="DS102" s="324"/>
      <c r="DT102" s="324"/>
      <c r="DU102" s="324"/>
      <c r="DV102" s="324"/>
      <c r="DW102" s="324"/>
      <c r="DX102" s="324"/>
      <c r="DY102" s="324"/>
      <c r="DZ102" s="324"/>
      <c r="EA102" s="324"/>
      <c r="EB102" s="324"/>
      <c r="EC102" s="324"/>
      <c r="ED102" s="324"/>
      <c r="EE102" s="324"/>
      <c r="EF102" s="324"/>
      <c r="EG102" s="324"/>
      <c r="EH102" s="324"/>
      <c r="EI102" s="324"/>
      <c r="EJ102" s="324"/>
      <c r="EK102" s="324"/>
      <c r="EL102" s="324"/>
      <c r="EM102" s="324"/>
      <c r="EN102" s="324"/>
      <c r="EO102" s="324"/>
      <c r="EP102" s="324"/>
      <c r="EQ102" s="324"/>
      <c r="ER102" s="324"/>
      <c r="ES102" s="324"/>
      <c r="ET102" s="324"/>
      <c r="EU102" s="324"/>
      <c r="EV102" s="324"/>
      <c r="EW102" s="324"/>
      <c r="EX102" s="324"/>
      <c r="EY102" s="324"/>
      <c r="EZ102" s="324"/>
      <c r="FA102" s="324"/>
      <c r="FB102" s="324"/>
      <c r="FC102" s="324"/>
      <c r="FD102" s="324"/>
      <c r="FE102" s="324"/>
      <c r="FF102" s="324"/>
      <c r="FG102" s="324"/>
      <c r="FH102" s="324"/>
      <c r="FI102" s="324"/>
      <c r="FJ102" s="324"/>
      <c r="FK102" s="324"/>
      <c r="FL102" s="324"/>
      <c r="FM102" s="324"/>
      <c r="FN102" s="324"/>
      <c r="FO102" s="324"/>
      <c r="FP102" s="324"/>
      <c r="FQ102" s="324"/>
      <c r="FR102" s="324"/>
      <c r="FS102" s="324"/>
      <c r="FT102" s="324"/>
      <c r="FU102" s="324"/>
      <c r="FV102" s="324"/>
      <c r="FW102" s="324"/>
      <c r="FX102" s="324"/>
      <c r="FY102" s="324"/>
      <c r="FZ102" s="324"/>
      <c r="GA102" s="324"/>
      <c r="GB102" s="324"/>
      <c r="GC102" s="324"/>
      <c r="GD102" s="324"/>
      <c r="GE102" s="324"/>
      <c r="GF102" s="324"/>
      <c r="GG102" s="324"/>
      <c r="GH102" s="324"/>
      <c r="GI102" s="324"/>
      <c r="GJ102" s="324"/>
      <c r="GK102" s="324"/>
      <c r="GL102" s="324"/>
      <c r="GM102" s="324"/>
      <c r="GN102" s="324"/>
      <c r="GO102" s="324"/>
      <c r="GP102" s="324"/>
      <c r="GQ102" s="324"/>
      <c r="GR102" s="324"/>
      <c r="GS102" s="324"/>
      <c r="GT102" s="324"/>
      <c r="GU102" s="324"/>
      <c r="GV102" s="324"/>
      <c r="GW102" s="324"/>
      <c r="GX102" s="324"/>
    </row>
    <row r="103" customFormat="false" ht="15" hidden="false" customHeight="true" outlineLevel="0" collapsed="false">
      <c r="A103" s="285" t="n">
        <v>2952</v>
      </c>
      <c r="B103" s="285"/>
      <c r="C103" s="286" t="s">
        <v>322</v>
      </c>
      <c r="D103" s="287" t="s">
        <v>322</v>
      </c>
      <c r="E103" s="288" t="n">
        <f aca="false">IF(I103="regional",IF(R103*0.2975,S103*0.3484),S103*0.1939)</f>
        <v>73876.8695</v>
      </c>
      <c r="F103" s="288" t="n">
        <v>0</v>
      </c>
      <c r="G103" s="289" t="n">
        <f aca="false">E103+F103</f>
        <v>73876.8695</v>
      </c>
      <c r="H103" s="286"/>
      <c r="I103" s="287" t="s">
        <v>62</v>
      </c>
      <c r="J103" s="287" t="s">
        <v>49</v>
      </c>
      <c r="K103" s="287" t="s">
        <v>98</v>
      </c>
      <c r="L103" s="287"/>
      <c r="M103" s="317" t="n">
        <v>37</v>
      </c>
      <c r="N103" s="317" t="n">
        <v>0.893</v>
      </c>
      <c r="O103" s="317" t="n">
        <v>0.893</v>
      </c>
      <c r="P103" s="317" t="n">
        <v>0.909</v>
      </c>
      <c r="Q103" s="317" t="n">
        <v>0.897</v>
      </c>
      <c r="R103" s="317" t="n">
        <v>0</v>
      </c>
      <c r="S103" s="317" t="n">
        <v>381005</v>
      </c>
      <c r="T103" s="318" t="n">
        <f aca="false">IF(I103="regional",IF(R103&gt;0,R103*0.2975,S103*0.3484),S103*0.1939)</f>
        <v>73876.8695</v>
      </c>
      <c r="U103" s="317" t="n">
        <v>287355</v>
      </c>
      <c r="V103" s="317" t="n">
        <v>93650</v>
      </c>
      <c r="W103" s="317" t="n">
        <v>2600</v>
      </c>
      <c r="X103" s="317" t="n">
        <v>0</v>
      </c>
      <c r="Y103" s="317" t="n">
        <v>0</v>
      </c>
      <c r="Z103" s="317" t="n">
        <v>0</v>
      </c>
      <c r="AA103" s="317" t="n">
        <v>454881.8695</v>
      </c>
      <c r="AB103" s="317" t="n">
        <v>73876.8695</v>
      </c>
      <c r="AC103" s="317" t="n">
        <v>381005</v>
      </c>
      <c r="AD103" s="317" t="n">
        <v>0</v>
      </c>
      <c r="AE103" s="317" t="n">
        <v>0</v>
      </c>
      <c r="AF103" s="317" t="n">
        <v>0</v>
      </c>
      <c r="AG103" s="317" t="n">
        <v>381005</v>
      </c>
      <c r="AH103" s="317" t="n">
        <v>0</v>
      </c>
      <c r="AI103" s="317" t="n">
        <v>0</v>
      </c>
      <c r="AJ103" s="286" t="n">
        <v>4</v>
      </c>
      <c r="AK103" s="286" t="s">
        <v>706</v>
      </c>
      <c r="AL103" s="287" t="s">
        <v>62</v>
      </c>
      <c r="AM103" s="286"/>
      <c r="AN103" s="287" t="s">
        <v>322</v>
      </c>
      <c r="AO103" s="287" t="n">
        <v>73876.8695</v>
      </c>
      <c r="AP103" s="319" t="n">
        <f aca="false">AR103+AT103+AU103+AV103+AX103+AY103+AZ103+BD103+BF103+BG103+BH103+BJ103+BK103+(BL103+BM103+BN103)/1000+(0.1*BO103)</f>
        <v>38</v>
      </c>
      <c r="AQ103" s="319" t="n">
        <f aca="false">AR103+AT103+AU103+AV103+AX103+AY103+AZ103+BB103+BC103+BD103+BF103+BG103+BH103+BJ103+BK103+(BL103+BM103+BN103)/1000+(0.1*BO103)</f>
        <v>39</v>
      </c>
      <c r="AR103" s="285" t="n">
        <v>0</v>
      </c>
      <c r="AS103" s="285" t="n">
        <v>0</v>
      </c>
      <c r="AT103" s="285" t="n">
        <v>24</v>
      </c>
      <c r="AU103" s="285" t="n">
        <v>13</v>
      </c>
      <c r="AV103" s="285" t="n">
        <v>0</v>
      </c>
      <c r="AW103" s="285" t="n">
        <v>0</v>
      </c>
      <c r="AX103" s="285" t="n">
        <v>0</v>
      </c>
      <c r="AY103" s="285" t="n">
        <v>1</v>
      </c>
      <c r="AZ103" s="285" t="n">
        <v>0</v>
      </c>
      <c r="BA103" s="285" t="n">
        <v>0</v>
      </c>
      <c r="BB103" s="285" t="n">
        <v>0</v>
      </c>
      <c r="BC103" s="285" t="n">
        <v>1</v>
      </c>
      <c r="BD103" s="285" t="n">
        <v>0</v>
      </c>
      <c r="BE103" s="285" t="n">
        <v>0</v>
      </c>
      <c r="BF103" s="285" t="n">
        <v>0</v>
      </c>
      <c r="BG103" s="285" t="n">
        <v>0</v>
      </c>
      <c r="BH103" s="285" t="n">
        <v>0</v>
      </c>
      <c r="BI103" s="285" t="n">
        <v>0</v>
      </c>
      <c r="BJ103" s="285" t="n">
        <v>0</v>
      </c>
      <c r="BK103" s="285" t="n">
        <v>0</v>
      </c>
      <c r="BL103" s="285" t="n">
        <v>0</v>
      </c>
      <c r="BM103" s="285" t="n">
        <v>0</v>
      </c>
      <c r="BN103" s="285" t="n">
        <v>0</v>
      </c>
      <c r="BO103" s="285" t="n">
        <v>0</v>
      </c>
      <c r="BR103" s="290" t="n">
        <f aca="false">AR103*1000/0.072</f>
        <v>0</v>
      </c>
      <c r="BS103" s="290" t="n">
        <f aca="false">AT103*1000/0.072</f>
        <v>333333.333333333</v>
      </c>
      <c r="BT103" s="290" t="n">
        <f aca="false">AU103*1000/0.072</f>
        <v>180555.555555556</v>
      </c>
      <c r="BU103" s="290" t="n">
        <f aca="false">SUM(BR103:BT103)</f>
        <v>513888.888888889</v>
      </c>
      <c r="BV103" s="290" t="n">
        <f aca="false">AV103*1000/5</f>
        <v>0</v>
      </c>
      <c r="BW103" s="290" t="n">
        <f aca="false">AX103*1000/5</f>
        <v>0</v>
      </c>
      <c r="BX103" s="290" t="n">
        <f aca="false">AY103*1000/5</f>
        <v>200</v>
      </c>
      <c r="BY103" s="290" t="n">
        <f aca="false">SUM(BV103:BX103)</f>
        <v>200</v>
      </c>
      <c r="CA103" s="290" t="n">
        <f aca="false">IF($AM103="n",0,BR103)</f>
        <v>0</v>
      </c>
      <c r="CB103" s="290" t="n">
        <f aca="false">IF($AM103="n",0,BS103)</f>
        <v>333333.333333333</v>
      </c>
      <c r="CC103" s="290" t="n">
        <f aca="false">IF($AM103="n",0,BT103)</f>
        <v>180555.555555556</v>
      </c>
      <c r="CD103" s="290" t="n">
        <f aca="false">SUM(CA103:CC103)</f>
        <v>513888.888888889</v>
      </c>
      <c r="CE103" s="290" t="n">
        <f aca="false">IF($AM$2="n",0,BV103)</f>
        <v>0</v>
      </c>
      <c r="CF103" s="290" t="n">
        <f aca="false">IF($AM$2="n",0,BW103)</f>
        <v>0</v>
      </c>
      <c r="CG103" s="290" t="n">
        <f aca="false">IF($AM$2="n",0,BX103)</f>
        <v>200</v>
      </c>
      <c r="CH103" s="290" t="n">
        <f aca="false">SUM(CE103:CG103)</f>
        <v>200</v>
      </c>
    </row>
    <row r="104" customFormat="false" ht="15" hidden="false" customHeight="true" outlineLevel="0" collapsed="false">
      <c r="A104" s="285" t="n">
        <v>9894</v>
      </c>
      <c r="B104" s="285"/>
      <c r="C104" s="286" t="s">
        <v>324</v>
      </c>
      <c r="D104" s="287" t="s">
        <v>324</v>
      </c>
      <c r="E104" s="288" t="n">
        <f aca="false">IF(I104="regional",IF(R104*0.2975,S104*0.3484),S104*0.1939)</f>
        <v>314315.6796</v>
      </c>
      <c r="F104" s="288" t="n">
        <v>0</v>
      </c>
      <c r="G104" s="289" t="n">
        <f aca="false">E104+F104</f>
        <v>314315.6796</v>
      </c>
      <c r="H104" s="286" t="s">
        <v>49</v>
      </c>
      <c r="I104" s="287" t="s">
        <v>48</v>
      </c>
      <c r="J104" s="287" t="s">
        <v>49</v>
      </c>
      <c r="K104" s="287" t="s">
        <v>271</v>
      </c>
      <c r="L104" s="287"/>
      <c r="M104" s="317" t="n">
        <v>143</v>
      </c>
      <c r="N104" s="317" t="n">
        <v>0.775</v>
      </c>
      <c r="O104" s="317" t="n">
        <v>0.846</v>
      </c>
      <c r="P104" s="317" t="n">
        <v>0.819</v>
      </c>
      <c r="Q104" s="317" t="n">
        <v>0.82</v>
      </c>
      <c r="R104" s="317" t="n">
        <v>1061914</v>
      </c>
      <c r="S104" s="317" t="n">
        <v>902169</v>
      </c>
      <c r="T104" s="318" t="n">
        <f aca="false">IF(I104="regional",IF(R104&gt;0,R104*0.2975,S104*0.3484),S104*0.1939)</f>
        <v>315919.415</v>
      </c>
      <c r="U104" s="317" t="n">
        <v>610038</v>
      </c>
      <c r="V104" s="317" t="n">
        <v>292131</v>
      </c>
      <c r="W104" s="317" t="n">
        <v>4476</v>
      </c>
      <c r="X104" s="317" t="n">
        <v>0</v>
      </c>
      <c r="Y104" s="317" t="n">
        <v>0</v>
      </c>
      <c r="Z104" s="317" t="n">
        <v>0</v>
      </c>
      <c r="AA104" s="317" t="n">
        <v>1218088.415</v>
      </c>
      <c r="AB104" s="317" t="n">
        <v>315919.415</v>
      </c>
      <c r="AC104" s="317" t="n">
        <v>902169</v>
      </c>
      <c r="AD104" s="317" t="n">
        <v>0</v>
      </c>
      <c r="AE104" s="317" t="n">
        <v>0</v>
      </c>
      <c r="AF104" s="317" t="n">
        <v>0</v>
      </c>
      <c r="AG104" s="317" t="n">
        <v>902169</v>
      </c>
      <c r="AH104" s="317" t="n">
        <v>0</v>
      </c>
      <c r="AI104" s="317" t="n">
        <v>0</v>
      </c>
      <c r="AJ104" s="286" t="s">
        <v>707</v>
      </c>
      <c r="AK104" s="286" t="s">
        <v>714</v>
      </c>
      <c r="AL104" s="287" t="s">
        <v>48</v>
      </c>
      <c r="AM104" s="286" t="s">
        <v>49</v>
      </c>
      <c r="AN104" s="287" t="s">
        <v>324</v>
      </c>
      <c r="AO104" s="287" t="n">
        <v>315919.415</v>
      </c>
      <c r="AP104" s="319" t="n">
        <f aca="false">AR104+AT104+AU104+AV104+AX104+AY104+AZ104+BD104+BF104+BG104+BH104+BJ104+BK104+(BL104+BM104+BN104)/1000+(0.1*BO104)</f>
        <v>296.2763</v>
      </c>
      <c r="AQ104" s="319" t="n">
        <f aca="false">AR104+AT104+AU104+AV104+AX104+AY104+AZ104+BB104+BC104+BD104+BF104+BG104+BH104+BJ104+BK104+(BL104+BM104+BN104)/1000+(0.1*BO104)</f>
        <v>317.2763</v>
      </c>
      <c r="AR104" s="285" t="n">
        <v>0</v>
      </c>
      <c r="AS104" s="285" t="n">
        <v>0</v>
      </c>
      <c r="AT104" s="285" t="n">
        <v>250</v>
      </c>
      <c r="AU104" s="285" t="n">
        <v>4</v>
      </c>
      <c r="AV104" s="285" t="n">
        <v>0</v>
      </c>
      <c r="AW104" s="285" t="n">
        <v>0</v>
      </c>
      <c r="AX104" s="285" t="n">
        <v>2</v>
      </c>
      <c r="AY104" s="285" t="n">
        <v>0</v>
      </c>
      <c r="AZ104" s="285" t="n">
        <v>0</v>
      </c>
      <c r="BA104" s="285" t="n">
        <v>0</v>
      </c>
      <c r="BB104" s="285" t="n">
        <v>20</v>
      </c>
      <c r="BC104" s="285" t="n">
        <v>1</v>
      </c>
      <c r="BD104" s="285" t="n">
        <v>0</v>
      </c>
      <c r="BE104" s="285" t="n">
        <v>0</v>
      </c>
      <c r="BF104" s="285" t="n">
        <v>0</v>
      </c>
      <c r="BG104" s="285" t="n">
        <v>0</v>
      </c>
      <c r="BH104" s="285" t="n">
        <v>0</v>
      </c>
      <c r="BI104" s="285" t="n">
        <v>0</v>
      </c>
      <c r="BJ104" s="285" t="n">
        <v>0</v>
      </c>
      <c r="BK104" s="285" t="n">
        <v>0</v>
      </c>
      <c r="BL104" s="285" t="n">
        <v>0</v>
      </c>
      <c r="BM104" s="285" t="n">
        <v>0</v>
      </c>
      <c r="BN104" s="285" t="n">
        <v>0</v>
      </c>
      <c r="BO104" s="285" t="n">
        <v>402.763</v>
      </c>
      <c r="BR104" s="290" t="n">
        <f aca="false">AR104*1000/0.072</f>
        <v>0</v>
      </c>
      <c r="BS104" s="290" t="n">
        <f aca="false">AT104*1000/0.072</f>
        <v>3472222.22222222</v>
      </c>
      <c r="BT104" s="290" t="n">
        <f aca="false">AU104*1000/0.072</f>
        <v>55555.5555555556</v>
      </c>
      <c r="BU104" s="290" t="n">
        <f aca="false">SUM(BR104:BT104)</f>
        <v>3527777.77777778</v>
      </c>
      <c r="BV104" s="290" t="n">
        <f aca="false">AV104*1000/5</f>
        <v>0</v>
      </c>
      <c r="BW104" s="290" t="n">
        <f aca="false">AX104*1000/5</f>
        <v>400</v>
      </c>
      <c r="BX104" s="290" t="n">
        <f aca="false">AY104*1000/5</f>
        <v>0</v>
      </c>
      <c r="BY104" s="290" t="n">
        <f aca="false">SUM(BV104:BX104)</f>
        <v>400</v>
      </c>
      <c r="CA104" s="290" t="n">
        <f aca="false">IF($AM104="n",0,BR104)</f>
        <v>0</v>
      </c>
      <c r="CB104" s="290" t="n">
        <f aca="false">IF($AM104="n",0,BS104)</f>
        <v>0</v>
      </c>
      <c r="CC104" s="290" t="n">
        <f aca="false">IF($AM104="n",0,BT104)</f>
        <v>0</v>
      </c>
      <c r="CD104" s="290" t="n">
        <f aca="false">SUM(CA104:CC104)</f>
        <v>0</v>
      </c>
      <c r="CE104" s="290" t="n">
        <f aca="false">IF($AM$2="n",0,BV104)</f>
        <v>0</v>
      </c>
      <c r="CF104" s="290" t="n">
        <f aca="false">IF($AM$2="n",0,BW104)</f>
        <v>400</v>
      </c>
      <c r="CG104" s="290" t="n">
        <f aca="false">IF($AM$2="n",0,BX104)</f>
        <v>0</v>
      </c>
      <c r="CH104" s="290" t="n">
        <f aca="false">SUM(CE104:CG104)</f>
        <v>400</v>
      </c>
    </row>
    <row r="105" customFormat="false" ht="15" hidden="false" customHeight="true" outlineLevel="0" collapsed="false">
      <c r="A105" s="285" t="n">
        <v>2324</v>
      </c>
      <c r="B105" s="285" t="s">
        <v>44</v>
      </c>
      <c r="C105" s="286" t="s">
        <v>326</v>
      </c>
      <c r="D105" s="287" t="s">
        <v>326</v>
      </c>
      <c r="E105" s="288" t="n">
        <f aca="false">IF(I105="regional",IF(R105*0.2975,S105*0.3484),S105*0.1939)</f>
        <v>384259.7668</v>
      </c>
      <c r="F105" s="288" t="n">
        <v>0</v>
      </c>
      <c r="G105" s="289" t="n">
        <f aca="false">E105+F105</f>
        <v>384259.7668</v>
      </c>
      <c r="H105" s="286" t="s">
        <v>44</v>
      </c>
      <c r="I105" s="287" t="s">
        <v>48</v>
      </c>
      <c r="J105" s="287" t="s">
        <v>44</v>
      </c>
      <c r="K105" s="287" t="s">
        <v>328</v>
      </c>
      <c r="L105" s="287"/>
      <c r="M105" s="317" t="n">
        <v>120</v>
      </c>
      <c r="N105" s="317" t="n">
        <v>0.957</v>
      </c>
      <c r="O105" s="317" t="n">
        <v>0.949</v>
      </c>
      <c r="P105" s="317" t="n">
        <v>0.902</v>
      </c>
      <c r="Q105" s="317" t="n">
        <v>0.891</v>
      </c>
      <c r="R105" s="317" t="n">
        <v>1427795</v>
      </c>
      <c r="S105" s="317" t="n">
        <v>1102927</v>
      </c>
      <c r="T105" s="318" t="n">
        <f aca="false">IF(I105="regional",IF(R105&gt;0,R105*0.2975,S105*0.3484),S105*0.1939)</f>
        <v>424769.0125</v>
      </c>
      <c r="U105" s="317" t="n">
        <v>745179</v>
      </c>
      <c r="V105" s="317" t="n">
        <v>357748</v>
      </c>
      <c r="W105" s="317" t="n">
        <v>5420</v>
      </c>
      <c r="X105" s="317" t="n">
        <v>0</v>
      </c>
      <c r="Y105" s="317" t="n">
        <v>0</v>
      </c>
      <c r="Z105" s="317" t="n">
        <v>0</v>
      </c>
      <c r="AA105" s="317" t="n">
        <v>1527696.013</v>
      </c>
      <c r="AB105" s="317" t="n">
        <v>424769.0125</v>
      </c>
      <c r="AC105" s="317" t="n">
        <v>1102927</v>
      </c>
      <c r="AD105" s="317" t="n">
        <v>0</v>
      </c>
      <c r="AE105" s="317" t="n">
        <v>0</v>
      </c>
      <c r="AF105" s="317" t="n">
        <v>1102927</v>
      </c>
      <c r="AG105" s="317" t="n">
        <v>0</v>
      </c>
      <c r="AH105" s="317" t="n">
        <v>1075000</v>
      </c>
      <c r="AI105" s="317" t="n">
        <v>1022000</v>
      </c>
      <c r="AJ105" s="286" t="s">
        <v>707</v>
      </c>
      <c r="AK105" s="286" t="s">
        <v>708</v>
      </c>
      <c r="AL105" s="287" t="s">
        <v>48</v>
      </c>
      <c r="AM105" s="286"/>
      <c r="AN105" s="287" t="s">
        <v>326</v>
      </c>
      <c r="AO105" s="287" t="n">
        <v>424769.0125</v>
      </c>
      <c r="AP105" s="319" t="n">
        <f aca="false">AR105+AT105+AU105+AV105+AX105+AY105+AZ105+BD105+BF105+BG105+BH105+BJ105+BK105+(BL105+BM105+BN105)/1000+(0.1*BO105)</f>
        <v>751.0783</v>
      </c>
      <c r="AQ105" s="319" t="n">
        <f aca="false">AR105+AT105+AU105+AV105+AX105+AY105+AZ105+BB105+BC105+BD105+BF105+BG105+BH105+BJ105+BK105+(BL105+BM105+BN105)/1000+(0.1*BO105)</f>
        <v>816.0783</v>
      </c>
      <c r="AR105" s="285" t="n">
        <v>310</v>
      </c>
      <c r="AS105" s="285" t="n">
        <v>1022</v>
      </c>
      <c r="AT105" s="285" t="n">
        <v>97</v>
      </c>
      <c r="AU105" s="285" t="n">
        <v>50</v>
      </c>
      <c r="AV105" s="285" t="n">
        <v>0</v>
      </c>
      <c r="AW105" s="285" t="n">
        <v>0</v>
      </c>
      <c r="AX105" s="285" t="n">
        <v>0</v>
      </c>
      <c r="AY105" s="285" t="n">
        <v>0</v>
      </c>
      <c r="AZ105" s="285" t="n">
        <v>62</v>
      </c>
      <c r="BA105" s="285" t="n">
        <v>62</v>
      </c>
      <c r="BB105" s="285" t="n">
        <v>65</v>
      </c>
      <c r="BC105" s="285" t="n">
        <v>0</v>
      </c>
      <c r="BD105" s="285" t="n">
        <v>43</v>
      </c>
      <c r="BE105" s="285" t="n">
        <v>0</v>
      </c>
      <c r="BF105" s="285" t="n">
        <v>0</v>
      </c>
      <c r="BG105" s="285" t="n">
        <v>0</v>
      </c>
      <c r="BH105" s="285" t="n">
        <v>86</v>
      </c>
      <c r="BI105" s="285" t="n">
        <v>0</v>
      </c>
      <c r="BJ105" s="285" t="n">
        <v>0</v>
      </c>
      <c r="BK105" s="285" t="n">
        <v>0</v>
      </c>
      <c r="BL105" s="285" t="n">
        <v>0</v>
      </c>
      <c r="BM105" s="285" t="n">
        <v>0</v>
      </c>
      <c r="BN105" s="285" t="n">
        <v>0</v>
      </c>
      <c r="BO105" s="285" t="n">
        <v>1030.783</v>
      </c>
      <c r="BR105" s="290" t="n">
        <f aca="false">AR105*1000/0.072</f>
        <v>4305555.55555556</v>
      </c>
      <c r="BS105" s="290" t="n">
        <f aca="false">AT105*1000/0.072</f>
        <v>1347222.22222222</v>
      </c>
      <c r="BT105" s="290" t="n">
        <f aca="false">AU105*1000/0.072</f>
        <v>694444.444444445</v>
      </c>
      <c r="BU105" s="290" t="n">
        <f aca="false">SUM(BR105:BT105)</f>
        <v>6347222.22222222</v>
      </c>
      <c r="BV105" s="290" t="n">
        <f aca="false">AV105*1000/5</f>
        <v>0</v>
      </c>
      <c r="BW105" s="290" t="n">
        <f aca="false">AX105*1000/5</f>
        <v>0</v>
      </c>
      <c r="BX105" s="290" t="n">
        <f aca="false">AY105*1000/5</f>
        <v>0</v>
      </c>
      <c r="BY105" s="290" t="n">
        <f aca="false">SUM(BV105:BX105)</f>
        <v>0</v>
      </c>
      <c r="CA105" s="290" t="n">
        <f aca="false">IF($AM105="n",0,BR105)</f>
        <v>4305555.55555556</v>
      </c>
      <c r="CB105" s="290" t="n">
        <f aca="false">IF($AM105="n",0,BS105)</f>
        <v>1347222.22222222</v>
      </c>
      <c r="CC105" s="290" t="n">
        <f aca="false">IF($AM105="n",0,BT105)</f>
        <v>694444.444444445</v>
      </c>
      <c r="CD105" s="290" t="n">
        <f aca="false">SUM(CA105:CC105)</f>
        <v>6347222.22222222</v>
      </c>
      <c r="CE105" s="290" t="n">
        <f aca="false">IF($AM$2="n",0,BV105)</f>
        <v>0</v>
      </c>
      <c r="CF105" s="290" t="n">
        <f aca="false">IF($AM$2="n",0,BW105)</f>
        <v>0</v>
      </c>
      <c r="CG105" s="290" t="n">
        <f aca="false">IF($AM$2="n",0,BX105)</f>
        <v>0</v>
      </c>
      <c r="CH105" s="290" t="n">
        <f aca="false">SUM(CE105:CG105)</f>
        <v>0</v>
      </c>
    </row>
    <row r="106" customFormat="false" ht="15" hidden="false" customHeight="true" outlineLevel="0" collapsed="false">
      <c r="A106" s="285" t="n">
        <v>2325</v>
      </c>
      <c r="B106" s="285"/>
      <c r="C106" s="286" t="s">
        <v>329</v>
      </c>
      <c r="D106" s="287" t="s">
        <v>329</v>
      </c>
      <c r="E106" s="288" t="n">
        <f aca="false">IF(I106="regional",IF(R106*0.2975,S106*0.3484),S106*0.1939)</f>
        <v>73875.9</v>
      </c>
      <c r="F106" s="288" t="n">
        <v>376250</v>
      </c>
      <c r="G106" s="289" t="n">
        <f aca="false">E106+F106</f>
        <v>450125.9</v>
      </c>
      <c r="H106" s="286"/>
      <c r="I106" s="287" t="s">
        <v>62</v>
      </c>
      <c r="J106" s="287"/>
      <c r="K106" s="287" t="s">
        <v>328</v>
      </c>
      <c r="L106" s="287" t="s">
        <v>44</v>
      </c>
      <c r="M106" s="317" t="n">
        <v>0</v>
      </c>
      <c r="N106" s="317" t="n">
        <v>0.837</v>
      </c>
      <c r="O106" s="317" t="n">
        <v>0.84</v>
      </c>
      <c r="P106" s="317" t="n">
        <v>0.902</v>
      </c>
      <c r="Q106" s="317" t="n">
        <v>0.891</v>
      </c>
      <c r="R106" s="317" t="n">
        <v>0</v>
      </c>
      <c r="S106" s="317" t="n">
        <v>381000</v>
      </c>
      <c r="T106" s="318" t="n">
        <f aca="false">IF(I106="regional",IF(R106&gt;0,R106*0.2975,S106*0.3484),S106*0.1939)</f>
        <v>73875.9</v>
      </c>
      <c r="U106" s="317" t="n">
        <v>293855</v>
      </c>
      <c r="V106" s="317" t="n">
        <v>87145</v>
      </c>
      <c r="W106" s="317" t="n">
        <v>0</v>
      </c>
      <c r="X106" s="317" t="n">
        <v>450125.9</v>
      </c>
      <c r="Y106" s="317" t="n">
        <v>73875.9</v>
      </c>
      <c r="Z106" s="317" t="n">
        <v>376250</v>
      </c>
      <c r="AA106" s="317" t="n">
        <v>4750</v>
      </c>
      <c r="AB106" s="317" t="n">
        <v>0</v>
      </c>
      <c r="AC106" s="317" t="n">
        <v>4750</v>
      </c>
      <c r="AD106" s="317" t="n">
        <v>0</v>
      </c>
      <c r="AE106" s="317" t="n">
        <v>376250</v>
      </c>
      <c r="AF106" s="317" t="n">
        <v>0</v>
      </c>
      <c r="AG106" s="317" t="n">
        <v>4750</v>
      </c>
      <c r="AH106" s="317" t="n">
        <v>0</v>
      </c>
      <c r="AI106" s="317" t="n">
        <v>0</v>
      </c>
      <c r="AJ106" s="286" t="s">
        <v>707</v>
      </c>
      <c r="AK106" s="286" t="s">
        <v>708</v>
      </c>
      <c r="AL106" s="287" t="s">
        <v>62</v>
      </c>
      <c r="AM106" s="286"/>
      <c r="AN106" s="287" t="s">
        <v>329</v>
      </c>
      <c r="AO106" s="287" t="n">
        <v>450125.9</v>
      </c>
      <c r="AP106" s="319" t="n">
        <f aca="false">AR106+AT106+AU106+AV106+AX106+AY106+AZ106+BD106+BF106+BG106+BH106+BJ106+BK106+(BL106+BM106+BN106)/1000+(0.1*BO106)</f>
        <v>16.487696</v>
      </c>
      <c r="AQ106" s="319" t="n">
        <f aca="false">AR106+AT106+AU106+AV106+AX106+AY106+AZ106+BB106+BC106+BD106+BF106+BG106+BH106+BJ106+BK106+(BL106+BM106+BN106)/1000+(0.1*BO106)</f>
        <v>32.487696</v>
      </c>
      <c r="AR106" s="302" t="n">
        <v>0</v>
      </c>
      <c r="AS106" s="302" t="n">
        <v>0</v>
      </c>
      <c r="AT106" s="302" t="n">
        <v>8</v>
      </c>
      <c r="AU106" s="302" t="n">
        <v>4</v>
      </c>
      <c r="AV106" s="285" t="n">
        <v>0</v>
      </c>
      <c r="AW106" s="285" t="n">
        <v>0</v>
      </c>
      <c r="AX106" s="285" t="n">
        <v>0</v>
      </c>
      <c r="AY106" s="285" t="n">
        <v>0</v>
      </c>
      <c r="AZ106" s="302" t="n">
        <v>0</v>
      </c>
      <c r="BA106" s="302" t="n">
        <v>0</v>
      </c>
      <c r="BB106" s="302" t="n">
        <v>13</v>
      </c>
      <c r="BC106" s="302" t="n">
        <v>3</v>
      </c>
      <c r="BD106" s="302" t="n">
        <v>0</v>
      </c>
      <c r="BE106" s="302" t="n">
        <v>0</v>
      </c>
      <c r="BF106" s="302" t="n">
        <v>0</v>
      </c>
      <c r="BG106" s="302" t="n">
        <v>0</v>
      </c>
      <c r="BH106" s="302" t="n">
        <v>0</v>
      </c>
      <c r="BI106" s="302" t="n">
        <v>0</v>
      </c>
      <c r="BJ106" s="302" t="n">
        <v>0</v>
      </c>
      <c r="BK106" s="302" t="n">
        <v>0</v>
      </c>
      <c r="BL106" s="285" t="n">
        <v>0</v>
      </c>
      <c r="BM106" s="285" t="n">
        <v>0</v>
      </c>
      <c r="BN106" s="285" t="n">
        <v>0</v>
      </c>
      <c r="BO106" s="285" t="n">
        <v>44.87696</v>
      </c>
      <c r="BP106" s="324"/>
      <c r="BR106" s="290" t="n">
        <f aca="false">AR106*1000/0.072</f>
        <v>0</v>
      </c>
      <c r="BS106" s="290" t="n">
        <f aca="false">AT106*1000/0.072</f>
        <v>111111.111111111</v>
      </c>
      <c r="BT106" s="290" t="n">
        <f aca="false">AU106*1000/0.072</f>
        <v>55555.5555555556</v>
      </c>
      <c r="BU106" s="290" t="n">
        <f aca="false">SUM(BR106:BT106)</f>
        <v>166666.666666667</v>
      </c>
      <c r="BV106" s="290" t="n">
        <f aca="false">AV106*1000/5</f>
        <v>0</v>
      </c>
      <c r="BW106" s="290" t="n">
        <f aca="false">AX106*1000/5</f>
        <v>0</v>
      </c>
      <c r="BX106" s="290" t="n">
        <f aca="false">AY106*1000/5</f>
        <v>0</v>
      </c>
      <c r="BY106" s="290" t="n">
        <f aca="false">SUM(BV106:BX106)</f>
        <v>0</v>
      </c>
      <c r="CA106" s="290" t="n">
        <f aca="false">IF($AM106="n",0,BR106)</f>
        <v>0</v>
      </c>
      <c r="CB106" s="290" t="n">
        <f aca="false">IF($AM106="n",0,BS106)</f>
        <v>111111.111111111</v>
      </c>
      <c r="CC106" s="290" t="n">
        <f aca="false">IF($AM106="n",0,BT106)</f>
        <v>55555.5555555556</v>
      </c>
      <c r="CD106" s="290" t="n">
        <f aca="false">SUM(CA106:CC106)</f>
        <v>166666.666666667</v>
      </c>
      <c r="CE106" s="290" t="n">
        <f aca="false">IF($AM$2="n",0,BV106)</f>
        <v>0</v>
      </c>
      <c r="CF106" s="290" t="n">
        <f aca="false">IF($AM$2="n",0,BW106)</f>
        <v>0</v>
      </c>
      <c r="CG106" s="290" t="n">
        <f aca="false">IF($AM$2="n",0,BX106)</f>
        <v>0</v>
      </c>
      <c r="CH106" s="290" t="n">
        <f aca="false">SUM(CE106:CG106)</f>
        <v>0</v>
      </c>
      <c r="CJ106" s="324"/>
      <c r="CK106" s="324"/>
      <c r="CL106" s="324"/>
      <c r="CM106" s="324"/>
      <c r="CN106" s="324"/>
      <c r="CO106" s="324"/>
      <c r="CP106" s="324"/>
      <c r="CQ106" s="324"/>
      <c r="CR106" s="324"/>
      <c r="CS106" s="324"/>
      <c r="CT106" s="324"/>
      <c r="CU106" s="324"/>
      <c r="CV106" s="324"/>
      <c r="CW106" s="324"/>
      <c r="CX106" s="324"/>
      <c r="CY106" s="324"/>
      <c r="CZ106" s="324"/>
      <c r="DA106" s="324"/>
      <c r="DB106" s="324"/>
      <c r="DC106" s="324"/>
      <c r="DD106" s="324"/>
      <c r="DE106" s="345"/>
      <c r="DF106" s="345"/>
      <c r="DG106" s="345"/>
      <c r="DH106" s="345"/>
      <c r="DI106" s="345"/>
      <c r="DJ106" s="345"/>
      <c r="DK106" s="345"/>
      <c r="DL106" s="345"/>
      <c r="DM106" s="345"/>
      <c r="DN106" s="345"/>
      <c r="DO106" s="345"/>
      <c r="DP106" s="345"/>
      <c r="DQ106" s="345"/>
      <c r="DR106" s="345"/>
      <c r="DS106" s="345"/>
      <c r="DT106" s="345"/>
      <c r="DU106" s="345"/>
      <c r="DV106" s="345"/>
      <c r="DW106" s="345"/>
      <c r="DX106" s="345"/>
      <c r="DY106" s="345"/>
      <c r="DZ106" s="345"/>
      <c r="EA106" s="345"/>
      <c r="EB106" s="345"/>
      <c r="EC106" s="345"/>
      <c r="ED106" s="345"/>
      <c r="EE106" s="345"/>
      <c r="EF106" s="345"/>
      <c r="EG106" s="345"/>
      <c r="EH106" s="345"/>
      <c r="EI106" s="345"/>
      <c r="EJ106" s="345"/>
      <c r="EK106" s="345"/>
      <c r="EL106" s="345"/>
      <c r="EM106" s="345"/>
      <c r="EN106" s="345"/>
      <c r="EO106" s="345"/>
      <c r="EP106" s="345"/>
      <c r="EQ106" s="345"/>
      <c r="ER106" s="345"/>
      <c r="ES106" s="345"/>
      <c r="ET106" s="345"/>
      <c r="EU106" s="345"/>
      <c r="EV106" s="345"/>
      <c r="EW106" s="345"/>
      <c r="EX106" s="345"/>
      <c r="EY106" s="345"/>
      <c r="EZ106" s="345"/>
      <c r="FA106" s="345"/>
      <c r="FB106" s="345"/>
      <c r="FC106" s="345"/>
      <c r="FD106" s="345"/>
      <c r="FE106" s="345"/>
      <c r="FF106" s="345"/>
      <c r="FG106" s="345"/>
      <c r="FH106" s="345"/>
      <c r="FI106" s="345"/>
      <c r="FJ106" s="345"/>
      <c r="FK106" s="345"/>
      <c r="FL106" s="345"/>
      <c r="FM106" s="345"/>
      <c r="FN106" s="345"/>
      <c r="FO106" s="345"/>
      <c r="FP106" s="345"/>
      <c r="FQ106" s="345"/>
      <c r="FR106" s="345"/>
      <c r="FS106" s="345"/>
      <c r="FT106" s="345"/>
      <c r="FU106" s="345"/>
      <c r="FV106" s="345"/>
      <c r="FW106" s="345"/>
      <c r="FX106" s="345"/>
      <c r="FY106" s="345"/>
      <c r="FZ106" s="345"/>
      <c r="GA106" s="345"/>
      <c r="GB106" s="345"/>
      <c r="GC106" s="345"/>
      <c r="GD106" s="345"/>
      <c r="GE106" s="345"/>
      <c r="GF106" s="345"/>
      <c r="GG106" s="345"/>
      <c r="GH106" s="345"/>
      <c r="GI106" s="345"/>
      <c r="GJ106" s="345"/>
      <c r="GK106" s="345"/>
      <c r="GL106" s="345"/>
      <c r="GM106" s="345"/>
      <c r="GN106" s="345"/>
      <c r="GO106" s="345"/>
      <c r="GP106" s="345"/>
      <c r="GQ106" s="345"/>
      <c r="GR106" s="345"/>
      <c r="GS106" s="345"/>
      <c r="GT106" s="345"/>
      <c r="GU106" s="345"/>
      <c r="GV106" s="345"/>
      <c r="GW106" s="345"/>
      <c r="GX106" s="345"/>
      <c r="GY106" s="345"/>
      <c r="GZ106" s="345"/>
      <c r="HA106" s="345"/>
      <c r="HB106" s="345"/>
      <c r="HC106" s="345"/>
      <c r="HD106" s="345"/>
      <c r="HE106" s="345"/>
      <c r="HF106" s="345"/>
      <c r="HG106" s="345"/>
      <c r="HH106" s="345"/>
      <c r="HI106" s="345"/>
      <c r="HJ106" s="345"/>
      <c r="HK106" s="345"/>
      <c r="HL106" s="345"/>
      <c r="HM106" s="345"/>
      <c r="HN106" s="345"/>
      <c r="HO106" s="345"/>
      <c r="HP106" s="345"/>
      <c r="HQ106" s="345"/>
      <c r="HR106" s="345"/>
      <c r="HS106" s="345"/>
      <c r="HT106" s="345"/>
      <c r="HU106" s="345"/>
      <c r="HV106" s="345"/>
      <c r="HW106" s="345"/>
      <c r="HX106" s="345"/>
      <c r="HY106" s="345"/>
      <c r="HZ106" s="345"/>
      <c r="IA106" s="345"/>
      <c r="IB106" s="345"/>
      <c r="IC106" s="345"/>
      <c r="ID106" s="345"/>
      <c r="IE106" s="345"/>
      <c r="IF106" s="345"/>
      <c r="IG106" s="345"/>
      <c r="IH106" s="345"/>
      <c r="II106" s="345"/>
      <c r="IJ106" s="346"/>
      <c r="IK106" s="346"/>
      <c r="IL106" s="346"/>
      <c r="IM106" s="346"/>
      <c r="IN106" s="346"/>
      <c r="IO106" s="346"/>
      <c r="IP106" s="346"/>
      <c r="IQ106" s="346"/>
      <c r="IR106" s="346"/>
      <c r="IS106" s="346"/>
      <c r="IT106" s="346"/>
      <c r="IU106" s="346"/>
      <c r="IV106" s="346"/>
      <c r="IW106" s="346"/>
    </row>
    <row r="107" customFormat="false" ht="15" hidden="false" customHeight="true" outlineLevel="0" collapsed="false">
      <c r="A107" s="298" t="n">
        <v>4848</v>
      </c>
      <c r="B107" s="298"/>
      <c r="C107" s="299" t="s">
        <v>736</v>
      </c>
      <c r="D107" s="293" t="s">
        <v>736</v>
      </c>
      <c r="E107" s="288" t="n">
        <f aca="false">IF(I107="regional",IF(R107*0.2975,S107*0.3484),S107*0.1939)</f>
        <v>67506.6728</v>
      </c>
      <c r="F107" s="294"/>
      <c r="G107" s="289" t="n">
        <f aca="false">E107+F107</f>
        <v>67506.6728</v>
      </c>
      <c r="H107" s="292"/>
      <c r="I107" s="293" t="s">
        <v>718</v>
      </c>
      <c r="J107" s="293"/>
      <c r="K107" s="293"/>
      <c r="L107" s="293"/>
      <c r="M107" s="320"/>
      <c r="N107" s="320"/>
      <c r="O107" s="320"/>
      <c r="P107" s="320"/>
      <c r="Q107" s="320"/>
      <c r="R107" s="320"/>
      <c r="S107" s="320" t="n">
        <v>348152</v>
      </c>
      <c r="T107" s="318" t="n">
        <f aca="false">IF(I107="regional",IF(R107&gt;0,R107*0.2975,S107*0.3484),S107*0.1939)</f>
        <v>67506.6728</v>
      </c>
      <c r="U107" s="320"/>
      <c r="V107" s="320"/>
      <c r="W107" s="320"/>
      <c r="X107" s="320"/>
      <c r="Y107" s="320"/>
      <c r="Z107" s="320"/>
      <c r="AA107" s="320"/>
      <c r="AB107" s="320"/>
      <c r="AC107" s="320"/>
      <c r="AD107" s="320"/>
      <c r="AE107" s="320"/>
      <c r="AF107" s="320"/>
      <c r="AG107" s="320"/>
      <c r="AH107" s="320"/>
      <c r="AI107" s="320"/>
      <c r="AJ107" s="292" t="s">
        <v>707</v>
      </c>
      <c r="AK107" s="292" t="s">
        <v>712</v>
      </c>
      <c r="AL107" s="321" t="s">
        <v>737</v>
      </c>
      <c r="AM107" s="292"/>
      <c r="AN107" s="328" t="s">
        <v>736</v>
      </c>
      <c r="AO107" s="328" t="n">
        <v>0</v>
      </c>
      <c r="AP107" s="329" t="n">
        <v>0</v>
      </c>
      <c r="AQ107" s="319" t="n">
        <f aca="false">AR107+AT107+AU107+AV107+AX107+AY107+AZ107+BB107+BC107+BD107+BF107+BG107+BH107+BJ107+BK107+(BL107+BM107+BN107)/1000+(0.1*BO107)</f>
        <v>593</v>
      </c>
      <c r="AR107" s="185" t="n">
        <v>0</v>
      </c>
      <c r="AS107" s="185" t="n">
        <v>0</v>
      </c>
      <c r="AT107" s="185" t="n">
        <v>502</v>
      </c>
      <c r="AU107" s="185" t="n">
        <v>0</v>
      </c>
      <c r="AV107" s="285" t="n">
        <v>0</v>
      </c>
      <c r="AW107" s="285" t="n">
        <v>0</v>
      </c>
      <c r="AX107" s="285" t="n">
        <v>0</v>
      </c>
      <c r="AY107" s="285" t="n">
        <v>0</v>
      </c>
      <c r="AZ107" s="185" t="n">
        <v>0</v>
      </c>
      <c r="BA107" s="185" t="n">
        <v>0</v>
      </c>
      <c r="BB107" s="185" t="n">
        <v>70</v>
      </c>
      <c r="BC107" s="185" t="n">
        <v>0</v>
      </c>
      <c r="BD107" s="347" t="n">
        <v>0</v>
      </c>
      <c r="BE107" s="347" t="n">
        <v>0</v>
      </c>
      <c r="BF107" s="347" t="n">
        <v>0</v>
      </c>
      <c r="BG107" s="347" t="n">
        <v>0</v>
      </c>
      <c r="BH107" s="185" t="n">
        <v>21</v>
      </c>
      <c r="BI107" s="185" t="n">
        <v>0</v>
      </c>
      <c r="BJ107" s="185" t="n">
        <v>0</v>
      </c>
      <c r="BK107" s="185" t="n">
        <v>0</v>
      </c>
      <c r="BL107" s="291" t="n">
        <v>0</v>
      </c>
      <c r="BM107" s="291" t="n">
        <v>0</v>
      </c>
      <c r="BN107" s="291" t="n">
        <v>0</v>
      </c>
      <c r="BO107" s="298" t="n">
        <v>0</v>
      </c>
      <c r="BR107" s="290" t="n">
        <f aca="false">AR107*1000/0.072</f>
        <v>0</v>
      </c>
      <c r="BS107" s="290" t="n">
        <f aca="false">AT107*1000/0.072</f>
        <v>6972222.22222222</v>
      </c>
      <c r="BT107" s="290" t="n">
        <f aca="false">AU107*1000/0.072</f>
        <v>0</v>
      </c>
      <c r="BU107" s="290" t="n">
        <f aca="false">SUM(BR107:BT107)</f>
        <v>6972222.22222222</v>
      </c>
      <c r="BV107" s="290" t="n">
        <f aca="false">AV107*1000/5</f>
        <v>0</v>
      </c>
      <c r="BW107" s="290" t="n">
        <f aca="false">AX107*1000/5</f>
        <v>0</v>
      </c>
      <c r="BX107" s="290" t="n">
        <f aca="false">AY107*1000/5</f>
        <v>0</v>
      </c>
      <c r="BY107" s="290" t="n">
        <f aca="false">SUM(BV107:BX107)</f>
        <v>0</v>
      </c>
      <c r="CA107" s="290" t="n">
        <f aca="false">IF($AM107="n",0,BR107)</f>
        <v>0</v>
      </c>
      <c r="CB107" s="290" t="n">
        <f aca="false">IF($AM107="n",0,BS107)</f>
        <v>6972222.22222222</v>
      </c>
      <c r="CC107" s="290" t="n">
        <f aca="false">IF($AM107="n",0,BT107)</f>
        <v>0</v>
      </c>
      <c r="CD107" s="290" t="n">
        <f aca="false">SUM(CA107:CC107)</f>
        <v>6972222.22222222</v>
      </c>
      <c r="CE107" s="290" t="n">
        <f aca="false">IF($AM$2="n",0,BV107)</f>
        <v>0</v>
      </c>
      <c r="CF107" s="290" t="n">
        <f aca="false">IF($AM$2="n",0,BW107)</f>
        <v>0</v>
      </c>
      <c r="CG107" s="290" t="n">
        <f aca="false">IF($AM$2="n",0,BX107)</f>
        <v>0</v>
      </c>
      <c r="CH107" s="290" t="n">
        <f aca="false">SUM(CE107:CG107)</f>
        <v>0</v>
      </c>
    </row>
    <row r="108" customFormat="false" ht="15" hidden="false" customHeight="true" outlineLevel="0" collapsed="false">
      <c r="A108" s="285" t="n">
        <v>4827</v>
      </c>
      <c r="B108" s="285"/>
      <c r="C108" s="286" t="s">
        <v>738</v>
      </c>
      <c r="D108" s="287" t="s">
        <v>666</v>
      </c>
      <c r="E108" s="288" t="n">
        <f aca="false">IF(I108="regional",IF(R108*0.2975,S108*0.3484),S108*0.1939)</f>
        <v>505180</v>
      </c>
      <c r="F108" s="288" t="n">
        <v>841000</v>
      </c>
      <c r="G108" s="289" t="n">
        <f aca="false">E108+F108</f>
        <v>1346180</v>
      </c>
      <c r="H108" s="286"/>
      <c r="I108" s="287" t="s">
        <v>48</v>
      </c>
      <c r="J108" s="287" t="s">
        <v>49</v>
      </c>
      <c r="K108" s="287" t="s">
        <v>277</v>
      </c>
      <c r="L108" s="287" t="s">
        <v>44</v>
      </c>
      <c r="M108" s="317" t="n">
        <v>260</v>
      </c>
      <c r="N108" s="317" t="n">
        <v>0.954</v>
      </c>
      <c r="O108" s="317" t="n">
        <v>0.962</v>
      </c>
      <c r="P108" s="317" t="n">
        <v>0.925</v>
      </c>
      <c r="Q108" s="317" t="n">
        <v>0.952</v>
      </c>
      <c r="R108" s="317" t="n">
        <v>2062167</v>
      </c>
      <c r="S108" s="317" t="n">
        <v>1450000</v>
      </c>
      <c r="T108" s="318" t="n">
        <f aca="false">IF(I108="regional",IF(R108&gt;0,R108*0.2975,S108*0.3484),S108*0.1939)</f>
        <v>613494.6825</v>
      </c>
      <c r="U108" s="317" t="n">
        <v>777000</v>
      </c>
      <c r="V108" s="317" t="n">
        <v>673000</v>
      </c>
      <c r="W108" s="317" t="n">
        <v>7000</v>
      </c>
      <c r="X108" s="317" t="n">
        <v>1454494.683</v>
      </c>
      <c r="Y108" s="317" t="n">
        <v>613494.6825</v>
      </c>
      <c r="Z108" s="317" t="n">
        <v>841000</v>
      </c>
      <c r="AA108" s="317" t="n">
        <v>609000</v>
      </c>
      <c r="AB108" s="317" t="n">
        <v>0</v>
      </c>
      <c r="AC108" s="317" t="n">
        <v>609000</v>
      </c>
      <c r="AD108" s="317" t="n">
        <v>0</v>
      </c>
      <c r="AE108" s="317" t="n">
        <v>841000</v>
      </c>
      <c r="AF108" s="317" t="n">
        <v>0</v>
      </c>
      <c r="AG108" s="317" t="n">
        <v>609000</v>
      </c>
      <c r="AH108" s="317" t="n">
        <v>0</v>
      </c>
      <c r="AI108" s="317" t="n">
        <v>0</v>
      </c>
      <c r="AJ108" s="286" t="s">
        <v>707</v>
      </c>
      <c r="AK108" s="286" t="s">
        <v>712</v>
      </c>
      <c r="AL108" s="287" t="s">
        <v>48</v>
      </c>
      <c r="AM108" s="286"/>
      <c r="AN108" s="287" t="s">
        <v>666</v>
      </c>
      <c r="AO108" s="287" t="n">
        <v>1454494.6825</v>
      </c>
      <c r="AP108" s="319" t="n">
        <f aca="false">AR108+AT108+AU108+AV108+AX108+AY108+AZ108+BD108+BF108+BG108+BH108+BJ108+BK108+(BL108+BM108+BN108)/1000+(0.1*BO108)</f>
        <v>909.0655</v>
      </c>
      <c r="AQ108" s="319" t="n">
        <f aca="false">AR108+AT108+AU108+AV108+AX108+AY108+AZ108+BB108+BC108+BD108+BF108+BG108+BH108+BJ108+BK108+(BL108+BM108+BN108)/1000+(0.1*BO108)</f>
        <v>1020.0655</v>
      </c>
      <c r="AR108" s="285" t="n">
        <v>272</v>
      </c>
      <c r="AS108" s="285" t="n">
        <v>43</v>
      </c>
      <c r="AT108" s="285" t="n">
        <v>471</v>
      </c>
      <c r="AU108" s="285" t="n">
        <v>16</v>
      </c>
      <c r="AV108" s="285" t="n">
        <v>0</v>
      </c>
      <c r="AW108" s="285" t="n">
        <v>0</v>
      </c>
      <c r="AX108" s="285" t="n">
        <v>2</v>
      </c>
      <c r="AY108" s="285" t="n">
        <v>0</v>
      </c>
      <c r="AZ108" s="285" t="n">
        <v>50</v>
      </c>
      <c r="BA108" s="285" t="n">
        <v>320</v>
      </c>
      <c r="BB108" s="285" t="n">
        <v>111</v>
      </c>
      <c r="BC108" s="285" t="n">
        <v>0</v>
      </c>
      <c r="BD108" s="285" t="n">
        <v>46</v>
      </c>
      <c r="BE108" s="285" t="n">
        <v>2</v>
      </c>
      <c r="BF108" s="285" t="n">
        <v>0</v>
      </c>
      <c r="BG108" s="285" t="n">
        <v>0</v>
      </c>
      <c r="BH108" s="285" t="n">
        <v>46</v>
      </c>
      <c r="BI108" s="285" t="n">
        <v>0</v>
      </c>
      <c r="BJ108" s="285" t="n">
        <v>0</v>
      </c>
      <c r="BK108" s="285" t="n">
        <v>0</v>
      </c>
      <c r="BL108" s="285" t="n">
        <v>0</v>
      </c>
      <c r="BM108" s="285" t="n">
        <v>0</v>
      </c>
      <c r="BN108" s="285" t="n">
        <v>0</v>
      </c>
      <c r="BO108" s="285" t="n">
        <v>60.655</v>
      </c>
      <c r="BR108" s="290" t="n">
        <f aca="false">AR108*1000/0.072</f>
        <v>3777777.77777778</v>
      </c>
      <c r="BS108" s="290" t="n">
        <f aca="false">AT108*1000/0.072</f>
        <v>6541666.66666667</v>
      </c>
      <c r="BT108" s="290" t="n">
        <f aca="false">AU108*1000/0.072</f>
        <v>222222.222222222</v>
      </c>
      <c r="BU108" s="290" t="n">
        <f aca="false">SUM(BR108:BT108)</f>
        <v>10541666.6666667</v>
      </c>
      <c r="BV108" s="290" t="n">
        <f aca="false">AV108*1000/5</f>
        <v>0</v>
      </c>
      <c r="BW108" s="290" t="n">
        <f aca="false">AX108*1000/5</f>
        <v>400</v>
      </c>
      <c r="BX108" s="290" t="n">
        <f aca="false">AY108*1000/5</f>
        <v>0</v>
      </c>
      <c r="BY108" s="290" t="n">
        <f aca="false">SUM(BV108:BX108)</f>
        <v>400</v>
      </c>
      <c r="CA108" s="290" t="n">
        <f aca="false">IF($AM108="n",0,BR108)</f>
        <v>3777777.77777778</v>
      </c>
      <c r="CB108" s="290" t="n">
        <f aca="false">IF($AM108="n",0,BS108)</f>
        <v>6541666.66666667</v>
      </c>
      <c r="CC108" s="290" t="n">
        <f aca="false">IF($AM108="n",0,BT108)</f>
        <v>222222.222222222</v>
      </c>
      <c r="CD108" s="290" t="n">
        <f aca="false">SUM(CA108:CC108)</f>
        <v>10541666.6666667</v>
      </c>
      <c r="CE108" s="290" t="n">
        <f aca="false">IF($AM$2="n",0,BV108)</f>
        <v>0</v>
      </c>
      <c r="CF108" s="290" t="n">
        <f aca="false">IF($AM$2="n",0,BW108)</f>
        <v>400</v>
      </c>
      <c r="CG108" s="290" t="n">
        <f aca="false">IF($AM$2="n",0,BX108)</f>
        <v>0</v>
      </c>
      <c r="CH108" s="290" t="n">
        <f aca="false">SUM(CE108:CG108)</f>
        <v>400</v>
      </c>
    </row>
    <row r="109" customFormat="false" ht="15" hidden="false" customHeight="true" outlineLevel="0" collapsed="false">
      <c r="A109" s="285" t="n">
        <v>9080</v>
      </c>
      <c r="B109" s="285"/>
      <c r="C109" s="286" t="s">
        <v>332</v>
      </c>
      <c r="D109" s="287" t="s">
        <v>332</v>
      </c>
      <c r="E109" s="288" t="n">
        <f aca="false">IF(I109="regional",IF(R109*0.2975,S109*0.3484),S109*0.1939)</f>
        <v>39003.7606</v>
      </c>
      <c r="F109" s="288" t="n">
        <v>0</v>
      </c>
      <c r="G109" s="289" t="n">
        <f aca="false">E109+F109</f>
        <v>39003.7606</v>
      </c>
      <c r="H109" s="286"/>
      <c r="I109" s="287" t="s">
        <v>62</v>
      </c>
      <c r="J109" s="287" t="s">
        <v>49</v>
      </c>
      <c r="K109" s="287" t="s">
        <v>334</v>
      </c>
      <c r="L109" s="287"/>
      <c r="M109" s="317" t="n">
        <v>9</v>
      </c>
      <c r="N109" s="317" t="n">
        <v>0.986</v>
      </c>
      <c r="O109" s="317" t="n">
        <v>0.986</v>
      </c>
      <c r="P109" s="317" t="n">
        <v>0.956</v>
      </c>
      <c r="Q109" s="317" t="n">
        <v>0.868</v>
      </c>
      <c r="R109" s="317" t="n">
        <v>0</v>
      </c>
      <c r="S109" s="317" t="n">
        <v>201154</v>
      </c>
      <c r="T109" s="318" t="n">
        <f aca="false">IF(I109="regional",IF(R109&gt;0,R109*0.2975,S109*0.3484),S109*0.1939)</f>
        <v>39003.7606</v>
      </c>
      <c r="U109" s="317" t="n">
        <v>140860</v>
      </c>
      <c r="V109" s="317" t="n">
        <v>60294</v>
      </c>
      <c r="W109" s="317" t="n">
        <v>1000</v>
      </c>
      <c r="X109" s="317" t="n">
        <v>0</v>
      </c>
      <c r="Y109" s="317" t="n">
        <v>0</v>
      </c>
      <c r="Z109" s="317" t="n">
        <v>0</v>
      </c>
      <c r="AA109" s="317" t="n">
        <v>240157.7606</v>
      </c>
      <c r="AB109" s="317" t="n">
        <v>39003.7606</v>
      </c>
      <c r="AC109" s="317" t="n">
        <v>201154</v>
      </c>
      <c r="AD109" s="317" t="n">
        <v>0</v>
      </c>
      <c r="AE109" s="317" t="n">
        <v>0</v>
      </c>
      <c r="AF109" s="317" t="n">
        <v>0</v>
      </c>
      <c r="AG109" s="317" t="n">
        <v>201154</v>
      </c>
      <c r="AH109" s="317" t="n">
        <v>0</v>
      </c>
      <c r="AI109" s="317" t="n">
        <v>0</v>
      </c>
      <c r="AJ109" s="286" t="n">
        <v>4</v>
      </c>
      <c r="AK109" s="286" t="s">
        <v>720</v>
      </c>
      <c r="AL109" s="287" t="s">
        <v>62</v>
      </c>
      <c r="AM109" s="286"/>
      <c r="AN109" s="287" t="s">
        <v>332</v>
      </c>
      <c r="AO109" s="287" t="n">
        <v>39003.7606</v>
      </c>
      <c r="AP109" s="319" t="n">
        <f aca="false">AR109+AT109+AU109+AV109+AX109+AY109+AZ109+BD109+BF109+BG109+BH109+BJ109+BK109+(BL109+BM109+BN109)/1000+(0.1*BO109)</f>
        <v>7</v>
      </c>
      <c r="AQ109" s="319" t="n">
        <f aca="false">AR109+AT109+AU109+AV109+AX109+AY109+AZ109+BB109+BC109+BD109+BF109+BG109+BH109+BJ109+BK109+(BL109+BM109+BN109)/1000+(0.1*BO109)</f>
        <v>-9</v>
      </c>
      <c r="AR109" s="285" t="n">
        <v>0</v>
      </c>
      <c r="AS109" s="285" t="n">
        <v>0</v>
      </c>
      <c r="AT109" s="285" t="n">
        <v>6</v>
      </c>
      <c r="AU109" s="285" t="n">
        <v>1</v>
      </c>
      <c r="AV109" s="285" t="n">
        <v>0</v>
      </c>
      <c r="AW109" s="285" t="n">
        <v>0</v>
      </c>
      <c r="AX109" s="285" t="n">
        <v>0</v>
      </c>
      <c r="AY109" s="285" t="n">
        <v>0</v>
      </c>
      <c r="AZ109" s="285" t="n">
        <v>0</v>
      </c>
      <c r="BA109" s="285" t="n">
        <v>0</v>
      </c>
      <c r="BB109" s="285" t="n">
        <v>3</v>
      </c>
      <c r="BC109" s="285" t="n">
        <v>-19</v>
      </c>
      <c r="BD109" s="285" t="n">
        <v>0</v>
      </c>
      <c r="BE109" s="285" t="n">
        <v>0</v>
      </c>
      <c r="BF109" s="285" t="n">
        <v>0</v>
      </c>
      <c r="BG109" s="285" t="n">
        <v>0</v>
      </c>
      <c r="BH109" s="285" t="n">
        <v>0</v>
      </c>
      <c r="BI109" s="285" t="n">
        <v>0</v>
      </c>
      <c r="BJ109" s="285" t="n">
        <v>0</v>
      </c>
      <c r="BK109" s="285" t="n">
        <v>0</v>
      </c>
      <c r="BL109" s="285" t="n">
        <v>0</v>
      </c>
      <c r="BM109" s="285" t="n">
        <v>0</v>
      </c>
      <c r="BN109" s="285" t="n">
        <v>0</v>
      </c>
      <c r="BO109" s="285" t="n">
        <v>0</v>
      </c>
      <c r="BR109" s="290" t="n">
        <f aca="false">AR109*1000/0.072</f>
        <v>0</v>
      </c>
      <c r="BS109" s="290" t="n">
        <f aca="false">AT109*1000/0.072</f>
        <v>83333.3333333333</v>
      </c>
      <c r="BT109" s="290" t="n">
        <f aca="false">AU109*1000/0.072</f>
        <v>13888.8888888889</v>
      </c>
      <c r="BU109" s="290" t="n">
        <f aca="false">SUM(BR109:BT109)</f>
        <v>97222.2222222222</v>
      </c>
      <c r="BV109" s="290" t="n">
        <f aca="false">AV109*1000/5</f>
        <v>0</v>
      </c>
      <c r="BW109" s="290" t="n">
        <f aca="false">AX109*1000/5</f>
        <v>0</v>
      </c>
      <c r="BX109" s="290" t="n">
        <f aca="false">AY109*1000/5</f>
        <v>0</v>
      </c>
      <c r="BY109" s="290" t="n">
        <f aca="false">SUM(BV109:BX109)</f>
        <v>0</v>
      </c>
      <c r="CA109" s="290" t="n">
        <f aca="false">IF($AM109="n",0,BR109)</f>
        <v>0</v>
      </c>
      <c r="CB109" s="290" t="n">
        <f aca="false">IF($AM109="n",0,BS109)</f>
        <v>83333.3333333333</v>
      </c>
      <c r="CC109" s="290" t="n">
        <f aca="false">IF($AM109="n",0,BT109)</f>
        <v>13888.8888888889</v>
      </c>
      <c r="CD109" s="290" t="n">
        <f aca="false">SUM(CA109:CC109)</f>
        <v>97222.2222222222</v>
      </c>
      <c r="CE109" s="290" t="n">
        <f aca="false">IF($AM$2="n",0,BV109)</f>
        <v>0</v>
      </c>
      <c r="CF109" s="290" t="n">
        <f aca="false">IF($AM$2="n",0,BW109)</f>
        <v>0</v>
      </c>
      <c r="CG109" s="290" t="n">
        <f aca="false">IF($AM$2="n",0,BX109)</f>
        <v>0</v>
      </c>
      <c r="CH109" s="290" t="n">
        <f aca="false">SUM(CE109:CG109)</f>
        <v>0</v>
      </c>
    </row>
    <row r="110" customFormat="false" ht="15" hidden="false" customHeight="true" outlineLevel="0" collapsed="false">
      <c r="A110" s="285" t="n">
        <v>9075</v>
      </c>
      <c r="B110" s="285"/>
      <c r="C110" s="286" t="s">
        <v>335</v>
      </c>
      <c r="D110" s="287" t="s">
        <v>335</v>
      </c>
      <c r="E110" s="288" t="n">
        <f aca="false">IF(I110="regional",IF(R110*0.2975,S110*0.3484),S110*0.1939)</f>
        <v>260656.1568</v>
      </c>
      <c r="F110" s="288" t="n">
        <v>0</v>
      </c>
      <c r="G110" s="289" t="n">
        <f aca="false">E110+F110</f>
        <v>260656.1568</v>
      </c>
      <c r="H110" s="286"/>
      <c r="I110" s="287" t="s">
        <v>48</v>
      </c>
      <c r="J110" s="287" t="s">
        <v>49</v>
      </c>
      <c r="K110" s="287" t="s">
        <v>334</v>
      </c>
      <c r="L110" s="287"/>
      <c r="M110" s="317" t="n">
        <v>65</v>
      </c>
      <c r="N110" s="317" t="n">
        <v>0.971</v>
      </c>
      <c r="O110" s="317" t="n">
        <v>0.969</v>
      </c>
      <c r="P110" s="317" t="n">
        <v>0.938</v>
      </c>
      <c r="Q110" s="317" t="n">
        <v>0.868</v>
      </c>
      <c r="R110" s="317" t="n">
        <v>878870</v>
      </c>
      <c r="S110" s="317" t="n">
        <v>748152</v>
      </c>
      <c r="T110" s="318" t="n">
        <f aca="false">IF(I110="regional",IF(R110&gt;0,R110*0.2975,S110*0.3484),S110*0.1939)</f>
        <v>261463.825</v>
      </c>
      <c r="U110" s="317" t="n">
        <v>748421</v>
      </c>
      <c r="V110" s="317" t="n">
        <v>-269</v>
      </c>
      <c r="W110" s="317" t="n">
        <v>4477</v>
      </c>
      <c r="X110" s="317" t="n">
        <v>0</v>
      </c>
      <c r="Y110" s="317" t="n">
        <v>0</v>
      </c>
      <c r="Z110" s="317" t="n">
        <v>0</v>
      </c>
      <c r="AA110" s="317" t="n">
        <v>1009615.825</v>
      </c>
      <c r="AB110" s="317" t="n">
        <v>261463.825</v>
      </c>
      <c r="AC110" s="317" t="n">
        <v>748152</v>
      </c>
      <c r="AD110" s="317" t="n">
        <v>0</v>
      </c>
      <c r="AE110" s="317" t="n">
        <v>0</v>
      </c>
      <c r="AF110" s="317" t="n">
        <v>0</v>
      </c>
      <c r="AG110" s="317" t="n">
        <v>748152</v>
      </c>
      <c r="AH110" s="317" t="n">
        <v>0</v>
      </c>
      <c r="AI110" s="317" t="n">
        <v>0</v>
      </c>
      <c r="AJ110" s="286" t="n">
        <v>4</v>
      </c>
      <c r="AK110" s="286" t="s">
        <v>720</v>
      </c>
      <c r="AL110" s="287" t="s">
        <v>48</v>
      </c>
      <c r="AM110" s="286"/>
      <c r="AN110" s="287" t="s">
        <v>335</v>
      </c>
      <c r="AO110" s="287" t="n">
        <v>261463.825</v>
      </c>
      <c r="AP110" s="319" t="n">
        <f aca="false">AR110+AT110+AU110+AV110+AX110+AY110+AZ110+BD110+BF110+BG110+BH110+BJ110+BK110+(BL110+BM110+BN110)/1000+(0.1*BO110)</f>
        <v>126.742</v>
      </c>
      <c r="AQ110" s="319" t="n">
        <f aca="false">AR110+AT110+AU110+AV110+AX110+AY110+AZ110+BB110+BC110+BD110+BF110+BG110+BH110+BJ110+BK110+(BL110+BM110+BN110)/1000+(0.1*BO110)</f>
        <v>214.742</v>
      </c>
      <c r="AR110" s="285" t="n">
        <v>0</v>
      </c>
      <c r="AS110" s="285" t="n">
        <v>0</v>
      </c>
      <c r="AT110" s="285" t="n">
        <v>50</v>
      </c>
      <c r="AU110" s="285" t="n">
        <v>19</v>
      </c>
      <c r="AV110" s="285" t="n">
        <v>0</v>
      </c>
      <c r="AW110" s="285" t="n">
        <v>0</v>
      </c>
      <c r="AX110" s="285" t="n">
        <v>10</v>
      </c>
      <c r="AY110" s="285" t="n">
        <v>1</v>
      </c>
      <c r="AZ110" s="285" t="n">
        <v>0</v>
      </c>
      <c r="BA110" s="285" t="n">
        <v>0</v>
      </c>
      <c r="BB110" s="285" t="n">
        <v>56</v>
      </c>
      <c r="BC110" s="285" t="n">
        <v>32</v>
      </c>
      <c r="BD110" s="285" t="n">
        <v>0</v>
      </c>
      <c r="BE110" s="285" t="n">
        <v>0</v>
      </c>
      <c r="BF110" s="285" t="n">
        <v>0</v>
      </c>
      <c r="BG110" s="285" t="n">
        <v>0</v>
      </c>
      <c r="BH110" s="285" t="n">
        <v>0</v>
      </c>
      <c r="BI110" s="285" t="n">
        <v>0</v>
      </c>
      <c r="BJ110" s="285" t="n">
        <v>0</v>
      </c>
      <c r="BK110" s="285" t="n">
        <v>0</v>
      </c>
      <c r="BL110" s="285" t="n">
        <v>0</v>
      </c>
      <c r="BM110" s="285" t="n">
        <v>0</v>
      </c>
      <c r="BN110" s="285" t="n">
        <v>46742</v>
      </c>
      <c r="BO110" s="285" t="n">
        <v>0</v>
      </c>
      <c r="BR110" s="290" t="n">
        <f aca="false">AR110*1000/0.072</f>
        <v>0</v>
      </c>
      <c r="BS110" s="290" t="n">
        <f aca="false">AT110*1000/0.072</f>
        <v>694444.444444445</v>
      </c>
      <c r="BT110" s="290" t="n">
        <f aca="false">AU110*1000/0.072</f>
        <v>263888.888888889</v>
      </c>
      <c r="BU110" s="290" t="n">
        <f aca="false">SUM(BR110:BT110)</f>
        <v>958333.333333334</v>
      </c>
      <c r="BV110" s="290" t="n">
        <f aca="false">AV110*1000/5</f>
        <v>0</v>
      </c>
      <c r="BW110" s="290" t="n">
        <f aca="false">AX110*1000/5</f>
        <v>2000</v>
      </c>
      <c r="BX110" s="290" t="n">
        <f aca="false">AY110*1000/5</f>
        <v>200</v>
      </c>
      <c r="BY110" s="290" t="n">
        <f aca="false">SUM(BV110:BX110)</f>
        <v>2200</v>
      </c>
      <c r="CA110" s="290" t="n">
        <f aca="false">IF($AM110="n",0,BR110)</f>
        <v>0</v>
      </c>
      <c r="CB110" s="290" t="n">
        <f aca="false">IF($AM110="n",0,BS110)</f>
        <v>694444.444444445</v>
      </c>
      <c r="CC110" s="290" t="n">
        <f aca="false">IF($AM110="n",0,BT110)</f>
        <v>263888.888888889</v>
      </c>
      <c r="CD110" s="290" t="n">
        <f aca="false">SUM(CA110:CC110)</f>
        <v>958333.333333334</v>
      </c>
      <c r="CE110" s="290" t="n">
        <f aca="false">IF($AM$2="n",0,BV110)</f>
        <v>0</v>
      </c>
      <c r="CF110" s="290" t="n">
        <f aca="false">IF($AM$2="n",0,BW110)</f>
        <v>2000</v>
      </c>
      <c r="CG110" s="290" t="n">
        <f aca="false">IF($AM$2="n",0,BX110)</f>
        <v>200</v>
      </c>
      <c r="CH110" s="290" t="n">
        <f aca="false">SUM(CE110:CG110)</f>
        <v>2200</v>
      </c>
    </row>
    <row r="111" customFormat="false" ht="15" hidden="false" customHeight="true" outlineLevel="0" collapsed="false">
      <c r="A111" s="285" t="n">
        <v>2912</v>
      </c>
      <c r="B111" s="285"/>
      <c r="C111" s="286" t="s">
        <v>336</v>
      </c>
      <c r="D111" s="287" t="s">
        <v>336</v>
      </c>
      <c r="E111" s="288" t="n">
        <f aca="false">IF(I111="regional",IF(R111*0.2975,S111*0.3484),S111*0.1939)</f>
        <v>31285.3772</v>
      </c>
      <c r="F111" s="288" t="n">
        <v>0</v>
      </c>
      <c r="G111" s="289" t="n">
        <f aca="false">E111+F111</f>
        <v>31285.3772</v>
      </c>
      <c r="H111" s="286"/>
      <c r="I111" s="287" t="s">
        <v>62</v>
      </c>
      <c r="J111" s="287" t="s">
        <v>49</v>
      </c>
      <c r="K111" s="287" t="s">
        <v>338</v>
      </c>
      <c r="L111" s="287"/>
      <c r="M111" s="317" t="n">
        <v>10</v>
      </c>
      <c r="N111" s="317" t="n">
        <v>0.851</v>
      </c>
      <c r="O111" s="317" t="n">
        <v>1</v>
      </c>
      <c r="P111" s="317" t="n">
        <v>1</v>
      </c>
      <c r="Q111" s="317" t="n">
        <v>0.805</v>
      </c>
      <c r="R111" s="317" t="n">
        <v>0</v>
      </c>
      <c r="S111" s="317" t="n">
        <v>161348</v>
      </c>
      <c r="T111" s="318" t="n">
        <f aca="false">IF(I111="regional",IF(R111&gt;0,R111*0.2975,S111*0.3484),S111*0.1939)</f>
        <v>31285.3772</v>
      </c>
      <c r="U111" s="317" t="n">
        <v>134935</v>
      </c>
      <c r="V111" s="317" t="n">
        <v>26413</v>
      </c>
      <c r="W111" s="317" t="n">
        <v>685</v>
      </c>
      <c r="X111" s="317" t="n">
        <v>0</v>
      </c>
      <c r="Y111" s="317" t="n">
        <v>0</v>
      </c>
      <c r="Z111" s="317" t="n">
        <v>0</v>
      </c>
      <c r="AA111" s="317" t="n">
        <v>192633.3772</v>
      </c>
      <c r="AB111" s="317" t="n">
        <v>31285.3772</v>
      </c>
      <c r="AC111" s="317" t="n">
        <v>161348</v>
      </c>
      <c r="AD111" s="317" t="n">
        <v>0</v>
      </c>
      <c r="AE111" s="317" t="n">
        <v>0</v>
      </c>
      <c r="AF111" s="317" t="n">
        <v>0</v>
      </c>
      <c r="AG111" s="317" t="n">
        <v>161348</v>
      </c>
      <c r="AH111" s="317" t="n">
        <v>0</v>
      </c>
      <c r="AI111" s="317" t="n">
        <v>0</v>
      </c>
      <c r="AJ111" s="286" t="n">
        <v>4</v>
      </c>
      <c r="AK111" s="286" t="s">
        <v>706</v>
      </c>
      <c r="AL111" s="287" t="s">
        <v>62</v>
      </c>
      <c r="AM111" s="286"/>
      <c r="AN111" s="287" t="s">
        <v>336</v>
      </c>
      <c r="AO111" s="287" t="n">
        <v>31285.3772</v>
      </c>
      <c r="AP111" s="319" t="n">
        <f aca="false">AR111+AT111+AU111+AV111+AX111+AY111+AZ111+BD111+BF111+BG111+BH111+BJ111+BK111+(BL111+BM111+BN111)/1000+(0.1*BO111)</f>
        <v>19.6385</v>
      </c>
      <c r="AQ111" s="319" t="n">
        <f aca="false">AR111+AT111+AU111+AV111+AX111+AY111+AZ111+BB111+BC111+BD111+BF111+BG111+BH111+BJ111+BK111+(BL111+BM111+BN111)/1000+(0.1*BO111)</f>
        <v>20.6385</v>
      </c>
      <c r="AR111" s="285" t="n">
        <v>0</v>
      </c>
      <c r="AS111" s="285" t="n">
        <v>0</v>
      </c>
      <c r="AT111" s="285" t="n">
        <v>12</v>
      </c>
      <c r="AU111" s="285" t="n">
        <v>1</v>
      </c>
      <c r="AV111" s="285" t="n">
        <v>0</v>
      </c>
      <c r="AW111" s="285" t="n">
        <v>0</v>
      </c>
      <c r="AX111" s="285" t="n">
        <v>0</v>
      </c>
      <c r="AY111" s="285" t="n">
        <v>0</v>
      </c>
      <c r="AZ111" s="285" t="n">
        <v>0</v>
      </c>
      <c r="BA111" s="285" t="n">
        <v>0</v>
      </c>
      <c r="BB111" s="285" t="n">
        <v>1</v>
      </c>
      <c r="BC111" s="285" t="n">
        <v>0</v>
      </c>
      <c r="BD111" s="285" t="n">
        <v>0</v>
      </c>
      <c r="BE111" s="285" t="n">
        <v>0</v>
      </c>
      <c r="BF111" s="285" t="n">
        <v>0</v>
      </c>
      <c r="BG111" s="285" t="n">
        <v>0</v>
      </c>
      <c r="BH111" s="285" t="n">
        <v>0</v>
      </c>
      <c r="BI111" s="285" t="n">
        <v>0</v>
      </c>
      <c r="BJ111" s="285" t="n">
        <v>0</v>
      </c>
      <c r="BK111" s="285" t="n">
        <v>0</v>
      </c>
      <c r="BL111" s="285" t="n">
        <v>0</v>
      </c>
      <c r="BM111" s="285" t="n">
        <v>0</v>
      </c>
      <c r="BN111" s="285" t="n">
        <v>0</v>
      </c>
      <c r="BO111" s="285" t="n">
        <v>66.385</v>
      </c>
      <c r="BR111" s="290" t="n">
        <f aca="false">AR111*1000/0.072</f>
        <v>0</v>
      </c>
      <c r="BS111" s="290" t="n">
        <f aca="false">AT111*1000/0.072</f>
        <v>166666.666666667</v>
      </c>
      <c r="BT111" s="290" t="n">
        <f aca="false">AU111*1000/0.072</f>
        <v>13888.8888888889</v>
      </c>
      <c r="BU111" s="290" t="n">
        <f aca="false">SUM(BR111:BT111)</f>
        <v>180555.555555556</v>
      </c>
      <c r="BV111" s="290" t="n">
        <f aca="false">AV111*1000/5</f>
        <v>0</v>
      </c>
      <c r="BW111" s="290" t="n">
        <f aca="false">AX111*1000/5</f>
        <v>0</v>
      </c>
      <c r="BX111" s="290" t="n">
        <f aca="false">AY111*1000/5</f>
        <v>0</v>
      </c>
      <c r="BY111" s="290" t="n">
        <f aca="false">SUM(BV111:BX111)</f>
        <v>0</v>
      </c>
      <c r="CA111" s="290" t="n">
        <f aca="false">IF($AM111="n",0,BR111)</f>
        <v>0</v>
      </c>
      <c r="CB111" s="290" t="n">
        <f aca="false">IF($AM111="n",0,BS111)</f>
        <v>166666.666666667</v>
      </c>
      <c r="CC111" s="290" t="n">
        <f aca="false">IF($AM111="n",0,BT111)</f>
        <v>13888.8888888889</v>
      </c>
      <c r="CD111" s="290" t="n">
        <f aca="false">SUM(CA111:CC111)</f>
        <v>180555.555555556</v>
      </c>
      <c r="CE111" s="290" t="n">
        <f aca="false">IF($AM$2="n",0,BV111)</f>
        <v>0</v>
      </c>
      <c r="CF111" s="290" t="n">
        <f aca="false">IF($AM$2="n",0,BW111)</f>
        <v>0</v>
      </c>
      <c r="CG111" s="290" t="n">
        <f aca="false">IF($AM$2="n",0,BX111)</f>
        <v>0</v>
      </c>
      <c r="CH111" s="290" t="n">
        <f aca="false">SUM(CE111:CG111)</f>
        <v>0</v>
      </c>
    </row>
    <row r="112" customFormat="false" ht="15" hidden="false" customHeight="true" outlineLevel="0" collapsed="false">
      <c r="A112" s="285" t="n">
        <v>2340</v>
      </c>
      <c r="B112" s="285"/>
      <c r="C112" s="286" t="s">
        <v>339</v>
      </c>
      <c r="D112" s="287" t="s">
        <v>339</v>
      </c>
      <c r="E112" s="288" t="n">
        <f aca="false">IF(I112="regional",IF(R112*0.2975,S112*0.3484),S112*0.1939)</f>
        <v>149337.8276</v>
      </c>
      <c r="F112" s="288" t="n">
        <v>548228</v>
      </c>
      <c r="G112" s="289" t="n">
        <f aca="false">E112+F112</f>
        <v>697565.8276</v>
      </c>
      <c r="H112" s="286"/>
      <c r="I112" s="287" t="s">
        <v>48</v>
      </c>
      <c r="J112" s="287" t="s">
        <v>49</v>
      </c>
      <c r="K112" s="287" t="s">
        <v>341</v>
      </c>
      <c r="L112" s="287" t="s">
        <v>44</v>
      </c>
      <c r="M112" s="317" t="n">
        <v>68</v>
      </c>
      <c r="N112" s="317" t="n">
        <v>0.93</v>
      </c>
      <c r="O112" s="317" t="n">
        <v>0.93</v>
      </c>
      <c r="P112" s="317" t="n">
        <v>0.939</v>
      </c>
      <c r="Q112" s="317" t="n">
        <v>0.946</v>
      </c>
      <c r="R112" s="317" t="n">
        <v>591387</v>
      </c>
      <c r="S112" s="317" t="n">
        <v>428639</v>
      </c>
      <c r="T112" s="318" t="n">
        <f aca="false">IF(I112="regional",IF(R112&gt;0,R112*0.2975,S112*0.3484),S112*0.1939)</f>
        <v>175937.6325</v>
      </c>
      <c r="U112" s="317" t="n">
        <v>220830</v>
      </c>
      <c r="V112" s="317" t="n">
        <v>207809</v>
      </c>
      <c r="W112" s="317" t="n">
        <v>2000</v>
      </c>
      <c r="X112" s="317" t="n">
        <v>724165.6325</v>
      </c>
      <c r="Y112" s="317" t="n">
        <v>175937.6325</v>
      </c>
      <c r="Z112" s="317" t="n">
        <v>548228</v>
      </c>
      <c r="AA112" s="317" t="n">
        <v>-119589</v>
      </c>
      <c r="AB112" s="317" t="n">
        <v>0</v>
      </c>
      <c r="AC112" s="317" t="n">
        <v>-119589</v>
      </c>
      <c r="AD112" s="317" t="n">
        <v>0</v>
      </c>
      <c r="AE112" s="317" t="n">
        <v>548228</v>
      </c>
      <c r="AF112" s="317" t="n">
        <v>0</v>
      </c>
      <c r="AG112" s="317" t="n">
        <v>-119589</v>
      </c>
      <c r="AH112" s="317" t="n">
        <v>0</v>
      </c>
      <c r="AI112" s="317" t="n">
        <v>0</v>
      </c>
      <c r="AJ112" s="286" t="n">
        <v>4</v>
      </c>
      <c r="AK112" s="286" t="s">
        <v>706</v>
      </c>
      <c r="AL112" s="287" t="s">
        <v>48</v>
      </c>
      <c r="AM112" s="286"/>
      <c r="AN112" s="287" t="s">
        <v>339</v>
      </c>
      <c r="AO112" s="287" t="n">
        <v>724165.6325</v>
      </c>
      <c r="AP112" s="319" t="n">
        <f aca="false">AR112+AT112+AU112+AV112+AX112+AY112+AZ112+BD112+BF112+BG112+BH112+BJ112+BK112+(BL112+BM112+BN112)/1000+(0.1*BO112)</f>
        <v>681.7261</v>
      </c>
      <c r="AQ112" s="319" t="n">
        <f aca="false">AR112+AT112+AU112+AV112+AX112+AY112+AZ112+BB112+BC112+BD112+BF112+BG112+BH112+BJ112+BK112+(BL112+BM112+BN112)/1000+(0.1*BO112)</f>
        <v>716.7261</v>
      </c>
      <c r="AR112" s="285" t="n">
        <v>277</v>
      </c>
      <c r="AS112" s="285" t="n">
        <v>0</v>
      </c>
      <c r="AT112" s="285" t="n">
        <v>99</v>
      </c>
      <c r="AU112" s="285" t="n">
        <v>8</v>
      </c>
      <c r="AV112" s="285" t="n">
        <v>44</v>
      </c>
      <c r="AW112" s="285" t="n">
        <v>5</v>
      </c>
      <c r="AX112" s="285" t="n">
        <v>0</v>
      </c>
      <c r="AY112" s="285" t="n">
        <v>0</v>
      </c>
      <c r="AZ112" s="285" t="n">
        <v>10</v>
      </c>
      <c r="BA112" s="285" t="n">
        <v>6</v>
      </c>
      <c r="BB112" s="285" t="n">
        <v>35</v>
      </c>
      <c r="BC112" s="285" t="n">
        <v>0</v>
      </c>
      <c r="BD112" s="285" t="n">
        <v>45</v>
      </c>
      <c r="BE112" s="285" t="n">
        <v>0</v>
      </c>
      <c r="BF112" s="285" t="n">
        <v>0</v>
      </c>
      <c r="BG112" s="285" t="n">
        <v>0</v>
      </c>
      <c r="BH112" s="285" t="n">
        <v>92</v>
      </c>
      <c r="BI112" s="285" t="n">
        <v>0</v>
      </c>
      <c r="BJ112" s="285" t="n">
        <v>0</v>
      </c>
      <c r="BK112" s="285" t="n">
        <v>0</v>
      </c>
      <c r="BL112" s="285" t="n">
        <v>0</v>
      </c>
      <c r="BM112" s="285" t="n">
        <v>0</v>
      </c>
      <c r="BN112" s="285" t="n">
        <v>24041</v>
      </c>
      <c r="BO112" s="285" t="n">
        <v>826.851</v>
      </c>
      <c r="BR112" s="290" t="n">
        <f aca="false">AR112*1000/0.072</f>
        <v>3847222.22222222</v>
      </c>
      <c r="BS112" s="290" t="n">
        <f aca="false">AT112*1000/0.072</f>
        <v>1375000</v>
      </c>
      <c r="BT112" s="290" t="n">
        <f aca="false">AU112*1000/0.072</f>
        <v>111111.111111111</v>
      </c>
      <c r="BU112" s="290" t="n">
        <f aca="false">SUM(BR112:BT112)</f>
        <v>5333333.33333333</v>
      </c>
      <c r="BV112" s="290" t="n">
        <f aca="false">AV112*1000/5</f>
        <v>8800</v>
      </c>
      <c r="BW112" s="290" t="n">
        <f aca="false">AX112*1000/5</f>
        <v>0</v>
      </c>
      <c r="BX112" s="290" t="n">
        <f aca="false">AY112*1000/5</f>
        <v>0</v>
      </c>
      <c r="BY112" s="290" t="n">
        <f aca="false">SUM(BV112:BX112)</f>
        <v>8800</v>
      </c>
      <c r="CA112" s="290" t="n">
        <f aca="false">IF($AM112="n",0,BR112)</f>
        <v>3847222.22222222</v>
      </c>
      <c r="CB112" s="290" t="n">
        <f aca="false">IF($AM112="n",0,BS112)</f>
        <v>1375000</v>
      </c>
      <c r="CC112" s="290" t="n">
        <f aca="false">IF($AM112="n",0,BT112)</f>
        <v>111111.111111111</v>
      </c>
      <c r="CD112" s="290" t="n">
        <f aca="false">SUM(CA112:CC112)</f>
        <v>5333333.33333333</v>
      </c>
      <c r="CE112" s="290" t="n">
        <f aca="false">IF($AM$2="n",0,BV112)</f>
        <v>8800</v>
      </c>
      <c r="CF112" s="290" t="n">
        <f aca="false">IF($AM$2="n",0,BW112)</f>
        <v>0</v>
      </c>
      <c r="CG112" s="290" t="n">
        <f aca="false">IF($AM$2="n",0,BX112)</f>
        <v>0</v>
      </c>
      <c r="CH112" s="290" t="n">
        <f aca="false">SUM(CE112:CG112)</f>
        <v>8800</v>
      </c>
    </row>
    <row r="113" customFormat="false" ht="15" hidden="false" customHeight="true" outlineLevel="0" collapsed="false">
      <c r="A113" s="285" t="n">
        <v>4828</v>
      </c>
      <c r="B113" s="285" t="s">
        <v>44</v>
      </c>
      <c r="C113" s="286" t="s">
        <v>739</v>
      </c>
      <c r="D113" s="287" t="s">
        <v>667</v>
      </c>
      <c r="E113" s="288" t="n">
        <f aca="false">IF(I113="regional",IF(R113*0.2975,S113*0.3484),S113*0.1939)</f>
        <v>344916</v>
      </c>
      <c r="F113" s="288" t="n">
        <v>513000</v>
      </c>
      <c r="G113" s="289" t="n">
        <f aca="false">E113+F113</f>
        <v>857916</v>
      </c>
      <c r="H113" s="286"/>
      <c r="I113" s="287" t="s">
        <v>48</v>
      </c>
      <c r="J113" s="287" t="s">
        <v>44</v>
      </c>
      <c r="K113" s="287" t="s">
        <v>345</v>
      </c>
      <c r="L113" s="287" t="s">
        <v>44</v>
      </c>
      <c r="M113" s="317" t="n">
        <v>131</v>
      </c>
      <c r="N113" s="317" t="n">
        <v>0.929</v>
      </c>
      <c r="O113" s="317" t="n">
        <v>0.952</v>
      </c>
      <c r="P113" s="317" t="n">
        <v>0.925</v>
      </c>
      <c r="Q113" s="317" t="n">
        <v>0.952</v>
      </c>
      <c r="R113" s="317" t="n">
        <v>1110031</v>
      </c>
      <c r="S113" s="317" t="n">
        <v>990000</v>
      </c>
      <c r="T113" s="318" t="n">
        <f aca="false">IF(I113="regional",IF(R113&gt;0,R113*0.2975,S113*0.3484),S113*0.1939)</f>
        <v>330234.2225</v>
      </c>
      <c r="U113" s="317" t="n">
        <v>578100</v>
      </c>
      <c r="V113" s="317" t="n">
        <v>411900</v>
      </c>
      <c r="W113" s="317" t="n">
        <v>5774</v>
      </c>
      <c r="X113" s="317" t="n">
        <v>843234.2225</v>
      </c>
      <c r="Y113" s="317" t="n">
        <v>330234.2225</v>
      </c>
      <c r="Z113" s="317" t="n">
        <v>513000</v>
      </c>
      <c r="AA113" s="317" t="n">
        <v>477000</v>
      </c>
      <c r="AB113" s="317" t="n">
        <v>0</v>
      </c>
      <c r="AC113" s="317" t="n">
        <v>477000</v>
      </c>
      <c r="AD113" s="317" t="n">
        <v>513000</v>
      </c>
      <c r="AE113" s="317" t="n">
        <v>0</v>
      </c>
      <c r="AF113" s="317" t="n">
        <v>477000</v>
      </c>
      <c r="AG113" s="317" t="n">
        <v>0</v>
      </c>
      <c r="AH113" s="317" t="n">
        <v>1474000</v>
      </c>
      <c r="AI113" s="317" t="n">
        <v>779000</v>
      </c>
      <c r="AJ113" s="286" t="s">
        <v>715</v>
      </c>
      <c r="AK113" s="286" t="s">
        <v>716</v>
      </c>
      <c r="AL113" s="287" t="s">
        <v>48</v>
      </c>
      <c r="AM113" s="286"/>
      <c r="AN113" s="287" t="s">
        <v>667</v>
      </c>
      <c r="AO113" s="287" t="n">
        <v>843234.2225</v>
      </c>
      <c r="AP113" s="319" t="n">
        <f aca="false">AR113+AT113+AU113+AV113+AX113+AY113+AZ113+BD113+BF113+BG113+BH113+BJ113+BK113+(BL113+BM113+BN113)/1000+(0.1*BO113)</f>
        <v>925.5018</v>
      </c>
      <c r="AQ113" s="319" t="n">
        <f aca="false">AR113+AT113+AU113+AV113+AX113+AY113+AZ113+BB113+BC113+BD113+BF113+BG113+BH113+BJ113+BK113+(BL113+BM113+BN113)/1000+(0.1*BO113)</f>
        <v>926.5018</v>
      </c>
      <c r="AR113" s="285" t="n">
        <v>329</v>
      </c>
      <c r="AS113" s="285" t="n">
        <v>779</v>
      </c>
      <c r="AT113" s="285" t="n">
        <v>394</v>
      </c>
      <c r="AU113" s="285" t="n">
        <v>0</v>
      </c>
      <c r="AV113" s="285" t="n">
        <v>0</v>
      </c>
      <c r="AW113" s="285" t="n">
        <v>0</v>
      </c>
      <c r="AX113" s="285" t="n">
        <v>0</v>
      </c>
      <c r="AY113" s="285" t="n">
        <v>0</v>
      </c>
      <c r="AZ113" s="285" t="n">
        <v>25</v>
      </c>
      <c r="BA113" s="285" t="n">
        <v>67</v>
      </c>
      <c r="BB113" s="285" t="n">
        <v>1</v>
      </c>
      <c r="BC113" s="285" t="n">
        <v>0</v>
      </c>
      <c r="BD113" s="285" t="n">
        <v>36</v>
      </c>
      <c r="BE113" s="285" t="n">
        <v>3</v>
      </c>
      <c r="BF113" s="285" t="n">
        <v>0</v>
      </c>
      <c r="BG113" s="285" t="n">
        <v>0</v>
      </c>
      <c r="BH113" s="285" t="n">
        <v>110</v>
      </c>
      <c r="BI113" s="285" t="n">
        <v>0</v>
      </c>
      <c r="BJ113" s="285" t="n">
        <v>0</v>
      </c>
      <c r="BK113" s="285" t="n">
        <v>0</v>
      </c>
      <c r="BL113" s="285" t="n">
        <v>0</v>
      </c>
      <c r="BM113" s="285" t="n">
        <v>0</v>
      </c>
      <c r="BN113" s="285" t="n">
        <v>0</v>
      </c>
      <c r="BO113" s="285" t="n">
        <v>315.018</v>
      </c>
      <c r="BR113" s="290" t="n">
        <f aca="false">AR113*1000/0.072</f>
        <v>4569444.44444445</v>
      </c>
      <c r="BS113" s="290" t="n">
        <f aca="false">AT113*1000/0.072</f>
        <v>5472222.22222222</v>
      </c>
      <c r="BT113" s="290" t="n">
        <f aca="false">AU113*1000/0.072</f>
        <v>0</v>
      </c>
      <c r="BU113" s="290" t="n">
        <f aca="false">SUM(BR113:BT113)</f>
        <v>10041666.6666667</v>
      </c>
      <c r="BV113" s="290" t="n">
        <f aca="false">AV113*1000/5</f>
        <v>0</v>
      </c>
      <c r="BW113" s="290" t="n">
        <f aca="false">AX113*1000/5</f>
        <v>0</v>
      </c>
      <c r="BX113" s="290" t="n">
        <f aca="false">AY113*1000/5</f>
        <v>0</v>
      </c>
      <c r="BY113" s="290" t="n">
        <f aca="false">SUM(BV113:BX113)</f>
        <v>0</v>
      </c>
      <c r="CA113" s="290" t="n">
        <f aca="false">IF($AM113="n",0,BR113)</f>
        <v>4569444.44444445</v>
      </c>
      <c r="CB113" s="290" t="n">
        <f aca="false">IF($AM113="n",0,BS113)</f>
        <v>5472222.22222222</v>
      </c>
      <c r="CC113" s="290" t="n">
        <f aca="false">IF($AM113="n",0,BT113)</f>
        <v>0</v>
      </c>
      <c r="CD113" s="290" t="n">
        <f aca="false">SUM(CA113:CC113)</f>
        <v>10041666.6666667</v>
      </c>
      <c r="CE113" s="290" t="n">
        <f aca="false">IF($AM$2="n",0,BV113)</f>
        <v>0</v>
      </c>
      <c r="CF113" s="290" t="n">
        <f aca="false">IF($AM$2="n",0,BW113)</f>
        <v>0</v>
      </c>
      <c r="CG113" s="290" t="n">
        <f aca="false">IF($AM$2="n",0,BX113)</f>
        <v>0</v>
      </c>
      <c r="CH113" s="290" t="n">
        <f aca="false">SUM(CE113:CG113)</f>
        <v>0</v>
      </c>
    </row>
    <row r="114" customFormat="false" ht="15" hidden="false" customHeight="true" outlineLevel="0" collapsed="false">
      <c r="A114" s="285" t="n">
        <v>2356</v>
      </c>
      <c r="B114" s="285" t="s">
        <v>44</v>
      </c>
      <c r="C114" s="286" t="s">
        <v>346</v>
      </c>
      <c r="D114" s="287" t="s">
        <v>346</v>
      </c>
      <c r="E114" s="288" t="n">
        <f aca="false">IF(I114="regional",IF(R114*0.2975,S114*0.3484),S114*0.1939)</f>
        <v>225628.7176</v>
      </c>
      <c r="F114" s="288" t="n">
        <v>0</v>
      </c>
      <c r="G114" s="289" t="n">
        <f aca="false">E114+F114</f>
        <v>225628.7176</v>
      </c>
      <c r="H114" s="286"/>
      <c r="I114" s="287" t="s">
        <v>48</v>
      </c>
      <c r="J114" s="287" t="s">
        <v>44</v>
      </c>
      <c r="K114" s="287" t="s">
        <v>348</v>
      </c>
      <c r="L114" s="287"/>
      <c r="M114" s="317" t="n">
        <v>81</v>
      </c>
      <c r="N114" s="317" t="n">
        <v>0.825</v>
      </c>
      <c r="O114" s="317" t="n">
        <v>0.886</v>
      </c>
      <c r="P114" s="317" t="n">
        <v>0.835</v>
      </c>
      <c r="Q114" s="317" t="n">
        <v>0.86</v>
      </c>
      <c r="R114" s="317" t="n">
        <v>720389</v>
      </c>
      <c r="S114" s="317" t="n">
        <v>647614</v>
      </c>
      <c r="T114" s="318" t="n">
        <f aca="false">IF(I114="regional",IF(R114&gt;0,R114*0.2975,S114*0.3484),S114*0.1939)</f>
        <v>214315.7275</v>
      </c>
      <c r="U114" s="317" t="n">
        <v>437360</v>
      </c>
      <c r="V114" s="317" t="n">
        <v>210254</v>
      </c>
      <c r="W114" s="317" t="n">
        <v>3404</v>
      </c>
      <c r="X114" s="317" t="n">
        <v>0</v>
      </c>
      <c r="Y114" s="317" t="n">
        <v>0</v>
      </c>
      <c r="Z114" s="317" t="n">
        <v>0</v>
      </c>
      <c r="AA114" s="317" t="n">
        <v>861929.7275</v>
      </c>
      <c r="AB114" s="317" t="n">
        <v>214315.7275</v>
      </c>
      <c r="AC114" s="317" t="n">
        <v>647614</v>
      </c>
      <c r="AD114" s="317" t="n">
        <v>0</v>
      </c>
      <c r="AE114" s="317" t="n">
        <v>0</v>
      </c>
      <c r="AF114" s="317" t="n">
        <v>647614</v>
      </c>
      <c r="AG114" s="317" t="n">
        <v>0</v>
      </c>
      <c r="AH114" s="317" t="n">
        <v>335000</v>
      </c>
      <c r="AI114" s="317" t="n">
        <v>290000</v>
      </c>
      <c r="AJ114" s="286" t="s">
        <v>707</v>
      </c>
      <c r="AK114" s="286" t="s">
        <v>708</v>
      </c>
      <c r="AL114" s="287" t="s">
        <v>48</v>
      </c>
      <c r="AM114" s="286"/>
      <c r="AN114" s="287" t="s">
        <v>346</v>
      </c>
      <c r="AO114" s="287" t="n">
        <v>214315.7275</v>
      </c>
      <c r="AP114" s="319" t="n">
        <f aca="false">AR114+AT114+AU114+AV114+AX114+AY114+AZ114+BD114+BF114+BG114+BH114+BJ114+BK114+(BL114+BM114+BN114)/1000+(0.1*BO114)</f>
        <v>192.4875</v>
      </c>
      <c r="AQ114" s="319" t="n">
        <f aca="false">AR114+AT114+AU114+AV114+AX114+AY114+AZ114+BB114+BC114+BD114+BF114+BG114+BH114+BJ114+BK114+(BL114+BM114+BN114)/1000+(0.1*BO114)</f>
        <v>201.4875</v>
      </c>
      <c r="AR114" s="285" t="n">
        <v>66</v>
      </c>
      <c r="AS114" s="285" t="n">
        <v>290</v>
      </c>
      <c r="AT114" s="285" t="n">
        <v>78</v>
      </c>
      <c r="AU114" s="285" t="n">
        <v>0</v>
      </c>
      <c r="AV114" s="285" t="n">
        <v>0</v>
      </c>
      <c r="AW114" s="285" t="n">
        <v>0</v>
      </c>
      <c r="AX114" s="285" t="n">
        <v>0</v>
      </c>
      <c r="AY114" s="285" t="n">
        <v>0</v>
      </c>
      <c r="AZ114" s="285" t="n">
        <v>0</v>
      </c>
      <c r="BA114" s="285" t="n">
        <v>22</v>
      </c>
      <c r="BB114" s="285" t="n">
        <v>9</v>
      </c>
      <c r="BC114" s="285" t="n">
        <v>0</v>
      </c>
      <c r="BD114" s="285" t="n">
        <v>0</v>
      </c>
      <c r="BE114" s="285" t="n">
        <v>0</v>
      </c>
      <c r="BF114" s="285" t="n">
        <v>0</v>
      </c>
      <c r="BG114" s="285" t="n">
        <v>0</v>
      </c>
      <c r="BH114" s="285" t="n">
        <v>0</v>
      </c>
      <c r="BI114" s="285" t="n">
        <v>0</v>
      </c>
      <c r="BJ114" s="285" t="n">
        <v>0</v>
      </c>
      <c r="BK114" s="285" t="n">
        <v>0</v>
      </c>
      <c r="BL114" s="285" t="n">
        <v>0</v>
      </c>
      <c r="BM114" s="285" t="n">
        <v>0</v>
      </c>
      <c r="BN114" s="285" t="n">
        <v>3358</v>
      </c>
      <c r="BO114" s="285" t="n">
        <v>451.295</v>
      </c>
      <c r="BR114" s="290" t="n">
        <f aca="false">AR114*1000/0.072</f>
        <v>916666.666666667</v>
      </c>
      <c r="BS114" s="290" t="n">
        <f aca="false">AT114*1000/0.072</f>
        <v>1083333.33333333</v>
      </c>
      <c r="BT114" s="290" t="n">
        <f aca="false">AU114*1000/0.072</f>
        <v>0</v>
      </c>
      <c r="BU114" s="290" t="n">
        <f aca="false">SUM(BR114:BT114)</f>
        <v>2000000</v>
      </c>
      <c r="BV114" s="290" t="n">
        <f aca="false">AV114*1000/5</f>
        <v>0</v>
      </c>
      <c r="BW114" s="290" t="n">
        <f aca="false">AX114*1000/5</f>
        <v>0</v>
      </c>
      <c r="BX114" s="290" t="n">
        <f aca="false">AY114*1000/5</f>
        <v>0</v>
      </c>
      <c r="BY114" s="290" t="n">
        <f aca="false">SUM(BV114:BX114)</f>
        <v>0</v>
      </c>
      <c r="CA114" s="290" t="n">
        <f aca="false">IF($AM114="n",0,BR114)</f>
        <v>916666.666666667</v>
      </c>
      <c r="CB114" s="290" t="n">
        <f aca="false">IF($AM114="n",0,BS114)</f>
        <v>1083333.33333333</v>
      </c>
      <c r="CC114" s="290" t="n">
        <f aca="false">IF($AM114="n",0,BT114)</f>
        <v>0</v>
      </c>
      <c r="CD114" s="290" t="n">
        <f aca="false">SUM(CA114:CC114)</f>
        <v>2000000</v>
      </c>
      <c r="CE114" s="290" t="n">
        <f aca="false">IF($AM$2="n",0,BV114)</f>
        <v>0</v>
      </c>
      <c r="CF114" s="290" t="n">
        <f aca="false">IF($AM$2="n",0,BW114)</f>
        <v>0</v>
      </c>
      <c r="CG114" s="290" t="n">
        <f aca="false">IF($AM$2="n",0,BX114)</f>
        <v>0</v>
      </c>
      <c r="CH114" s="290" t="n">
        <f aca="false">SUM(CE114:CG114)</f>
        <v>0</v>
      </c>
    </row>
    <row r="115" customFormat="false" ht="15" hidden="false" customHeight="true" outlineLevel="0" collapsed="false">
      <c r="A115" s="285" t="n">
        <v>2380</v>
      </c>
      <c r="B115" s="285" t="s">
        <v>44</v>
      </c>
      <c r="C115" s="286" t="s">
        <v>740</v>
      </c>
      <c r="D115" s="287" t="s">
        <v>678</v>
      </c>
      <c r="E115" s="288" t="n">
        <f aca="false">IF(I115="regional",IF(R115*0.2975,S115*0.3484),S115*0.1939)</f>
        <v>384720.0032</v>
      </c>
      <c r="F115" s="288" t="n">
        <v>637927</v>
      </c>
      <c r="G115" s="289" t="n">
        <f aca="false">E115+F115</f>
        <v>1022647.0032</v>
      </c>
      <c r="H115" s="286" t="s">
        <v>49</v>
      </c>
      <c r="I115" s="287" t="s">
        <v>48</v>
      </c>
      <c r="J115" s="287" t="s">
        <v>44</v>
      </c>
      <c r="K115" s="287" t="s">
        <v>351</v>
      </c>
      <c r="L115" s="287" t="s">
        <v>44</v>
      </c>
      <c r="M115" s="317" t="n">
        <v>162</v>
      </c>
      <c r="N115" s="317" t="n">
        <v>0.835</v>
      </c>
      <c r="O115" s="317" t="n">
        <v>0.864</v>
      </c>
      <c r="P115" s="317" t="n">
        <v>0.934</v>
      </c>
      <c r="Q115" s="317" t="n">
        <v>0.926</v>
      </c>
      <c r="R115" s="317" t="n">
        <v>1118115</v>
      </c>
      <c r="S115" s="317" t="n">
        <v>1104248</v>
      </c>
      <c r="T115" s="318" t="n">
        <f aca="false">IF(I115="regional",IF(R115&gt;0,R115*0.2975,S115*0.3484),S115*0.1939)</f>
        <v>332639.2125</v>
      </c>
      <c r="U115" s="317" t="n">
        <v>690636</v>
      </c>
      <c r="V115" s="317" t="n">
        <v>413612</v>
      </c>
      <c r="W115" s="317" t="n">
        <v>6500</v>
      </c>
      <c r="X115" s="317" t="n">
        <v>970566.2125</v>
      </c>
      <c r="Y115" s="317" t="n">
        <v>332639.2125</v>
      </c>
      <c r="Z115" s="317" t="n">
        <v>637927</v>
      </c>
      <c r="AA115" s="317" t="n">
        <v>466321</v>
      </c>
      <c r="AB115" s="317" t="n">
        <v>0</v>
      </c>
      <c r="AC115" s="317" t="n">
        <v>466321</v>
      </c>
      <c r="AD115" s="317" t="n">
        <v>637927</v>
      </c>
      <c r="AE115" s="317" t="n">
        <v>0</v>
      </c>
      <c r="AF115" s="317" t="n">
        <v>466321</v>
      </c>
      <c r="AG115" s="317" t="n">
        <v>0</v>
      </c>
      <c r="AH115" s="317" t="n">
        <v>749000</v>
      </c>
      <c r="AI115" s="317" t="n">
        <v>596000</v>
      </c>
      <c r="AJ115" s="286" t="s">
        <v>707</v>
      </c>
      <c r="AK115" s="286" t="s">
        <v>712</v>
      </c>
      <c r="AL115" s="287" t="s">
        <v>48</v>
      </c>
      <c r="AM115" s="286" t="s">
        <v>49</v>
      </c>
      <c r="AN115" s="287" t="s">
        <v>678</v>
      </c>
      <c r="AO115" s="287" t="n">
        <v>970566.2125</v>
      </c>
      <c r="AP115" s="319" t="n">
        <f aca="false">AR115+AT115+AU115+AV115+AX115+AY115+AZ115+BD115+BF115+BG115+BH115+BJ115+BK115+(BL115+BM115+BN115)/1000+(0.1*BO115)</f>
        <v>546.553</v>
      </c>
      <c r="AQ115" s="319" t="n">
        <f aca="false">AR115+AT115+AU115+AV115+AX115+AY115+AZ115+BB115+BC115+BD115+BF115+BG115+BH115+BJ115+BK115+(BL115+BM115+BN115)/1000+(0.1*BO115)</f>
        <v>627.553</v>
      </c>
      <c r="AR115" s="285" t="n">
        <v>207</v>
      </c>
      <c r="AS115" s="285" t="n">
        <v>596</v>
      </c>
      <c r="AT115" s="285" t="n">
        <v>109</v>
      </c>
      <c r="AU115" s="285" t="n">
        <v>1</v>
      </c>
      <c r="AV115" s="285" t="n">
        <v>9</v>
      </c>
      <c r="AW115" s="285" t="n">
        <v>23</v>
      </c>
      <c r="AX115" s="285" t="n">
        <v>2</v>
      </c>
      <c r="AY115" s="285" t="n">
        <v>0</v>
      </c>
      <c r="AZ115" s="285" t="n">
        <v>31</v>
      </c>
      <c r="BA115" s="285" t="n">
        <v>58</v>
      </c>
      <c r="BB115" s="285" t="n">
        <v>70</v>
      </c>
      <c r="BC115" s="285" t="n">
        <v>11</v>
      </c>
      <c r="BD115" s="285" t="n">
        <v>77</v>
      </c>
      <c r="BE115" s="285" t="n">
        <v>0</v>
      </c>
      <c r="BF115" s="285" t="n">
        <v>0</v>
      </c>
      <c r="BG115" s="285" t="n">
        <v>0</v>
      </c>
      <c r="BH115" s="285" t="n">
        <v>61</v>
      </c>
      <c r="BI115" s="285" t="n">
        <v>0</v>
      </c>
      <c r="BJ115" s="285" t="n">
        <v>0</v>
      </c>
      <c r="BK115" s="285" t="n">
        <v>0</v>
      </c>
      <c r="BL115" s="285" t="n">
        <v>49553</v>
      </c>
      <c r="BM115" s="285" t="n">
        <v>0</v>
      </c>
      <c r="BN115" s="285" t="n">
        <v>0</v>
      </c>
      <c r="BO115" s="285" t="n">
        <v>0</v>
      </c>
      <c r="BR115" s="290" t="n">
        <f aca="false">AR115*1000/0.072</f>
        <v>2875000</v>
      </c>
      <c r="BS115" s="290" t="n">
        <f aca="false">AT115*1000/0.072</f>
        <v>1513888.88888889</v>
      </c>
      <c r="BT115" s="290" t="n">
        <f aca="false">AU115*1000/0.072</f>
        <v>13888.8888888889</v>
      </c>
      <c r="BU115" s="290" t="n">
        <f aca="false">SUM(BR115:BT115)</f>
        <v>4402777.77777778</v>
      </c>
      <c r="BV115" s="290" t="n">
        <f aca="false">AV115*1000/5</f>
        <v>1800</v>
      </c>
      <c r="BW115" s="290" t="n">
        <f aca="false">AX115*1000/5</f>
        <v>400</v>
      </c>
      <c r="BX115" s="290" t="n">
        <f aca="false">AY115*1000/5</f>
        <v>0</v>
      </c>
      <c r="BY115" s="290" t="n">
        <f aca="false">SUM(BV115:BX115)</f>
        <v>2200</v>
      </c>
      <c r="CA115" s="290" t="n">
        <f aca="false">IF($AM115="n",0,BR115)</f>
        <v>0</v>
      </c>
      <c r="CB115" s="290" t="n">
        <f aca="false">IF($AM115="n",0,BS115)</f>
        <v>0</v>
      </c>
      <c r="CC115" s="290" t="n">
        <f aca="false">IF($AM115="n",0,BT115)</f>
        <v>0</v>
      </c>
      <c r="CD115" s="290" t="n">
        <f aca="false">SUM(CA115:CC115)</f>
        <v>0</v>
      </c>
      <c r="CE115" s="290" t="n">
        <f aca="false">IF($AM$2="n",0,BV115)</f>
        <v>1800</v>
      </c>
      <c r="CF115" s="290" t="n">
        <f aca="false">IF($AM$2="n",0,BW115)</f>
        <v>400</v>
      </c>
      <c r="CG115" s="290" t="n">
        <f aca="false">IF($AM$2="n",0,BX115)</f>
        <v>0</v>
      </c>
      <c r="CH115" s="290" t="n">
        <f aca="false">SUM(CE115:CG115)</f>
        <v>2200</v>
      </c>
    </row>
    <row r="116" customFormat="false" ht="15" hidden="false" customHeight="true" outlineLevel="0" collapsed="false">
      <c r="A116" s="285" t="n">
        <v>2518</v>
      </c>
      <c r="B116" s="285" t="s">
        <v>44</v>
      </c>
      <c r="C116" s="286" t="s">
        <v>352</v>
      </c>
      <c r="D116" s="287" t="s">
        <v>352</v>
      </c>
      <c r="E116" s="288" t="n">
        <f aca="false">IF(I116="regional",IF(R116*0.2975,S116*0.3484),S116*0.1939)</f>
        <v>191745.424</v>
      </c>
      <c r="F116" s="288" t="n">
        <v>0</v>
      </c>
      <c r="G116" s="289" t="n">
        <f aca="false">E116+F116</f>
        <v>191745.424</v>
      </c>
      <c r="H116" s="286"/>
      <c r="I116" s="287" t="s">
        <v>48</v>
      </c>
      <c r="J116" s="287" t="s">
        <v>44</v>
      </c>
      <c r="K116" s="287" t="s">
        <v>98</v>
      </c>
      <c r="L116" s="287"/>
      <c r="M116" s="317" t="n">
        <v>93</v>
      </c>
      <c r="N116" s="317" t="n">
        <v>0.756</v>
      </c>
      <c r="O116" s="317" t="n">
        <v>0.748</v>
      </c>
      <c r="P116" s="317" t="n">
        <v>0.763</v>
      </c>
      <c r="Q116" s="317" t="n">
        <v>0.818</v>
      </c>
      <c r="R116" s="317" t="n">
        <v>665063</v>
      </c>
      <c r="S116" s="317" t="n">
        <v>550360</v>
      </c>
      <c r="T116" s="318" t="n">
        <f aca="false">IF(I116="regional",IF(R116&gt;0,R116*0.2975,S116*0.3484),S116*0.1939)</f>
        <v>197856.2425</v>
      </c>
      <c r="U116" s="317" t="n">
        <v>312920</v>
      </c>
      <c r="V116" s="317" t="n">
        <v>237440</v>
      </c>
      <c r="W116" s="317" t="n">
        <v>3600</v>
      </c>
      <c r="X116" s="317" t="n">
        <v>0</v>
      </c>
      <c r="Y116" s="317" t="n">
        <v>0</v>
      </c>
      <c r="Z116" s="317" t="n">
        <v>0</v>
      </c>
      <c r="AA116" s="317" t="n">
        <v>748216.2425</v>
      </c>
      <c r="AB116" s="317" t="n">
        <v>197856.2425</v>
      </c>
      <c r="AC116" s="317" t="n">
        <v>550360</v>
      </c>
      <c r="AD116" s="317" t="n">
        <v>0</v>
      </c>
      <c r="AE116" s="317" t="n">
        <v>0</v>
      </c>
      <c r="AF116" s="317" t="n">
        <v>550360</v>
      </c>
      <c r="AG116" s="317" t="n">
        <v>0</v>
      </c>
      <c r="AH116" s="317" t="n">
        <v>358000</v>
      </c>
      <c r="AI116" s="317" t="n">
        <v>382000</v>
      </c>
      <c r="AJ116" s="286" t="n">
        <v>4</v>
      </c>
      <c r="AK116" s="286" t="s">
        <v>706</v>
      </c>
      <c r="AL116" s="287" t="s">
        <v>48</v>
      </c>
      <c r="AM116" s="286"/>
      <c r="AN116" s="287" t="s">
        <v>352</v>
      </c>
      <c r="AO116" s="287" t="n">
        <v>197856.2425</v>
      </c>
      <c r="AP116" s="319" t="n">
        <f aca="false">AR116+AT116+AU116+AV116+AX116+AY116+AZ116+BD116+BF116+BG116+BH116+BJ116+BK116+(BL116+BM116+BN116)/1000+(0.1*BO116)</f>
        <v>216.032</v>
      </c>
      <c r="AQ116" s="319" t="n">
        <f aca="false">AR116+AT116+AU116+AV116+AX116+AY116+AZ116+BB116+BC116+BD116+BF116+BG116+BH116+BJ116+BK116+(BL116+BM116+BN116)/1000+(0.1*BO116)</f>
        <v>232.032</v>
      </c>
      <c r="AR116" s="285" t="n">
        <v>84</v>
      </c>
      <c r="AS116" s="285" t="n">
        <v>382</v>
      </c>
      <c r="AT116" s="285" t="n">
        <v>80</v>
      </c>
      <c r="AU116" s="285" t="n">
        <v>39</v>
      </c>
      <c r="AV116" s="285" t="n">
        <v>0</v>
      </c>
      <c r="AW116" s="285" t="n">
        <v>0</v>
      </c>
      <c r="AX116" s="285" t="n">
        <v>0</v>
      </c>
      <c r="AY116" s="285" t="n">
        <v>4</v>
      </c>
      <c r="AZ116" s="285" t="n">
        <v>0</v>
      </c>
      <c r="BA116" s="285" t="n">
        <v>9</v>
      </c>
      <c r="BB116" s="285" t="n">
        <v>15</v>
      </c>
      <c r="BC116" s="285" t="n">
        <v>1</v>
      </c>
      <c r="BD116" s="285" t="n">
        <v>0</v>
      </c>
      <c r="BE116" s="285" t="n">
        <v>0</v>
      </c>
      <c r="BF116" s="285" t="n">
        <v>0</v>
      </c>
      <c r="BG116" s="285" t="n">
        <v>0</v>
      </c>
      <c r="BH116" s="285" t="n">
        <v>0</v>
      </c>
      <c r="BI116" s="285" t="n">
        <v>0</v>
      </c>
      <c r="BJ116" s="285" t="n">
        <v>0</v>
      </c>
      <c r="BK116" s="285" t="n">
        <v>0</v>
      </c>
      <c r="BL116" s="285" t="n">
        <v>9032</v>
      </c>
      <c r="BM116" s="285" t="n">
        <v>0</v>
      </c>
      <c r="BN116" s="285" t="n">
        <v>0</v>
      </c>
      <c r="BO116" s="285" t="n">
        <v>0</v>
      </c>
      <c r="BR116" s="290" t="n">
        <f aca="false">AR116*1000/0.072</f>
        <v>1166666.66666667</v>
      </c>
      <c r="BS116" s="290" t="n">
        <f aca="false">AT116*1000/0.072</f>
        <v>1111111.11111111</v>
      </c>
      <c r="BT116" s="290" t="n">
        <f aca="false">AU116*1000/0.072</f>
        <v>541666.666666667</v>
      </c>
      <c r="BU116" s="290" t="n">
        <f aca="false">SUM(BR116:BT116)</f>
        <v>2819444.44444445</v>
      </c>
      <c r="BV116" s="290" t="n">
        <f aca="false">AV116*1000/5</f>
        <v>0</v>
      </c>
      <c r="BW116" s="290" t="n">
        <f aca="false">AX116*1000/5</f>
        <v>0</v>
      </c>
      <c r="BX116" s="290" t="n">
        <f aca="false">AY116*1000/5</f>
        <v>800</v>
      </c>
      <c r="BY116" s="290" t="n">
        <f aca="false">SUM(BV116:BX116)</f>
        <v>800</v>
      </c>
      <c r="CA116" s="290" t="n">
        <f aca="false">IF($AM116="n",0,BR116)</f>
        <v>1166666.66666667</v>
      </c>
      <c r="CB116" s="290" t="n">
        <f aca="false">IF($AM116="n",0,BS116)</f>
        <v>1111111.11111111</v>
      </c>
      <c r="CC116" s="290" t="n">
        <f aca="false">IF($AM116="n",0,BT116)</f>
        <v>541666.666666667</v>
      </c>
      <c r="CD116" s="290" t="n">
        <f aca="false">SUM(CA116:CC116)</f>
        <v>2819444.44444445</v>
      </c>
      <c r="CE116" s="290" t="n">
        <f aca="false">IF($AM$2="n",0,BV116)</f>
        <v>0</v>
      </c>
      <c r="CF116" s="290" t="n">
        <f aca="false">IF($AM$2="n",0,BW116)</f>
        <v>0</v>
      </c>
      <c r="CG116" s="290" t="n">
        <f aca="false">IF($AM$2="n",0,BX116)</f>
        <v>800</v>
      </c>
      <c r="CH116" s="290" t="n">
        <f aca="false">SUM(CE116:CG116)</f>
        <v>800</v>
      </c>
    </row>
    <row r="117" customFormat="false" ht="15" hidden="false" customHeight="true" outlineLevel="0" collapsed="false">
      <c r="A117" s="285" t="n">
        <v>9605</v>
      </c>
      <c r="B117" s="285" t="s">
        <v>44</v>
      </c>
      <c r="C117" s="286" t="s">
        <v>353</v>
      </c>
      <c r="D117" s="287" t="s">
        <v>353</v>
      </c>
      <c r="E117" s="288" t="n">
        <f aca="false">IF(I117="regional",IF(R117*0.2975,S117*0.3484),S117*0.1939)</f>
        <v>75812.1854</v>
      </c>
      <c r="F117" s="288" t="n">
        <v>0</v>
      </c>
      <c r="G117" s="289" t="n">
        <f aca="false">E117+F117</f>
        <v>75812.1854</v>
      </c>
      <c r="H117" s="286"/>
      <c r="I117" s="287" t="s">
        <v>62</v>
      </c>
      <c r="J117" s="287" t="s">
        <v>44</v>
      </c>
      <c r="K117" s="287" t="s">
        <v>355</v>
      </c>
      <c r="L117" s="287"/>
      <c r="M117" s="317" t="n">
        <v>26</v>
      </c>
      <c r="N117" s="317" t="n">
        <v>0.765</v>
      </c>
      <c r="O117" s="317" t="n">
        <v>0.765</v>
      </c>
      <c r="P117" s="317" t="n">
        <v>0.772</v>
      </c>
      <c r="Q117" s="317" t="n">
        <v>0.388</v>
      </c>
      <c r="R117" s="317" t="n">
        <v>0</v>
      </c>
      <c r="S117" s="317" t="n">
        <v>390986</v>
      </c>
      <c r="T117" s="318" t="n">
        <f aca="false">IF(I117="regional",IF(R117&gt;0,R117*0.2975,S117*0.3484),S117*0.1939)</f>
        <v>75812.1854</v>
      </c>
      <c r="U117" s="317" t="n">
        <v>306158</v>
      </c>
      <c r="V117" s="317" t="n">
        <v>84828</v>
      </c>
      <c r="W117" s="317" t="n">
        <v>2000</v>
      </c>
      <c r="X117" s="317" t="n">
        <v>0</v>
      </c>
      <c r="Y117" s="317" t="n">
        <v>0</v>
      </c>
      <c r="Z117" s="317" t="n">
        <v>0</v>
      </c>
      <c r="AA117" s="317" t="n">
        <v>466798.1854</v>
      </c>
      <c r="AB117" s="317" t="n">
        <v>75812.1854</v>
      </c>
      <c r="AC117" s="317" t="n">
        <v>390986</v>
      </c>
      <c r="AD117" s="317" t="n">
        <v>0</v>
      </c>
      <c r="AE117" s="317" t="n">
        <v>0</v>
      </c>
      <c r="AF117" s="317" t="n">
        <v>390986</v>
      </c>
      <c r="AG117" s="317" t="n">
        <v>0</v>
      </c>
      <c r="AH117" s="317" t="n">
        <v>100000</v>
      </c>
      <c r="AI117" s="317" t="n">
        <v>123000</v>
      </c>
      <c r="AJ117" s="286" t="s">
        <v>707</v>
      </c>
      <c r="AK117" s="286" t="s">
        <v>708</v>
      </c>
      <c r="AL117" s="287" t="s">
        <v>62</v>
      </c>
      <c r="AM117" s="286"/>
      <c r="AN117" s="287" t="s">
        <v>353</v>
      </c>
      <c r="AO117" s="287" t="n">
        <v>75812.1854</v>
      </c>
      <c r="AP117" s="319" t="n">
        <f aca="false">AR117+AT117+AU117+AV117+AX117+AY117+AZ117+BD117+BF117+BG117+BH117+BJ117+BK117+(BL117+BM117+BN117)/1000+(0.1*BO117)</f>
        <v>10.3206</v>
      </c>
      <c r="AQ117" s="319" t="n">
        <f aca="false">AR117+AT117+AU117+AV117+AX117+AY117+AZ117+BB117+BC117+BD117+BF117+BG117+BH117+BJ117+BK117+(BL117+BM117+BN117)/1000+(0.1*BO117)</f>
        <v>22.3206</v>
      </c>
      <c r="AR117" s="285" t="n">
        <v>0</v>
      </c>
      <c r="AS117" s="285" t="n">
        <v>123</v>
      </c>
      <c r="AT117" s="285" t="n">
        <v>7</v>
      </c>
      <c r="AU117" s="285" t="n">
        <v>0</v>
      </c>
      <c r="AV117" s="285" t="n">
        <v>0</v>
      </c>
      <c r="AW117" s="285" t="n">
        <v>0</v>
      </c>
      <c r="AX117" s="285" t="n">
        <v>0</v>
      </c>
      <c r="AY117" s="285" t="n">
        <v>0</v>
      </c>
      <c r="AZ117" s="285" t="n">
        <v>0</v>
      </c>
      <c r="BA117" s="285" t="n">
        <v>0</v>
      </c>
      <c r="BB117" s="285" t="n">
        <v>12</v>
      </c>
      <c r="BC117" s="285" t="n">
        <v>0</v>
      </c>
      <c r="BD117" s="285" t="n">
        <v>0</v>
      </c>
      <c r="BE117" s="285" t="n">
        <v>0</v>
      </c>
      <c r="BF117" s="285" t="n">
        <v>0</v>
      </c>
      <c r="BG117" s="285" t="n">
        <v>0</v>
      </c>
      <c r="BH117" s="285" t="n">
        <v>0</v>
      </c>
      <c r="BI117" s="285" t="n">
        <v>0</v>
      </c>
      <c r="BJ117" s="285" t="n">
        <v>0</v>
      </c>
      <c r="BK117" s="285" t="n">
        <v>0</v>
      </c>
      <c r="BL117" s="285" t="n">
        <v>0</v>
      </c>
      <c r="BM117" s="285" t="n">
        <v>0</v>
      </c>
      <c r="BN117" s="285" t="n">
        <v>0</v>
      </c>
      <c r="BO117" s="285" t="n">
        <v>33.206</v>
      </c>
      <c r="BR117" s="290" t="n">
        <f aca="false">AR117*1000/0.072</f>
        <v>0</v>
      </c>
      <c r="BS117" s="290" t="n">
        <f aca="false">AT117*1000/0.072</f>
        <v>97222.2222222222</v>
      </c>
      <c r="BT117" s="290" t="n">
        <f aca="false">AU117*1000/0.072</f>
        <v>0</v>
      </c>
      <c r="BU117" s="290" t="n">
        <f aca="false">SUM(BR117:BT117)</f>
        <v>97222.2222222222</v>
      </c>
      <c r="BV117" s="290" t="n">
        <f aca="false">AV117*1000/5</f>
        <v>0</v>
      </c>
      <c r="BW117" s="290" t="n">
        <f aca="false">AX117*1000/5</f>
        <v>0</v>
      </c>
      <c r="BX117" s="290" t="n">
        <f aca="false">AY117*1000/5</f>
        <v>0</v>
      </c>
      <c r="BY117" s="290" t="n">
        <f aca="false">SUM(BV117:BX117)</f>
        <v>0</v>
      </c>
      <c r="CA117" s="290" t="n">
        <f aca="false">IF($AM117="n",0,BR117)</f>
        <v>0</v>
      </c>
      <c r="CB117" s="290" t="n">
        <f aca="false">IF($AM117="n",0,BS117)</f>
        <v>97222.2222222222</v>
      </c>
      <c r="CC117" s="290" t="n">
        <f aca="false">IF($AM117="n",0,BT117)</f>
        <v>0</v>
      </c>
      <c r="CD117" s="290" t="n">
        <f aca="false">SUM(CA117:CC117)</f>
        <v>97222.2222222222</v>
      </c>
      <c r="CE117" s="290" t="n">
        <f aca="false">IF($AM$2="n",0,BV117)</f>
        <v>0</v>
      </c>
      <c r="CF117" s="290" t="n">
        <f aca="false">IF($AM$2="n",0,BW117)</f>
        <v>0</v>
      </c>
      <c r="CG117" s="290" t="n">
        <f aca="false">IF($AM$2="n",0,BX117)</f>
        <v>0</v>
      </c>
      <c r="CH117" s="290" t="n">
        <f aca="false">SUM(CE117:CG117)</f>
        <v>0</v>
      </c>
    </row>
    <row r="118" customFormat="false" ht="15" hidden="false" customHeight="true" outlineLevel="0" collapsed="false">
      <c r="A118" s="285" t="n">
        <v>2631</v>
      </c>
      <c r="B118" s="285" t="s">
        <v>44</v>
      </c>
      <c r="C118" s="286" t="s">
        <v>741</v>
      </c>
      <c r="D118" s="287" t="s">
        <v>741</v>
      </c>
      <c r="E118" s="288" t="n">
        <f aca="false">IF(I118="regional",IF(R118*0.2975,S118*0.3484),S118*0.1939)</f>
        <v>0</v>
      </c>
      <c r="F118" s="288" t="n">
        <v>0</v>
      </c>
      <c r="G118" s="289" t="n">
        <f aca="false">E118+F118</f>
        <v>0</v>
      </c>
      <c r="H118" s="286" t="s">
        <v>49</v>
      </c>
      <c r="I118" s="287" t="s">
        <v>48</v>
      </c>
      <c r="J118" s="287" t="s">
        <v>44</v>
      </c>
      <c r="K118" s="287" t="s">
        <v>357</v>
      </c>
      <c r="L118" s="287" t="s">
        <v>44</v>
      </c>
      <c r="M118" s="317" t="n">
        <v>333</v>
      </c>
      <c r="N118" s="317" t="n">
        <v>0.948</v>
      </c>
      <c r="O118" s="317" t="n">
        <v>0.949</v>
      </c>
      <c r="P118" s="317" t="n">
        <v>0.92</v>
      </c>
      <c r="Q118" s="317" t="n">
        <v>0.868</v>
      </c>
      <c r="R118" s="317" t="n">
        <v>0</v>
      </c>
      <c r="S118" s="317" t="n">
        <v>2574525</v>
      </c>
      <c r="T118" s="318" t="n">
        <f aca="false">IF(I118="regional",IF(R118&gt;0,R118*0.2975,S118*0.3484),S118*0.1939)</f>
        <v>896964.51</v>
      </c>
      <c r="U118" s="317" t="n">
        <v>884036</v>
      </c>
      <c r="V118" s="317" t="n">
        <v>1690489</v>
      </c>
      <c r="W118" s="317" t="n">
        <v>12500</v>
      </c>
      <c r="X118" s="317" t="n">
        <v>2215000</v>
      </c>
      <c r="Y118" s="317" t="n">
        <v>0</v>
      </c>
      <c r="Z118" s="317" t="n">
        <v>0</v>
      </c>
      <c r="AA118" s="317" t="n">
        <v>2587453.51</v>
      </c>
      <c r="AB118" s="317" t="n">
        <v>0</v>
      </c>
      <c r="AC118" s="317" t="n">
        <v>0</v>
      </c>
      <c r="AD118" s="317" t="n">
        <v>2215000</v>
      </c>
      <c r="AE118" s="317" t="n">
        <v>0</v>
      </c>
      <c r="AF118" s="317" t="n">
        <v>2587453.51</v>
      </c>
      <c r="AG118" s="317" t="n">
        <v>0</v>
      </c>
      <c r="AH118" s="317" t="n">
        <v>0</v>
      </c>
      <c r="AI118" s="317" t="n">
        <v>0</v>
      </c>
      <c r="AJ118" s="286" t="n">
        <v>4</v>
      </c>
      <c r="AK118" s="286" t="s">
        <v>728</v>
      </c>
      <c r="AL118" s="287" t="s">
        <v>48</v>
      </c>
      <c r="AM118" s="286" t="s">
        <v>49</v>
      </c>
      <c r="AN118" s="287" t="s">
        <v>679</v>
      </c>
      <c r="AO118" s="287" t="n">
        <v>0</v>
      </c>
      <c r="AP118" s="319" t="n">
        <f aca="false">AR118+AT118+AU118+AV118+AX118+AY118+AZ118+BD118+BF118+BG118+BH118+BJ118+BK118+(BL118+BM118+BN118)/1000+(0.1*BO118)</f>
        <v>0</v>
      </c>
      <c r="AQ118" s="319" t="n">
        <f aca="false">AR118+AT118+AU118+AV118+AX118+AY118+AZ118+BB118+BC118+BD118+BF118+BG118+BH118+BJ118+BK118+(BL118+BM118+BN118)/1000+(0.1*BO118)</f>
        <v>0</v>
      </c>
      <c r="AR118" s="302" t="n">
        <v>0</v>
      </c>
      <c r="AS118" s="302" t="n">
        <v>0</v>
      </c>
      <c r="AT118" s="302" t="n">
        <v>0</v>
      </c>
      <c r="AU118" s="302" t="n">
        <v>0</v>
      </c>
      <c r="AV118" s="285" t="n">
        <v>0</v>
      </c>
      <c r="AW118" s="285" t="n">
        <v>0</v>
      </c>
      <c r="AX118" s="285" t="n">
        <v>0</v>
      </c>
      <c r="AY118" s="285" t="n">
        <v>0</v>
      </c>
      <c r="AZ118" s="302" t="n">
        <v>0</v>
      </c>
      <c r="BA118" s="302" t="n">
        <v>0</v>
      </c>
      <c r="BB118" s="302" t="n">
        <v>0</v>
      </c>
      <c r="BC118" s="302" t="n">
        <v>0</v>
      </c>
      <c r="BD118" s="285" t="n">
        <v>0</v>
      </c>
      <c r="BE118" s="285" t="n">
        <v>0</v>
      </c>
      <c r="BF118" s="285" t="n">
        <v>0</v>
      </c>
      <c r="BG118" s="285" t="n">
        <v>0</v>
      </c>
      <c r="BH118" s="285" t="n">
        <v>0</v>
      </c>
      <c r="BI118" s="285" t="n">
        <v>0</v>
      </c>
      <c r="BJ118" s="285" t="n">
        <v>0</v>
      </c>
      <c r="BK118" s="285" t="n">
        <v>0</v>
      </c>
      <c r="BL118" s="285" t="n">
        <v>0</v>
      </c>
      <c r="BM118" s="285" t="n">
        <v>0</v>
      </c>
      <c r="BN118" s="285" t="n">
        <v>0</v>
      </c>
      <c r="BO118" s="285" t="n">
        <v>0</v>
      </c>
      <c r="BR118" s="290" t="n">
        <f aca="false">AR118*1000/0.072</f>
        <v>0</v>
      </c>
      <c r="BS118" s="290" t="n">
        <f aca="false">AT118*1000/0.072</f>
        <v>0</v>
      </c>
      <c r="BT118" s="290" t="n">
        <f aca="false">AU118*1000/0.072</f>
        <v>0</v>
      </c>
      <c r="BU118" s="290" t="n">
        <f aca="false">SUM(BR118:BT118)</f>
        <v>0</v>
      </c>
      <c r="BV118" s="290" t="n">
        <f aca="false">AV118*1000/5</f>
        <v>0</v>
      </c>
      <c r="BW118" s="290" t="n">
        <f aca="false">AX118*1000/5</f>
        <v>0</v>
      </c>
      <c r="BX118" s="290" t="n">
        <f aca="false">AY118*1000/5</f>
        <v>0</v>
      </c>
      <c r="BY118" s="290" t="n">
        <f aca="false">SUM(BV118:BX118)</f>
        <v>0</v>
      </c>
      <c r="CA118" s="290" t="n">
        <f aca="false">IF($AM118="n",0,BR118)</f>
        <v>0</v>
      </c>
      <c r="CB118" s="290" t="n">
        <f aca="false">IF($AM118="n",0,BS118)</f>
        <v>0</v>
      </c>
      <c r="CC118" s="290" t="n">
        <f aca="false">IF($AM118="n",0,BT118)</f>
        <v>0</v>
      </c>
      <c r="CD118" s="290" t="n">
        <f aca="false">SUM(CA118:CC118)</f>
        <v>0</v>
      </c>
      <c r="CE118" s="290" t="n">
        <f aca="false">IF($AM$2="n",0,BV118)</f>
        <v>0</v>
      </c>
      <c r="CF118" s="290" t="n">
        <f aca="false">IF($AM$2="n",0,BW118)</f>
        <v>0</v>
      </c>
      <c r="CG118" s="290" t="n">
        <f aca="false">IF($AM$2="n",0,BX118)</f>
        <v>0</v>
      </c>
      <c r="CH118" s="290" t="n">
        <f aca="false">SUM(CE118:CG118)</f>
        <v>0</v>
      </c>
    </row>
    <row r="119" customFormat="false" ht="15" hidden="false" customHeight="true" outlineLevel="0" collapsed="false">
      <c r="A119" s="298" t="n">
        <v>4852</v>
      </c>
      <c r="B119" s="298"/>
      <c r="C119" s="299" t="s">
        <v>742</v>
      </c>
      <c r="D119" s="293" t="s">
        <v>742</v>
      </c>
      <c r="E119" s="288" t="n">
        <f aca="false">IF(I119="regional",IF(R119*0.2975,S119*0.3484),S119*0.1939)</f>
        <v>0</v>
      </c>
      <c r="F119" s="294"/>
      <c r="G119" s="289" t="n">
        <f aca="false">E119+F119</f>
        <v>0</v>
      </c>
      <c r="H119" s="292" t="s">
        <v>49</v>
      </c>
      <c r="I119" s="293" t="s">
        <v>48</v>
      </c>
      <c r="J119" s="293"/>
      <c r="K119" s="293"/>
      <c r="L119" s="293"/>
      <c r="M119" s="320"/>
      <c r="N119" s="320"/>
      <c r="O119" s="320"/>
      <c r="P119" s="320"/>
      <c r="Q119" s="320"/>
      <c r="R119" s="320"/>
      <c r="S119" s="320" t="n">
        <v>129152</v>
      </c>
      <c r="T119" s="318" t="n">
        <f aca="false">IF(I119="regional",IF(R119&gt;0,R119*0.2975,S119*0.3484),S119*0.1939)</f>
        <v>44996.5568</v>
      </c>
      <c r="U119" s="320"/>
      <c r="V119" s="320"/>
      <c r="W119" s="320"/>
      <c r="X119" s="320"/>
      <c r="Y119" s="320"/>
      <c r="Z119" s="320"/>
      <c r="AA119" s="320"/>
      <c r="AB119" s="320"/>
      <c r="AC119" s="320"/>
      <c r="AD119" s="320"/>
      <c r="AE119" s="320"/>
      <c r="AF119" s="320"/>
      <c r="AG119" s="320"/>
      <c r="AH119" s="320"/>
      <c r="AI119" s="320"/>
      <c r="AJ119" s="292" t="s">
        <v>707</v>
      </c>
      <c r="AK119" s="292" t="s">
        <v>712</v>
      </c>
      <c r="AL119" s="321" t="s">
        <v>48</v>
      </c>
      <c r="AM119" s="292" t="s">
        <v>49</v>
      </c>
      <c r="AN119" s="328" t="s">
        <v>742</v>
      </c>
      <c r="AO119" s="328" t="n">
        <v>0</v>
      </c>
      <c r="AP119" s="329" t="n">
        <v>0</v>
      </c>
      <c r="AQ119" s="319" t="n">
        <f aca="false">AR119+AT119+AU119+AV119+AX119+AY119+AZ119+BB119+BC119+BD119+BF119+BG119+BH119+BJ119+BK119+(BL119+BM119+BN119)/1000+(0.1*BO119)</f>
        <v>141</v>
      </c>
      <c r="AR119" s="298" t="n">
        <v>0</v>
      </c>
      <c r="AS119" s="298" t="n">
        <v>0</v>
      </c>
      <c r="AT119" s="298" t="n">
        <v>0</v>
      </c>
      <c r="AU119" s="298" t="n">
        <v>0</v>
      </c>
      <c r="AV119" s="298" t="n">
        <v>0</v>
      </c>
      <c r="AW119" s="298" t="n">
        <v>0</v>
      </c>
      <c r="AX119" s="298" t="n">
        <v>0</v>
      </c>
      <c r="AY119" s="298" t="n">
        <v>0</v>
      </c>
      <c r="AZ119" s="188" t="n">
        <v>0</v>
      </c>
      <c r="BA119" s="188" t="n">
        <v>0</v>
      </c>
      <c r="BB119" s="188" t="n">
        <v>21</v>
      </c>
      <c r="BC119" s="188" t="n">
        <v>0</v>
      </c>
      <c r="BD119" s="188" t="n">
        <v>60</v>
      </c>
      <c r="BE119" s="188" t="n">
        <v>0</v>
      </c>
      <c r="BF119" s="188" t="n">
        <v>0</v>
      </c>
      <c r="BG119" s="188" t="n">
        <v>0</v>
      </c>
      <c r="BH119" s="348" t="n">
        <v>60</v>
      </c>
      <c r="BI119" s="348" t="n">
        <v>0</v>
      </c>
      <c r="BJ119" s="348" t="n">
        <v>0</v>
      </c>
      <c r="BK119" s="348" t="n">
        <v>0</v>
      </c>
      <c r="BL119" s="298" t="n">
        <v>0</v>
      </c>
      <c r="BM119" s="298" t="n">
        <v>0</v>
      </c>
      <c r="BN119" s="298" t="n">
        <v>0</v>
      </c>
      <c r="BO119" s="298" t="n">
        <v>0</v>
      </c>
      <c r="BP119" s="324"/>
      <c r="BR119" s="290" t="n">
        <f aca="false">AR119*1000/0.072</f>
        <v>0</v>
      </c>
      <c r="BS119" s="290" t="n">
        <f aca="false">AT119*1000/0.072</f>
        <v>0</v>
      </c>
      <c r="BT119" s="290" t="n">
        <f aca="false">AU119*1000/0.072</f>
        <v>0</v>
      </c>
      <c r="BU119" s="290" t="n">
        <f aca="false">SUM(BR119:BT119)</f>
        <v>0</v>
      </c>
      <c r="BV119" s="290" t="n">
        <f aca="false">AV119*1000/5</f>
        <v>0</v>
      </c>
      <c r="BW119" s="290" t="n">
        <f aca="false">AX119*1000/5</f>
        <v>0</v>
      </c>
      <c r="BX119" s="290" t="n">
        <f aca="false">AY119*1000/5</f>
        <v>0</v>
      </c>
      <c r="BY119" s="290" t="n">
        <f aca="false">SUM(BV119:BX119)</f>
        <v>0</v>
      </c>
      <c r="CA119" s="290" t="n">
        <f aca="false">IF($AM119="n",0,BR119)</f>
        <v>0</v>
      </c>
      <c r="CB119" s="290" t="n">
        <f aca="false">IF($AM119="n",0,BS119)</f>
        <v>0</v>
      </c>
      <c r="CC119" s="290" t="n">
        <f aca="false">IF($AM119="n",0,BT119)</f>
        <v>0</v>
      </c>
      <c r="CD119" s="290" t="n">
        <f aca="false">SUM(CA119:CC119)</f>
        <v>0</v>
      </c>
      <c r="CE119" s="290" t="n">
        <f aca="false">IF($AM$2="n",0,BV119)</f>
        <v>0</v>
      </c>
      <c r="CF119" s="290" t="n">
        <f aca="false">IF($AM$2="n",0,BW119)</f>
        <v>0</v>
      </c>
      <c r="CG119" s="290" t="n">
        <f aca="false">IF($AM$2="n",0,BX119)</f>
        <v>0</v>
      </c>
      <c r="CH119" s="290" t="n">
        <f aca="false">SUM(CE119:CG119)</f>
        <v>0</v>
      </c>
      <c r="CJ119" s="324"/>
      <c r="CK119" s="324"/>
      <c r="CL119" s="324"/>
      <c r="CM119" s="324"/>
      <c r="CN119" s="324"/>
      <c r="CO119" s="324"/>
      <c r="CP119" s="324"/>
      <c r="CQ119" s="324"/>
      <c r="CR119" s="324"/>
      <c r="CS119" s="324"/>
      <c r="CT119" s="324"/>
      <c r="CU119" s="330"/>
      <c r="CV119" s="330"/>
      <c r="CW119" s="330"/>
      <c r="CX119" s="330"/>
      <c r="CY119" s="330"/>
      <c r="CZ119" s="330"/>
      <c r="DA119" s="330"/>
      <c r="DB119" s="330"/>
      <c r="DC119" s="330"/>
      <c r="DD119" s="330"/>
      <c r="DE119" s="330"/>
      <c r="DF119" s="330"/>
      <c r="DG119" s="330"/>
      <c r="DH119" s="330"/>
      <c r="DI119" s="330"/>
      <c r="DJ119" s="330"/>
      <c r="DK119" s="330"/>
      <c r="DL119" s="330"/>
      <c r="DM119" s="330"/>
      <c r="DN119" s="330"/>
      <c r="DO119" s="330"/>
      <c r="DP119" s="330"/>
      <c r="DQ119" s="330"/>
      <c r="DR119" s="330"/>
      <c r="DS119" s="330"/>
      <c r="DT119" s="330"/>
      <c r="DU119" s="330"/>
      <c r="DV119" s="330"/>
      <c r="DW119" s="330"/>
      <c r="DX119" s="330"/>
      <c r="DY119" s="330"/>
      <c r="DZ119" s="330"/>
      <c r="EA119" s="330"/>
      <c r="EB119" s="330"/>
      <c r="EC119" s="330"/>
      <c r="ED119" s="330"/>
      <c r="EE119" s="330"/>
      <c r="EF119" s="330"/>
      <c r="EG119" s="330"/>
      <c r="EH119" s="330"/>
      <c r="EI119" s="330"/>
      <c r="EJ119" s="330"/>
      <c r="EK119" s="330"/>
      <c r="EL119" s="330"/>
      <c r="EM119" s="330"/>
      <c r="EN119" s="330"/>
      <c r="EO119" s="330"/>
      <c r="EP119" s="330"/>
      <c r="EQ119" s="330"/>
      <c r="ER119" s="330"/>
      <c r="ES119" s="330"/>
      <c r="ET119" s="330"/>
      <c r="EU119" s="330"/>
      <c r="EV119" s="330"/>
      <c r="EW119" s="330"/>
      <c r="EX119" s="330"/>
      <c r="EY119" s="330"/>
      <c r="EZ119" s="330"/>
      <c r="FA119" s="330"/>
      <c r="FB119" s="330"/>
      <c r="FC119" s="330"/>
      <c r="FD119" s="330"/>
      <c r="FE119" s="330"/>
      <c r="FF119" s="330"/>
      <c r="FG119" s="330"/>
      <c r="FH119" s="330"/>
      <c r="FI119" s="330"/>
      <c r="FJ119" s="330"/>
      <c r="FK119" s="330"/>
      <c r="FL119" s="330"/>
      <c r="FM119" s="330"/>
      <c r="FN119" s="330"/>
      <c r="FO119" s="330"/>
      <c r="FP119" s="330"/>
      <c r="FQ119" s="330"/>
      <c r="FR119" s="330"/>
      <c r="FS119" s="330"/>
      <c r="FT119" s="330"/>
      <c r="FU119" s="330"/>
      <c r="FV119" s="330"/>
      <c r="FW119" s="330"/>
      <c r="FX119" s="330"/>
      <c r="FY119" s="330"/>
      <c r="FZ119" s="330"/>
      <c r="GA119" s="330"/>
      <c r="GB119" s="330"/>
      <c r="GC119" s="330"/>
      <c r="GD119" s="330"/>
      <c r="GE119" s="330"/>
      <c r="GF119" s="330"/>
      <c r="GG119" s="330"/>
      <c r="GH119" s="330"/>
      <c r="GI119" s="330"/>
      <c r="GJ119" s="330"/>
      <c r="GK119" s="330"/>
      <c r="GL119" s="330"/>
      <c r="GM119" s="330"/>
      <c r="GN119" s="330"/>
      <c r="GO119" s="330"/>
      <c r="GP119" s="330"/>
      <c r="GQ119" s="330"/>
      <c r="GR119" s="330"/>
      <c r="GS119" s="330"/>
      <c r="GT119" s="330"/>
      <c r="GU119" s="330"/>
      <c r="GV119" s="330"/>
      <c r="GW119" s="330"/>
      <c r="GX119" s="330"/>
      <c r="GY119" s="330"/>
      <c r="GZ119" s="330"/>
      <c r="HA119" s="330"/>
      <c r="HB119" s="330"/>
      <c r="HC119" s="330"/>
      <c r="HD119" s="330"/>
      <c r="HE119" s="330"/>
      <c r="HF119" s="330"/>
      <c r="HG119" s="330"/>
      <c r="HH119" s="330"/>
      <c r="HI119" s="330"/>
      <c r="HJ119" s="330"/>
      <c r="HK119" s="330"/>
      <c r="HL119" s="330"/>
      <c r="HM119" s="330"/>
      <c r="HN119" s="330"/>
      <c r="HO119" s="330"/>
      <c r="HP119" s="330"/>
      <c r="HQ119" s="330"/>
      <c r="HR119" s="330"/>
      <c r="HS119" s="330"/>
      <c r="HT119" s="330"/>
      <c r="HU119" s="330"/>
      <c r="HV119" s="330"/>
      <c r="HW119" s="330"/>
      <c r="HX119" s="330"/>
      <c r="HY119" s="330"/>
      <c r="HZ119" s="330"/>
      <c r="IA119" s="330"/>
      <c r="IB119" s="330"/>
      <c r="IC119" s="330"/>
      <c r="ID119" s="330"/>
      <c r="IE119" s="330"/>
      <c r="IF119" s="330"/>
      <c r="IG119" s="330"/>
      <c r="IH119" s="330"/>
      <c r="II119" s="330"/>
      <c r="IJ119" s="330"/>
      <c r="IK119" s="330"/>
      <c r="IL119" s="330"/>
      <c r="IM119" s="330"/>
      <c r="IN119" s="330"/>
      <c r="IO119" s="330"/>
      <c r="IP119" s="330"/>
      <c r="IQ119" s="330"/>
      <c r="IR119" s="330"/>
      <c r="IS119" s="330"/>
      <c r="IT119" s="330"/>
      <c r="IU119" s="330"/>
      <c r="IV119" s="330"/>
      <c r="IW119" s="330"/>
    </row>
    <row r="120" customFormat="false" ht="15" hidden="false" customHeight="true" outlineLevel="0" collapsed="false">
      <c r="A120" s="291" t="n">
        <v>4855</v>
      </c>
      <c r="B120" s="291"/>
      <c r="C120" s="292" t="s">
        <v>743</v>
      </c>
      <c r="D120" s="293" t="s">
        <v>742</v>
      </c>
      <c r="E120" s="288" t="n">
        <f aca="false">IF(I120="regional",IF(R120*0.2975,S120*0.3484),S120*0.1939)</f>
        <v>0</v>
      </c>
      <c r="F120" s="294"/>
      <c r="G120" s="289" t="n">
        <f aca="false">E120+F120</f>
        <v>0</v>
      </c>
      <c r="H120" s="292" t="s">
        <v>49</v>
      </c>
      <c r="I120" s="293" t="s">
        <v>62</v>
      </c>
      <c r="J120" s="293"/>
      <c r="K120" s="293"/>
      <c r="L120" s="293"/>
      <c r="M120" s="320"/>
      <c r="N120" s="320"/>
      <c r="O120" s="320"/>
      <c r="P120" s="320"/>
      <c r="Q120" s="320"/>
      <c r="R120" s="320"/>
      <c r="S120" s="320"/>
      <c r="T120" s="318" t="n">
        <f aca="false">IF(I120="regional",IF(R120&gt;0,R120*0.2975,S120*0.3484),S120*0.1939)</f>
        <v>0</v>
      </c>
      <c r="U120" s="320"/>
      <c r="V120" s="320"/>
      <c r="W120" s="320"/>
      <c r="X120" s="320"/>
      <c r="Y120" s="320"/>
      <c r="Z120" s="320"/>
      <c r="AA120" s="320"/>
      <c r="AB120" s="320"/>
      <c r="AC120" s="320"/>
      <c r="AD120" s="320"/>
      <c r="AE120" s="320"/>
      <c r="AF120" s="320"/>
      <c r="AG120" s="320"/>
      <c r="AH120" s="320"/>
      <c r="AI120" s="320"/>
      <c r="AJ120" s="292" t="s">
        <v>707</v>
      </c>
      <c r="AK120" s="292" t="s">
        <v>712</v>
      </c>
      <c r="AL120" s="321" t="s">
        <v>62</v>
      </c>
      <c r="AM120" s="292" t="s">
        <v>49</v>
      </c>
      <c r="AN120" s="321" t="s">
        <v>742</v>
      </c>
      <c r="AO120" s="321" t="n">
        <v>0</v>
      </c>
      <c r="AP120" s="321" t="n">
        <v>0</v>
      </c>
      <c r="AQ120" s="319" t="n">
        <f aca="false">AR120+AT120+AU120+AV120+AX120+AY120+AZ120+BB120+BC120+BD120+BF120+BG120+BH120+BJ120+BK120+(BL120+BM120+BN120)/1000+(0.1*BO120)</f>
        <v>0</v>
      </c>
      <c r="AR120" s="321" t="n">
        <v>0</v>
      </c>
      <c r="AS120" s="321" t="n">
        <v>0</v>
      </c>
      <c r="AT120" s="321" t="n">
        <v>0</v>
      </c>
      <c r="AU120" s="321" t="n">
        <v>0</v>
      </c>
      <c r="AV120" s="321" t="n">
        <v>0</v>
      </c>
      <c r="AW120" s="321" t="n">
        <v>0</v>
      </c>
      <c r="AX120" s="321" t="n">
        <v>0</v>
      </c>
      <c r="AY120" s="321" t="n">
        <v>0</v>
      </c>
      <c r="AZ120" s="321" t="n">
        <v>0</v>
      </c>
      <c r="BA120" s="321" t="n">
        <v>0</v>
      </c>
      <c r="BB120" s="321" t="n">
        <v>0</v>
      </c>
      <c r="BC120" s="321" t="n">
        <v>0</v>
      </c>
      <c r="BD120" s="321" t="n">
        <v>0</v>
      </c>
      <c r="BE120" s="321" t="n">
        <v>0</v>
      </c>
      <c r="BF120" s="321" t="n">
        <v>0</v>
      </c>
      <c r="BG120" s="321" t="n">
        <v>0</v>
      </c>
      <c r="BH120" s="321" t="n">
        <v>0</v>
      </c>
      <c r="BI120" s="321" t="n">
        <v>0</v>
      </c>
      <c r="BJ120" s="321" t="n">
        <v>0</v>
      </c>
      <c r="BK120" s="321" t="n">
        <v>0</v>
      </c>
      <c r="BL120" s="321" t="n">
        <v>0</v>
      </c>
      <c r="BM120" s="321" t="n">
        <v>0</v>
      </c>
      <c r="BN120" s="321" t="n">
        <v>0</v>
      </c>
      <c r="BO120" s="321" t="n">
        <v>0</v>
      </c>
      <c r="BP120" s="324"/>
      <c r="BR120" s="290" t="n">
        <f aca="false">AR120*1000/0.072</f>
        <v>0</v>
      </c>
      <c r="BS120" s="290" t="n">
        <f aca="false">AT120*1000/0.072</f>
        <v>0</v>
      </c>
      <c r="BT120" s="290" t="n">
        <f aca="false">AU120*1000/0.072</f>
        <v>0</v>
      </c>
      <c r="BU120" s="290" t="n">
        <f aca="false">SUM(BR120:BT120)</f>
        <v>0</v>
      </c>
      <c r="BV120" s="290" t="n">
        <f aca="false">AV120*1000/5</f>
        <v>0</v>
      </c>
      <c r="BW120" s="290" t="n">
        <f aca="false">AX120*1000/5</f>
        <v>0</v>
      </c>
      <c r="BX120" s="290" t="n">
        <f aca="false">AY120*1000/5</f>
        <v>0</v>
      </c>
      <c r="BY120" s="290" t="n">
        <f aca="false">SUM(BV120:BX120)</f>
        <v>0</v>
      </c>
      <c r="CA120" s="290" t="n">
        <f aca="false">IF($AM120="n",0,BR120)</f>
        <v>0</v>
      </c>
      <c r="CB120" s="290" t="n">
        <f aca="false">IF($AM120="n",0,BS120)</f>
        <v>0</v>
      </c>
      <c r="CC120" s="290" t="n">
        <f aca="false">IF($AM120="n",0,BT120)</f>
        <v>0</v>
      </c>
      <c r="CD120" s="290" t="n">
        <f aca="false">SUM(CA120:CC120)</f>
        <v>0</v>
      </c>
      <c r="CE120" s="290" t="n">
        <f aca="false">IF($AM$2="n",0,BV120)</f>
        <v>0</v>
      </c>
      <c r="CF120" s="290" t="n">
        <f aca="false">IF($AM$2="n",0,BW120)</f>
        <v>0</v>
      </c>
      <c r="CG120" s="290" t="n">
        <f aca="false">IF($AM$2="n",0,BX120)</f>
        <v>0</v>
      </c>
      <c r="CH120" s="290" t="n">
        <f aca="false">SUM(CE120:CG120)</f>
        <v>0</v>
      </c>
      <c r="CJ120" s="324"/>
      <c r="CK120" s="324"/>
      <c r="CL120" s="324"/>
      <c r="CM120" s="324"/>
      <c r="CN120" s="324"/>
      <c r="CO120" s="324"/>
      <c r="CP120" s="324"/>
      <c r="CQ120" s="324"/>
      <c r="CR120" s="324"/>
      <c r="CS120" s="324"/>
      <c r="CT120" s="324"/>
    </row>
    <row r="121" customFormat="false" ht="15" hidden="false" customHeight="true" outlineLevel="0" collapsed="false">
      <c r="A121" s="291" t="n">
        <v>3878</v>
      </c>
      <c r="B121" s="291"/>
      <c r="C121" s="292" t="s">
        <v>744</v>
      </c>
      <c r="D121" s="293"/>
      <c r="E121" s="288" t="n">
        <f aca="false">IF(I121="regional",IF(R121*0.2975,S121*0.3484),S121*0.1939)</f>
        <v>0</v>
      </c>
      <c r="F121" s="294"/>
      <c r="G121" s="289"/>
      <c r="H121" s="292"/>
      <c r="I121" s="293" t="s">
        <v>48</v>
      </c>
      <c r="J121" s="293"/>
      <c r="K121" s="293"/>
      <c r="L121" s="293"/>
      <c r="M121" s="320"/>
      <c r="N121" s="320"/>
      <c r="O121" s="320"/>
      <c r="P121" s="320"/>
      <c r="Q121" s="320"/>
      <c r="R121" s="320"/>
      <c r="S121" s="320"/>
      <c r="T121" s="318" t="n">
        <f aca="false">IF(I121="regional",IF(R121&gt;0,R121*0.2975,S121*0.3484),S121*0.1939)</f>
        <v>0</v>
      </c>
      <c r="U121" s="320"/>
      <c r="V121" s="320"/>
      <c r="W121" s="320"/>
      <c r="X121" s="320"/>
      <c r="Y121" s="320"/>
      <c r="Z121" s="320"/>
      <c r="AA121" s="320"/>
      <c r="AB121" s="320"/>
      <c r="AC121" s="320"/>
      <c r="AD121" s="320"/>
      <c r="AE121" s="320"/>
      <c r="AF121" s="320"/>
      <c r="AG121" s="320"/>
      <c r="AH121" s="320"/>
      <c r="AI121" s="320"/>
      <c r="AJ121" s="292"/>
      <c r="AK121" s="292"/>
      <c r="AL121" s="321" t="s">
        <v>48</v>
      </c>
      <c r="AM121" s="292"/>
      <c r="AN121" s="321"/>
      <c r="AO121" s="321"/>
      <c r="AP121" s="321"/>
      <c r="AQ121" s="319" t="n">
        <f aca="false">AR121+AT121+AU121+AV121+AX121+AY121+AZ121+BB121+BC121+BD121+BF121+BG121+BH121+BJ121+BK121+(BL121+BM121+BN121)/1000+(0.1*BO121)</f>
        <v>1986</v>
      </c>
      <c r="AR121" s="188" t="n">
        <v>800</v>
      </c>
      <c r="AS121" s="188" t="n">
        <v>1262</v>
      </c>
      <c r="AT121" s="188" t="n">
        <v>460</v>
      </c>
      <c r="AU121" s="188" t="n">
        <v>50</v>
      </c>
      <c r="AV121" s="185" t="n">
        <v>0</v>
      </c>
      <c r="AW121" s="185" t="n">
        <v>34</v>
      </c>
      <c r="AX121" s="185" t="n">
        <v>0</v>
      </c>
      <c r="AY121" s="185" t="n">
        <v>0</v>
      </c>
      <c r="AZ121" s="188" t="n">
        <v>-1</v>
      </c>
      <c r="BA121" s="188" t="n">
        <v>102</v>
      </c>
      <c r="BB121" s="188" t="n">
        <v>68</v>
      </c>
      <c r="BC121" s="188" t="n">
        <v>0</v>
      </c>
      <c r="BD121" s="185" t="n">
        <v>536</v>
      </c>
      <c r="BE121" s="185" t="n">
        <v>0</v>
      </c>
      <c r="BF121" s="185" t="n">
        <v>0</v>
      </c>
      <c r="BG121" s="185" t="n">
        <v>0</v>
      </c>
      <c r="BH121" s="185" t="n">
        <v>73</v>
      </c>
      <c r="BI121" s="185" t="n">
        <v>22</v>
      </c>
      <c r="BJ121" s="185" t="n">
        <v>0</v>
      </c>
      <c r="BK121" s="185" t="n">
        <v>0</v>
      </c>
      <c r="BL121" s="298"/>
      <c r="BM121" s="298"/>
      <c r="BN121" s="298"/>
      <c r="BO121" s="298"/>
      <c r="BP121" s="324"/>
      <c r="BR121" s="290" t="n">
        <f aca="false">AR121*1000/0.072</f>
        <v>11111111.1111111</v>
      </c>
      <c r="BS121" s="290" t="n">
        <f aca="false">AT121*1000/0.072</f>
        <v>6388888.88888889</v>
      </c>
      <c r="BT121" s="290" t="n">
        <f aca="false">AU121*1000/0.072</f>
        <v>694444.444444445</v>
      </c>
      <c r="BU121" s="290" t="n">
        <f aca="false">SUM(BR121:BT121)</f>
        <v>18194444.4444444</v>
      </c>
      <c r="BV121" s="290" t="n">
        <f aca="false">AV121*1000/5</f>
        <v>0</v>
      </c>
      <c r="BW121" s="290" t="n">
        <f aca="false">AX121*1000/5</f>
        <v>0</v>
      </c>
      <c r="BX121" s="290" t="n">
        <f aca="false">AY121*1000/5</f>
        <v>0</v>
      </c>
      <c r="BY121" s="290" t="n">
        <f aca="false">SUM(BV121:BX121)</f>
        <v>0</v>
      </c>
      <c r="CA121" s="290" t="n">
        <f aca="false">IF($AM121="n",0,BR121)</f>
        <v>11111111.1111111</v>
      </c>
      <c r="CB121" s="290" t="n">
        <f aca="false">IF($AM121="n",0,BS121)</f>
        <v>6388888.88888889</v>
      </c>
      <c r="CC121" s="290" t="n">
        <f aca="false">IF($AM121="n",0,BT121)</f>
        <v>694444.444444445</v>
      </c>
      <c r="CD121" s="290" t="n">
        <f aca="false">SUM(CA121:CC121)</f>
        <v>18194444.4444444</v>
      </c>
      <c r="CE121" s="290" t="n">
        <f aca="false">IF($AM$2="n",0,BV121)</f>
        <v>0</v>
      </c>
      <c r="CF121" s="290" t="n">
        <f aca="false">IF($AM$2="n",0,BW121)</f>
        <v>0</v>
      </c>
      <c r="CG121" s="290" t="n">
        <f aca="false">IF($AM$2="n",0,BX121)</f>
        <v>0</v>
      </c>
      <c r="CH121" s="290" t="n">
        <f aca="false">SUM(CE121:CG121)</f>
        <v>0</v>
      </c>
      <c r="CJ121" s="324"/>
      <c r="CK121" s="324"/>
      <c r="CL121" s="324"/>
      <c r="CM121" s="324"/>
      <c r="CN121" s="324"/>
      <c r="CO121" s="324"/>
      <c r="CP121" s="324"/>
      <c r="CQ121" s="324"/>
      <c r="CR121" s="324"/>
      <c r="CS121" s="324"/>
      <c r="CT121" s="324"/>
    </row>
    <row r="122" customFormat="false" ht="15" hidden="false" customHeight="true" outlineLevel="0" collapsed="false">
      <c r="A122" s="291" t="n">
        <v>3621</v>
      </c>
      <c r="B122" s="291"/>
      <c r="C122" s="292" t="s">
        <v>745</v>
      </c>
      <c r="D122" s="293"/>
      <c r="E122" s="288" t="n">
        <f aca="false">IF(I122="regional",IF(R122*0.2975,S122*0.3484),S122*0.1939)</f>
        <v>0</v>
      </c>
      <c r="F122" s="294"/>
      <c r="G122" s="289"/>
      <c r="H122" s="292"/>
      <c r="I122" s="293" t="s">
        <v>718</v>
      </c>
      <c r="J122" s="293"/>
      <c r="K122" s="293"/>
      <c r="L122" s="293"/>
      <c r="M122" s="320"/>
      <c r="N122" s="320"/>
      <c r="O122" s="320"/>
      <c r="P122" s="320"/>
      <c r="Q122" s="320"/>
      <c r="R122" s="320"/>
      <c r="S122" s="320"/>
      <c r="T122" s="318" t="n">
        <f aca="false">IF(I122="regional",IF(R122&gt;0,R122*0.2975,S122*0.3484),S122*0.1939)</f>
        <v>0</v>
      </c>
      <c r="U122" s="320"/>
      <c r="V122" s="320"/>
      <c r="W122" s="320"/>
      <c r="X122" s="320"/>
      <c r="Y122" s="320"/>
      <c r="Z122" s="320"/>
      <c r="AA122" s="320"/>
      <c r="AB122" s="320"/>
      <c r="AC122" s="320"/>
      <c r="AD122" s="320"/>
      <c r="AE122" s="320"/>
      <c r="AF122" s="320"/>
      <c r="AG122" s="320"/>
      <c r="AH122" s="320"/>
      <c r="AI122" s="320"/>
      <c r="AJ122" s="292"/>
      <c r="AK122" s="292"/>
      <c r="AL122" s="321" t="s">
        <v>62</v>
      </c>
      <c r="AM122" s="292"/>
      <c r="AN122" s="321"/>
      <c r="AO122" s="321"/>
      <c r="AP122" s="321"/>
      <c r="AQ122" s="319" t="n">
        <f aca="false">AR122+AT122+AU122+AV122+AX122+AY122+AZ122+BB122+BC122+BD122+BF122+BG122+BH122+BJ122+BK122+(BL122+BM122+BN122)/1000+(0.1*BO122)</f>
        <v>159</v>
      </c>
      <c r="AR122" s="349" t="n">
        <v>0</v>
      </c>
      <c r="AS122" s="349" t="n">
        <v>293</v>
      </c>
      <c r="AT122" s="349" t="n">
        <v>0</v>
      </c>
      <c r="AU122" s="349" t="n">
        <v>130</v>
      </c>
      <c r="AV122" s="350"/>
      <c r="AW122" s="350"/>
      <c r="AX122" s="350"/>
      <c r="AY122" s="350"/>
      <c r="AZ122" s="188" t="n">
        <v>0</v>
      </c>
      <c r="BA122" s="188" t="n">
        <v>0</v>
      </c>
      <c r="BB122" s="188" t="n">
        <v>0</v>
      </c>
      <c r="BC122" s="188" t="n">
        <v>29</v>
      </c>
      <c r="BD122" s="351"/>
      <c r="BE122" s="351"/>
      <c r="BF122" s="351"/>
      <c r="BG122" s="351"/>
      <c r="BH122" s="351"/>
      <c r="BI122" s="351"/>
      <c r="BJ122" s="351"/>
      <c r="BK122" s="351"/>
      <c r="BL122" s="291"/>
      <c r="BM122" s="291"/>
      <c r="BN122" s="291"/>
      <c r="BO122" s="291"/>
      <c r="BP122" s="324"/>
      <c r="BR122" s="290" t="n">
        <f aca="false">AR122*1000/0.072</f>
        <v>0</v>
      </c>
      <c r="BS122" s="290" t="n">
        <f aca="false">AT122*1000/0.072</f>
        <v>0</v>
      </c>
      <c r="BT122" s="290" t="n">
        <f aca="false">AU122*1000/0.072</f>
        <v>1805555.55555556</v>
      </c>
      <c r="BU122" s="290" t="n">
        <f aca="false">SUM(BR122:BT122)</f>
        <v>1805555.55555556</v>
      </c>
      <c r="BV122" s="290" t="n">
        <f aca="false">AV122*1000/5</f>
        <v>0</v>
      </c>
      <c r="BW122" s="290" t="n">
        <f aca="false">AX122*1000/5</f>
        <v>0</v>
      </c>
      <c r="BX122" s="290" t="n">
        <f aca="false">AY122*1000/5</f>
        <v>0</v>
      </c>
      <c r="BY122" s="290" t="n">
        <f aca="false">SUM(BV122:BX122)</f>
        <v>0</v>
      </c>
      <c r="CA122" s="290" t="n">
        <f aca="false">IF($AM122="n",0,BR122)</f>
        <v>0</v>
      </c>
      <c r="CB122" s="290" t="n">
        <f aca="false">IF($AM122="n",0,BS122)</f>
        <v>0</v>
      </c>
      <c r="CC122" s="290" t="n">
        <f aca="false">IF($AM122="n",0,BT122)</f>
        <v>1805555.55555556</v>
      </c>
      <c r="CD122" s="290" t="n">
        <f aca="false">SUM(CA122:CC122)</f>
        <v>1805555.55555556</v>
      </c>
      <c r="CE122" s="290" t="n">
        <f aca="false">IF($AM$2="n",0,BV122)</f>
        <v>0</v>
      </c>
      <c r="CF122" s="290" t="n">
        <f aca="false">IF($AM$2="n",0,BW122)</f>
        <v>0</v>
      </c>
      <c r="CG122" s="290" t="n">
        <f aca="false">IF($AM$2="n",0,BX122)</f>
        <v>0</v>
      </c>
      <c r="CH122" s="290" t="n">
        <f aca="false">SUM(CE122:CG122)</f>
        <v>0</v>
      </c>
      <c r="CJ122" s="324"/>
      <c r="CK122" s="324"/>
      <c r="CL122" s="324"/>
      <c r="CM122" s="324"/>
      <c r="CN122" s="324"/>
      <c r="CO122" s="324"/>
      <c r="CP122" s="324"/>
      <c r="CQ122" s="324"/>
      <c r="CR122" s="324"/>
      <c r="CS122" s="324"/>
      <c r="CT122" s="324"/>
    </row>
    <row r="123" customFormat="false" ht="15" hidden="false" customHeight="true" outlineLevel="0" collapsed="false">
      <c r="A123" s="285" t="n">
        <v>2530</v>
      </c>
      <c r="B123" s="285"/>
      <c r="C123" s="286" t="s">
        <v>360</v>
      </c>
      <c r="D123" s="287" t="s">
        <v>360</v>
      </c>
      <c r="E123" s="288" t="n">
        <f aca="false">IF(I123="regional",IF(R123*0.2975,S123*0.3484),S123*0.1939)</f>
        <v>24002.6871</v>
      </c>
      <c r="F123" s="288" t="n">
        <v>0</v>
      </c>
      <c r="G123" s="289" t="n">
        <f aca="false">E123+F123</f>
        <v>24002.6871</v>
      </c>
      <c r="H123" s="286"/>
      <c r="I123" s="287" t="s">
        <v>62</v>
      </c>
      <c r="J123" s="287"/>
      <c r="K123" s="287" t="s">
        <v>191</v>
      </c>
      <c r="L123" s="287"/>
      <c r="M123" s="317" t="n">
        <v>12</v>
      </c>
      <c r="N123" s="317" t="n">
        <v>0.941</v>
      </c>
      <c r="O123" s="317" t="n">
        <v>0.941</v>
      </c>
      <c r="P123" s="317" t="n">
        <v>0.941</v>
      </c>
      <c r="Q123" s="317" t="n">
        <v>0.808</v>
      </c>
      <c r="R123" s="317" t="n">
        <v>0</v>
      </c>
      <c r="S123" s="317" t="n">
        <v>123789</v>
      </c>
      <c r="T123" s="318" t="n">
        <f aca="false">IF(I123="regional",IF(R123&gt;0,R123*0.2975,S123*0.3484),S123*0.1939)</f>
        <v>24002.6871</v>
      </c>
      <c r="U123" s="317" t="n">
        <v>112714</v>
      </c>
      <c r="V123" s="317" t="n">
        <v>11075</v>
      </c>
      <c r="W123" s="317" t="n">
        <v>751</v>
      </c>
      <c r="X123" s="317" t="n">
        <v>0</v>
      </c>
      <c r="Y123" s="317" t="n">
        <v>0</v>
      </c>
      <c r="Z123" s="317" t="n">
        <v>0</v>
      </c>
      <c r="AA123" s="317" t="n">
        <v>147791.6871</v>
      </c>
      <c r="AB123" s="317" t="n">
        <v>24002.6871</v>
      </c>
      <c r="AC123" s="317" t="n">
        <v>123789</v>
      </c>
      <c r="AD123" s="317" t="n">
        <v>0</v>
      </c>
      <c r="AE123" s="317" t="n">
        <v>0</v>
      </c>
      <c r="AF123" s="317" t="n">
        <v>0</v>
      </c>
      <c r="AG123" s="317" t="n">
        <v>123789</v>
      </c>
      <c r="AH123" s="317" t="n">
        <v>0</v>
      </c>
      <c r="AI123" s="317" t="n">
        <v>0</v>
      </c>
      <c r="AJ123" s="286" t="n">
        <v>4</v>
      </c>
      <c r="AK123" s="286" t="s">
        <v>728</v>
      </c>
      <c r="AL123" s="287" t="s">
        <v>62</v>
      </c>
      <c r="AM123" s="286"/>
      <c r="AN123" s="287" t="s">
        <v>360</v>
      </c>
      <c r="AO123" s="287" t="n">
        <v>24002.6871</v>
      </c>
      <c r="AP123" s="319" t="n">
        <f aca="false">AR123+AT123+AU123+AV123+AX123+AY123+AZ123+BD123+BF123+BG123+BH123+BJ123+BK123+(BL123+BM123+BN123)/1000+(0.1*BO123)</f>
        <v>8</v>
      </c>
      <c r="AQ123" s="319" t="n">
        <f aca="false">AR123+AT123+AU123+AV123+AX123+AY123+AZ123+BB123+BC123+BD123+BF123+BG123+BH123+BJ123+BK123+(BL123+BM123+BN123)/1000+(0.1*BO123)</f>
        <v>9</v>
      </c>
      <c r="AR123" s="285" t="n">
        <v>0</v>
      </c>
      <c r="AS123" s="285" t="n">
        <v>0</v>
      </c>
      <c r="AT123" s="285" t="n">
        <v>4</v>
      </c>
      <c r="AU123" s="285" t="n">
        <v>3</v>
      </c>
      <c r="AV123" s="285" t="n">
        <v>0</v>
      </c>
      <c r="AW123" s="285" t="n">
        <v>0</v>
      </c>
      <c r="AX123" s="285" t="n">
        <v>0</v>
      </c>
      <c r="AY123" s="285" t="n">
        <v>1</v>
      </c>
      <c r="AZ123" s="285" t="n">
        <v>0</v>
      </c>
      <c r="BA123" s="285" t="n">
        <v>0</v>
      </c>
      <c r="BB123" s="285" t="n">
        <v>0</v>
      </c>
      <c r="BC123" s="285" t="n">
        <v>1</v>
      </c>
      <c r="BD123" s="285" t="n">
        <v>0</v>
      </c>
      <c r="BE123" s="285" t="n">
        <v>0</v>
      </c>
      <c r="BF123" s="285" t="n">
        <v>0</v>
      </c>
      <c r="BG123" s="285" t="n">
        <v>0</v>
      </c>
      <c r="BH123" s="285" t="n">
        <v>0</v>
      </c>
      <c r="BI123" s="285" t="n">
        <v>0</v>
      </c>
      <c r="BJ123" s="285" t="n">
        <v>0</v>
      </c>
      <c r="BK123" s="285" t="n">
        <v>0</v>
      </c>
      <c r="BL123" s="285" t="n">
        <v>0</v>
      </c>
      <c r="BM123" s="285" t="n">
        <v>0</v>
      </c>
      <c r="BN123" s="285" t="n">
        <v>0</v>
      </c>
      <c r="BO123" s="285" t="n">
        <v>0</v>
      </c>
      <c r="BR123" s="290" t="n">
        <f aca="false">AR123*1000/0.072</f>
        <v>0</v>
      </c>
      <c r="BS123" s="290" t="n">
        <f aca="false">AT123*1000/0.072</f>
        <v>55555.5555555556</v>
      </c>
      <c r="BT123" s="290" t="n">
        <f aca="false">AU123*1000/0.072</f>
        <v>41666.6666666667</v>
      </c>
      <c r="BU123" s="290" t="n">
        <f aca="false">SUM(BR123:BT123)</f>
        <v>97222.2222222222</v>
      </c>
      <c r="BV123" s="290" t="n">
        <f aca="false">AV123*1000/5</f>
        <v>0</v>
      </c>
      <c r="BW123" s="290" t="n">
        <f aca="false">AX123*1000/5</f>
        <v>0</v>
      </c>
      <c r="BX123" s="290" t="n">
        <f aca="false">AY123*1000/5</f>
        <v>200</v>
      </c>
      <c r="BY123" s="290" t="n">
        <f aca="false">SUM(BV123:BX123)</f>
        <v>200</v>
      </c>
      <c r="CA123" s="290" t="n">
        <f aca="false">IF($AM123="n",0,BR123)</f>
        <v>0</v>
      </c>
      <c r="CB123" s="290" t="n">
        <f aca="false">IF($AM123="n",0,BS123)</f>
        <v>55555.5555555556</v>
      </c>
      <c r="CC123" s="290" t="n">
        <f aca="false">IF($AM123="n",0,BT123)</f>
        <v>41666.6666666667</v>
      </c>
      <c r="CD123" s="290" t="n">
        <f aca="false">SUM(CA123:CC123)</f>
        <v>97222.2222222222</v>
      </c>
      <c r="CE123" s="290" t="n">
        <f aca="false">IF($AM$2="n",0,BV123)</f>
        <v>0</v>
      </c>
      <c r="CF123" s="290" t="n">
        <f aca="false">IF($AM$2="n",0,BW123)</f>
        <v>0</v>
      </c>
      <c r="CG123" s="290" t="n">
        <f aca="false">IF($AM$2="n",0,BX123)</f>
        <v>200</v>
      </c>
      <c r="CH123" s="290" t="n">
        <f aca="false">SUM(CE123:CG123)</f>
        <v>200</v>
      </c>
    </row>
    <row r="124" customFormat="false" ht="15" hidden="false" customHeight="true" outlineLevel="0" collapsed="false">
      <c r="A124" s="285" t="n">
        <v>1506</v>
      </c>
      <c r="B124" s="285"/>
      <c r="C124" s="286" t="s">
        <v>361</v>
      </c>
      <c r="D124" s="287" t="s">
        <v>361</v>
      </c>
      <c r="E124" s="288" t="n">
        <f aca="false">IF(I124="regional",IF(R124*0.2975,S124*0.3484),S124*0.1939)</f>
        <v>134223.5388</v>
      </c>
      <c r="F124" s="288" t="n">
        <v>428123</v>
      </c>
      <c r="G124" s="289" t="n">
        <f aca="false">E124+F124</f>
        <v>562346.5388</v>
      </c>
      <c r="H124" s="286"/>
      <c r="I124" s="287" t="s">
        <v>48</v>
      </c>
      <c r="J124" s="287" t="s">
        <v>49</v>
      </c>
      <c r="K124" s="287" t="s">
        <v>170</v>
      </c>
      <c r="L124" s="287" t="s">
        <v>44</v>
      </c>
      <c r="M124" s="317" t="n">
        <v>50</v>
      </c>
      <c r="N124" s="317" t="n">
        <v>0.779</v>
      </c>
      <c r="O124" s="317" t="n">
        <v>0.779</v>
      </c>
      <c r="P124" s="317" t="n">
        <v>0.86</v>
      </c>
      <c r="Q124" s="317" t="n">
        <v>0.882</v>
      </c>
      <c r="R124" s="317" t="n">
        <v>442056</v>
      </c>
      <c r="S124" s="317" t="n">
        <v>385257</v>
      </c>
      <c r="T124" s="318" t="n">
        <f aca="false">IF(I124="regional",IF(R124&gt;0,R124*0.2975,S124*0.3484),S124*0.1939)</f>
        <v>131511.66</v>
      </c>
      <c r="U124" s="317" t="n">
        <v>252444</v>
      </c>
      <c r="V124" s="317" t="n">
        <v>132813</v>
      </c>
      <c r="W124" s="317" t="n">
        <v>1926</v>
      </c>
      <c r="X124" s="317" t="n">
        <v>559634.66</v>
      </c>
      <c r="Y124" s="317" t="n">
        <v>131511.66</v>
      </c>
      <c r="Z124" s="317" t="n">
        <v>428123</v>
      </c>
      <c r="AA124" s="317" t="n">
        <v>-42866</v>
      </c>
      <c r="AB124" s="317" t="n">
        <v>0</v>
      </c>
      <c r="AC124" s="317" t="n">
        <v>-42866</v>
      </c>
      <c r="AD124" s="317" t="n">
        <v>0</v>
      </c>
      <c r="AE124" s="317" t="n">
        <v>428123</v>
      </c>
      <c r="AF124" s="317" t="n">
        <v>0</v>
      </c>
      <c r="AG124" s="317" t="n">
        <v>-42866</v>
      </c>
      <c r="AH124" s="317" t="n">
        <v>0</v>
      </c>
      <c r="AI124" s="317" t="n">
        <v>0</v>
      </c>
      <c r="AJ124" s="286" t="n">
        <v>4</v>
      </c>
      <c r="AK124" s="286" t="s">
        <v>706</v>
      </c>
      <c r="AL124" s="287" t="s">
        <v>48</v>
      </c>
      <c r="AM124" s="286"/>
      <c r="AN124" s="287" t="s">
        <v>361</v>
      </c>
      <c r="AO124" s="287" t="n">
        <v>559634.66</v>
      </c>
      <c r="AP124" s="319" t="n">
        <f aca="false">AR124+AT124+AU124+AV124+AX124+AY124+AZ124+BD124+BF124+BG124+BH124+BJ124+BK124+(BL124+BM124+BN124)/1000+(0.1*BO124)</f>
        <v>48.3853</v>
      </c>
      <c r="AQ124" s="319" t="n">
        <f aca="false">AR124+AT124+AU124+AV124+AX124+AY124+AZ124+BB124+BC124+BD124+BF124+BG124+BH124+BJ124+BK124+(BL124+BM124+BN124)/1000+(0.1*BO124)</f>
        <v>50.3853</v>
      </c>
      <c r="AR124" s="285" t="n">
        <v>20</v>
      </c>
      <c r="AS124" s="285" t="n">
        <v>0</v>
      </c>
      <c r="AT124" s="285" t="n">
        <v>13</v>
      </c>
      <c r="AU124" s="285" t="n">
        <v>5</v>
      </c>
      <c r="AV124" s="285" t="n">
        <v>0</v>
      </c>
      <c r="AW124" s="285" t="n">
        <v>0</v>
      </c>
      <c r="AX124" s="285" t="n">
        <v>1</v>
      </c>
      <c r="AY124" s="285" t="n">
        <v>2</v>
      </c>
      <c r="AZ124" s="285" t="n">
        <v>0</v>
      </c>
      <c r="BA124" s="285" t="n">
        <v>0</v>
      </c>
      <c r="BB124" s="285" t="n">
        <v>2</v>
      </c>
      <c r="BC124" s="285" t="n">
        <v>0</v>
      </c>
      <c r="BD124" s="285" t="n">
        <v>0</v>
      </c>
      <c r="BE124" s="285" t="n">
        <v>0</v>
      </c>
      <c r="BF124" s="285" t="n">
        <v>0</v>
      </c>
      <c r="BG124" s="285" t="n">
        <v>0</v>
      </c>
      <c r="BH124" s="285" t="n">
        <v>0</v>
      </c>
      <c r="BI124" s="285" t="n">
        <v>0</v>
      </c>
      <c r="BJ124" s="285" t="n">
        <v>0</v>
      </c>
      <c r="BK124" s="285" t="n">
        <v>0</v>
      </c>
      <c r="BL124" s="285" t="n">
        <v>0</v>
      </c>
      <c r="BM124" s="285" t="n">
        <v>0</v>
      </c>
      <c r="BN124" s="285" t="n">
        <v>0</v>
      </c>
      <c r="BO124" s="285" t="n">
        <v>73.853</v>
      </c>
      <c r="BR124" s="290" t="n">
        <f aca="false">AR124*1000/0.072</f>
        <v>277777.777777778</v>
      </c>
      <c r="BS124" s="290" t="n">
        <f aca="false">AT124*1000/0.072</f>
        <v>180555.555555556</v>
      </c>
      <c r="BT124" s="290" t="n">
        <f aca="false">AU124*1000/0.072</f>
        <v>69444.4444444445</v>
      </c>
      <c r="BU124" s="290" t="n">
        <f aca="false">SUM(BR124:BT124)</f>
        <v>527777.777777778</v>
      </c>
      <c r="BV124" s="290" t="n">
        <f aca="false">AV124*1000/5</f>
        <v>0</v>
      </c>
      <c r="BW124" s="290" t="n">
        <f aca="false">AX124*1000/5</f>
        <v>200</v>
      </c>
      <c r="BX124" s="290" t="n">
        <f aca="false">AY124*1000/5</f>
        <v>400</v>
      </c>
      <c r="BY124" s="290" t="n">
        <f aca="false">SUM(BV124:BX124)</f>
        <v>600</v>
      </c>
      <c r="CA124" s="290" t="n">
        <f aca="false">IF($AM124="n",0,BR124)</f>
        <v>277777.777777778</v>
      </c>
      <c r="CB124" s="290" t="n">
        <f aca="false">IF($AM124="n",0,BS124)</f>
        <v>180555.555555556</v>
      </c>
      <c r="CC124" s="290" t="n">
        <f aca="false">IF($AM124="n",0,BT124)</f>
        <v>69444.4444444445</v>
      </c>
      <c r="CD124" s="290" t="n">
        <f aca="false">SUM(CA124:CC124)</f>
        <v>527777.777777778</v>
      </c>
      <c r="CE124" s="290" t="n">
        <f aca="false">IF($AM$2="n",0,BV124)</f>
        <v>0</v>
      </c>
      <c r="CF124" s="290" t="n">
        <f aca="false">IF($AM$2="n",0,BW124)</f>
        <v>200</v>
      </c>
      <c r="CG124" s="290" t="n">
        <f aca="false">IF($AM$2="n",0,BX124)</f>
        <v>400</v>
      </c>
      <c r="CH124" s="290" t="n">
        <f aca="false">SUM(CE124:CG124)</f>
        <v>600</v>
      </c>
    </row>
    <row r="125" customFormat="false" ht="15" hidden="false" customHeight="true" outlineLevel="0" collapsed="false">
      <c r="A125" s="285" t="n">
        <v>2531</v>
      </c>
      <c r="B125" s="285"/>
      <c r="C125" s="286" t="s">
        <v>363</v>
      </c>
      <c r="D125" s="287" t="s">
        <v>363</v>
      </c>
      <c r="E125" s="288" t="n">
        <f aca="false">IF(I125="regional",IF(R125*0.2975,S125*0.3484),S125*0.1939)</f>
        <v>19201.7231</v>
      </c>
      <c r="F125" s="288" t="n">
        <v>0</v>
      </c>
      <c r="G125" s="289" t="n">
        <f aca="false">E125+F125</f>
        <v>19201.7231</v>
      </c>
      <c r="H125" s="286"/>
      <c r="I125" s="287" t="s">
        <v>62</v>
      </c>
      <c r="J125" s="287"/>
      <c r="K125" s="287" t="s">
        <v>170</v>
      </c>
      <c r="L125" s="287"/>
      <c r="M125" s="317" t="n">
        <v>9</v>
      </c>
      <c r="N125" s="317" t="n">
        <v>1</v>
      </c>
      <c r="O125" s="317" t="n">
        <v>1</v>
      </c>
      <c r="P125" s="317" t="n">
        <v>1</v>
      </c>
      <c r="Q125" s="317" t="n">
        <v>1</v>
      </c>
      <c r="R125" s="317" t="n">
        <v>0</v>
      </c>
      <c r="S125" s="317" t="n">
        <v>99029</v>
      </c>
      <c r="T125" s="318" t="n">
        <f aca="false">IF(I125="regional",IF(R125&gt;0,R125*0.2975,S125*0.3484),S125*0.1939)</f>
        <v>19201.7231</v>
      </c>
      <c r="U125" s="317" t="n">
        <v>72104</v>
      </c>
      <c r="V125" s="317" t="n">
        <v>26925</v>
      </c>
      <c r="W125" s="317" t="n">
        <v>600</v>
      </c>
      <c r="X125" s="317" t="n">
        <v>0</v>
      </c>
      <c r="Y125" s="317" t="n">
        <v>0</v>
      </c>
      <c r="Z125" s="317" t="n">
        <v>0</v>
      </c>
      <c r="AA125" s="317" t="n">
        <v>118230.7231</v>
      </c>
      <c r="AB125" s="317" t="n">
        <v>19201.7231</v>
      </c>
      <c r="AC125" s="317" t="n">
        <v>99029</v>
      </c>
      <c r="AD125" s="317" t="n">
        <v>0</v>
      </c>
      <c r="AE125" s="317" t="n">
        <v>0</v>
      </c>
      <c r="AF125" s="317" t="n">
        <v>0</v>
      </c>
      <c r="AG125" s="317" t="n">
        <v>99029</v>
      </c>
      <c r="AH125" s="317" t="n">
        <v>0</v>
      </c>
      <c r="AI125" s="317" t="n">
        <v>0</v>
      </c>
      <c r="AJ125" s="286" t="n">
        <v>4</v>
      </c>
      <c r="AK125" s="286" t="s">
        <v>720</v>
      </c>
      <c r="AL125" s="287" t="s">
        <v>62</v>
      </c>
      <c r="AM125" s="286"/>
      <c r="AN125" s="287" t="s">
        <v>363</v>
      </c>
      <c r="AO125" s="287" t="n">
        <v>19201.7231</v>
      </c>
      <c r="AP125" s="319" t="n">
        <f aca="false">AR125+AT125+AU125+AV125+AX125+AY125+AZ125+BD125+BF125+BG125+BH125+BJ125+BK125+(BL125+BM125+BN125)/1000+(0.1*BO125)</f>
        <v>5.786996</v>
      </c>
      <c r="AQ125" s="319" t="n">
        <f aca="false">AR125+AT125+AU125+AV125+AX125+AY125+AZ125+BB125+BC125+BD125+BF125+BG125+BH125+BJ125+BK125+(BL125+BM125+BN125)/1000+(0.1*BO125)</f>
        <v>5.786996</v>
      </c>
      <c r="AR125" s="285" t="n">
        <v>0</v>
      </c>
      <c r="AS125" s="285" t="n">
        <v>0</v>
      </c>
      <c r="AT125" s="285" t="n">
        <v>4</v>
      </c>
      <c r="AU125" s="285" t="n">
        <v>0</v>
      </c>
      <c r="AV125" s="285" t="n">
        <v>0</v>
      </c>
      <c r="AW125" s="285" t="n">
        <v>0</v>
      </c>
      <c r="AX125" s="285" t="n">
        <v>0</v>
      </c>
      <c r="AY125" s="285" t="n">
        <v>0</v>
      </c>
      <c r="AZ125" s="285" t="n">
        <v>0</v>
      </c>
      <c r="BA125" s="285" t="n">
        <v>0</v>
      </c>
      <c r="BB125" s="285" t="n">
        <v>0</v>
      </c>
      <c r="BC125" s="285" t="n">
        <v>0</v>
      </c>
      <c r="BD125" s="285" t="n">
        <v>0</v>
      </c>
      <c r="BE125" s="285" t="n">
        <v>0</v>
      </c>
      <c r="BF125" s="285" t="n">
        <v>0</v>
      </c>
      <c r="BG125" s="285" t="n">
        <v>0</v>
      </c>
      <c r="BH125" s="285" t="n">
        <v>0</v>
      </c>
      <c r="BI125" s="285" t="n">
        <v>0</v>
      </c>
      <c r="BJ125" s="285" t="n">
        <v>0</v>
      </c>
      <c r="BK125" s="285" t="n">
        <v>0</v>
      </c>
      <c r="BL125" s="285" t="n">
        <v>0</v>
      </c>
      <c r="BM125" s="285" t="n">
        <v>0</v>
      </c>
      <c r="BN125" s="285" t="n">
        <v>0</v>
      </c>
      <c r="BO125" s="285" t="n">
        <v>17.86996</v>
      </c>
      <c r="BR125" s="290" t="n">
        <f aca="false">AR125*1000/0.072</f>
        <v>0</v>
      </c>
      <c r="BS125" s="290" t="n">
        <f aca="false">AT125*1000/0.072</f>
        <v>55555.5555555556</v>
      </c>
      <c r="BT125" s="290" t="n">
        <f aca="false">AU125*1000/0.072</f>
        <v>0</v>
      </c>
      <c r="BU125" s="290" t="n">
        <f aca="false">SUM(BR125:BT125)</f>
        <v>55555.5555555556</v>
      </c>
      <c r="BV125" s="290" t="n">
        <f aca="false">AV125*1000/5</f>
        <v>0</v>
      </c>
      <c r="BW125" s="290" t="n">
        <f aca="false">AX125*1000/5</f>
        <v>0</v>
      </c>
      <c r="BX125" s="290" t="n">
        <f aca="false">AY125*1000/5</f>
        <v>0</v>
      </c>
      <c r="BY125" s="290" t="n">
        <f aca="false">SUM(BV125:BX125)</f>
        <v>0</v>
      </c>
      <c r="CA125" s="290" t="n">
        <f aca="false">IF($AM125="n",0,BR125)</f>
        <v>0</v>
      </c>
      <c r="CB125" s="290" t="n">
        <f aca="false">IF($AM125="n",0,BS125)</f>
        <v>55555.5555555556</v>
      </c>
      <c r="CC125" s="290" t="n">
        <f aca="false">IF($AM125="n",0,BT125)</f>
        <v>0</v>
      </c>
      <c r="CD125" s="290" t="n">
        <f aca="false">SUM(CA125:CC125)</f>
        <v>55555.5555555556</v>
      </c>
      <c r="CE125" s="290" t="n">
        <f aca="false">IF($AM$2="n",0,BV125)</f>
        <v>0</v>
      </c>
      <c r="CF125" s="290" t="n">
        <f aca="false">IF($AM$2="n",0,BW125)</f>
        <v>0</v>
      </c>
      <c r="CG125" s="290" t="n">
        <f aca="false">IF($AM$2="n",0,BX125)</f>
        <v>0</v>
      </c>
      <c r="CH125" s="290" t="n">
        <f aca="false">SUM(CE125:CG125)</f>
        <v>0</v>
      </c>
    </row>
    <row r="126" customFormat="false" ht="15" hidden="false" customHeight="true" outlineLevel="0" collapsed="false">
      <c r="A126" s="285" t="n">
        <v>2544</v>
      </c>
      <c r="B126" s="285"/>
      <c r="C126" s="286" t="s">
        <v>364</v>
      </c>
      <c r="D126" s="287" t="s">
        <v>364</v>
      </c>
      <c r="E126" s="288" t="n">
        <f aca="false">IF(I126="regional",IF(R126*0.2975,S126*0.3484),S126*0.1939)</f>
        <v>18373.7701</v>
      </c>
      <c r="F126" s="288" t="n">
        <v>0</v>
      </c>
      <c r="G126" s="289" t="n">
        <f aca="false">E126+F126</f>
        <v>18373.7701</v>
      </c>
      <c r="H126" s="286"/>
      <c r="I126" s="287" t="s">
        <v>62</v>
      </c>
      <c r="J126" s="287"/>
      <c r="K126" s="287" t="s">
        <v>334</v>
      </c>
      <c r="L126" s="287"/>
      <c r="M126" s="317" t="n">
        <v>3</v>
      </c>
      <c r="N126" s="317" t="n">
        <v>0.971</v>
      </c>
      <c r="O126" s="317" t="n">
        <v>0.971</v>
      </c>
      <c r="P126" s="317" t="n">
        <v>0.971</v>
      </c>
      <c r="Q126" s="317" t="n">
        <v>0.971</v>
      </c>
      <c r="R126" s="317" t="n">
        <v>0</v>
      </c>
      <c r="S126" s="317" t="n">
        <v>94759</v>
      </c>
      <c r="T126" s="318" t="n">
        <f aca="false">IF(I126="regional",IF(R126&gt;0,R126*0.2975,S126*0.3484),S126*0.1939)</f>
        <v>18373.7701</v>
      </c>
      <c r="U126" s="317" t="n">
        <v>88470</v>
      </c>
      <c r="V126" s="317" t="n">
        <v>6289</v>
      </c>
      <c r="W126" s="317" t="n">
        <v>584</v>
      </c>
      <c r="X126" s="317" t="n">
        <v>0</v>
      </c>
      <c r="Y126" s="317" t="n">
        <v>0</v>
      </c>
      <c r="Z126" s="317" t="n">
        <v>0</v>
      </c>
      <c r="AA126" s="317" t="n">
        <v>113132.7701</v>
      </c>
      <c r="AB126" s="317" t="n">
        <v>18373.7701</v>
      </c>
      <c r="AC126" s="317" t="n">
        <v>94759</v>
      </c>
      <c r="AD126" s="317" t="n">
        <v>0</v>
      </c>
      <c r="AE126" s="317" t="n">
        <v>0</v>
      </c>
      <c r="AF126" s="317" t="n">
        <v>0</v>
      </c>
      <c r="AG126" s="317" t="n">
        <v>94759</v>
      </c>
      <c r="AH126" s="317" t="n">
        <v>0</v>
      </c>
      <c r="AI126" s="317" t="n">
        <v>0</v>
      </c>
      <c r="AJ126" s="286" t="s">
        <v>707</v>
      </c>
      <c r="AK126" s="286" t="s">
        <v>712</v>
      </c>
      <c r="AL126" s="287" t="s">
        <v>62</v>
      </c>
      <c r="AM126" s="286"/>
      <c r="AN126" s="287" t="s">
        <v>364</v>
      </c>
      <c r="AO126" s="287" t="n">
        <v>18373.7701</v>
      </c>
      <c r="AP126" s="319" t="n">
        <f aca="false">AR126+AT126+AU126+AV126+AX126+AY126+AZ126+BD126+BF126+BG126+BH126+BJ126+BK126+(BL126+BM126+BN126)/1000+(0.1*BO126)</f>
        <v>0</v>
      </c>
      <c r="AQ126" s="319" t="n">
        <f aca="false">AR126+AT126+AU126+AV126+AX126+AY126+AZ126+BB126+BC126+BD126+BF126+BG126+BH126+BJ126+BK126+(BL126+BM126+BN126)/1000+(0.1*BO126)</f>
        <v>0</v>
      </c>
      <c r="AR126" s="285" t="n">
        <v>0</v>
      </c>
      <c r="AS126" s="285" t="n">
        <v>0</v>
      </c>
      <c r="AT126" s="285" t="n">
        <v>0</v>
      </c>
      <c r="AU126" s="285" t="n">
        <v>0</v>
      </c>
      <c r="AV126" s="285" t="n">
        <v>0</v>
      </c>
      <c r="AW126" s="285" t="n">
        <v>0</v>
      </c>
      <c r="AX126" s="285" t="n">
        <v>0</v>
      </c>
      <c r="AY126" s="285" t="n">
        <v>0</v>
      </c>
      <c r="AZ126" s="285" t="n">
        <v>0</v>
      </c>
      <c r="BA126" s="285" t="n">
        <v>0</v>
      </c>
      <c r="BB126" s="285" t="n">
        <v>0</v>
      </c>
      <c r="BC126" s="285" t="n">
        <v>0</v>
      </c>
      <c r="BD126" s="285" t="n">
        <v>0</v>
      </c>
      <c r="BE126" s="285" t="n">
        <v>0</v>
      </c>
      <c r="BF126" s="285" t="n">
        <v>0</v>
      </c>
      <c r="BG126" s="285" t="n">
        <v>0</v>
      </c>
      <c r="BH126" s="285" t="n">
        <v>0</v>
      </c>
      <c r="BI126" s="285" t="n">
        <v>0</v>
      </c>
      <c r="BJ126" s="285" t="n">
        <v>0</v>
      </c>
      <c r="BK126" s="285" t="n">
        <v>0</v>
      </c>
      <c r="BL126" s="285" t="n">
        <v>0</v>
      </c>
      <c r="BM126" s="285" t="n">
        <v>0</v>
      </c>
      <c r="BN126" s="285" t="n">
        <v>0</v>
      </c>
      <c r="BO126" s="285" t="n">
        <v>0</v>
      </c>
      <c r="BR126" s="290" t="n">
        <f aca="false">AR126*1000/0.072</f>
        <v>0</v>
      </c>
      <c r="BS126" s="290" t="n">
        <f aca="false">AT126*1000/0.072</f>
        <v>0</v>
      </c>
      <c r="BT126" s="290" t="n">
        <f aca="false">AU126*1000/0.072</f>
        <v>0</v>
      </c>
      <c r="BU126" s="290" t="n">
        <f aca="false">SUM(BR126:BT126)</f>
        <v>0</v>
      </c>
      <c r="BV126" s="290" t="n">
        <f aca="false">AV126*1000/5</f>
        <v>0</v>
      </c>
      <c r="BW126" s="290" t="n">
        <f aca="false">AX126*1000/5</f>
        <v>0</v>
      </c>
      <c r="BX126" s="290" t="n">
        <f aca="false">AY126*1000/5</f>
        <v>0</v>
      </c>
      <c r="BY126" s="290" t="n">
        <f aca="false">SUM(BV126:BX126)</f>
        <v>0</v>
      </c>
      <c r="CA126" s="290" t="n">
        <f aca="false">IF($AM126="n",0,BR126)</f>
        <v>0</v>
      </c>
      <c r="CB126" s="290" t="n">
        <f aca="false">IF($AM126="n",0,BS126)</f>
        <v>0</v>
      </c>
      <c r="CC126" s="290" t="n">
        <f aca="false">IF($AM126="n",0,BT126)</f>
        <v>0</v>
      </c>
      <c r="CD126" s="290" t="n">
        <f aca="false">SUM(CA126:CC126)</f>
        <v>0</v>
      </c>
      <c r="CE126" s="290" t="n">
        <f aca="false">IF($AM$2="n",0,BV126)</f>
        <v>0</v>
      </c>
      <c r="CF126" s="290" t="n">
        <f aca="false">IF($AM$2="n",0,BW126)</f>
        <v>0</v>
      </c>
      <c r="CG126" s="290" t="n">
        <f aca="false">IF($AM$2="n",0,BX126)</f>
        <v>0</v>
      </c>
      <c r="CH126" s="290" t="n">
        <f aca="false">SUM(CE126:CG126)</f>
        <v>0</v>
      </c>
    </row>
    <row r="127" customFormat="false" ht="15" hidden="false" customHeight="true" outlineLevel="0" collapsed="false">
      <c r="A127" s="285" t="n">
        <v>1583</v>
      </c>
      <c r="B127" s="285"/>
      <c r="C127" s="286" t="s">
        <v>366</v>
      </c>
      <c r="D127" s="287" t="s">
        <v>366</v>
      </c>
      <c r="E127" s="288" t="n">
        <f aca="false">IF(I127="regional",IF(R127*0.2975,S127*0.3484),S127*0.1939)</f>
        <v>19865.2489</v>
      </c>
      <c r="F127" s="288" t="n">
        <v>0</v>
      </c>
      <c r="G127" s="289" t="n">
        <f aca="false">E127+F127</f>
        <v>19865.2489</v>
      </c>
      <c r="H127" s="286"/>
      <c r="I127" s="287" t="s">
        <v>62</v>
      </c>
      <c r="J127" s="287"/>
      <c r="K127" s="287" t="s">
        <v>115</v>
      </c>
      <c r="L127" s="287"/>
      <c r="M127" s="317" t="n">
        <v>11</v>
      </c>
      <c r="N127" s="317" t="n">
        <v>0.876</v>
      </c>
      <c r="O127" s="317" t="n">
        <v>0.876</v>
      </c>
      <c r="P127" s="317" t="n">
        <v>0.876</v>
      </c>
      <c r="Q127" s="317" t="n">
        <v>1</v>
      </c>
      <c r="R127" s="317" t="n">
        <v>0</v>
      </c>
      <c r="S127" s="317" t="n">
        <v>102451</v>
      </c>
      <c r="T127" s="318" t="n">
        <f aca="false">IF(I127="regional",IF(R127&gt;0,R127*0.2975,S127*0.3484),S127*0.1939)</f>
        <v>19865.2489</v>
      </c>
      <c r="U127" s="317" t="n">
        <v>45427</v>
      </c>
      <c r="V127" s="317" t="n">
        <v>57024</v>
      </c>
      <c r="W127" s="317" t="n">
        <v>590</v>
      </c>
      <c r="X127" s="317" t="n">
        <v>0</v>
      </c>
      <c r="Y127" s="317" t="n">
        <v>0</v>
      </c>
      <c r="Z127" s="317" t="n">
        <v>0</v>
      </c>
      <c r="AA127" s="317" t="n">
        <v>122316.2489</v>
      </c>
      <c r="AB127" s="317" t="n">
        <v>19865.2489</v>
      </c>
      <c r="AC127" s="317" t="n">
        <v>102451</v>
      </c>
      <c r="AD127" s="317" t="n">
        <v>0</v>
      </c>
      <c r="AE127" s="317" t="n">
        <v>0</v>
      </c>
      <c r="AF127" s="317" t="n">
        <v>0</v>
      </c>
      <c r="AG127" s="317" t="n">
        <v>102451</v>
      </c>
      <c r="AH127" s="317" t="n">
        <v>0</v>
      </c>
      <c r="AI127" s="317" t="n">
        <v>0</v>
      </c>
      <c r="AJ127" s="286" t="n">
        <v>4</v>
      </c>
      <c r="AK127" s="286" t="s">
        <v>720</v>
      </c>
      <c r="AL127" s="287" t="s">
        <v>62</v>
      </c>
      <c r="AM127" s="286"/>
      <c r="AN127" s="287" t="s">
        <v>366</v>
      </c>
      <c r="AO127" s="287" t="n">
        <v>19865.2489</v>
      </c>
      <c r="AP127" s="319" t="n">
        <f aca="false">AR127+AT127+AU127+AV127+AX127+AY127+AZ127+BD127+BF127+BG127+BH127+BJ127+BK127+(BL127+BM127+BN127)/1000+(0.1*BO127)</f>
        <v>14</v>
      </c>
      <c r="AQ127" s="319" t="n">
        <f aca="false">AR127+AT127+AU127+AV127+AX127+AY127+AZ127+BB127+BC127+BD127+BF127+BG127+BH127+BJ127+BK127+(BL127+BM127+BN127)/1000+(0.1*BO127)</f>
        <v>14</v>
      </c>
      <c r="AR127" s="285" t="n">
        <v>0</v>
      </c>
      <c r="AS127" s="285" t="n">
        <v>0</v>
      </c>
      <c r="AT127" s="285" t="n">
        <v>7</v>
      </c>
      <c r="AU127" s="285" t="n">
        <v>5</v>
      </c>
      <c r="AV127" s="285" t="n">
        <v>0</v>
      </c>
      <c r="AW127" s="285" t="n">
        <v>0</v>
      </c>
      <c r="AX127" s="285" t="n">
        <v>0</v>
      </c>
      <c r="AY127" s="285" t="n">
        <v>2</v>
      </c>
      <c r="AZ127" s="285" t="n">
        <v>0</v>
      </c>
      <c r="BA127" s="285" t="n">
        <v>0</v>
      </c>
      <c r="BB127" s="285" t="n">
        <v>0</v>
      </c>
      <c r="BC127" s="285" t="n">
        <v>0</v>
      </c>
      <c r="BD127" s="285" t="n">
        <v>0</v>
      </c>
      <c r="BE127" s="285" t="n">
        <v>0</v>
      </c>
      <c r="BF127" s="285" t="n">
        <v>0</v>
      </c>
      <c r="BG127" s="285" t="n">
        <v>0</v>
      </c>
      <c r="BH127" s="285" t="n">
        <v>0</v>
      </c>
      <c r="BI127" s="285" t="n">
        <v>0</v>
      </c>
      <c r="BJ127" s="285" t="n">
        <v>0</v>
      </c>
      <c r="BK127" s="285" t="n">
        <v>0</v>
      </c>
      <c r="BL127" s="285" t="n">
        <v>0</v>
      </c>
      <c r="BM127" s="285" t="n">
        <v>0</v>
      </c>
      <c r="BN127" s="285" t="n">
        <v>0</v>
      </c>
      <c r="BO127" s="285" t="n">
        <v>0</v>
      </c>
      <c r="BR127" s="290" t="n">
        <f aca="false">AR127*1000/0.072</f>
        <v>0</v>
      </c>
      <c r="BS127" s="290" t="n">
        <f aca="false">AT127*1000/0.072</f>
        <v>97222.2222222222</v>
      </c>
      <c r="BT127" s="290" t="n">
        <f aca="false">AU127*1000/0.072</f>
        <v>69444.4444444445</v>
      </c>
      <c r="BU127" s="290" t="n">
        <f aca="false">SUM(BR127:BT127)</f>
        <v>166666.666666667</v>
      </c>
      <c r="BV127" s="290" t="n">
        <f aca="false">AV127*1000/5</f>
        <v>0</v>
      </c>
      <c r="BW127" s="290" t="n">
        <f aca="false">AX127*1000/5</f>
        <v>0</v>
      </c>
      <c r="BX127" s="290" t="n">
        <f aca="false">AY127*1000/5</f>
        <v>400</v>
      </c>
      <c r="BY127" s="290" t="n">
        <f aca="false">SUM(BV127:BX127)</f>
        <v>400</v>
      </c>
      <c r="CA127" s="290" t="n">
        <f aca="false">IF($AM127="n",0,BR127)</f>
        <v>0</v>
      </c>
      <c r="CB127" s="290" t="n">
        <f aca="false">IF($AM127="n",0,BS127)</f>
        <v>97222.2222222222</v>
      </c>
      <c r="CC127" s="290" t="n">
        <f aca="false">IF($AM127="n",0,BT127)</f>
        <v>69444.4444444445</v>
      </c>
      <c r="CD127" s="290" t="n">
        <f aca="false">SUM(CA127:CC127)</f>
        <v>166666.666666667</v>
      </c>
      <c r="CE127" s="290" t="n">
        <f aca="false">IF($AM$2="n",0,BV127)</f>
        <v>0</v>
      </c>
      <c r="CF127" s="290" t="n">
        <f aca="false">IF($AM$2="n",0,BW127)</f>
        <v>0</v>
      </c>
      <c r="CG127" s="290" t="n">
        <f aca="false">IF($AM$2="n",0,BX127)</f>
        <v>400</v>
      </c>
      <c r="CH127" s="290" t="n">
        <f aca="false">SUM(CE127:CG127)</f>
        <v>400</v>
      </c>
    </row>
    <row r="128" customFormat="false" ht="15" hidden="false" customHeight="true" outlineLevel="0" collapsed="false">
      <c r="A128" s="285" t="n">
        <v>2614</v>
      </c>
      <c r="B128" s="285"/>
      <c r="C128" s="286" t="s">
        <v>367</v>
      </c>
      <c r="D128" s="287" t="s">
        <v>367</v>
      </c>
      <c r="E128" s="288" t="n">
        <f aca="false">IF(I128="regional",IF(R128*0.2975,S128*0.3484),S128*0.1939)</f>
        <v>51859.5245</v>
      </c>
      <c r="F128" s="288" t="n">
        <v>0</v>
      </c>
      <c r="G128" s="289" t="n">
        <f aca="false">E128+F128</f>
        <v>51859.5245</v>
      </c>
      <c r="H128" s="286"/>
      <c r="I128" s="287" t="s">
        <v>62</v>
      </c>
      <c r="J128" s="287"/>
      <c r="K128" s="287" t="s">
        <v>98</v>
      </c>
      <c r="L128" s="287"/>
      <c r="M128" s="317" t="n">
        <v>14</v>
      </c>
      <c r="N128" s="317" t="n">
        <v>0.886</v>
      </c>
      <c r="O128" s="317" t="n">
        <v>0.86</v>
      </c>
      <c r="P128" s="317" t="n">
        <v>0.86</v>
      </c>
      <c r="Q128" s="317" t="n">
        <v>0.864</v>
      </c>
      <c r="R128" s="317" t="n">
        <v>0</v>
      </c>
      <c r="S128" s="317" t="n">
        <v>267455</v>
      </c>
      <c r="T128" s="318" t="n">
        <f aca="false">IF(I128="regional",IF(R128&gt;0,R128*0.2975,S128*0.3484),S128*0.1939)</f>
        <v>51859.5245</v>
      </c>
      <c r="U128" s="317" t="n">
        <v>230855</v>
      </c>
      <c r="V128" s="317" t="n">
        <v>36600</v>
      </c>
      <c r="W128" s="317" t="n">
        <v>1232</v>
      </c>
      <c r="X128" s="317" t="n">
        <v>0</v>
      </c>
      <c r="Y128" s="317" t="n">
        <v>0</v>
      </c>
      <c r="Z128" s="317" t="n">
        <v>0</v>
      </c>
      <c r="AA128" s="317" t="n">
        <v>319314.5245</v>
      </c>
      <c r="AB128" s="317" t="n">
        <v>51859.5245</v>
      </c>
      <c r="AC128" s="317" t="n">
        <v>267455</v>
      </c>
      <c r="AD128" s="317" t="n">
        <v>0</v>
      </c>
      <c r="AE128" s="317" t="n">
        <v>0</v>
      </c>
      <c r="AF128" s="317" t="n">
        <v>0</v>
      </c>
      <c r="AG128" s="317" t="n">
        <v>267455</v>
      </c>
      <c r="AH128" s="317" t="n">
        <v>0</v>
      </c>
      <c r="AI128" s="317" t="n">
        <v>0</v>
      </c>
      <c r="AJ128" s="286" t="n">
        <v>4</v>
      </c>
      <c r="AK128" s="286" t="s">
        <v>706</v>
      </c>
      <c r="AL128" s="287" t="s">
        <v>62</v>
      </c>
      <c r="AM128" s="286"/>
      <c r="AN128" s="287" t="s">
        <v>367</v>
      </c>
      <c r="AO128" s="287" t="n">
        <v>51859.5245</v>
      </c>
      <c r="AP128" s="319" t="n">
        <f aca="false">AR128+AT128+AU128+AV128+AX128+AY128+AZ128+BD128+BF128+BG128+BH128+BJ128+BK128+(BL128+BM128+BN128)/1000+(0.1*BO128)</f>
        <v>16</v>
      </c>
      <c r="AQ128" s="319" t="n">
        <f aca="false">AR128+AT128+AU128+AV128+AX128+AY128+AZ128+BB128+BC128+BD128+BF128+BG128+BH128+BJ128+BK128+(BL128+BM128+BN128)/1000+(0.1*BO128)</f>
        <v>19</v>
      </c>
      <c r="AR128" s="285" t="n">
        <v>0</v>
      </c>
      <c r="AS128" s="285" t="n">
        <v>0</v>
      </c>
      <c r="AT128" s="285" t="n">
        <v>12</v>
      </c>
      <c r="AU128" s="285" t="n">
        <v>4</v>
      </c>
      <c r="AV128" s="285" t="n">
        <v>0</v>
      </c>
      <c r="AW128" s="285" t="n">
        <v>0</v>
      </c>
      <c r="AX128" s="285" t="n">
        <v>0</v>
      </c>
      <c r="AY128" s="285" t="n">
        <v>0</v>
      </c>
      <c r="AZ128" s="285" t="n">
        <v>0</v>
      </c>
      <c r="BA128" s="285" t="n">
        <v>2</v>
      </c>
      <c r="BB128" s="285" t="n">
        <v>3</v>
      </c>
      <c r="BC128" s="285" t="n">
        <v>0</v>
      </c>
      <c r="BD128" s="285" t="n">
        <v>0</v>
      </c>
      <c r="BE128" s="285" t="n">
        <v>0</v>
      </c>
      <c r="BF128" s="285" t="n">
        <v>0</v>
      </c>
      <c r="BG128" s="285" t="n">
        <v>0</v>
      </c>
      <c r="BH128" s="285" t="n">
        <v>0</v>
      </c>
      <c r="BI128" s="285" t="n">
        <v>0</v>
      </c>
      <c r="BJ128" s="285" t="n">
        <v>0</v>
      </c>
      <c r="BK128" s="285" t="n">
        <v>0</v>
      </c>
      <c r="BL128" s="285" t="n">
        <v>0</v>
      </c>
      <c r="BM128" s="285" t="n">
        <v>0</v>
      </c>
      <c r="BN128" s="285" t="n">
        <v>0</v>
      </c>
      <c r="BO128" s="285" t="n">
        <v>0</v>
      </c>
      <c r="BR128" s="290" t="n">
        <f aca="false">AR128*1000/0.072</f>
        <v>0</v>
      </c>
      <c r="BS128" s="290" t="n">
        <f aca="false">AT128*1000/0.072</f>
        <v>166666.666666667</v>
      </c>
      <c r="BT128" s="290" t="n">
        <f aca="false">AU128*1000/0.072</f>
        <v>55555.5555555556</v>
      </c>
      <c r="BU128" s="290" t="n">
        <f aca="false">SUM(BR128:BT128)</f>
        <v>222222.222222222</v>
      </c>
      <c r="BV128" s="290" t="n">
        <f aca="false">AV128*1000/5</f>
        <v>0</v>
      </c>
      <c r="BW128" s="290" t="n">
        <f aca="false">AX128*1000/5</f>
        <v>0</v>
      </c>
      <c r="BX128" s="290" t="n">
        <f aca="false">AY128*1000/5</f>
        <v>0</v>
      </c>
      <c r="BY128" s="290" t="n">
        <f aca="false">SUM(BV128:BX128)</f>
        <v>0</v>
      </c>
      <c r="CA128" s="290" t="n">
        <f aca="false">IF($AM128="n",0,BR128)</f>
        <v>0</v>
      </c>
      <c r="CB128" s="290" t="n">
        <f aca="false">IF($AM128="n",0,BS128)</f>
        <v>166666.666666667</v>
      </c>
      <c r="CC128" s="290" t="n">
        <f aca="false">IF($AM128="n",0,BT128)</f>
        <v>55555.5555555556</v>
      </c>
      <c r="CD128" s="290" t="n">
        <f aca="false">SUM(CA128:CC128)</f>
        <v>222222.222222222</v>
      </c>
      <c r="CE128" s="290" t="n">
        <f aca="false">IF($AM$2="n",0,BV128)</f>
        <v>0</v>
      </c>
      <c r="CF128" s="290" t="n">
        <f aca="false">IF($AM$2="n",0,BW128)</f>
        <v>0</v>
      </c>
      <c r="CG128" s="290" t="n">
        <f aca="false">IF($AM$2="n",0,BX128)</f>
        <v>0</v>
      </c>
      <c r="CH128" s="290" t="n">
        <f aca="false">SUM(CE128:CG128)</f>
        <v>0</v>
      </c>
    </row>
    <row r="129" customFormat="false" ht="15" hidden="false" customHeight="true" outlineLevel="0" collapsed="false">
      <c r="A129" s="285" t="n">
        <v>2547</v>
      </c>
      <c r="B129" s="285"/>
      <c r="C129" s="286" t="s">
        <v>369</v>
      </c>
      <c r="D129" s="287" t="s">
        <v>369</v>
      </c>
      <c r="E129" s="288" t="n">
        <f aca="false">IF(I129="regional",IF(R129*0.2975,S129*0.3484),S129*0.1939)</f>
        <v>265371.054</v>
      </c>
      <c r="F129" s="288" t="n">
        <v>276347</v>
      </c>
      <c r="G129" s="289" t="n">
        <f aca="false">E129+F129</f>
        <v>541718.054</v>
      </c>
      <c r="H129" s="286"/>
      <c r="I129" s="287" t="s">
        <v>48</v>
      </c>
      <c r="J129" s="287" t="s">
        <v>49</v>
      </c>
      <c r="K129" s="287" t="s">
        <v>372</v>
      </c>
      <c r="L129" s="287" t="s">
        <v>44</v>
      </c>
      <c r="M129" s="317" t="n">
        <v>83</v>
      </c>
      <c r="N129" s="317" t="n">
        <v>0.864</v>
      </c>
      <c r="O129" s="317" t="n">
        <v>0.964</v>
      </c>
      <c r="P129" s="317" t="n">
        <v>0.951</v>
      </c>
      <c r="Q129" s="317" t="n">
        <v>0.954</v>
      </c>
      <c r="R129" s="317" t="n">
        <v>862393</v>
      </c>
      <c r="S129" s="317" t="n">
        <v>761685</v>
      </c>
      <c r="T129" s="318" t="n">
        <f aca="false">IF(I129="regional",IF(R129&gt;0,R129*0.2975,S129*0.3484),S129*0.1939)</f>
        <v>256561.9175</v>
      </c>
      <c r="U129" s="317" t="n">
        <v>554156</v>
      </c>
      <c r="V129" s="317" t="n">
        <v>207529</v>
      </c>
      <c r="W129" s="317" t="n">
        <v>3815</v>
      </c>
      <c r="X129" s="317" t="n">
        <v>532908.9175</v>
      </c>
      <c r="Y129" s="317" t="n">
        <v>256561.9175</v>
      </c>
      <c r="Z129" s="317" t="n">
        <v>276347</v>
      </c>
      <c r="AA129" s="317" t="n">
        <v>485338</v>
      </c>
      <c r="AB129" s="317" t="n">
        <v>0</v>
      </c>
      <c r="AC129" s="317" t="n">
        <v>485338</v>
      </c>
      <c r="AD129" s="317" t="n">
        <v>0</v>
      </c>
      <c r="AE129" s="317" t="n">
        <v>276347</v>
      </c>
      <c r="AF129" s="317" t="n">
        <v>0</v>
      </c>
      <c r="AG129" s="317" t="n">
        <v>485338</v>
      </c>
      <c r="AH129" s="317" t="n">
        <v>0</v>
      </c>
      <c r="AI129" s="317" t="n">
        <v>0</v>
      </c>
      <c r="AJ129" s="286" t="s">
        <v>707</v>
      </c>
      <c r="AK129" s="286" t="s">
        <v>729</v>
      </c>
      <c r="AL129" s="287" t="s">
        <v>48</v>
      </c>
      <c r="AM129" s="286"/>
      <c r="AN129" s="287" t="s">
        <v>369</v>
      </c>
      <c r="AO129" s="287" t="n">
        <v>532908.9175</v>
      </c>
      <c r="AP129" s="319" t="n">
        <f aca="false">AR129+AT129+AU129+AV129+AX129+AY129+AZ129+BD129+BF129+BG129+BH129+BJ129+BK129+(BL129+BM129+BN129)/1000+(0.1*BO129)</f>
        <v>669.2128</v>
      </c>
      <c r="AQ129" s="319" t="n">
        <f aca="false">AR129+AT129+AU129+AV129+AX129+AY129+AZ129+BB129+BC129+BD129+BF129+BG129+BH129+BJ129+BK129+(BL129+BM129+BN129)/1000+(0.1*BO129)</f>
        <v>691.2128</v>
      </c>
      <c r="AR129" s="285" t="n">
        <v>199</v>
      </c>
      <c r="AS129" s="285" t="n">
        <v>0</v>
      </c>
      <c r="AT129" s="285" t="n">
        <v>72</v>
      </c>
      <c r="AU129" s="285" t="n">
        <v>7</v>
      </c>
      <c r="AV129" s="285" t="n">
        <v>0</v>
      </c>
      <c r="AW129" s="285" t="n">
        <v>0</v>
      </c>
      <c r="AX129" s="285" t="n">
        <v>0</v>
      </c>
      <c r="AY129" s="285" t="n">
        <v>0</v>
      </c>
      <c r="AZ129" s="285" t="n">
        <v>14</v>
      </c>
      <c r="BA129" s="285" t="n">
        <v>7</v>
      </c>
      <c r="BB129" s="285" t="n">
        <v>21</v>
      </c>
      <c r="BC129" s="285" t="n">
        <v>1</v>
      </c>
      <c r="BD129" s="285" t="n">
        <v>21</v>
      </c>
      <c r="BE129" s="285" t="n">
        <v>0</v>
      </c>
      <c r="BF129" s="285" t="n">
        <v>0</v>
      </c>
      <c r="BG129" s="285" t="n">
        <v>0</v>
      </c>
      <c r="BH129" s="285" t="n">
        <v>59</v>
      </c>
      <c r="BI129" s="285" t="n">
        <v>0</v>
      </c>
      <c r="BJ129" s="285" t="n">
        <v>0</v>
      </c>
      <c r="BK129" s="285" t="n">
        <v>0</v>
      </c>
      <c r="BL129" s="285" t="n">
        <v>0</v>
      </c>
      <c r="BM129" s="285" t="n">
        <v>0</v>
      </c>
      <c r="BN129" s="285" t="n">
        <v>250209</v>
      </c>
      <c r="BO129" s="285" t="n">
        <v>470.038</v>
      </c>
      <c r="BR129" s="290" t="n">
        <f aca="false">AR129*1000/0.072</f>
        <v>2763888.88888889</v>
      </c>
      <c r="BS129" s="290" t="n">
        <f aca="false">AT129*1000/0.072</f>
        <v>1000000</v>
      </c>
      <c r="BT129" s="290" t="n">
        <f aca="false">AU129*1000/0.072</f>
        <v>97222.2222222222</v>
      </c>
      <c r="BU129" s="290" t="n">
        <f aca="false">SUM(BR129:BT129)</f>
        <v>3861111.11111111</v>
      </c>
      <c r="BV129" s="290" t="n">
        <f aca="false">AV129*1000/5</f>
        <v>0</v>
      </c>
      <c r="BW129" s="290" t="n">
        <f aca="false">AX129*1000/5</f>
        <v>0</v>
      </c>
      <c r="BX129" s="290" t="n">
        <f aca="false">AY129*1000/5</f>
        <v>0</v>
      </c>
      <c r="BY129" s="290" t="n">
        <f aca="false">SUM(BV129:BX129)</f>
        <v>0</v>
      </c>
      <c r="CA129" s="290" t="n">
        <f aca="false">IF($AM129="n",0,BR129)</f>
        <v>2763888.88888889</v>
      </c>
      <c r="CB129" s="290" t="n">
        <f aca="false">IF($AM129="n",0,BS129)</f>
        <v>1000000</v>
      </c>
      <c r="CC129" s="290" t="n">
        <f aca="false">IF($AM129="n",0,BT129)</f>
        <v>97222.2222222222</v>
      </c>
      <c r="CD129" s="290" t="n">
        <f aca="false">SUM(CA129:CC129)</f>
        <v>3861111.11111111</v>
      </c>
      <c r="CE129" s="290" t="n">
        <f aca="false">IF($AM$2="n",0,BV129)</f>
        <v>0</v>
      </c>
      <c r="CF129" s="290" t="n">
        <f aca="false">IF($AM$2="n",0,BW129)</f>
        <v>0</v>
      </c>
      <c r="CG129" s="290" t="n">
        <f aca="false">IF($AM$2="n",0,BX129)</f>
        <v>0</v>
      </c>
      <c r="CH129" s="290" t="n">
        <f aca="false">SUM(CE129:CG129)</f>
        <v>0</v>
      </c>
    </row>
    <row r="130" customFormat="false" ht="15" hidden="false" customHeight="true" outlineLevel="0" collapsed="false">
      <c r="A130" s="285" t="n">
        <v>9133</v>
      </c>
      <c r="B130" s="285"/>
      <c r="C130" s="286" t="s">
        <v>373</v>
      </c>
      <c r="D130" s="287" t="s">
        <v>373</v>
      </c>
      <c r="E130" s="288" t="n">
        <f aca="false">IF(I130="regional",IF(R130*0.2975,S130*0.3484),S130*0.1939)</f>
        <v>257892.2996</v>
      </c>
      <c r="F130" s="288" t="n">
        <v>0</v>
      </c>
      <c r="G130" s="289" t="n">
        <f aca="false">E130+F130</f>
        <v>257892.2996</v>
      </c>
      <c r="H130" s="286"/>
      <c r="I130" s="287" t="s">
        <v>48</v>
      </c>
      <c r="J130" s="287"/>
      <c r="K130" s="287" t="s">
        <v>105</v>
      </c>
      <c r="L130" s="287"/>
      <c r="M130" s="317" t="n">
        <v>141</v>
      </c>
      <c r="N130" s="317" t="n">
        <v>0.851</v>
      </c>
      <c r="O130" s="317" t="n">
        <v>0.856</v>
      </c>
      <c r="P130" s="317" t="n">
        <v>0.806</v>
      </c>
      <c r="Q130" s="317" t="n">
        <v>0.815</v>
      </c>
      <c r="R130" s="317" t="n">
        <v>771233</v>
      </c>
      <c r="S130" s="317" t="n">
        <v>740219</v>
      </c>
      <c r="T130" s="318" t="n">
        <f aca="false">IF(I130="regional",IF(R130&gt;0,R130*0.2975,S130*0.3484),S130*0.1939)</f>
        <v>229441.8175</v>
      </c>
      <c r="U130" s="317" t="n">
        <v>472605</v>
      </c>
      <c r="V130" s="317" t="n">
        <v>267614</v>
      </c>
      <c r="W130" s="317" t="n">
        <v>3892</v>
      </c>
      <c r="X130" s="317" t="n">
        <v>0</v>
      </c>
      <c r="Y130" s="317" t="n">
        <v>0</v>
      </c>
      <c r="Z130" s="317" t="n">
        <v>0</v>
      </c>
      <c r="AA130" s="317" t="n">
        <v>969660.8175</v>
      </c>
      <c r="AB130" s="317" t="n">
        <v>229441.8175</v>
      </c>
      <c r="AC130" s="317" t="n">
        <v>740219</v>
      </c>
      <c r="AD130" s="317" t="n">
        <v>0</v>
      </c>
      <c r="AE130" s="317" t="n">
        <v>0</v>
      </c>
      <c r="AF130" s="317" t="n">
        <v>0</v>
      </c>
      <c r="AG130" s="317" t="n">
        <v>740219</v>
      </c>
      <c r="AH130" s="317" t="n">
        <v>0</v>
      </c>
      <c r="AI130" s="317" t="n">
        <v>0</v>
      </c>
      <c r="AJ130" s="286" t="s">
        <v>707</v>
      </c>
      <c r="AK130" s="286" t="s">
        <v>714</v>
      </c>
      <c r="AL130" s="287" t="s">
        <v>48</v>
      </c>
      <c r="AM130" s="286"/>
      <c r="AN130" s="287" t="s">
        <v>373</v>
      </c>
      <c r="AO130" s="287" t="n">
        <v>229441.8175</v>
      </c>
      <c r="AP130" s="319" t="n">
        <f aca="false">AR130+AT130+AU130+AV130+AX130+AY130+AZ130+BD130+BF130+BG130+BH130+BJ130+BK130+(BL130+BM130+BN130)/1000+(0.1*BO130)</f>
        <v>227.9077</v>
      </c>
      <c r="AQ130" s="319" t="n">
        <f aca="false">AR130+AT130+AU130+AV130+AX130+AY130+AZ130+BB130+BC130+BD130+BF130+BG130+BH130+BJ130+BK130+(BL130+BM130+BN130)/1000+(0.1*BO130)</f>
        <v>239.9077</v>
      </c>
      <c r="AR130" s="285" t="n">
        <v>0</v>
      </c>
      <c r="AS130" s="285" t="n">
        <v>0</v>
      </c>
      <c r="AT130" s="285" t="n">
        <v>103</v>
      </c>
      <c r="AU130" s="285" t="n">
        <v>9</v>
      </c>
      <c r="AV130" s="285" t="n">
        <v>0</v>
      </c>
      <c r="AW130" s="285" t="n">
        <v>0</v>
      </c>
      <c r="AX130" s="285" t="n">
        <v>2</v>
      </c>
      <c r="AY130" s="285" t="n">
        <v>0</v>
      </c>
      <c r="AZ130" s="285" t="n">
        <v>0</v>
      </c>
      <c r="BA130" s="285" t="n">
        <v>0</v>
      </c>
      <c r="BB130" s="285" t="n">
        <v>11</v>
      </c>
      <c r="BC130" s="285" t="n">
        <v>1</v>
      </c>
      <c r="BD130" s="285" t="n">
        <v>0</v>
      </c>
      <c r="BE130" s="285" t="n">
        <v>0</v>
      </c>
      <c r="BF130" s="285" t="n">
        <v>0</v>
      </c>
      <c r="BG130" s="285" t="n">
        <v>0</v>
      </c>
      <c r="BH130" s="285" t="n">
        <v>0</v>
      </c>
      <c r="BI130" s="285" t="n">
        <v>0</v>
      </c>
      <c r="BJ130" s="285" t="n">
        <v>0</v>
      </c>
      <c r="BK130" s="285" t="n">
        <v>0</v>
      </c>
      <c r="BL130" s="285" t="n">
        <v>31780</v>
      </c>
      <c r="BM130" s="285" t="n">
        <v>0</v>
      </c>
      <c r="BN130" s="285" t="n">
        <v>9128</v>
      </c>
      <c r="BO130" s="285" t="n">
        <v>729.997</v>
      </c>
      <c r="BR130" s="290" t="n">
        <f aca="false">AR130*1000/0.072</f>
        <v>0</v>
      </c>
      <c r="BS130" s="290" t="n">
        <f aca="false">AT130*1000/0.072</f>
        <v>1430555.55555556</v>
      </c>
      <c r="BT130" s="290" t="n">
        <f aca="false">AU130*1000/0.072</f>
        <v>125000</v>
      </c>
      <c r="BU130" s="290" t="n">
        <f aca="false">SUM(BR130:BT130)</f>
        <v>1555555.55555556</v>
      </c>
      <c r="BV130" s="290" t="n">
        <f aca="false">AV130*1000/5</f>
        <v>0</v>
      </c>
      <c r="BW130" s="290" t="n">
        <f aca="false">AX130*1000/5</f>
        <v>400</v>
      </c>
      <c r="BX130" s="290" t="n">
        <f aca="false">AY130*1000/5</f>
        <v>0</v>
      </c>
      <c r="BY130" s="290" t="n">
        <f aca="false">SUM(BV130:BX130)</f>
        <v>400</v>
      </c>
      <c r="CA130" s="290" t="n">
        <f aca="false">IF($AM130="n",0,BR130)</f>
        <v>0</v>
      </c>
      <c r="CB130" s="290" t="n">
        <f aca="false">IF($AM130="n",0,BS130)</f>
        <v>1430555.55555556</v>
      </c>
      <c r="CC130" s="290" t="n">
        <f aca="false">IF($AM130="n",0,BT130)</f>
        <v>125000</v>
      </c>
      <c r="CD130" s="290" t="n">
        <f aca="false">SUM(CA130:CC130)</f>
        <v>1555555.55555556</v>
      </c>
      <c r="CE130" s="290" t="n">
        <f aca="false">IF($AM$2="n",0,BV130)</f>
        <v>0</v>
      </c>
      <c r="CF130" s="290" t="n">
        <f aca="false">IF($AM$2="n",0,BW130)</f>
        <v>400</v>
      </c>
      <c r="CG130" s="290" t="n">
        <f aca="false">IF($AM$2="n",0,BX130)</f>
        <v>0</v>
      </c>
      <c r="CH130" s="290" t="n">
        <f aca="false">SUM(CE130:CG130)</f>
        <v>400</v>
      </c>
    </row>
    <row r="131" customFormat="false" ht="15" hidden="false" customHeight="true" outlineLevel="0" collapsed="false">
      <c r="A131" s="285" t="n">
        <v>1509</v>
      </c>
      <c r="B131" s="285"/>
      <c r="C131" s="286" t="s">
        <v>375</v>
      </c>
      <c r="D131" s="287" t="s">
        <v>375</v>
      </c>
      <c r="E131" s="288" t="n">
        <f aca="false">IF(I131="regional",IF(R131*0.2975,S131*0.3484),S131*0.1939)</f>
        <v>147240.1112</v>
      </c>
      <c r="F131" s="288" t="n">
        <v>0</v>
      </c>
      <c r="G131" s="289" t="n">
        <f aca="false">E131+F131</f>
        <v>147240.1112</v>
      </c>
      <c r="H131" s="286"/>
      <c r="I131" s="287" t="s">
        <v>48</v>
      </c>
      <c r="J131" s="287" t="s">
        <v>49</v>
      </c>
      <c r="K131" s="287" t="s">
        <v>232</v>
      </c>
      <c r="L131" s="287"/>
      <c r="M131" s="317" t="n">
        <v>43</v>
      </c>
      <c r="N131" s="317" t="n">
        <v>0.999</v>
      </c>
      <c r="O131" s="317" t="n">
        <v>1</v>
      </c>
      <c r="P131" s="317" t="n">
        <v>1</v>
      </c>
      <c r="Q131" s="317" t="n">
        <v>0.897</v>
      </c>
      <c r="R131" s="317" t="n">
        <v>458455</v>
      </c>
      <c r="S131" s="317" t="n">
        <v>422618</v>
      </c>
      <c r="T131" s="318" t="n">
        <f aca="false">IF(I131="regional",IF(R131&gt;0,R131*0.2975,S131*0.3484),S131*0.1939)</f>
        <v>136390.3625</v>
      </c>
      <c r="U131" s="317" t="n">
        <v>307884</v>
      </c>
      <c r="V131" s="317" t="n">
        <v>114734</v>
      </c>
      <c r="W131" s="317" t="n">
        <v>1868</v>
      </c>
      <c r="X131" s="317" t="n">
        <v>0</v>
      </c>
      <c r="Y131" s="317" t="n">
        <v>0</v>
      </c>
      <c r="Z131" s="317" t="n">
        <v>0</v>
      </c>
      <c r="AA131" s="317" t="n">
        <v>559008.3625</v>
      </c>
      <c r="AB131" s="317" t="n">
        <v>136390.3625</v>
      </c>
      <c r="AC131" s="317" t="n">
        <v>422618</v>
      </c>
      <c r="AD131" s="317" t="n">
        <v>0</v>
      </c>
      <c r="AE131" s="317" t="n">
        <v>0</v>
      </c>
      <c r="AF131" s="317" t="n">
        <v>0</v>
      </c>
      <c r="AG131" s="317" t="n">
        <v>422618</v>
      </c>
      <c r="AH131" s="317" t="n">
        <v>0</v>
      </c>
      <c r="AI131" s="317" t="n">
        <v>0</v>
      </c>
      <c r="AJ131" s="286" t="n">
        <v>4</v>
      </c>
      <c r="AK131" s="286" t="s">
        <v>706</v>
      </c>
      <c r="AL131" s="287" t="s">
        <v>48</v>
      </c>
      <c r="AM131" s="286"/>
      <c r="AN131" s="287" t="s">
        <v>375</v>
      </c>
      <c r="AO131" s="287" t="n">
        <v>136390.3625</v>
      </c>
      <c r="AP131" s="319" t="n">
        <f aca="false">AR131+AT131+AU131+AV131+AX131+AY131+AZ131+BD131+BF131+BG131+BH131+BJ131+BK131+(BL131+BM131+BN131)/1000+(0.1*BO131)</f>
        <v>44.572394</v>
      </c>
      <c r="AQ131" s="319" t="n">
        <f aca="false">AR131+AT131+AU131+AV131+AX131+AY131+AZ131+BB131+BC131+BD131+BF131+BG131+BH131+BJ131+BK131+(BL131+BM131+BN131)/1000+(0.1*BO131)</f>
        <v>45.572394</v>
      </c>
      <c r="AR131" s="285" t="n">
        <v>14</v>
      </c>
      <c r="AS131" s="285" t="n">
        <v>0</v>
      </c>
      <c r="AT131" s="285" t="n">
        <v>19</v>
      </c>
      <c r="AU131" s="285" t="n">
        <v>3</v>
      </c>
      <c r="AV131" s="285" t="n">
        <v>0</v>
      </c>
      <c r="AW131" s="285" t="n">
        <v>0</v>
      </c>
      <c r="AX131" s="285" t="n">
        <v>1</v>
      </c>
      <c r="AY131" s="285" t="n">
        <v>1</v>
      </c>
      <c r="AZ131" s="285" t="n">
        <v>0</v>
      </c>
      <c r="BA131" s="285" t="n">
        <v>0</v>
      </c>
      <c r="BB131" s="285" t="n">
        <v>1</v>
      </c>
      <c r="BC131" s="285" t="n">
        <v>0</v>
      </c>
      <c r="BD131" s="285" t="n">
        <v>0</v>
      </c>
      <c r="BE131" s="285" t="n">
        <v>0</v>
      </c>
      <c r="BF131" s="285" t="n">
        <v>0</v>
      </c>
      <c r="BG131" s="285" t="n">
        <v>0</v>
      </c>
      <c r="BH131" s="285" t="n">
        <v>0</v>
      </c>
      <c r="BI131" s="285" t="n">
        <v>0</v>
      </c>
      <c r="BJ131" s="285" t="n">
        <v>0</v>
      </c>
      <c r="BK131" s="285" t="n">
        <v>0</v>
      </c>
      <c r="BL131" s="285" t="n">
        <v>0</v>
      </c>
      <c r="BM131" s="285" t="n">
        <v>0</v>
      </c>
      <c r="BN131" s="285" t="n">
        <v>0</v>
      </c>
      <c r="BO131" s="285" t="n">
        <v>65.72394</v>
      </c>
      <c r="BR131" s="290" t="n">
        <f aca="false">AR131*1000/0.072</f>
        <v>194444.444444444</v>
      </c>
      <c r="BS131" s="290" t="n">
        <f aca="false">AT131*1000/0.072</f>
        <v>263888.888888889</v>
      </c>
      <c r="BT131" s="290" t="n">
        <f aca="false">AU131*1000/0.072</f>
        <v>41666.6666666667</v>
      </c>
      <c r="BU131" s="290" t="n">
        <f aca="false">SUM(BR131:BT131)</f>
        <v>500000</v>
      </c>
      <c r="BV131" s="290" t="n">
        <f aca="false">AV131*1000/5</f>
        <v>0</v>
      </c>
      <c r="BW131" s="290" t="n">
        <f aca="false">AX131*1000/5</f>
        <v>200</v>
      </c>
      <c r="BX131" s="290" t="n">
        <f aca="false">AY131*1000/5</f>
        <v>200</v>
      </c>
      <c r="BY131" s="290" t="n">
        <f aca="false">SUM(BV131:BX131)</f>
        <v>400</v>
      </c>
      <c r="CA131" s="290" t="n">
        <f aca="false">IF($AM131="n",0,BR131)</f>
        <v>194444.444444444</v>
      </c>
      <c r="CB131" s="290" t="n">
        <f aca="false">IF($AM131="n",0,BS131)</f>
        <v>263888.888888889</v>
      </c>
      <c r="CC131" s="290" t="n">
        <f aca="false">IF($AM131="n",0,BT131)</f>
        <v>41666.6666666667</v>
      </c>
      <c r="CD131" s="290" t="n">
        <f aca="false">SUM(CA131:CC131)</f>
        <v>500000</v>
      </c>
      <c r="CE131" s="290" t="n">
        <f aca="false">IF($AM$2="n",0,BV131)</f>
        <v>0</v>
      </c>
      <c r="CF131" s="290" t="n">
        <f aca="false">IF($AM$2="n",0,BW131)</f>
        <v>200</v>
      </c>
      <c r="CG131" s="290" t="n">
        <f aca="false">IF($AM$2="n",0,BX131)</f>
        <v>200</v>
      </c>
      <c r="CH131" s="290" t="n">
        <f aca="false">SUM(CE131:CG131)</f>
        <v>400</v>
      </c>
    </row>
    <row r="132" customFormat="false" ht="15" hidden="false" customHeight="true" outlineLevel="0" collapsed="false">
      <c r="A132" s="285" t="n">
        <v>3724</v>
      </c>
      <c r="B132" s="285"/>
      <c r="C132" s="286" t="s">
        <v>377</v>
      </c>
      <c r="D132" s="287" t="s">
        <v>377</v>
      </c>
      <c r="E132" s="288" t="n">
        <f aca="false">IF(I132="regional",IF(R132*0.2975,S132*0.3484),S132*0.1939)</f>
        <v>17152.9757</v>
      </c>
      <c r="F132" s="288" t="n">
        <v>0</v>
      </c>
      <c r="G132" s="289" t="n">
        <f aca="false">E132+F132</f>
        <v>17152.9757</v>
      </c>
      <c r="H132" s="286"/>
      <c r="I132" s="287" t="s">
        <v>62</v>
      </c>
      <c r="J132" s="287"/>
      <c r="K132" s="287" t="s">
        <v>232</v>
      </c>
      <c r="L132" s="287"/>
      <c r="M132" s="317" t="n">
        <v>2</v>
      </c>
      <c r="N132" s="317" t="n">
        <v>0.482</v>
      </c>
      <c r="O132" s="317" t="n">
        <v>0.492</v>
      </c>
      <c r="P132" s="317" t="n">
        <v>0.492</v>
      </c>
      <c r="Q132" s="317" t="n">
        <v>0.24</v>
      </c>
      <c r="R132" s="317" t="n">
        <v>0</v>
      </c>
      <c r="S132" s="317" t="n">
        <v>88463</v>
      </c>
      <c r="T132" s="318" t="n">
        <f aca="false">IF(I132="regional",IF(R132&gt;0,R132*0.2975,S132*0.3484),S132*0.1939)</f>
        <v>17152.9757</v>
      </c>
      <c r="U132" s="317" t="n">
        <v>58820</v>
      </c>
      <c r="V132" s="317" t="n">
        <v>29643</v>
      </c>
      <c r="W132" s="317" t="n">
        <v>460</v>
      </c>
      <c r="X132" s="317" t="n">
        <v>0</v>
      </c>
      <c r="Y132" s="317" t="n">
        <v>0</v>
      </c>
      <c r="Z132" s="317" t="n">
        <v>0</v>
      </c>
      <c r="AA132" s="317" t="n">
        <v>105615.9757</v>
      </c>
      <c r="AB132" s="317" t="n">
        <v>17152.9757</v>
      </c>
      <c r="AC132" s="317" t="n">
        <v>88463</v>
      </c>
      <c r="AD132" s="317" t="n">
        <v>0</v>
      </c>
      <c r="AE132" s="317" t="n">
        <v>0</v>
      </c>
      <c r="AF132" s="317" t="n">
        <v>0</v>
      </c>
      <c r="AG132" s="317" t="n">
        <v>88463</v>
      </c>
      <c r="AH132" s="317" t="n">
        <v>0</v>
      </c>
      <c r="AI132" s="317" t="n">
        <v>0</v>
      </c>
      <c r="AJ132" s="286" t="n">
        <v>4</v>
      </c>
      <c r="AK132" s="286" t="s">
        <v>706</v>
      </c>
      <c r="AL132" s="287" t="s">
        <v>62</v>
      </c>
      <c r="AM132" s="286"/>
      <c r="AN132" s="287" t="s">
        <v>377</v>
      </c>
      <c r="AO132" s="287" t="n">
        <v>17152.9757</v>
      </c>
      <c r="AP132" s="319" t="n">
        <f aca="false">AR132+AT132+AU132+AV132+AX132+AY132+AZ132+BD132+BF132+BG132+BH132+BJ132+BK132+(BL132+BM132+BN132)/1000+(0.1*BO132)</f>
        <v>5.375142</v>
      </c>
      <c r="AQ132" s="319" t="n">
        <f aca="false">AR132+AT132+AU132+AV132+AX132+AY132+AZ132+BB132+BC132+BD132+BF132+BG132+BH132+BJ132+BK132+(BL132+BM132+BN132)/1000+(0.1*BO132)</f>
        <v>5.375142</v>
      </c>
      <c r="AR132" s="285" t="n">
        <v>0</v>
      </c>
      <c r="AS132" s="285" t="n">
        <v>0</v>
      </c>
      <c r="AT132" s="285" t="n">
        <v>1</v>
      </c>
      <c r="AU132" s="285" t="n">
        <v>0</v>
      </c>
      <c r="AV132" s="285" t="n">
        <v>0</v>
      </c>
      <c r="AW132" s="285" t="n">
        <v>0</v>
      </c>
      <c r="AX132" s="285" t="n">
        <v>0</v>
      </c>
      <c r="AY132" s="285" t="n">
        <v>4</v>
      </c>
      <c r="AZ132" s="285" t="n">
        <v>0</v>
      </c>
      <c r="BA132" s="285" t="n">
        <v>0</v>
      </c>
      <c r="BB132" s="285" t="n">
        <v>0</v>
      </c>
      <c r="BC132" s="285" t="n">
        <v>0</v>
      </c>
      <c r="BD132" s="285" t="n">
        <v>0</v>
      </c>
      <c r="BE132" s="285" t="n">
        <v>0</v>
      </c>
      <c r="BF132" s="285" t="n">
        <v>0</v>
      </c>
      <c r="BG132" s="285" t="n">
        <v>0</v>
      </c>
      <c r="BH132" s="285" t="n">
        <v>0</v>
      </c>
      <c r="BI132" s="285" t="n">
        <v>0</v>
      </c>
      <c r="BJ132" s="285" t="n">
        <v>0</v>
      </c>
      <c r="BK132" s="285" t="n">
        <v>0</v>
      </c>
      <c r="BL132" s="285" t="n">
        <v>0</v>
      </c>
      <c r="BM132" s="285" t="n">
        <v>0</v>
      </c>
      <c r="BN132" s="285" t="n">
        <v>0</v>
      </c>
      <c r="BO132" s="285" t="n">
        <v>3.75142</v>
      </c>
      <c r="BP132" s="324"/>
      <c r="BR132" s="290" t="n">
        <f aca="false">AR132*1000/0.072</f>
        <v>0</v>
      </c>
      <c r="BS132" s="290" t="n">
        <f aca="false">AT132*1000/0.072</f>
        <v>13888.8888888889</v>
      </c>
      <c r="BT132" s="290" t="n">
        <f aca="false">AU132*1000/0.072</f>
        <v>0</v>
      </c>
      <c r="BU132" s="290" t="n">
        <f aca="false">SUM(BR132:BT132)</f>
        <v>13888.8888888889</v>
      </c>
      <c r="BV132" s="290" t="n">
        <f aca="false">AV132*1000/5</f>
        <v>0</v>
      </c>
      <c r="BW132" s="290" t="n">
        <f aca="false">AX132*1000/5</f>
        <v>0</v>
      </c>
      <c r="BX132" s="290" t="n">
        <f aca="false">AY132*1000/5</f>
        <v>800</v>
      </c>
      <c r="BY132" s="290" t="n">
        <f aca="false">SUM(BV132:BX132)</f>
        <v>800</v>
      </c>
      <c r="CA132" s="290" t="n">
        <f aca="false">IF($AM132="n",0,BR132)</f>
        <v>0</v>
      </c>
      <c r="CB132" s="290" t="n">
        <f aca="false">IF($AM132="n",0,BS132)</f>
        <v>13888.8888888889</v>
      </c>
      <c r="CC132" s="290" t="n">
        <f aca="false">IF($AM132="n",0,BT132)</f>
        <v>0</v>
      </c>
      <c r="CD132" s="290" t="n">
        <f aca="false">SUM(CA132:CC132)</f>
        <v>13888.8888888889</v>
      </c>
      <c r="CE132" s="290" t="n">
        <f aca="false">IF($AM$2="n",0,BV132)</f>
        <v>0</v>
      </c>
      <c r="CF132" s="290" t="n">
        <f aca="false">IF($AM$2="n",0,BW132)</f>
        <v>0</v>
      </c>
      <c r="CG132" s="290" t="n">
        <f aca="false">IF($AM$2="n",0,BX132)</f>
        <v>800</v>
      </c>
      <c r="CH132" s="290" t="n">
        <f aca="false">SUM(CE132:CG132)</f>
        <v>800</v>
      </c>
      <c r="CJ132" s="324"/>
      <c r="CK132" s="324"/>
      <c r="CL132" s="324"/>
      <c r="CM132" s="324"/>
      <c r="CN132" s="324"/>
      <c r="CO132" s="324"/>
      <c r="CP132" s="324"/>
      <c r="CQ132" s="324"/>
      <c r="CR132" s="324"/>
      <c r="CS132" s="324"/>
      <c r="CT132" s="324"/>
      <c r="CU132" s="324"/>
      <c r="CV132" s="324"/>
      <c r="CW132" s="324"/>
      <c r="CX132" s="324"/>
      <c r="CY132" s="324"/>
      <c r="CZ132" s="324"/>
      <c r="DA132" s="324"/>
      <c r="DB132" s="324"/>
      <c r="DC132" s="324"/>
      <c r="DD132" s="324"/>
      <c r="DE132" s="324"/>
      <c r="DF132" s="324"/>
      <c r="DG132" s="324"/>
      <c r="DH132" s="324"/>
      <c r="DI132" s="324"/>
      <c r="DJ132" s="324"/>
      <c r="DK132" s="324"/>
      <c r="DL132" s="324"/>
      <c r="DM132" s="324"/>
      <c r="DN132" s="324"/>
      <c r="DO132" s="324"/>
      <c r="DP132" s="324"/>
      <c r="DQ132" s="324"/>
      <c r="DR132" s="324"/>
      <c r="DS132" s="324"/>
      <c r="DT132" s="324"/>
      <c r="DU132" s="324"/>
      <c r="DV132" s="324"/>
      <c r="DW132" s="324"/>
      <c r="DX132" s="324"/>
      <c r="DY132" s="324"/>
      <c r="DZ132" s="324"/>
      <c r="EA132" s="324"/>
      <c r="EB132" s="324"/>
      <c r="EC132" s="324"/>
      <c r="ED132" s="324"/>
      <c r="EE132" s="324"/>
      <c r="EF132" s="324"/>
      <c r="EG132" s="324"/>
      <c r="EH132" s="324"/>
      <c r="EI132" s="324"/>
      <c r="EJ132" s="324"/>
      <c r="EK132" s="324"/>
      <c r="EL132" s="324"/>
      <c r="EM132" s="324"/>
      <c r="EN132" s="324"/>
      <c r="EO132" s="324"/>
      <c r="EP132" s="324"/>
      <c r="EQ132" s="324"/>
      <c r="ER132" s="324"/>
      <c r="ES132" s="324"/>
      <c r="ET132" s="324"/>
      <c r="EU132" s="324"/>
      <c r="EV132" s="324"/>
      <c r="EW132" s="324"/>
      <c r="EX132" s="324"/>
      <c r="EY132" s="324"/>
      <c r="EZ132" s="324"/>
      <c r="FA132" s="324"/>
      <c r="FB132" s="324"/>
      <c r="FC132" s="324"/>
      <c r="FD132" s="324"/>
      <c r="FE132" s="324"/>
      <c r="FF132" s="324"/>
      <c r="FG132" s="324"/>
      <c r="FH132" s="324"/>
      <c r="FI132" s="324"/>
      <c r="FJ132" s="324"/>
      <c r="FK132" s="324"/>
      <c r="FL132" s="324"/>
      <c r="FM132" s="324"/>
      <c r="FN132" s="324"/>
      <c r="FO132" s="324"/>
      <c r="FP132" s="324"/>
      <c r="FQ132" s="324"/>
      <c r="FR132" s="324"/>
      <c r="FS132" s="324"/>
      <c r="FT132" s="324"/>
      <c r="FU132" s="324"/>
      <c r="FV132" s="324"/>
      <c r="FW132" s="324"/>
      <c r="FX132" s="324"/>
      <c r="FY132" s="324"/>
      <c r="FZ132" s="324"/>
      <c r="GA132" s="324"/>
      <c r="GB132" s="324"/>
      <c r="GC132" s="324"/>
      <c r="GD132" s="324"/>
      <c r="GE132" s="324"/>
      <c r="GF132" s="324"/>
      <c r="GG132" s="324"/>
      <c r="GH132" s="324"/>
      <c r="GI132" s="324"/>
      <c r="GJ132" s="324"/>
      <c r="GK132" s="324"/>
      <c r="GL132" s="324"/>
      <c r="GM132" s="324"/>
      <c r="GN132" s="324"/>
      <c r="GO132" s="324"/>
      <c r="GP132" s="324"/>
      <c r="GQ132" s="324"/>
      <c r="GR132" s="324"/>
      <c r="GS132" s="324"/>
      <c r="GT132" s="324"/>
      <c r="GU132" s="324"/>
      <c r="GV132" s="324"/>
      <c r="GW132" s="324"/>
      <c r="GX132" s="324"/>
      <c r="GY132" s="324"/>
      <c r="GZ132" s="324"/>
      <c r="HA132" s="324"/>
      <c r="HB132" s="324"/>
      <c r="HC132" s="324"/>
      <c r="HD132" s="324"/>
      <c r="HE132" s="324"/>
      <c r="HF132" s="324"/>
      <c r="HG132" s="324"/>
      <c r="HH132" s="324"/>
      <c r="HI132" s="324"/>
      <c r="HJ132" s="324"/>
      <c r="HK132" s="324"/>
      <c r="HL132" s="324"/>
      <c r="HM132" s="324"/>
      <c r="HN132" s="324"/>
      <c r="HO132" s="324"/>
      <c r="HP132" s="324"/>
      <c r="HQ132" s="324"/>
      <c r="HR132" s="324"/>
      <c r="HS132" s="324"/>
      <c r="HT132" s="324"/>
      <c r="HU132" s="324"/>
      <c r="HV132" s="324"/>
      <c r="HW132" s="324"/>
      <c r="HX132" s="324"/>
      <c r="HY132" s="324"/>
      <c r="HZ132" s="324"/>
      <c r="IA132" s="324"/>
      <c r="IB132" s="324"/>
      <c r="IC132" s="324"/>
      <c r="ID132" s="324"/>
      <c r="IE132" s="324"/>
      <c r="IF132" s="324"/>
      <c r="IG132" s="324"/>
      <c r="IH132" s="324"/>
      <c r="II132" s="324"/>
      <c r="IJ132" s="324"/>
      <c r="IK132" s="324"/>
      <c r="IL132" s="324"/>
      <c r="IM132" s="324"/>
      <c r="IN132" s="324"/>
      <c r="IO132" s="324"/>
      <c r="IP132" s="324"/>
      <c r="IQ132" s="324"/>
      <c r="IR132" s="324"/>
      <c r="IS132" s="324"/>
      <c r="IT132" s="324"/>
      <c r="IU132" s="324"/>
      <c r="IV132" s="324"/>
      <c r="IW132" s="324"/>
    </row>
    <row r="133" customFormat="false" ht="15" hidden="false" customHeight="true" outlineLevel="0" collapsed="false">
      <c r="A133" s="300" t="n">
        <v>4666</v>
      </c>
      <c r="B133" s="300"/>
      <c r="C133" s="301" t="s">
        <v>378</v>
      </c>
      <c r="D133" s="287" t="s">
        <v>378</v>
      </c>
      <c r="E133" s="288" t="n">
        <f aca="false">IF(I133="regional",IF(R133*0.2975,S133*0.3484),S133*0.1939)</f>
        <v>425807.512</v>
      </c>
      <c r="F133" s="288" t="n">
        <v>0</v>
      </c>
      <c r="G133" s="289" t="n">
        <f aca="false">E133+F133</f>
        <v>425807.512</v>
      </c>
      <c r="H133" s="286"/>
      <c r="I133" s="287" t="s">
        <v>48</v>
      </c>
      <c r="J133" s="287" t="s">
        <v>49</v>
      </c>
      <c r="K133" s="287" t="s">
        <v>380</v>
      </c>
      <c r="L133" s="287"/>
      <c r="M133" s="317" t="n">
        <v>170</v>
      </c>
      <c r="N133" s="317" t="n">
        <v>0.927</v>
      </c>
      <c r="O133" s="317" t="n">
        <v>0.965</v>
      </c>
      <c r="P133" s="317" t="n">
        <v>0.932</v>
      </c>
      <c r="Q133" s="317" t="n">
        <v>0.952</v>
      </c>
      <c r="R133" s="317" t="n">
        <v>1421049</v>
      </c>
      <c r="S133" s="317" t="n">
        <v>1222180</v>
      </c>
      <c r="T133" s="318" t="n">
        <f aca="false">IF(I133="regional",IF(R133&gt;0,R133*0.2975,S133*0.3484),S133*0.1939)</f>
        <v>422762.0775</v>
      </c>
      <c r="U133" s="317" t="n">
        <v>587591</v>
      </c>
      <c r="V133" s="317" t="n">
        <v>634589</v>
      </c>
      <c r="W133" s="317" t="n">
        <v>6700</v>
      </c>
      <c r="X133" s="317" t="n">
        <v>0</v>
      </c>
      <c r="Y133" s="317" t="n">
        <v>0</v>
      </c>
      <c r="Z133" s="317" t="n">
        <v>0</v>
      </c>
      <c r="AA133" s="317" t="n">
        <v>1644942.078</v>
      </c>
      <c r="AB133" s="317" t="n">
        <v>422762.0775</v>
      </c>
      <c r="AC133" s="317" t="n">
        <v>1222180</v>
      </c>
      <c r="AD133" s="317" t="n">
        <v>0</v>
      </c>
      <c r="AE133" s="317" t="n">
        <v>0</v>
      </c>
      <c r="AF133" s="317" t="n">
        <v>0</v>
      </c>
      <c r="AG133" s="317" t="n">
        <v>1222180</v>
      </c>
      <c r="AH133" s="317" t="n">
        <v>0</v>
      </c>
      <c r="AI133" s="317" t="n">
        <v>0</v>
      </c>
      <c r="AJ133" s="286" t="s">
        <v>715</v>
      </c>
      <c r="AK133" s="286" t="s">
        <v>716</v>
      </c>
      <c r="AL133" s="287" t="s">
        <v>48</v>
      </c>
      <c r="AM133" s="286"/>
      <c r="AN133" s="287" t="s">
        <v>378</v>
      </c>
      <c r="AO133" s="287" t="n">
        <v>422762.0775</v>
      </c>
      <c r="AP133" s="319" t="n">
        <f aca="false">AR133+AT133+AU133+AV133+AX133+AY133+AZ133+BD133+BF133+BG133+BH133+BJ133+BK133+(BL133+BM133+BN133)/1000+(0.1*BO133)</f>
        <v>1573</v>
      </c>
      <c r="AQ133" s="319" t="n">
        <f aca="false">AR133+AT133+AU133+AV133+AX133+AY133+AZ133+BB133+BC133+BD133+BF133+BG133+BH133+BJ133+BK133+(BL133+BM133+BN133)/1000+(0.1*BO133)</f>
        <v>1666</v>
      </c>
      <c r="AR133" s="302" t="n">
        <v>967</v>
      </c>
      <c r="AS133" s="302" t="n">
        <v>0</v>
      </c>
      <c r="AT133" s="302" t="n">
        <v>553</v>
      </c>
      <c r="AU133" s="302" t="n">
        <v>0</v>
      </c>
      <c r="AV133" s="302" t="n">
        <v>0</v>
      </c>
      <c r="AW133" s="302" t="n">
        <v>0</v>
      </c>
      <c r="AX133" s="302" t="n">
        <v>0</v>
      </c>
      <c r="AY133" s="302" t="n">
        <v>0</v>
      </c>
      <c r="AZ133" s="302" t="n">
        <v>0</v>
      </c>
      <c r="BA133" s="302" t="n">
        <v>165</v>
      </c>
      <c r="BB133" s="302" t="n">
        <v>93</v>
      </c>
      <c r="BC133" s="302" t="n">
        <v>0</v>
      </c>
      <c r="BD133" s="285" t="n">
        <v>11</v>
      </c>
      <c r="BE133" s="285" t="n">
        <v>0</v>
      </c>
      <c r="BF133" s="285" t="n">
        <v>0</v>
      </c>
      <c r="BG133" s="285" t="n">
        <v>0</v>
      </c>
      <c r="BH133" s="285" t="n">
        <v>42</v>
      </c>
      <c r="BI133" s="285" t="n">
        <v>0</v>
      </c>
      <c r="BJ133" s="285" t="n">
        <v>0</v>
      </c>
      <c r="BK133" s="285" t="n">
        <v>0</v>
      </c>
      <c r="BL133" s="302" t="n">
        <v>0</v>
      </c>
      <c r="BM133" s="302" t="n">
        <v>0</v>
      </c>
      <c r="BN133" s="302" t="n">
        <v>0</v>
      </c>
      <c r="BO133" s="285" t="n">
        <v>0</v>
      </c>
      <c r="BP133" s="324"/>
      <c r="BR133" s="290" t="n">
        <f aca="false">AR133*1000/0.072</f>
        <v>13430555.5555556</v>
      </c>
      <c r="BS133" s="290" t="n">
        <f aca="false">AT133*1000/0.072</f>
        <v>7680555.55555556</v>
      </c>
      <c r="BT133" s="290" t="n">
        <f aca="false">AU133*1000/0.072</f>
        <v>0</v>
      </c>
      <c r="BU133" s="290" t="n">
        <f aca="false">SUM(BR133:BT133)</f>
        <v>21111111.1111111</v>
      </c>
      <c r="BV133" s="290" t="n">
        <f aca="false">AV133*1000/5</f>
        <v>0</v>
      </c>
      <c r="BW133" s="290" t="n">
        <f aca="false">AX133*1000/5</f>
        <v>0</v>
      </c>
      <c r="BX133" s="290" t="n">
        <f aca="false">AY133*1000/5</f>
        <v>0</v>
      </c>
      <c r="BY133" s="290" t="n">
        <f aca="false">SUM(BV133:BX133)</f>
        <v>0</v>
      </c>
      <c r="CA133" s="290" t="n">
        <f aca="false">IF($AM133="n",0,BR133)</f>
        <v>13430555.5555556</v>
      </c>
      <c r="CB133" s="290" t="n">
        <f aca="false">IF($AM133="n",0,BS133)</f>
        <v>7680555.55555556</v>
      </c>
      <c r="CC133" s="290" t="n">
        <f aca="false">IF($AM133="n",0,BT133)</f>
        <v>0</v>
      </c>
      <c r="CD133" s="290" t="n">
        <f aca="false">SUM(CA133:CC133)</f>
        <v>21111111.1111111</v>
      </c>
      <c r="CE133" s="290" t="n">
        <f aca="false">IF($AM$2="n",0,BV133)</f>
        <v>0</v>
      </c>
      <c r="CF133" s="290" t="n">
        <f aca="false">IF($AM$2="n",0,BW133)</f>
        <v>0</v>
      </c>
      <c r="CG133" s="290" t="n">
        <f aca="false">IF($AM$2="n",0,BX133)</f>
        <v>0</v>
      </c>
      <c r="CH133" s="290" t="n">
        <f aca="false">SUM(CE133:CG133)</f>
        <v>0</v>
      </c>
      <c r="CJ133" s="324"/>
      <c r="CK133" s="324"/>
      <c r="CL133" s="324"/>
      <c r="CM133" s="324"/>
      <c r="CN133" s="324"/>
      <c r="CO133" s="324"/>
      <c r="CP133" s="324"/>
      <c r="CQ133" s="324"/>
      <c r="CR133" s="324"/>
      <c r="CS133" s="324"/>
      <c r="CT133" s="324"/>
      <c r="CU133" s="324"/>
      <c r="CV133" s="324"/>
      <c r="CW133" s="324"/>
      <c r="CX133" s="324"/>
      <c r="CY133" s="324"/>
      <c r="CZ133" s="324"/>
      <c r="DA133" s="324"/>
      <c r="DB133" s="324"/>
      <c r="DC133" s="324"/>
      <c r="DD133" s="324"/>
      <c r="DE133" s="324"/>
      <c r="DF133" s="324"/>
      <c r="DG133" s="324"/>
      <c r="DH133" s="324"/>
      <c r="DI133" s="324"/>
      <c r="DJ133" s="324"/>
      <c r="DK133" s="324"/>
      <c r="DL133" s="324"/>
      <c r="DM133" s="324"/>
      <c r="DN133" s="324"/>
      <c r="DO133" s="324"/>
      <c r="DP133" s="330"/>
      <c r="DQ133" s="330"/>
      <c r="DR133" s="330"/>
      <c r="DS133" s="330"/>
      <c r="DT133" s="330"/>
      <c r="DU133" s="330"/>
      <c r="DV133" s="330"/>
      <c r="DW133" s="330"/>
      <c r="DX133" s="330"/>
      <c r="DY133" s="330"/>
      <c r="DZ133" s="330"/>
      <c r="EA133" s="330"/>
      <c r="EB133" s="330"/>
      <c r="EC133" s="330"/>
      <c r="ED133" s="330"/>
      <c r="EE133" s="330"/>
      <c r="EF133" s="330"/>
      <c r="EG133" s="330"/>
      <c r="EH133" s="330"/>
      <c r="EI133" s="330"/>
      <c r="EJ133" s="330"/>
      <c r="EK133" s="330"/>
      <c r="EL133" s="330"/>
      <c r="EM133" s="330"/>
      <c r="EN133" s="330"/>
      <c r="EO133" s="330"/>
      <c r="EP133" s="330"/>
      <c r="EQ133" s="330"/>
      <c r="ER133" s="330"/>
      <c r="ES133" s="330"/>
      <c r="ET133" s="330"/>
      <c r="EU133" s="330"/>
      <c r="EV133" s="330"/>
      <c r="EW133" s="330"/>
      <c r="EX133" s="330"/>
      <c r="EY133" s="330"/>
      <c r="EZ133" s="330"/>
      <c r="FA133" s="330"/>
      <c r="FB133" s="330"/>
      <c r="FC133" s="330"/>
      <c r="FD133" s="330"/>
      <c r="FE133" s="330"/>
      <c r="FF133" s="330"/>
      <c r="FG133" s="330"/>
      <c r="FH133" s="330"/>
      <c r="FI133" s="330"/>
      <c r="FJ133" s="330"/>
      <c r="FK133" s="330"/>
      <c r="FL133" s="330"/>
      <c r="FM133" s="330"/>
      <c r="FN133" s="330"/>
      <c r="FO133" s="330"/>
      <c r="FP133" s="330"/>
      <c r="FQ133" s="330"/>
      <c r="FR133" s="330"/>
      <c r="FS133" s="330"/>
      <c r="FT133" s="330"/>
      <c r="FU133" s="330"/>
      <c r="FV133" s="330"/>
      <c r="FW133" s="330"/>
      <c r="FX133" s="330"/>
      <c r="FY133" s="330"/>
      <c r="FZ133" s="330"/>
      <c r="GA133" s="330"/>
      <c r="GB133" s="330"/>
      <c r="GC133" s="330"/>
      <c r="GD133" s="330"/>
      <c r="GE133" s="330"/>
      <c r="GF133" s="330"/>
      <c r="GG133" s="330"/>
      <c r="GH133" s="330"/>
      <c r="GI133" s="330"/>
      <c r="GJ133" s="330"/>
      <c r="GK133" s="330"/>
      <c r="GL133" s="330"/>
      <c r="GM133" s="330"/>
      <c r="GN133" s="330"/>
      <c r="GO133" s="330"/>
      <c r="GP133" s="330"/>
      <c r="GQ133" s="330"/>
      <c r="GR133" s="330"/>
      <c r="GS133" s="330"/>
      <c r="GT133" s="330"/>
      <c r="GU133" s="330"/>
      <c r="GV133" s="330"/>
      <c r="GW133" s="330"/>
      <c r="GX133" s="330"/>
      <c r="GY133" s="330"/>
      <c r="GZ133" s="330"/>
      <c r="HA133" s="330"/>
      <c r="HB133" s="330"/>
      <c r="HC133" s="330"/>
      <c r="HD133" s="330"/>
      <c r="HE133" s="330"/>
      <c r="HF133" s="330"/>
      <c r="HG133" s="330"/>
      <c r="HH133" s="330"/>
      <c r="HI133" s="330"/>
      <c r="HJ133" s="330"/>
      <c r="HK133" s="330"/>
      <c r="HL133" s="330"/>
      <c r="HM133" s="330"/>
      <c r="HN133" s="330"/>
      <c r="HO133" s="330"/>
      <c r="HP133" s="330"/>
      <c r="HQ133" s="330"/>
      <c r="HR133" s="330"/>
      <c r="HS133" s="330"/>
      <c r="HT133" s="330"/>
      <c r="HU133" s="330"/>
      <c r="HV133" s="330"/>
      <c r="HW133" s="330"/>
      <c r="HX133" s="330"/>
      <c r="HY133" s="330"/>
      <c r="HZ133" s="330"/>
      <c r="IA133" s="330"/>
      <c r="IB133" s="330"/>
      <c r="IC133" s="330"/>
      <c r="ID133" s="330"/>
      <c r="IE133" s="330"/>
      <c r="IF133" s="330"/>
      <c r="IG133" s="330"/>
      <c r="IH133" s="330"/>
      <c r="II133" s="330"/>
      <c r="IJ133" s="330"/>
      <c r="IK133" s="330"/>
      <c r="IL133" s="330"/>
      <c r="IM133" s="330"/>
      <c r="IN133" s="330"/>
      <c r="IO133" s="330"/>
      <c r="IP133" s="330"/>
      <c r="IQ133" s="330"/>
      <c r="IR133" s="330"/>
      <c r="IS133" s="330"/>
      <c r="IT133" s="330"/>
      <c r="IU133" s="330"/>
      <c r="IV133" s="330"/>
      <c r="IW133" s="330"/>
    </row>
    <row r="134" customFormat="false" ht="15" hidden="false" customHeight="true" outlineLevel="0" collapsed="false">
      <c r="A134" s="298" t="n">
        <v>4667</v>
      </c>
      <c r="B134" s="298" t="s">
        <v>44</v>
      </c>
      <c r="C134" s="299" t="s">
        <v>746</v>
      </c>
      <c r="D134" s="293" t="s">
        <v>746</v>
      </c>
      <c r="E134" s="288" t="n">
        <f aca="false">IF(I134="regional",IF(R134*0.2975,S134*0.3484),S134*0.1939)</f>
        <v>7849.4598</v>
      </c>
      <c r="F134" s="294"/>
      <c r="G134" s="289" t="n">
        <f aca="false">E134+F134</f>
        <v>7849.4598</v>
      </c>
      <c r="H134" s="299"/>
      <c r="I134" s="293" t="s">
        <v>718</v>
      </c>
      <c r="J134" s="293"/>
      <c r="K134" s="293"/>
      <c r="L134" s="293"/>
      <c r="M134" s="320"/>
      <c r="N134" s="320"/>
      <c r="O134" s="320"/>
      <c r="P134" s="320"/>
      <c r="Q134" s="320"/>
      <c r="R134" s="320"/>
      <c r="S134" s="320" t="n">
        <v>40482</v>
      </c>
      <c r="T134" s="318" t="n">
        <f aca="false">IF(I134="regional",IF(R134&gt;0,R134*0.2975,S134*0.3484),S134*0.1939)</f>
        <v>7849.4598</v>
      </c>
      <c r="U134" s="320"/>
      <c r="V134" s="320"/>
      <c r="W134" s="320"/>
      <c r="X134" s="320"/>
      <c r="Y134" s="320"/>
      <c r="Z134" s="320"/>
      <c r="AA134" s="320"/>
      <c r="AB134" s="320"/>
      <c r="AC134" s="320"/>
      <c r="AD134" s="320"/>
      <c r="AE134" s="320"/>
      <c r="AF134" s="320"/>
      <c r="AG134" s="320"/>
      <c r="AH134" s="320"/>
      <c r="AI134" s="320"/>
      <c r="AJ134" s="299" t="s">
        <v>715</v>
      </c>
      <c r="AK134" s="299" t="s">
        <v>716</v>
      </c>
      <c r="AL134" s="328" t="s">
        <v>718</v>
      </c>
      <c r="AM134" s="299"/>
      <c r="AN134" s="328" t="s">
        <v>746</v>
      </c>
      <c r="AO134" s="328" t="n">
        <v>0</v>
      </c>
      <c r="AP134" s="329" t="n">
        <v>0</v>
      </c>
      <c r="AQ134" s="319" t="n">
        <f aca="false">AR134+AT134+AU134+AV134+AX134+AY134+AZ134+BB134+BC134+BD134+BF134+BG134+BH134+BJ134+BK134+(BL134+BM134+BN134)/1000+(0.1*BO134)</f>
        <v>159</v>
      </c>
      <c r="AR134" s="185" t="n">
        <v>0</v>
      </c>
      <c r="AS134" s="185" t="n">
        <v>0</v>
      </c>
      <c r="AT134" s="185" t="n">
        <v>136</v>
      </c>
      <c r="AU134" s="185" t="n">
        <v>0</v>
      </c>
      <c r="AV134" s="185" t="n">
        <v>0</v>
      </c>
      <c r="AW134" s="185" t="n">
        <v>0</v>
      </c>
      <c r="AX134" s="185" t="n">
        <v>15</v>
      </c>
      <c r="AY134" s="185" t="n">
        <v>0</v>
      </c>
      <c r="AZ134" s="185" t="n">
        <v>0</v>
      </c>
      <c r="BA134" s="185" t="n">
        <v>0</v>
      </c>
      <c r="BB134" s="185" t="n">
        <v>2</v>
      </c>
      <c r="BC134" s="185" t="n">
        <v>0</v>
      </c>
      <c r="BD134" s="291" t="n">
        <v>0</v>
      </c>
      <c r="BE134" s="291" t="n">
        <v>0</v>
      </c>
      <c r="BF134" s="291" t="n">
        <v>0</v>
      </c>
      <c r="BG134" s="291" t="n">
        <v>0</v>
      </c>
      <c r="BH134" s="291" t="n">
        <v>0</v>
      </c>
      <c r="BI134" s="291" t="n">
        <v>0</v>
      </c>
      <c r="BJ134" s="291" t="n">
        <v>0</v>
      </c>
      <c r="BK134" s="291" t="n">
        <v>0</v>
      </c>
      <c r="BL134" s="291" t="n">
        <v>0</v>
      </c>
      <c r="BM134" s="334" t="n">
        <v>6000</v>
      </c>
      <c r="BN134" s="334" t="n">
        <v>0</v>
      </c>
      <c r="BO134" s="298" t="n">
        <v>0</v>
      </c>
      <c r="BP134" s="324"/>
      <c r="BR134" s="290" t="n">
        <f aca="false">AR134*1000/0.072</f>
        <v>0</v>
      </c>
      <c r="BS134" s="290" t="n">
        <f aca="false">AT134*1000/0.072</f>
        <v>1888888.88888889</v>
      </c>
      <c r="BT134" s="290" t="n">
        <f aca="false">AU134*1000/0.072</f>
        <v>0</v>
      </c>
      <c r="BU134" s="290" t="n">
        <f aca="false">SUM(BR134:BT134)</f>
        <v>1888888.88888889</v>
      </c>
      <c r="BV134" s="290" t="n">
        <f aca="false">AV134*1000/5</f>
        <v>0</v>
      </c>
      <c r="BW134" s="290" t="n">
        <f aca="false">AX134*1000/5</f>
        <v>3000</v>
      </c>
      <c r="BX134" s="290" t="n">
        <f aca="false">AY134*1000/5</f>
        <v>0</v>
      </c>
      <c r="BY134" s="290" t="n">
        <f aca="false">SUM(BV134:BX134)</f>
        <v>3000</v>
      </c>
      <c r="CA134" s="290" t="n">
        <f aca="false">IF($AM134="n",0,BR134)</f>
        <v>0</v>
      </c>
      <c r="CB134" s="290" t="n">
        <f aca="false">IF($AM134="n",0,BS134)</f>
        <v>1888888.88888889</v>
      </c>
      <c r="CC134" s="290" t="n">
        <f aca="false">IF($AM134="n",0,BT134)</f>
        <v>0</v>
      </c>
      <c r="CD134" s="290" t="n">
        <f aca="false">SUM(CA134:CC134)</f>
        <v>1888888.88888889</v>
      </c>
      <c r="CE134" s="290" t="n">
        <f aca="false">IF($AM$2="n",0,BV134)</f>
        <v>0</v>
      </c>
      <c r="CF134" s="290" t="n">
        <f aca="false">IF($AM$2="n",0,BW134)</f>
        <v>3000</v>
      </c>
      <c r="CG134" s="290" t="n">
        <f aca="false">IF($AM$2="n",0,BX134)</f>
        <v>0</v>
      </c>
      <c r="CH134" s="290" t="n">
        <f aca="false">SUM(CE134:CG134)</f>
        <v>3000</v>
      </c>
      <c r="CJ134" s="324"/>
      <c r="CK134" s="324"/>
      <c r="CL134" s="324"/>
      <c r="CM134" s="324"/>
      <c r="CN134" s="324"/>
      <c r="CO134" s="324"/>
      <c r="CP134" s="324"/>
      <c r="CQ134" s="324"/>
      <c r="CR134" s="324"/>
      <c r="CS134" s="324"/>
      <c r="CT134" s="324"/>
      <c r="CU134" s="324"/>
      <c r="CV134" s="324"/>
      <c r="CW134" s="324"/>
      <c r="CX134" s="324"/>
      <c r="CY134" s="324"/>
      <c r="CZ134" s="324"/>
      <c r="DA134" s="324"/>
      <c r="DB134" s="324"/>
      <c r="DC134" s="324"/>
      <c r="DD134" s="324"/>
      <c r="DE134" s="324"/>
      <c r="DF134" s="324"/>
      <c r="DG134" s="324"/>
      <c r="DH134" s="324"/>
      <c r="DI134" s="324"/>
      <c r="DJ134" s="324"/>
      <c r="DK134" s="324"/>
      <c r="DL134" s="324"/>
      <c r="DM134" s="324"/>
      <c r="DN134" s="324"/>
      <c r="DO134" s="324"/>
    </row>
    <row r="135" customFormat="false" ht="15" hidden="false" customHeight="true" outlineLevel="0" collapsed="false">
      <c r="A135" s="291" t="n">
        <v>9780</v>
      </c>
      <c r="B135" s="291"/>
      <c r="C135" s="292" t="s">
        <v>382</v>
      </c>
      <c r="D135" s="287" t="s">
        <v>382</v>
      </c>
      <c r="E135" s="288" t="n">
        <f aca="false">IF(I135="regional",IF(R135*0.2975,S135*0.3484),S135*0.1939)</f>
        <v>303954.2636</v>
      </c>
      <c r="F135" s="288" t="n">
        <v>0</v>
      </c>
      <c r="G135" s="289" t="n">
        <f aca="false">E135+F135</f>
        <v>303954.2636</v>
      </c>
      <c r="H135" s="292" t="s">
        <v>49</v>
      </c>
      <c r="I135" s="287" t="s">
        <v>48</v>
      </c>
      <c r="J135" s="287" t="s">
        <v>49</v>
      </c>
      <c r="K135" s="287" t="s">
        <v>105</v>
      </c>
      <c r="L135" s="287"/>
      <c r="M135" s="317" t="n">
        <v>141</v>
      </c>
      <c r="N135" s="317" t="n">
        <v>0.918</v>
      </c>
      <c r="O135" s="317" t="n">
        <v>0.919</v>
      </c>
      <c r="P135" s="317" t="n">
        <v>0.957</v>
      </c>
      <c r="Q135" s="317" t="n">
        <v>0.945</v>
      </c>
      <c r="R135" s="317" t="n">
        <v>1030690</v>
      </c>
      <c r="S135" s="317" t="n">
        <v>872429</v>
      </c>
      <c r="T135" s="318" t="n">
        <f aca="false">IF(I135="regional",IF(R135&gt;0,R135*0.2975,S135*0.3484),S135*0.1939)</f>
        <v>306630.275</v>
      </c>
      <c r="U135" s="317" t="n">
        <v>683308</v>
      </c>
      <c r="V135" s="317" t="n">
        <v>189121</v>
      </c>
      <c r="W135" s="317" t="n">
        <v>4984</v>
      </c>
      <c r="X135" s="317" t="n">
        <v>0</v>
      </c>
      <c r="Y135" s="317" t="n">
        <v>0</v>
      </c>
      <c r="Z135" s="317" t="n">
        <v>0</v>
      </c>
      <c r="AA135" s="317" t="n">
        <v>1179059.275</v>
      </c>
      <c r="AB135" s="317" t="n">
        <v>306630.275</v>
      </c>
      <c r="AC135" s="317" t="n">
        <v>872429</v>
      </c>
      <c r="AD135" s="317" t="n">
        <v>0</v>
      </c>
      <c r="AE135" s="317" t="n">
        <v>0</v>
      </c>
      <c r="AF135" s="317" t="n">
        <v>0</v>
      </c>
      <c r="AG135" s="317" t="n">
        <v>872429</v>
      </c>
      <c r="AH135" s="317" t="n">
        <v>0</v>
      </c>
      <c r="AI135" s="317" t="n">
        <v>0</v>
      </c>
      <c r="AJ135" s="292" t="s">
        <v>707</v>
      </c>
      <c r="AK135" s="292" t="s">
        <v>714</v>
      </c>
      <c r="AL135" s="321" t="s">
        <v>48</v>
      </c>
      <c r="AM135" s="292" t="s">
        <v>49</v>
      </c>
      <c r="AN135" s="321" t="s">
        <v>382</v>
      </c>
      <c r="AO135" s="321" t="n">
        <v>306630.275</v>
      </c>
      <c r="AP135" s="322" t="n">
        <f aca="false">AR135+AT135+AU135+AV135+AX135+AY135+AZ135+BD135+BF135+BG135+BH135+BJ135+BK135+(BL135+BM135+BN135)/1000+(0.1*BO135)</f>
        <v>460.12</v>
      </c>
      <c r="AQ135" s="319" t="n">
        <f aca="false">AR135+AT135+AU135+AV135+AX135+AY135+AZ135+BB135+BC135+BD135+BF135+BG135+BH135+BJ135+BK135+(BL135+BM135+BN135)/1000+(0.1*BO135)</f>
        <v>496.12</v>
      </c>
      <c r="AR135" s="291" t="n">
        <v>0</v>
      </c>
      <c r="AS135" s="291" t="n">
        <v>0</v>
      </c>
      <c r="AT135" s="291" t="n">
        <v>251</v>
      </c>
      <c r="AU135" s="291" t="n">
        <v>3</v>
      </c>
      <c r="AV135" s="291" t="n">
        <v>0</v>
      </c>
      <c r="AW135" s="291" t="n">
        <v>0</v>
      </c>
      <c r="AX135" s="291" t="n">
        <v>1</v>
      </c>
      <c r="AY135" s="291" t="n">
        <v>0</v>
      </c>
      <c r="AZ135" s="291" t="n">
        <v>0</v>
      </c>
      <c r="BA135" s="291" t="n">
        <v>0</v>
      </c>
      <c r="BB135" s="291" t="n">
        <v>36</v>
      </c>
      <c r="BC135" s="291" t="n">
        <v>0</v>
      </c>
      <c r="BD135" s="291" t="n">
        <v>0</v>
      </c>
      <c r="BE135" s="291" t="n">
        <v>0</v>
      </c>
      <c r="BF135" s="291" t="n">
        <v>0</v>
      </c>
      <c r="BG135" s="291" t="n">
        <v>0</v>
      </c>
      <c r="BH135" s="291" t="n">
        <v>0</v>
      </c>
      <c r="BI135" s="291" t="n">
        <v>0</v>
      </c>
      <c r="BJ135" s="291" t="n">
        <v>0</v>
      </c>
      <c r="BK135" s="291" t="n">
        <v>0</v>
      </c>
      <c r="BL135" s="291" t="n">
        <v>0</v>
      </c>
      <c r="BM135" s="291" t="n">
        <v>81652</v>
      </c>
      <c r="BN135" s="291" t="n">
        <v>0</v>
      </c>
      <c r="BO135" s="291" t="n">
        <v>1234.68</v>
      </c>
      <c r="BP135" s="324"/>
      <c r="BR135" s="290" t="n">
        <f aca="false">AR135*1000/0.072</f>
        <v>0</v>
      </c>
      <c r="BS135" s="290" t="n">
        <f aca="false">AT135*1000/0.072</f>
        <v>3486111.11111111</v>
      </c>
      <c r="BT135" s="290" t="n">
        <f aca="false">AU135*1000/0.072</f>
        <v>41666.6666666667</v>
      </c>
      <c r="BU135" s="290" t="n">
        <f aca="false">SUM(BR135:BT135)</f>
        <v>3527777.77777778</v>
      </c>
      <c r="BV135" s="290" t="n">
        <f aca="false">AV135*1000/5</f>
        <v>0</v>
      </c>
      <c r="BW135" s="290" t="n">
        <f aca="false">AX135*1000/5</f>
        <v>200</v>
      </c>
      <c r="BX135" s="290" t="n">
        <f aca="false">AY135*1000/5</f>
        <v>0</v>
      </c>
      <c r="BY135" s="290" t="n">
        <f aca="false">SUM(BV135:BX135)</f>
        <v>200</v>
      </c>
      <c r="CA135" s="290" t="n">
        <f aca="false">IF($AM135="n",0,BR135)</f>
        <v>0</v>
      </c>
      <c r="CB135" s="290" t="n">
        <f aca="false">IF($AM135="n",0,BS135)</f>
        <v>0</v>
      </c>
      <c r="CC135" s="290" t="n">
        <f aca="false">IF($AM135="n",0,BT135)</f>
        <v>0</v>
      </c>
      <c r="CD135" s="290" t="n">
        <f aca="false">SUM(CA135:CC135)</f>
        <v>0</v>
      </c>
      <c r="CE135" s="290" t="n">
        <f aca="false">IF($AM$2="n",0,BV135)</f>
        <v>0</v>
      </c>
      <c r="CF135" s="290" t="n">
        <f aca="false">IF($AM$2="n",0,BW135)</f>
        <v>200</v>
      </c>
      <c r="CG135" s="290" t="n">
        <f aca="false">IF($AM$2="n",0,BX135)</f>
        <v>0</v>
      </c>
      <c r="CH135" s="290" t="n">
        <f aca="false">SUM(CE135:CG135)</f>
        <v>200</v>
      </c>
      <c r="CJ135" s="324"/>
      <c r="CK135" s="324"/>
      <c r="CL135" s="324"/>
      <c r="CM135" s="324"/>
      <c r="CN135" s="324"/>
      <c r="CO135" s="324"/>
      <c r="CP135" s="324"/>
      <c r="CQ135" s="324"/>
      <c r="CR135" s="324"/>
      <c r="CS135" s="324"/>
      <c r="CT135" s="324"/>
      <c r="CU135" s="324"/>
      <c r="CV135" s="324"/>
      <c r="CW135" s="324"/>
      <c r="CX135" s="324"/>
      <c r="CY135" s="324"/>
      <c r="CZ135" s="324"/>
      <c r="DA135" s="324"/>
      <c r="DB135" s="324"/>
      <c r="DC135" s="324"/>
      <c r="DD135" s="324"/>
      <c r="DE135" s="324"/>
      <c r="DF135" s="324"/>
      <c r="DG135" s="324"/>
      <c r="DH135" s="324"/>
      <c r="DI135" s="324"/>
      <c r="DJ135" s="324"/>
      <c r="DK135" s="324"/>
      <c r="DL135" s="324"/>
      <c r="DM135" s="324"/>
      <c r="DN135" s="324"/>
      <c r="DO135" s="324"/>
    </row>
    <row r="136" customFormat="false" ht="15" hidden="false" customHeight="true" outlineLevel="0" collapsed="false">
      <c r="A136" s="291" t="n">
        <v>2580</v>
      </c>
      <c r="B136" s="291" t="s">
        <v>44</v>
      </c>
      <c r="C136" s="292" t="s">
        <v>383</v>
      </c>
      <c r="D136" s="287" t="s">
        <v>383</v>
      </c>
      <c r="E136" s="288" t="n">
        <f aca="false">IF(I136="regional",IF(R136*0.2975,S136*0.3484),S136*0.1939)</f>
        <v>219659.9288</v>
      </c>
      <c r="F136" s="288" t="n">
        <v>0</v>
      </c>
      <c r="G136" s="289" t="n">
        <f aca="false">E136+F136</f>
        <v>219659.9288</v>
      </c>
      <c r="H136" s="292"/>
      <c r="I136" s="287" t="s">
        <v>48</v>
      </c>
      <c r="J136" s="287" t="s">
        <v>44</v>
      </c>
      <c r="K136" s="287" t="s">
        <v>118</v>
      </c>
      <c r="L136" s="287"/>
      <c r="M136" s="317" t="n">
        <v>104</v>
      </c>
      <c r="N136" s="317" t="n">
        <v>0.829</v>
      </c>
      <c r="O136" s="317" t="n">
        <v>0.832</v>
      </c>
      <c r="P136" s="317" t="n">
        <v>0.89</v>
      </c>
      <c r="Q136" s="317" t="n">
        <v>0.787</v>
      </c>
      <c r="R136" s="317" t="n">
        <v>767081</v>
      </c>
      <c r="S136" s="317" t="n">
        <v>630482</v>
      </c>
      <c r="T136" s="318" t="n">
        <f aca="false">IF(I136="regional",IF(R136&gt;0,R136*0.2975,S136*0.3484),S136*0.1939)</f>
        <v>228206.5975</v>
      </c>
      <c r="U136" s="317" t="n">
        <v>376198</v>
      </c>
      <c r="V136" s="317" t="n">
        <v>254284</v>
      </c>
      <c r="W136" s="317" t="n">
        <v>3600</v>
      </c>
      <c r="X136" s="317" t="n">
        <v>0</v>
      </c>
      <c r="Y136" s="317" t="n">
        <v>0</v>
      </c>
      <c r="Z136" s="317" t="n">
        <v>0</v>
      </c>
      <c r="AA136" s="317" t="n">
        <v>858688.5975</v>
      </c>
      <c r="AB136" s="317" t="n">
        <v>228206.5975</v>
      </c>
      <c r="AC136" s="317" t="n">
        <v>630482</v>
      </c>
      <c r="AD136" s="317" t="n">
        <v>0</v>
      </c>
      <c r="AE136" s="317" t="n">
        <v>0</v>
      </c>
      <c r="AF136" s="317" t="n">
        <v>630482</v>
      </c>
      <c r="AG136" s="317" t="n">
        <v>0</v>
      </c>
      <c r="AH136" s="317" t="n">
        <v>586000</v>
      </c>
      <c r="AI136" s="317" t="n">
        <v>484000</v>
      </c>
      <c r="AJ136" s="292" t="s">
        <v>707</v>
      </c>
      <c r="AK136" s="292" t="s">
        <v>708</v>
      </c>
      <c r="AL136" s="321" t="s">
        <v>48</v>
      </c>
      <c r="AM136" s="292"/>
      <c r="AN136" s="321" t="s">
        <v>383</v>
      </c>
      <c r="AO136" s="321" t="n">
        <v>228206.5975</v>
      </c>
      <c r="AP136" s="322" t="n">
        <f aca="false">AR136+AT136+AU136+AV136+AX136+AY136+AZ136+BD136+BF136+BG136+BH136+BJ136+BK136+(BL136+BM136+BN136)/1000+(0.1*BO136)</f>
        <v>238.6467</v>
      </c>
      <c r="AQ136" s="319" t="n">
        <f aca="false">AR136+AT136+AU136+AV136+AX136+AY136+AZ136+BB136+BC136+BD136+BF136+BG136+BH136+BJ136+BK136+(BL136+BM136+BN136)/1000+(0.1*BO136)</f>
        <v>268.6467</v>
      </c>
      <c r="AR136" s="351" t="n">
        <v>35</v>
      </c>
      <c r="AS136" s="351" t="n">
        <v>484</v>
      </c>
      <c r="AT136" s="351" t="n">
        <v>85</v>
      </c>
      <c r="AU136" s="351" t="n">
        <v>40</v>
      </c>
      <c r="AV136" s="291" t="n">
        <v>0</v>
      </c>
      <c r="AW136" s="291" t="n">
        <v>0</v>
      </c>
      <c r="AX136" s="291" t="n">
        <v>0</v>
      </c>
      <c r="AY136" s="291" t="n">
        <v>0</v>
      </c>
      <c r="AZ136" s="351" t="n">
        <v>0</v>
      </c>
      <c r="BA136" s="351" t="n">
        <v>17</v>
      </c>
      <c r="BB136" s="351" t="n">
        <v>30</v>
      </c>
      <c r="BC136" s="351" t="n">
        <v>0</v>
      </c>
      <c r="BD136" s="351" t="n">
        <v>22</v>
      </c>
      <c r="BE136" s="351" t="n">
        <v>0</v>
      </c>
      <c r="BF136" s="351" t="n">
        <v>0</v>
      </c>
      <c r="BG136" s="351" t="n">
        <v>0</v>
      </c>
      <c r="BH136" s="351" t="n">
        <v>0</v>
      </c>
      <c r="BI136" s="351" t="n">
        <v>0</v>
      </c>
      <c r="BJ136" s="351" t="n">
        <v>0</v>
      </c>
      <c r="BK136" s="351" t="n">
        <v>0</v>
      </c>
      <c r="BL136" s="351" t="n">
        <v>8534</v>
      </c>
      <c r="BM136" s="351" t="n">
        <v>0</v>
      </c>
      <c r="BN136" s="351" t="n">
        <v>10755</v>
      </c>
      <c r="BO136" s="291" t="n">
        <v>373.577</v>
      </c>
      <c r="BP136" s="324"/>
      <c r="BR136" s="290" t="n">
        <f aca="false">AR136*1000/0.072</f>
        <v>486111.111111111</v>
      </c>
      <c r="BS136" s="290" t="n">
        <f aca="false">AT136*1000/0.072</f>
        <v>1180555.55555556</v>
      </c>
      <c r="BT136" s="290" t="n">
        <f aca="false">AU136*1000/0.072</f>
        <v>555555.555555556</v>
      </c>
      <c r="BU136" s="290" t="n">
        <f aca="false">SUM(BR136:BT136)</f>
        <v>2222222.22222222</v>
      </c>
      <c r="BV136" s="290" t="n">
        <f aca="false">AV136*1000/5</f>
        <v>0</v>
      </c>
      <c r="BW136" s="290" t="n">
        <f aca="false">AX136*1000/5</f>
        <v>0</v>
      </c>
      <c r="BX136" s="290" t="n">
        <f aca="false">AY136*1000/5</f>
        <v>0</v>
      </c>
      <c r="BY136" s="290" t="n">
        <f aca="false">SUM(BV136:BX136)</f>
        <v>0</v>
      </c>
      <c r="CA136" s="290" t="n">
        <f aca="false">IF($AM136="n",0,BR136)</f>
        <v>486111.111111111</v>
      </c>
      <c r="CB136" s="290" t="n">
        <f aca="false">IF($AM136="n",0,BS136)</f>
        <v>1180555.55555556</v>
      </c>
      <c r="CC136" s="290" t="n">
        <f aca="false">IF($AM136="n",0,BT136)</f>
        <v>555555.555555556</v>
      </c>
      <c r="CD136" s="290" t="n">
        <f aca="false">SUM(CA136:CC136)</f>
        <v>2222222.22222222</v>
      </c>
      <c r="CE136" s="290" t="n">
        <f aca="false">IF($AM$2="n",0,BV136)</f>
        <v>0</v>
      </c>
      <c r="CF136" s="290" t="n">
        <f aca="false">IF($AM$2="n",0,BW136)</f>
        <v>0</v>
      </c>
      <c r="CG136" s="290" t="n">
        <f aca="false">IF($AM$2="n",0,BX136)</f>
        <v>0</v>
      </c>
      <c r="CH136" s="290" t="n">
        <f aca="false">SUM(CE136:CG136)</f>
        <v>0</v>
      </c>
      <c r="CJ136" s="324"/>
      <c r="CK136" s="324"/>
      <c r="CL136" s="324"/>
      <c r="CM136" s="324"/>
      <c r="CN136" s="324"/>
      <c r="CO136" s="324"/>
      <c r="CP136" s="324"/>
      <c r="CQ136" s="324"/>
      <c r="CR136" s="324"/>
      <c r="CS136" s="324"/>
      <c r="CT136" s="324"/>
      <c r="CU136" s="324"/>
      <c r="CV136" s="324"/>
      <c r="CW136" s="324"/>
      <c r="CX136" s="324"/>
      <c r="CY136" s="324"/>
      <c r="CZ136" s="324"/>
      <c r="DA136" s="324"/>
      <c r="DB136" s="324"/>
      <c r="DC136" s="324"/>
      <c r="DD136" s="324"/>
      <c r="DE136" s="324"/>
      <c r="DF136" s="324"/>
      <c r="DG136" s="324"/>
      <c r="DH136" s="324"/>
      <c r="DI136" s="324"/>
      <c r="DJ136" s="324"/>
      <c r="DK136" s="324"/>
      <c r="DL136" s="324"/>
      <c r="DM136" s="324"/>
      <c r="DN136" s="324"/>
      <c r="DO136" s="324"/>
      <c r="DP136" s="330"/>
      <c r="DQ136" s="330"/>
      <c r="DR136" s="330"/>
      <c r="DS136" s="330"/>
      <c r="DT136" s="330"/>
      <c r="DU136" s="330"/>
      <c r="DV136" s="330"/>
      <c r="DW136" s="330"/>
      <c r="DX136" s="330"/>
      <c r="DY136" s="330"/>
      <c r="DZ136" s="330"/>
      <c r="EA136" s="330"/>
      <c r="EB136" s="330"/>
      <c r="EC136" s="330"/>
      <c r="ED136" s="330"/>
      <c r="EE136" s="330"/>
      <c r="EF136" s="330"/>
      <c r="EG136" s="330"/>
      <c r="EH136" s="330"/>
      <c r="EI136" s="330"/>
      <c r="EJ136" s="330"/>
      <c r="EK136" s="330"/>
      <c r="EL136" s="330"/>
      <c r="EM136" s="330"/>
      <c r="EN136" s="330"/>
      <c r="EO136" s="330"/>
      <c r="EP136" s="330"/>
      <c r="EQ136" s="330"/>
      <c r="ER136" s="330"/>
      <c r="ES136" s="330"/>
      <c r="ET136" s="330"/>
      <c r="EU136" s="330"/>
      <c r="EV136" s="330"/>
      <c r="EW136" s="330"/>
      <c r="EX136" s="330"/>
      <c r="EY136" s="330"/>
      <c r="EZ136" s="330"/>
      <c r="FA136" s="330"/>
      <c r="FB136" s="330"/>
      <c r="FC136" s="330"/>
      <c r="FD136" s="330"/>
      <c r="FE136" s="330"/>
      <c r="FF136" s="330"/>
      <c r="FG136" s="330"/>
      <c r="FH136" s="330"/>
      <c r="FI136" s="330"/>
      <c r="FJ136" s="330"/>
      <c r="FK136" s="330"/>
      <c r="FL136" s="330"/>
      <c r="FM136" s="330"/>
      <c r="FN136" s="330"/>
      <c r="FO136" s="330"/>
      <c r="FP136" s="330"/>
      <c r="FQ136" s="330"/>
      <c r="FR136" s="330"/>
      <c r="FS136" s="330"/>
      <c r="FT136" s="330"/>
      <c r="FU136" s="330"/>
      <c r="FV136" s="330"/>
      <c r="FW136" s="330"/>
      <c r="FX136" s="330"/>
      <c r="FY136" s="330"/>
      <c r="FZ136" s="330"/>
      <c r="GA136" s="330"/>
      <c r="GB136" s="330"/>
      <c r="GC136" s="330"/>
      <c r="GD136" s="330"/>
      <c r="GE136" s="330"/>
      <c r="GF136" s="330"/>
      <c r="GG136" s="330"/>
      <c r="GH136" s="330"/>
      <c r="GI136" s="330"/>
      <c r="GJ136" s="330"/>
      <c r="GK136" s="330"/>
      <c r="GL136" s="330"/>
      <c r="GM136" s="330"/>
      <c r="GN136" s="330"/>
      <c r="GO136" s="330"/>
      <c r="GP136" s="330"/>
      <c r="GQ136" s="330"/>
      <c r="GR136" s="330"/>
      <c r="GS136" s="330"/>
      <c r="GT136" s="330"/>
      <c r="GU136" s="330"/>
      <c r="GV136" s="330"/>
      <c r="GW136" s="330"/>
      <c r="GX136" s="330"/>
      <c r="GY136" s="330"/>
      <c r="GZ136" s="330"/>
      <c r="HA136" s="330"/>
      <c r="HB136" s="330"/>
      <c r="HC136" s="330"/>
      <c r="HD136" s="330"/>
      <c r="HE136" s="330"/>
      <c r="HF136" s="330"/>
      <c r="HG136" s="330"/>
      <c r="HH136" s="330"/>
      <c r="HI136" s="330"/>
      <c r="HJ136" s="330"/>
      <c r="HK136" s="330"/>
      <c r="HL136" s="330"/>
      <c r="HM136" s="330"/>
      <c r="HN136" s="330"/>
      <c r="HO136" s="330"/>
      <c r="HP136" s="330"/>
      <c r="HQ136" s="330"/>
      <c r="HR136" s="330"/>
      <c r="HS136" s="330"/>
      <c r="HT136" s="330"/>
      <c r="HU136" s="330"/>
      <c r="HV136" s="330"/>
      <c r="HW136" s="330"/>
      <c r="HX136" s="330"/>
      <c r="HY136" s="330"/>
      <c r="HZ136" s="330"/>
      <c r="IA136" s="330"/>
      <c r="IB136" s="330"/>
      <c r="IC136" s="330"/>
      <c r="ID136" s="330"/>
      <c r="IE136" s="330"/>
      <c r="IF136" s="330"/>
      <c r="IG136" s="330"/>
      <c r="IH136" s="330"/>
      <c r="II136" s="330"/>
      <c r="IJ136" s="330"/>
      <c r="IK136" s="330"/>
      <c r="IL136" s="330"/>
      <c r="IM136" s="330"/>
      <c r="IN136" s="330"/>
      <c r="IO136" s="330"/>
      <c r="IP136" s="330"/>
      <c r="IQ136" s="330"/>
      <c r="IR136" s="330"/>
      <c r="IS136" s="330"/>
      <c r="IT136" s="330"/>
      <c r="IU136" s="330"/>
      <c r="IV136" s="330"/>
      <c r="IW136" s="330"/>
    </row>
    <row r="137" customFormat="false" ht="15" hidden="false" customHeight="true" outlineLevel="0" collapsed="false">
      <c r="A137" s="298" t="n">
        <v>3854</v>
      </c>
      <c r="B137" s="298" t="s">
        <v>44</v>
      </c>
      <c r="C137" s="299" t="s">
        <v>385</v>
      </c>
      <c r="D137" s="287" t="s">
        <v>385</v>
      </c>
      <c r="E137" s="288" t="n">
        <f aca="false">IF(I137="regional",IF(R137*0.2975,S137*0.3484),S137*0.1939)</f>
        <v>0</v>
      </c>
      <c r="F137" s="288" t="n">
        <v>0</v>
      </c>
      <c r="G137" s="289" t="n">
        <f aca="false">E137+F137</f>
        <v>0</v>
      </c>
      <c r="H137" s="299" t="s">
        <v>49</v>
      </c>
      <c r="I137" s="293" t="s">
        <v>48</v>
      </c>
      <c r="J137" s="287"/>
      <c r="K137" s="287"/>
      <c r="L137" s="287" t="s">
        <v>44</v>
      </c>
      <c r="M137" s="317" t="n">
        <v>0</v>
      </c>
      <c r="N137" s="317" t="n">
        <v>0</v>
      </c>
      <c r="O137" s="317" t="n">
        <v>0</v>
      </c>
      <c r="P137" s="317" t="n">
        <v>0</v>
      </c>
      <c r="Q137" s="317" t="n">
        <v>0</v>
      </c>
      <c r="R137" s="317" t="n">
        <v>727381</v>
      </c>
      <c r="S137" s="317" t="n">
        <v>0</v>
      </c>
      <c r="T137" s="318" t="n">
        <f aca="false">IF(I137="regional",IF(R137&gt;0,R137*0.2975,S137*0.3484),S137*0.1939)</f>
        <v>216395.8475</v>
      </c>
      <c r="U137" s="317" t="n">
        <v>0</v>
      </c>
      <c r="V137" s="317" t="n">
        <v>0</v>
      </c>
      <c r="W137" s="317" t="n">
        <v>0</v>
      </c>
      <c r="X137" s="317" t="n">
        <v>0</v>
      </c>
      <c r="Y137" s="317" t="n">
        <v>0</v>
      </c>
      <c r="Z137" s="317" t="n">
        <v>0</v>
      </c>
      <c r="AA137" s="317" t="n">
        <v>0</v>
      </c>
      <c r="AB137" s="317" t="n">
        <v>0</v>
      </c>
      <c r="AC137" s="317" t="n">
        <v>0</v>
      </c>
      <c r="AD137" s="317" t="n">
        <v>0</v>
      </c>
      <c r="AE137" s="317" t="n">
        <v>0</v>
      </c>
      <c r="AF137" s="317" t="n">
        <v>0</v>
      </c>
      <c r="AG137" s="317" t="n">
        <v>0</v>
      </c>
      <c r="AH137" s="317" t="n">
        <v>364000</v>
      </c>
      <c r="AI137" s="317" t="n">
        <v>360000</v>
      </c>
      <c r="AJ137" s="299" t="s">
        <v>707</v>
      </c>
      <c r="AK137" s="299" t="s">
        <v>708</v>
      </c>
      <c r="AL137" s="328" t="s">
        <v>718</v>
      </c>
      <c r="AM137" s="292" t="s">
        <v>49</v>
      </c>
      <c r="AN137" s="328" t="s">
        <v>385</v>
      </c>
      <c r="AO137" s="328" t="n">
        <v>0</v>
      </c>
      <c r="AP137" s="329" t="n">
        <v>0</v>
      </c>
      <c r="AQ137" s="319" t="n">
        <f aca="false">AR137+AT137+AU137+AV137+AX137+AY137+AZ137+BB137+BC137+BD137+BF137+BG137+BH137+BJ137+BK137+(BL137+BM137+BN137)/1000+(0.1*BO137)</f>
        <v>237</v>
      </c>
      <c r="AR137" s="185" t="n">
        <v>113</v>
      </c>
      <c r="AS137" s="185" t="n">
        <v>360</v>
      </c>
      <c r="AT137" s="185" t="n">
        <v>83</v>
      </c>
      <c r="AU137" s="185" t="n">
        <v>-2</v>
      </c>
      <c r="AV137" s="291" t="n">
        <v>0</v>
      </c>
      <c r="AW137" s="291" t="n">
        <v>0</v>
      </c>
      <c r="AX137" s="291" t="n">
        <v>0</v>
      </c>
      <c r="AY137" s="291" t="n">
        <v>0</v>
      </c>
      <c r="AZ137" s="185" t="n">
        <v>0</v>
      </c>
      <c r="BA137" s="185" t="n">
        <v>25</v>
      </c>
      <c r="BB137" s="185" t="n">
        <v>29</v>
      </c>
      <c r="BC137" s="185" t="n">
        <v>0</v>
      </c>
      <c r="BD137" s="185" t="n">
        <v>0</v>
      </c>
      <c r="BE137" s="185" t="n">
        <v>0</v>
      </c>
      <c r="BF137" s="185" t="n">
        <v>0</v>
      </c>
      <c r="BG137" s="185" t="n">
        <v>0</v>
      </c>
      <c r="BH137" s="185" t="n">
        <v>0</v>
      </c>
      <c r="BI137" s="185" t="n">
        <v>3</v>
      </c>
      <c r="BJ137" s="185" t="n">
        <v>0</v>
      </c>
      <c r="BK137" s="185" t="n">
        <v>0</v>
      </c>
      <c r="BL137" s="185" t="n">
        <v>0</v>
      </c>
      <c r="BM137" s="185" t="n">
        <v>9000</v>
      </c>
      <c r="BN137" s="185" t="n">
        <v>5000</v>
      </c>
      <c r="BO137" s="298" t="n">
        <v>0</v>
      </c>
      <c r="BR137" s="290" t="n">
        <f aca="false">AR137*1000/0.072</f>
        <v>1569444.44444444</v>
      </c>
      <c r="BS137" s="290" t="n">
        <f aca="false">AT137*1000/0.072</f>
        <v>1152777.77777778</v>
      </c>
      <c r="BT137" s="290" t="n">
        <f aca="false">AU137*1000/0.072</f>
        <v>-27777.7777777778</v>
      </c>
      <c r="BU137" s="290" t="n">
        <f aca="false">SUM(BR137:BT137)</f>
        <v>2694444.44444444</v>
      </c>
      <c r="BV137" s="290" t="n">
        <f aca="false">AV137*1000/5</f>
        <v>0</v>
      </c>
      <c r="BW137" s="290" t="n">
        <f aca="false">AX137*1000/5</f>
        <v>0</v>
      </c>
      <c r="BX137" s="290" t="n">
        <f aca="false">AY137*1000/5</f>
        <v>0</v>
      </c>
      <c r="BY137" s="290" t="n">
        <f aca="false">SUM(BV137:BX137)</f>
        <v>0</v>
      </c>
      <c r="CA137" s="290" t="n">
        <f aca="false">IF($AM137="n",0,BR137)</f>
        <v>0</v>
      </c>
      <c r="CB137" s="290" t="n">
        <f aca="false">IF($AM137="n",0,BS137)</f>
        <v>0</v>
      </c>
      <c r="CC137" s="290" t="n">
        <f aca="false">IF($AM137="n",0,BT137)</f>
        <v>0</v>
      </c>
      <c r="CD137" s="290" t="n">
        <f aca="false">SUM(CA137:CC137)</f>
        <v>0</v>
      </c>
      <c r="CE137" s="290" t="n">
        <f aca="false">IF($AM$2="n",0,BV137)</f>
        <v>0</v>
      </c>
      <c r="CF137" s="290" t="n">
        <f aca="false">IF($AM$2="n",0,BW137)</f>
        <v>0</v>
      </c>
      <c r="CG137" s="290" t="n">
        <f aca="false">IF($AM$2="n",0,BX137)</f>
        <v>0</v>
      </c>
      <c r="CH137" s="290" t="n">
        <f aca="false">SUM(CE137:CG137)</f>
        <v>0</v>
      </c>
    </row>
    <row r="138" customFormat="false" ht="15" hidden="false" customHeight="true" outlineLevel="0" collapsed="false">
      <c r="A138" s="285" t="n">
        <v>732</v>
      </c>
      <c r="B138" s="285" t="s">
        <v>44</v>
      </c>
      <c r="C138" s="286" t="s">
        <v>386</v>
      </c>
      <c r="D138" s="287" t="s">
        <v>386</v>
      </c>
      <c r="E138" s="288" t="n">
        <f aca="false">IF(I138="regional",IF(R138*0.2975,S138*0.3484),S138*0.1939)</f>
        <v>205036.5356</v>
      </c>
      <c r="F138" s="288" t="n">
        <v>0</v>
      </c>
      <c r="G138" s="289" t="n">
        <f aca="false">E138+F138</f>
        <v>205036.5356</v>
      </c>
      <c r="H138" s="286"/>
      <c r="I138" s="287" t="s">
        <v>48</v>
      </c>
      <c r="J138" s="287" t="s">
        <v>44</v>
      </c>
      <c r="K138" s="287" t="s">
        <v>388</v>
      </c>
      <c r="L138" s="287"/>
      <c r="M138" s="317" t="n">
        <v>108</v>
      </c>
      <c r="N138" s="317" t="n">
        <v>0.955</v>
      </c>
      <c r="O138" s="317" t="n">
        <v>0.962</v>
      </c>
      <c r="P138" s="317" t="n">
        <v>0.913</v>
      </c>
      <c r="Q138" s="317" t="n">
        <v>0.91</v>
      </c>
      <c r="R138" s="317" t="n">
        <v>913969</v>
      </c>
      <c r="S138" s="317" t="n">
        <v>588509</v>
      </c>
      <c r="T138" s="318" t="n">
        <f aca="false">IF(I138="regional",IF(R138&gt;0,R138*0.2975,S138*0.3484),S138*0.1939)</f>
        <v>271905.7775</v>
      </c>
      <c r="U138" s="317" t="n">
        <v>545891</v>
      </c>
      <c r="V138" s="317" t="n">
        <v>42618</v>
      </c>
      <c r="W138" s="317" t="n">
        <v>3442</v>
      </c>
      <c r="X138" s="317" t="n">
        <v>0</v>
      </c>
      <c r="Y138" s="317" t="n">
        <v>0</v>
      </c>
      <c r="Z138" s="317" t="n">
        <v>0</v>
      </c>
      <c r="AA138" s="317" t="n">
        <v>860414.7775</v>
      </c>
      <c r="AB138" s="317" t="n">
        <v>271905.7775</v>
      </c>
      <c r="AC138" s="317" t="n">
        <v>588509</v>
      </c>
      <c r="AD138" s="317" t="n">
        <v>0</v>
      </c>
      <c r="AE138" s="317" t="n">
        <v>0</v>
      </c>
      <c r="AF138" s="317" t="n">
        <v>588509</v>
      </c>
      <c r="AG138" s="317" t="n">
        <v>0</v>
      </c>
      <c r="AH138" s="317" t="n">
        <v>1079000</v>
      </c>
      <c r="AI138" s="317" t="n">
        <v>876000</v>
      </c>
      <c r="AJ138" s="286" t="n">
        <v>4</v>
      </c>
      <c r="AK138" s="286" t="s">
        <v>728</v>
      </c>
      <c r="AL138" s="287" t="s">
        <v>48</v>
      </c>
      <c r="AM138" s="286"/>
      <c r="AN138" s="287" t="s">
        <v>386</v>
      </c>
      <c r="AO138" s="287" t="n">
        <v>271905.7775</v>
      </c>
      <c r="AP138" s="319" t="n">
        <f aca="false">AR138+AT138+AU138+AV138+AX138+AY138+AZ138+BD138+BF138+BG138+BH138+BJ138+BK138+(BL138+BM138+BN138)/1000+(0.1*BO138)</f>
        <v>169.918924</v>
      </c>
      <c r="AQ138" s="319" t="n">
        <f aca="false">AR138+AT138+AU138+AV138+AX138+AY138+AZ138+BB138+BC138+BD138+BF138+BG138+BH138+BJ138+BK138+(BL138+BM138+BN138)/1000+(0.1*BO138)</f>
        <v>178.918924</v>
      </c>
      <c r="AR138" s="285" t="n">
        <v>26</v>
      </c>
      <c r="AS138" s="285" t="n">
        <v>876</v>
      </c>
      <c r="AT138" s="285" t="n">
        <v>92</v>
      </c>
      <c r="AU138" s="285" t="n">
        <v>19</v>
      </c>
      <c r="AV138" s="285" t="n">
        <v>0</v>
      </c>
      <c r="AW138" s="285" t="n">
        <v>9</v>
      </c>
      <c r="AX138" s="285" t="n">
        <v>9</v>
      </c>
      <c r="AY138" s="285" t="n">
        <v>3</v>
      </c>
      <c r="AZ138" s="285" t="n">
        <v>0</v>
      </c>
      <c r="BA138" s="285" t="n">
        <v>50</v>
      </c>
      <c r="BB138" s="285" t="n">
        <v>9</v>
      </c>
      <c r="BC138" s="285" t="n">
        <v>0</v>
      </c>
      <c r="BD138" s="285" t="n">
        <v>0</v>
      </c>
      <c r="BE138" s="285" t="n">
        <v>0</v>
      </c>
      <c r="BF138" s="285" t="n">
        <v>0</v>
      </c>
      <c r="BG138" s="285" t="n">
        <v>0</v>
      </c>
      <c r="BH138" s="285" t="n">
        <v>0</v>
      </c>
      <c r="BI138" s="285" t="n">
        <v>0</v>
      </c>
      <c r="BJ138" s="285" t="n">
        <v>0</v>
      </c>
      <c r="BK138" s="285" t="n">
        <v>0</v>
      </c>
      <c r="BL138" s="285" t="n">
        <v>0</v>
      </c>
      <c r="BM138" s="285" t="n">
        <v>0</v>
      </c>
      <c r="BN138" s="285" t="n">
        <v>0</v>
      </c>
      <c r="BO138" s="285" t="n">
        <v>209.18924</v>
      </c>
      <c r="BR138" s="290" t="n">
        <f aca="false">AR138*1000/0.072</f>
        <v>361111.111111111</v>
      </c>
      <c r="BS138" s="290" t="n">
        <f aca="false">AT138*1000/0.072</f>
        <v>1277777.77777778</v>
      </c>
      <c r="BT138" s="290" t="n">
        <f aca="false">AU138*1000/0.072</f>
        <v>263888.888888889</v>
      </c>
      <c r="BU138" s="290" t="n">
        <f aca="false">SUM(BR138:BT138)</f>
        <v>1902777.77777778</v>
      </c>
      <c r="BV138" s="290" t="n">
        <f aca="false">AV138*1000/5</f>
        <v>0</v>
      </c>
      <c r="BW138" s="290" t="n">
        <f aca="false">AX138*1000/5</f>
        <v>1800</v>
      </c>
      <c r="BX138" s="290" t="n">
        <f aca="false">AY138*1000/5</f>
        <v>600</v>
      </c>
      <c r="BY138" s="290" t="n">
        <f aca="false">SUM(BV138:BX138)</f>
        <v>2400</v>
      </c>
      <c r="CA138" s="290" t="n">
        <f aca="false">IF($AM138="n",0,BR138)</f>
        <v>361111.111111111</v>
      </c>
      <c r="CB138" s="290" t="n">
        <f aca="false">IF($AM138="n",0,BS138)</f>
        <v>1277777.77777778</v>
      </c>
      <c r="CC138" s="290" t="n">
        <f aca="false">IF($AM138="n",0,BT138)</f>
        <v>263888.888888889</v>
      </c>
      <c r="CD138" s="290" t="n">
        <f aca="false">SUM(CA138:CC138)</f>
        <v>1902777.77777778</v>
      </c>
      <c r="CE138" s="290" t="n">
        <f aca="false">IF($AM$2="n",0,BV138)</f>
        <v>0</v>
      </c>
      <c r="CF138" s="290" t="n">
        <f aca="false">IF($AM$2="n",0,BW138)</f>
        <v>1800</v>
      </c>
      <c r="CG138" s="290" t="n">
        <f aca="false">IF($AM$2="n",0,BX138)</f>
        <v>600</v>
      </c>
      <c r="CH138" s="290" t="n">
        <f aca="false">SUM(CE138:CG138)</f>
        <v>2400</v>
      </c>
    </row>
    <row r="139" customFormat="false" ht="15" hidden="false" customHeight="true" outlineLevel="0" collapsed="false">
      <c r="A139" s="285" t="n">
        <v>9180</v>
      </c>
      <c r="B139" s="285"/>
      <c r="C139" s="286" t="s">
        <v>389</v>
      </c>
      <c r="D139" s="287" t="s">
        <v>389</v>
      </c>
      <c r="E139" s="288" t="n">
        <f aca="false">IF(I139="regional",IF(R139*0.2975,S139*0.3484),S139*0.1939)</f>
        <v>285050.0796</v>
      </c>
      <c r="F139" s="288" t="n">
        <v>0</v>
      </c>
      <c r="G139" s="289" t="n">
        <f aca="false">E139+F139</f>
        <v>285050.0796</v>
      </c>
      <c r="H139" s="286"/>
      <c r="I139" s="287" t="s">
        <v>48</v>
      </c>
      <c r="J139" s="287" t="s">
        <v>49</v>
      </c>
      <c r="K139" s="287" t="s">
        <v>391</v>
      </c>
      <c r="L139" s="287"/>
      <c r="M139" s="317" t="n">
        <v>137</v>
      </c>
      <c r="N139" s="317" t="n">
        <v>0.356</v>
      </c>
      <c r="O139" s="317" t="n">
        <v>0.386</v>
      </c>
      <c r="P139" s="317" t="n">
        <v>0.488</v>
      </c>
      <c r="Q139" s="317" t="n">
        <v>0.638</v>
      </c>
      <c r="R139" s="317" t="n">
        <v>987234</v>
      </c>
      <c r="S139" s="317" t="n">
        <v>818169</v>
      </c>
      <c r="T139" s="318" t="n">
        <f aca="false">IF(I139="regional",IF(R139&gt;0,R139*0.2975,S139*0.3484),S139*0.1939)</f>
        <v>293702.115</v>
      </c>
      <c r="U139" s="317" t="n">
        <v>519434</v>
      </c>
      <c r="V139" s="317" t="n">
        <v>298735</v>
      </c>
      <c r="W139" s="317" t="n">
        <v>5040</v>
      </c>
      <c r="X139" s="317" t="n">
        <v>0</v>
      </c>
      <c r="Y139" s="317" t="n">
        <v>0</v>
      </c>
      <c r="Z139" s="317" t="n">
        <v>0</v>
      </c>
      <c r="AA139" s="317" t="n">
        <v>1111871.115</v>
      </c>
      <c r="AB139" s="317" t="n">
        <v>293702.115</v>
      </c>
      <c r="AC139" s="317" t="n">
        <v>818169</v>
      </c>
      <c r="AD139" s="317" t="n">
        <v>0</v>
      </c>
      <c r="AE139" s="317" t="n">
        <v>0</v>
      </c>
      <c r="AF139" s="317" t="n">
        <v>0</v>
      </c>
      <c r="AG139" s="317" t="n">
        <v>818169</v>
      </c>
      <c r="AH139" s="317" t="n">
        <v>0</v>
      </c>
      <c r="AI139" s="317" t="n">
        <v>0</v>
      </c>
      <c r="AJ139" s="286" t="s">
        <v>721</v>
      </c>
      <c r="AK139" s="286" t="s">
        <v>108</v>
      </c>
      <c r="AL139" s="287" t="s">
        <v>48</v>
      </c>
      <c r="AM139" s="286"/>
      <c r="AN139" s="287" t="s">
        <v>389</v>
      </c>
      <c r="AO139" s="287" t="n">
        <v>293702.115</v>
      </c>
      <c r="AP139" s="319" t="n">
        <f aca="false">AR139+AT139+AU139+AV139+AX139+AY139+AZ139+BD139+BF139+BG139+BH139+BJ139+BK139+(BL139+BM139+BN139)/1000+(0.1*BO139)</f>
        <v>247.0497</v>
      </c>
      <c r="AQ139" s="319" t="n">
        <f aca="false">AR139+AT139+AU139+AV139+AX139+AY139+AZ139+BB139+BC139+BD139+BF139+BG139+BH139+BJ139+BK139+(BL139+BM139+BN139)/1000+(0.1*BO139)</f>
        <v>320.0497</v>
      </c>
      <c r="AR139" s="285" t="n">
        <v>0</v>
      </c>
      <c r="AS139" s="285" t="n">
        <v>0</v>
      </c>
      <c r="AT139" s="285" t="n">
        <v>174</v>
      </c>
      <c r="AU139" s="285" t="n">
        <v>15</v>
      </c>
      <c r="AV139" s="285" t="n">
        <v>0</v>
      </c>
      <c r="AW139" s="285" t="n">
        <v>0</v>
      </c>
      <c r="AX139" s="285" t="n">
        <v>0</v>
      </c>
      <c r="AY139" s="285" t="n">
        <v>0</v>
      </c>
      <c r="AZ139" s="285" t="n">
        <v>0</v>
      </c>
      <c r="BA139" s="285" t="n">
        <v>0</v>
      </c>
      <c r="BB139" s="285" t="n">
        <v>79</v>
      </c>
      <c r="BC139" s="285" t="n">
        <v>-6</v>
      </c>
      <c r="BD139" s="285" t="n">
        <v>0</v>
      </c>
      <c r="BE139" s="285" t="n">
        <v>0</v>
      </c>
      <c r="BF139" s="285" t="n">
        <v>0</v>
      </c>
      <c r="BG139" s="285" t="n">
        <v>0</v>
      </c>
      <c r="BH139" s="285" t="n">
        <v>0</v>
      </c>
      <c r="BI139" s="285" t="n">
        <v>0</v>
      </c>
      <c r="BJ139" s="285" t="n">
        <v>0</v>
      </c>
      <c r="BK139" s="285" t="n">
        <v>0</v>
      </c>
      <c r="BL139" s="285" t="n">
        <v>0</v>
      </c>
      <c r="BM139" s="285" t="n">
        <v>0</v>
      </c>
      <c r="BN139" s="285" t="n">
        <v>5000</v>
      </c>
      <c r="BO139" s="285" t="n">
        <v>530.497</v>
      </c>
      <c r="BR139" s="290" t="n">
        <f aca="false">AR139*1000/0.072</f>
        <v>0</v>
      </c>
      <c r="BS139" s="290" t="n">
        <f aca="false">AT139*1000/0.072</f>
        <v>2416666.66666667</v>
      </c>
      <c r="BT139" s="290" t="n">
        <f aca="false">AU139*1000/0.072</f>
        <v>208333.333333333</v>
      </c>
      <c r="BU139" s="290" t="n">
        <f aca="false">SUM(BR139:BT139)</f>
        <v>2625000</v>
      </c>
      <c r="BV139" s="290" t="n">
        <f aca="false">AV139*1000/5</f>
        <v>0</v>
      </c>
      <c r="BW139" s="290" t="n">
        <f aca="false">AX139*1000/5</f>
        <v>0</v>
      </c>
      <c r="BX139" s="290" t="n">
        <f aca="false">AY139*1000/5</f>
        <v>0</v>
      </c>
      <c r="BY139" s="290" t="n">
        <f aca="false">SUM(BV139:BX139)</f>
        <v>0</v>
      </c>
      <c r="CA139" s="290" t="n">
        <f aca="false">IF($AM139="n",0,BR139)</f>
        <v>0</v>
      </c>
      <c r="CB139" s="290" t="n">
        <f aca="false">IF($AM139="n",0,BS139)</f>
        <v>2416666.66666667</v>
      </c>
      <c r="CC139" s="290" t="n">
        <f aca="false">IF($AM139="n",0,BT139)</f>
        <v>208333.333333333</v>
      </c>
      <c r="CD139" s="290" t="n">
        <f aca="false">SUM(CA139:CC139)</f>
        <v>2625000</v>
      </c>
      <c r="CE139" s="290" t="n">
        <f aca="false">IF($AM$2="n",0,BV139)</f>
        <v>0</v>
      </c>
      <c r="CF139" s="290" t="n">
        <f aca="false">IF($AM$2="n",0,BW139)</f>
        <v>0</v>
      </c>
      <c r="CG139" s="290" t="n">
        <f aca="false">IF($AM$2="n",0,BX139)</f>
        <v>0</v>
      </c>
      <c r="CH139" s="290" t="n">
        <f aca="false">SUM(CE139:CG139)</f>
        <v>0</v>
      </c>
    </row>
    <row r="140" customFormat="false" ht="15" hidden="false" customHeight="true" outlineLevel="0" collapsed="false">
      <c r="A140" s="285" t="n">
        <v>2568</v>
      </c>
      <c r="B140" s="285"/>
      <c r="C140" s="286" t="s">
        <v>392</v>
      </c>
      <c r="D140" s="287" t="s">
        <v>392</v>
      </c>
      <c r="E140" s="288" t="n">
        <f aca="false">IF(I140="regional",IF(R140*0.2975,S140*0.3484),S140*0.1939)</f>
        <v>137713.4616</v>
      </c>
      <c r="F140" s="288" t="n">
        <v>0</v>
      </c>
      <c r="G140" s="289" t="n">
        <f aca="false">E140+F140</f>
        <v>137713.4616</v>
      </c>
      <c r="H140" s="286"/>
      <c r="I140" s="287" t="s">
        <v>48</v>
      </c>
      <c r="J140" s="287" t="s">
        <v>49</v>
      </c>
      <c r="K140" s="287" t="s">
        <v>393</v>
      </c>
      <c r="L140" s="287"/>
      <c r="M140" s="317" t="n">
        <v>38</v>
      </c>
      <c r="N140" s="317" t="n">
        <v>0.771</v>
      </c>
      <c r="O140" s="317" t="n">
        <v>0.771</v>
      </c>
      <c r="P140" s="317" t="n">
        <v>0.874</v>
      </c>
      <c r="Q140" s="317" t="n">
        <v>0.84</v>
      </c>
      <c r="R140" s="317" t="n">
        <v>447368</v>
      </c>
      <c r="S140" s="317" t="n">
        <v>395274</v>
      </c>
      <c r="T140" s="318" t="n">
        <f aca="false">IF(I140="regional",IF(R140&gt;0,R140*0.2975,S140*0.3484),S140*0.1939)</f>
        <v>133091.98</v>
      </c>
      <c r="U140" s="317" t="n">
        <v>292256</v>
      </c>
      <c r="V140" s="317" t="n">
        <v>103018</v>
      </c>
      <c r="W140" s="317" t="n">
        <v>2565</v>
      </c>
      <c r="X140" s="317" t="n">
        <v>0</v>
      </c>
      <c r="Y140" s="317" t="n">
        <v>0</v>
      </c>
      <c r="Z140" s="317" t="n">
        <v>0</v>
      </c>
      <c r="AA140" s="317" t="n">
        <v>528365.98</v>
      </c>
      <c r="AB140" s="317" t="n">
        <v>133091.98</v>
      </c>
      <c r="AC140" s="317" t="n">
        <v>395274</v>
      </c>
      <c r="AD140" s="317" t="n">
        <v>0</v>
      </c>
      <c r="AE140" s="317" t="n">
        <v>0</v>
      </c>
      <c r="AF140" s="317" t="n">
        <v>0</v>
      </c>
      <c r="AG140" s="317" t="n">
        <v>395274</v>
      </c>
      <c r="AH140" s="317" t="n">
        <v>0</v>
      </c>
      <c r="AI140" s="317" t="n">
        <v>0</v>
      </c>
      <c r="AJ140" s="286" t="n">
        <v>4</v>
      </c>
      <c r="AK140" s="286" t="s">
        <v>720</v>
      </c>
      <c r="AL140" s="287" t="s">
        <v>48</v>
      </c>
      <c r="AM140" s="286"/>
      <c r="AN140" s="287" t="s">
        <v>392</v>
      </c>
      <c r="AO140" s="287" t="n">
        <v>133091.98</v>
      </c>
      <c r="AP140" s="319" t="n">
        <f aca="false">AR140+AT140+AU140+AV140+AX140+AY140+AZ140+BD140+BF140+BG140+BH140+BJ140+BK140+(BL140+BM140+BN140)/1000+(0.1*BO140)</f>
        <v>238.226</v>
      </c>
      <c r="AQ140" s="319" t="n">
        <f aca="false">AR140+AT140+AU140+AV140+AX140+AY140+AZ140+BB140+BC140+BD140+BF140+BG140+BH140+BJ140+BK140+(BL140+BM140+BN140)/1000+(0.1*BO140)</f>
        <v>242.226</v>
      </c>
      <c r="AR140" s="285" t="n">
        <v>10</v>
      </c>
      <c r="AS140" s="285" t="n">
        <v>0</v>
      </c>
      <c r="AT140" s="285" t="n">
        <v>33</v>
      </c>
      <c r="AU140" s="285" t="n">
        <v>6</v>
      </c>
      <c r="AV140" s="285" t="n">
        <v>0</v>
      </c>
      <c r="AW140" s="285" t="n">
        <v>0</v>
      </c>
      <c r="AX140" s="285" t="n">
        <v>13</v>
      </c>
      <c r="AY140" s="285" t="n">
        <v>1</v>
      </c>
      <c r="AZ140" s="285" t="n">
        <v>0</v>
      </c>
      <c r="BA140" s="285" t="n">
        <v>2</v>
      </c>
      <c r="BB140" s="285" t="n">
        <v>3</v>
      </c>
      <c r="BC140" s="285" t="n">
        <v>1</v>
      </c>
      <c r="BD140" s="285" t="n">
        <v>0</v>
      </c>
      <c r="BE140" s="285" t="n">
        <v>0</v>
      </c>
      <c r="BF140" s="285" t="n">
        <v>0</v>
      </c>
      <c r="BG140" s="285" t="n">
        <v>0</v>
      </c>
      <c r="BH140" s="285" t="n">
        <v>0</v>
      </c>
      <c r="BI140" s="285" t="n">
        <v>0</v>
      </c>
      <c r="BJ140" s="285" t="n">
        <v>0</v>
      </c>
      <c r="BK140" s="285" t="n">
        <v>0</v>
      </c>
      <c r="BL140" s="285" t="n">
        <v>0</v>
      </c>
      <c r="BM140" s="285" t="n">
        <v>0</v>
      </c>
      <c r="BN140" s="285" t="n">
        <v>175226</v>
      </c>
      <c r="BO140" s="285" t="n">
        <v>0</v>
      </c>
      <c r="BR140" s="290" t="n">
        <f aca="false">AR140*1000/0.072</f>
        <v>138888.888888889</v>
      </c>
      <c r="BS140" s="290" t="n">
        <f aca="false">AT140*1000/0.072</f>
        <v>458333.333333333</v>
      </c>
      <c r="BT140" s="290" t="n">
        <f aca="false">AU140*1000/0.072</f>
        <v>83333.3333333333</v>
      </c>
      <c r="BU140" s="290" t="n">
        <f aca="false">SUM(BR140:BT140)</f>
        <v>680555.555555556</v>
      </c>
      <c r="BV140" s="290" t="n">
        <f aca="false">AV140*1000/5</f>
        <v>0</v>
      </c>
      <c r="BW140" s="290" t="n">
        <f aca="false">AX140*1000/5</f>
        <v>2600</v>
      </c>
      <c r="BX140" s="290" t="n">
        <f aca="false">AY140*1000/5</f>
        <v>200</v>
      </c>
      <c r="BY140" s="290" t="n">
        <f aca="false">SUM(BV140:BX140)</f>
        <v>2800</v>
      </c>
      <c r="CA140" s="290" t="n">
        <f aca="false">IF($AM140="n",0,BR140)</f>
        <v>138888.888888889</v>
      </c>
      <c r="CB140" s="290" t="n">
        <f aca="false">IF($AM140="n",0,BS140)</f>
        <v>458333.333333333</v>
      </c>
      <c r="CC140" s="290" t="n">
        <f aca="false">IF($AM140="n",0,BT140)</f>
        <v>83333.3333333333</v>
      </c>
      <c r="CD140" s="290" t="n">
        <f aca="false">SUM(CA140:CC140)</f>
        <v>680555.555555556</v>
      </c>
      <c r="CE140" s="290" t="n">
        <f aca="false">IF($AM$2="n",0,BV140)</f>
        <v>0</v>
      </c>
      <c r="CF140" s="290" t="n">
        <f aca="false">IF($AM$2="n",0,BW140)</f>
        <v>2600</v>
      </c>
      <c r="CG140" s="290" t="n">
        <f aca="false">IF($AM$2="n",0,BX140)</f>
        <v>200</v>
      </c>
      <c r="CH140" s="290" t="n">
        <f aca="false">SUM(CE140:CG140)</f>
        <v>2800</v>
      </c>
    </row>
    <row r="141" customFormat="false" ht="15" hidden="false" customHeight="true" outlineLevel="0" collapsed="false">
      <c r="A141" s="285" t="n">
        <v>520</v>
      </c>
      <c r="B141" s="285"/>
      <c r="C141" s="286" t="s">
        <v>747</v>
      </c>
      <c r="D141" s="287" t="s">
        <v>747</v>
      </c>
      <c r="E141" s="288" t="n">
        <f aca="false">IF(I141="regional",IF(R141*0.2975,S141*0.3484),S141*0.1939)</f>
        <v>1454.25</v>
      </c>
      <c r="F141" s="288" t="n">
        <v>0</v>
      </c>
      <c r="G141" s="289" t="n">
        <f aca="false">E141+F141</f>
        <v>1454.25</v>
      </c>
      <c r="H141" s="286"/>
      <c r="I141" s="287" t="s">
        <v>62</v>
      </c>
      <c r="J141" s="287"/>
      <c r="K141" s="287" t="s">
        <v>393</v>
      </c>
      <c r="L141" s="287"/>
      <c r="M141" s="317" t="n">
        <v>1</v>
      </c>
      <c r="N141" s="317" t="n">
        <v>1</v>
      </c>
      <c r="O141" s="317" t="n">
        <v>1</v>
      </c>
      <c r="P141" s="317" t="n">
        <v>1</v>
      </c>
      <c r="Q141" s="317" t="n">
        <v>1</v>
      </c>
      <c r="R141" s="317" t="n">
        <v>0</v>
      </c>
      <c r="S141" s="317" t="n">
        <v>7500</v>
      </c>
      <c r="T141" s="318" t="n">
        <f aca="false">IF(I141="regional",IF(R141&gt;0,R141*0.2975,S141*0.3484),S141*0.1939)</f>
        <v>1454.25</v>
      </c>
      <c r="U141" s="317" t="n">
        <v>7500</v>
      </c>
      <c r="V141" s="317" t="n">
        <v>0</v>
      </c>
      <c r="W141" s="317" t="n">
        <v>0</v>
      </c>
      <c r="X141" s="317" t="n">
        <v>0</v>
      </c>
      <c r="Y141" s="317" t="n">
        <v>0</v>
      </c>
      <c r="Z141" s="317" t="n">
        <v>0</v>
      </c>
      <c r="AA141" s="317" t="n">
        <v>8954.25</v>
      </c>
      <c r="AB141" s="317" t="n">
        <v>1454.25</v>
      </c>
      <c r="AC141" s="317" t="n">
        <v>7500</v>
      </c>
      <c r="AD141" s="317" t="n">
        <v>0</v>
      </c>
      <c r="AE141" s="317" t="n">
        <v>0</v>
      </c>
      <c r="AF141" s="317" t="n">
        <v>0</v>
      </c>
      <c r="AG141" s="317" t="n">
        <v>7500</v>
      </c>
      <c r="AH141" s="317" t="n">
        <v>0</v>
      </c>
      <c r="AI141" s="317" t="n">
        <v>0</v>
      </c>
      <c r="AJ141" s="286" t="n">
        <v>4</v>
      </c>
      <c r="AK141" s="286" t="s">
        <v>720</v>
      </c>
      <c r="AL141" s="287" t="s">
        <v>62</v>
      </c>
      <c r="AM141" s="286"/>
      <c r="AN141" s="287" t="s">
        <v>392</v>
      </c>
      <c r="AO141" s="287" t="n">
        <v>1454.25</v>
      </c>
      <c r="AP141" s="319" t="n">
        <f aca="false">AR141+AT141+AU141+AV141+AX141+AY141+AZ141+BD141+BF141+BG141+BH141+BJ141+BK141+(BL141+BM141+BN141)/1000+(0.1*BO141)</f>
        <v>9.7268</v>
      </c>
      <c r="AQ141" s="319" t="n">
        <f aca="false">AR141+AT141+AU141+AV141+AX141+AY141+AZ141+BB141+BC141+BD141+BF141+BG141+BH141+BJ141+BK141+(BL141+BM141+BN141)/1000+(0.1*BO141)</f>
        <v>9.7268</v>
      </c>
      <c r="AR141" s="285" t="n">
        <v>0</v>
      </c>
      <c r="AS141" s="285" t="n">
        <v>0</v>
      </c>
      <c r="AT141" s="285" t="n">
        <v>0</v>
      </c>
      <c r="AU141" s="285" t="n">
        <v>0</v>
      </c>
      <c r="AV141" s="285" t="n">
        <v>0</v>
      </c>
      <c r="AW141" s="285" t="n">
        <v>0</v>
      </c>
      <c r="AX141" s="285" t="n">
        <v>0</v>
      </c>
      <c r="AY141" s="285" t="n">
        <v>0</v>
      </c>
      <c r="AZ141" s="285" t="n">
        <v>0</v>
      </c>
      <c r="BA141" s="285" t="n">
        <v>0</v>
      </c>
      <c r="BB141" s="285" t="n">
        <v>0</v>
      </c>
      <c r="BC141" s="285" t="n">
        <v>0</v>
      </c>
      <c r="BD141" s="285" t="n">
        <v>0</v>
      </c>
      <c r="BE141" s="285" t="n">
        <v>0</v>
      </c>
      <c r="BF141" s="285" t="n">
        <v>0</v>
      </c>
      <c r="BG141" s="285" t="n">
        <v>0</v>
      </c>
      <c r="BH141" s="285" t="n">
        <v>0</v>
      </c>
      <c r="BI141" s="285" t="n">
        <v>0</v>
      </c>
      <c r="BJ141" s="285" t="n">
        <v>0</v>
      </c>
      <c r="BK141" s="285" t="n">
        <v>0</v>
      </c>
      <c r="BL141" s="285" t="n">
        <v>0</v>
      </c>
      <c r="BM141" s="285" t="n">
        <v>0</v>
      </c>
      <c r="BN141" s="285" t="n">
        <v>0</v>
      </c>
      <c r="BO141" s="285" t="n">
        <v>97.268</v>
      </c>
      <c r="BR141" s="290" t="n">
        <f aca="false">AR141*1000/0.072</f>
        <v>0</v>
      </c>
      <c r="BS141" s="290" t="n">
        <f aca="false">AT141*1000/0.072</f>
        <v>0</v>
      </c>
      <c r="BT141" s="290" t="n">
        <f aca="false">AU141*1000/0.072</f>
        <v>0</v>
      </c>
      <c r="BU141" s="290" t="n">
        <f aca="false">SUM(BR141:BT141)</f>
        <v>0</v>
      </c>
      <c r="BV141" s="290" t="n">
        <f aca="false">AV141*1000/5</f>
        <v>0</v>
      </c>
      <c r="BW141" s="290" t="n">
        <f aca="false">AX141*1000/5</f>
        <v>0</v>
      </c>
      <c r="BX141" s="290" t="n">
        <f aca="false">AY141*1000/5</f>
        <v>0</v>
      </c>
      <c r="BY141" s="290" t="n">
        <f aca="false">SUM(BV141:BX141)</f>
        <v>0</v>
      </c>
      <c r="CA141" s="290" t="n">
        <f aca="false">IF($AM141="n",0,BR141)</f>
        <v>0</v>
      </c>
      <c r="CB141" s="290" t="n">
        <f aca="false">IF($AM141="n",0,BS141)</f>
        <v>0</v>
      </c>
      <c r="CC141" s="290" t="n">
        <f aca="false">IF($AM141="n",0,BT141)</f>
        <v>0</v>
      </c>
      <c r="CD141" s="290" t="n">
        <f aca="false">SUM(CA141:CC141)</f>
        <v>0</v>
      </c>
      <c r="CE141" s="290" t="n">
        <f aca="false">IF($AM$2="n",0,BV141)</f>
        <v>0</v>
      </c>
      <c r="CF141" s="290" t="n">
        <f aca="false">IF($AM$2="n",0,BW141)</f>
        <v>0</v>
      </c>
      <c r="CG141" s="290" t="n">
        <f aca="false">IF($AM$2="n",0,BX141)</f>
        <v>0</v>
      </c>
      <c r="CH141" s="290" t="n">
        <f aca="false">SUM(CE141:CG141)</f>
        <v>0</v>
      </c>
    </row>
    <row r="142" customFormat="false" ht="15" hidden="false" customHeight="true" outlineLevel="0" collapsed="false">
      <c r="A142" s="285" t="n">
        <v>1584</v>
      </c>
      <c r="B142" s="285"/>
      <c r="C142" s="286" t="s">
        <v>394</v>
      </c>
      <c r="D142" s="287" t="s">
        <v>394</v>
      </c>
      <c r="E142" s="288" t="n">
        <f aca="false">IF(I142="regional",IF(R142*0.2975,S142*0.3484),S142*0.1939)</f>
        <v>228399.5428</v>
      </c>
      <c r="F142" s="288" t="n">
        <v>0</v>
      </c>
      <c r="G142" s="289" t="n">
        <f aca="false">E142+F142</f>
        <v>228399.5428</v>
      </c>
      <c r="H142" s="286"/>
      <c r="I142" s="287" t="s">
        <v>48</v>
      </c>
      <c r="J142" s="287" t="s">
        <v>49</v>
      </c>
      <c r="K142" s="287" t="s">
        <v>334</v>
      </c>
      <c r="L142" s="287"/>
      <c r="M142" s="317" t="n">
        <v>61</v>
      </c>
      <c r="N142" s="317" t="n">
        <v>0.901</v>
      </c>
      <c r="O142" s="317" t="n">
        <v>0.92</v>
      </c>
      <c r="P142" s="317" t="n">
        <v>0.898</v>
      </c>
      <c r="Q142" s="317" t="n">
        <v>0.854</v>
      </c>
      <c r="R142" s="317" t="n">
        <v>705862</v>
      </c>
      <c r="S142" s="317" t="n">
        <v>655567</v>
      </c>
      <c r="T142" s="318" t="n">
        <f aca="false">IF(I142="regional",IF(R142&gt;0,R142*0.2975,S142*0.3484),S142*0.1939)</f>
        <v>209993.945</v>
      </c>
      <c r="U142" s="317" t="n">
        <v>435956</v>
      </c>
      <c r="V142" s="317" t="n">
        <v>219611</v>
      </c>
      <c r="W142" s="317" t="n">
        <v>3222</v>
      </c>
      <c r="X142" s="317" t="n">
        <v>0</v>
      </c>
      <c r="Y142" s="317" t="n">
        <v>0</v>
      </c>
      <c r="Z142" s="317" t="n">
        <v>0</v>
      </c>
      <c r="AA142" s="317" t="n">
        <v>865560.945</v>
      </c>
      <c r="AB142" s="317" t="n">
        <v>209993.945</v>
      </c>
      <c r="AC142" s="317" t="n">
        <v>655567</v>
      </c>
      <c r="AD142" s="317" t="n">
        <v>0</v>
      </c>
      <c r="AE142" s="317" t="n">
        <v>0</v>
      </c>
      <c r="AF142" s="317" t="n">
        <v>0</v>
      </c>
      <c r="AG142" s="317" t="n">
        <v>655567</v>
      </c>
      <c r="AH142" s="317" t="n">
        <v>0</v>
      </c>
      <c r="AI142" s="317" t="n">
        <v>0</v>
      </c>
      <c r="AJ142" s="286" t="n">
        <v>4</v>
      </c>
      <c r="AK142" s="286" t="s">
        <v>720</v>
      </c>
      <c r="AL142" s="287" t="s">
        <v>48</v>
      </c>
      <c r="AM142" s="286"/>
      <c r="AN142" s="287" t="s">
        <v>394</v>
      </c>
      <c r="AO142" s="287" t="n">
        <v>209993.945</v>
      </c>
      <c r="AP142" s="319" t="n">
        <f aca="false">AR142+AT142+AU142+AV142+AX142+AY142+AZ142+BD142+BF142+BG142+BH142+BJ142+BK142+(BL142+BM142+BN142)/1000+(0.1*BO142)</f>
        <v>271.185</v>
      </c>
      <c r="AQ142" s="319" t="n">
        <f aca="false">AR142+AT142+AU142+AV142+AX142+AY142+AZ142+BB142+BC142+BD142+BF142+BG142+BH142+BJ142+BK142+(BL142+BM142+BN142)/1000+(0.1*BO142)</f>
        <v>285.185</v>
      </c>
      <c r="AR142" s="285" t="n">
        <v>43</v>
      </c>
      <c r="AS142" s="285" t="n">
        <v>0</v>
      </c>
      <c r="AT142" s="285" t="n">
        <v>61</v>
      </c>
      <c r="AU142" s="285" t="n">
        <v>17</v>
      </c>
      <c r="AV142" s="285" t="n">
        <v>0</v>
      </c>
      <c r="AW142" s="285" t="n">
        <v>0</v>
      </c>
      <c r="AX142" s="285" t="n">
        <v>8</v>
      </c>
      <c r="AY142" s="285" t="n">
        <v>1</v>
      </c>
      <c r="AZ142" s="285" t="n">
        <v>0</v>
      </c>
      <c r="BA142" s="285" t="n">
        <v>0</v>
      </c>
      <c r="BB142" s="285" t="n">
        <v>12</v>
      </c>
      <c r="BC142" s="285" t="n">
        <v>2</v>
      </c>
      <c r="BD142" s="285" t="n">
        <v>0</v>
      </c>
      <c r="BE142" s="285" t="n">
        <v>0</v>
      </c>
      <c r="BF142" s="285" t="n">
        <v>0</v>
      </c>
      <c r="BG142" s="285" t="n">
        <v>0</v>
      </c>
      <c r="BH142" s="285" t="n">
        <v>0</v>
      </c>
      <c r="BI142" s="285" t="n">
        <v>0</v>
      </c>
      <c r="BJ142" s="285" t="n">
        <v>0</v>
      </c>
      <c r="BK142" s="285" t="n">
        <v>0</v>
      </c>
      <c r="BL142" s="285" t="n">
        <v>0</v>
      </c>
      <c r="BM142" s="285" t="n">
        <v>0</v>
      </c>
      <c r="BN142" s="285" t="n">
        <v>90213</v>
      </c>
      <c r="BO142" s="285" t="n">
        <v>509.72</v>
      </c>
      <c r="BR142" s="290" t="n">
        <f aca="false">AR142*1000/0.072</f>
        <v>597222.222222222</v>
      </c>
      <c r="BS142" s="290" t="n">
        <f aca="false">AT142*1000/0.072</f>
        <v>847222.222222222</v>
      </c>
      <c r="BT142" s="290" t="n">
        <f aca="false">AU142*1000/0.072</f>
        <v>236111.111111111</v>
      </c>
      <c r="BU142" s="290" t="n">
        <f aca="false">SUM(BR142:BT142)</f>
        <v>1680555.55555556</v>
      </c>
      <c r="BV142" s="290" t="n">
        <f aca="false">AV142*1000/5</f>
        <v>0</v>
      </c>
      <c r="BW142" s="290" t="n">
        <f aca="false">AX142*1000/5</f>
        <v>1600</v>
      </c>
      <c r="BX142" s="290" t="n">
        <f aca="false">AY142*1000/5</f>
        <v>200</v>
      </c>
      <c r="BY142" s="290" t="n">
        <f aca="false">SUM(BV142:BX142)</f>
        <v>1800</v>
      </c>
      <c r="CA142" s="290" t="n">
        <f aca="false">IF($AM142="n",0,BR142)</f>
        <v>597222.222222222</v>
      </c>
      <c r="CB142" s="290" t="n">
        <f aca="false">IF($AM142="n",0,BS142)</f>
        <v>847222.222222222</v>
      </c>
      <c r="CC142" s="290" t="n">
        <f aca="false">IF($AM142="n",0,BT142)</f>
        <v>236111.111111111</v>
      </c>
      <c r="CD142" s="290" t="n">
        <f aca="false">SUM(CA142:CC142)</f>
        <v>1680555.55555556</v>
      </c>
      <c r="CE142" s="290" t="n">
        <f aca="false">IF($AM$2="n",0,BV142)</f>
        <v>0</v>
      </c>
      <c r="CF142" s="290" t="n">
        <f aca="false">IF($AM$2="n",0,BW142)</f>
        <v>1600</v>
      </c>
      <c r="CG142" s="290" t="n">
        <f aca="false">IF($AM$2="n",0,BX142)</f>
        <v>200</v>
      </c>
      <c r="CH142" s="290" t="n">
        <f aca="false">SUM(CE142:CG142)</f>
        <v>1800</v>
      </c>
    </row>
    <row r="143" customFormat="false" ht="15" hidden="false" customHeight="true" outlineLevel="0" collapsed="false">
      <c r="A143" s="285" t="n">
        <v>2654</v>
      </c>
      <c r="B143" s="285"/>
      <c r="C143" s="286" t="s">
        <v>396</v>
      </c>
      <c r="D143" s="287" t="s">
        <v>396</v>
      </c>
      <c r="E143" s="288" t="n">
        <f aca="false">IF(I143="regional",IF(R143*0.2975,S143*0.3484),S143*0.1939)</f>
        <v>29762.8744</v>
      </c>
      <c r="F143" s="288" t="n">
        <v>0</v>
      </c>
      <c r="G143" s="289" t="n">
        <f aca="false">E143+F143</f>
        <v>29762.8744</v>
      </c>
      <c r="H143" s="286"/>
      <c r="I143" s="287" t="s">
        <v>62</v>
      </c>
      <c r="J143" s="287"/>
      <c r="K143" s="287" t="s">
        <v>334</v>
      </c>
      <c r="L143" s="287"/>
      <c r="M143" s="317" t="n">
        <v>0</v>
      </c>
      <c r="N143" s="317" t="n">
        <v>0.946</v>
      </c>
      <c r="O143" s="317" t="n">
        <v>0.899</v>
      </c>
      <c r="P143" s="317" t="n">
        <v>1</v>
      </c>
      <c r="Q143" s="317" t="n">
        <v>0.868</v>
      </c>
      <c r="R143" s="317" t="n">
        <v>0</v>
      </c>
      <c r="S143" s="317" t="n">
        <v>153496</v>
      </c>
      <c r="T143" s="318" t="n">
        <f aca="false">IF(I143="regional",IF(R143&gt;0,R143*0.2975,S143*0.3484),S143*0.1939)</f>
        <v>29762.8744</v>
      </c>
      <c r="U143" s="317" t="n">
        <v>153496</v>
      </c>
      <c r="V143" s="317" t="n">
        <v>0</v>
      </c>
      <c r="W143" s="317" t="n">
        <v>0</v>
      </c>
      <c r="X143" s="317" t="n">
        <v>0</v>
      </c>
      <c r="Y143" s="317" t="n">
        <v>0</v>
      </c>
      <c r="Z143" s="317" t="n">
        <v>0</v>
      </c>
      <c r="AA143" s="317" t="n">
        <v>183258.8744</v>
      </c>
      <c r="AB143" s="317" t="n">
        <v>29762.8744</v>
      </c>
      <c r="AC143" s="317" t="n">
        <v>153496</v>
      </c>
      <c r="AD143" s="317" t="n">
        <v>0</v>
      </c>
      <c r="AE143" s="317" t="n">
        <v>0</v>
      </c>
      <c r="AF143" s="317" t="n">
        <v>0</v>
      </c>
      <c r="AG143" s="317" t="n">
        <v>153496</v>
      </c>
      <c r="AH143" s="317" t="n">
        <v>0</v>
      </c>
      <c r="AI143" s="317" t="n">
        <v>0</v>
      </c>
      <c r="AJ143" s="286" t="n">
        <v>4</v>
      </c>
      <c r="AK143" s="286" t="s">
        <v>720</v>
      </c>
      <c r="AL143" s="287" t="s">
        <v>62</v>
      </c>
      <c r="AM143" s="286"/>
      <c r="AN143" s="287" t="s">
        <v>396</v>
      </c>
      <c r="AO143" s="287" t="n">
        <v>29762.8744</v>
      </c>
      <c r="AP143" s="319" t="n">
        <f aca="false">AR143+AT143+AU143+AV143+AX143+AY143+AZ143+BD143+BF143+BG143+BH143+BJ143+BK143+(BL143+BM143+BN143)/1000+(0.1*BO143)</f>
        <v>23.871</v>
      </c>
      <c r="AQ143" s="319" t="n">
        <f aca="false">AR143+AT143+AU143+AV143+AX143+AY143+AZ143+BB143+BC143+BD143+BF143+BG143+BH143+BJ143+BK143+(BL143+BM143+BN143)/1000+(0.1*BO143)</f>
        <v>31.871</v>
      </c>
      <c r="AR143" s="285" t="n">
        <v>0</v>
      </c>
      <c r="AS143" s="285" t="n">
        <v>0</v>
      </c>
      <c r="AT143" s="285" t="n">
        <v>11</v>
      </c>
      <c r="AU143" s="285" t="n">
        <v>4</v>
      </c>
      <c r="AV143" s="285" t="n">
        <v>0</v>
      </c>
      <c r="AW143" s="285" t="n">
        <v>0</v>
      </c>
      <c r="AX143" s="285" t="n">
        <v>0</v>
      </c>
      <c r="AY143" s="285" t="n">
        <v>1</v>
      </c>
      <c r="AZ143" s="285" t="n">
        <v>0</v>
      </c>
      <c r="BA143" s="285" t="n">
        <v>0</v>
      </c>
      <c r="BB143" s="285" t="n">
        <v>3</v>
      </c>
      <c r="BC143" s="285" t="n">
        <v>5</v>
      </c>
      <c r="BD143" s="285" t="n">
        <v>0</v>
      </c>
      <c r="BE143" s="285" t="n">
        <v>0</v>
      </c>
      <c r="BF143" s="285" t="n">
        <v>0</v>
      </c>
      <c r="BG143" s="285" t="n">
        <v>0</v>
      </c>
      <c r="BH143" s="285" t="n">
        <v>0</v>
      </c>
      <c r="BI143" s="285" t="n">
        <v>0</v>
      </c>
      <c r="BJ143" s="285" t="n">
        <v>0</v>
      </c>
      <c r="BK143" s="285" t="n">
        <v>0</v>
      </c>
      <c r="BL143" s="285" t="n">
        <v>0</v>
      </c>
      <c r="BM143" s="285" t="n">
        <v>0</v>
      </c>
      <c r="BN143" s="285" t="n">
        <v>0</v>
      </c>
      <c r="BO143" s="285" t="n">
        <v>78.71</v>
      </c>
      <c r="BR143" s="290" t="n">
        <f aca="false">AR143*1000/0.072</f>
        <v>0</v>
      </c>
      <c r="BS143" s="290" t="n">
        <f aca="false">AT143*1000/0.072</f>
        <v>152777.777777778</v>
      </c>
      <c r="BT143" s="290" t="n">
        <f aca="false">AU143*1000/0.072</f>
        <v>55555.5555555556</v>
      </c>
      <c r="BU143" s="290" t="n">
        <f aca="false">SUM(BR143:BT143)</f>
        <v>208333.333333333</v>
      </c>
      <c r="BV143" s="290" t="n">
        <f aca="false">AV143*1000/5</f>
        <v>0</v>
      </c>
      <c r="BW143" s="290" t="n">
        <f aca="false">AX143*1000/5</f>
        <v>0</v>
      </c>
      <c r="BX143" s="290" t="n">
        <f aca="false">AY143*1000/5</f>
        <v>200</v>
      </c>
      <c r="BY143" s="290" t="n">
        <f aca="false">SUM(BV143:BX143)</f>
        <v>200</v>
      </c>
      <c r="CA143" s="290" t="n">
        <f aca="false">IF($AM143="n",0,BR143)</f>
        <v>0</v>
      </c>
      <c r="CB143" s="290" t="n">
        <f aca="false">IF($AM143="n",0,BS143)</f>
        <v>152777.777777778</v>
      </c>
      <c r="CC143" s="290" t="n">
        <f aca="false">IF($AM143="n",0,BT143)</f>
        <v>55555.5555555556</v>
      </c>
      <c r="CD143" s="290" t="n">
        <f aca="false">SUM(CA143:CC143)</f>
        <v>208333.333333333</v>
      </c>
      <c r="CE143" s="290" t="n">
        <f aca="false">IF($AM$2="n",0,BV143)</f>
        <v>0</v>
      </c>
      <c r="CF143" s="290" t="n">
        <f aca="false">IF($AM$2="n",0,BW143)</f>
        <v>0</v>
      </c>
      <c r="CG143" s="290" t="n">
        <f aca="false">IF($AM$2="n",0,BX143)</f>
        <v>200</v>
      </c>
      <c r="CH143" s="290" t="n">
        <f aca="false">SUM(CE143:CG143)</f>
        <v>200</v>
      </c>
    </row>
    <row r="144" customFormat="false" ht="15" hidden="false" customHeight="true" outlineLevel="0" collapsed="false">
      <c r="A144" s="285" t="n">
        <v>4830</v>
      </c>
      <c r="B144" s="285" t="s">
        <v>44</v>
      </c>
      <c r="C144" s="286" t="s">
        <v>748</v>
      </c>
      <c r="D144" s="287" t="s">
        <v>668</v>
      </c>
      <c r="E144" s="288" t="n">
        <f aca="false">IF(I144="regional",IF(R144*0.2975,S144*0.3484),S144*0.1939)</f>
        <v>317044</v>
      </c>
      <c r="F144" s="288" t="n">
        <v>396000</v>
      </c>
      <c r="G144" s="289" t="n">
        <f aca="false">E144+F144</f>
        <v>713044</v>
      </c>
      <c r="H144" s="286"/>
      <c r="I144" s="287" t="s">
        <v>48</v>
      </c>
      <c r="J144" s="287" t="s">
        <v>49</v>
      </c>
      <c r="K144" s="287" t="s">
        <v>399</v>
      </c>
      <c r="L144" s="287" t="s">
        <v>44</v>
      </c>
      <c r="M144" s="317" t="n">
        <v>24</v>
      </c>
      <c r="N144" s="317" t="n">
        <v>0.904</v>
      </c>
      <c r="O144" s="317" t="n">
        <v>0.931</v>
      </c>
      <c r="P144" s="317" t="n">
        <v>0.925</v>
      </c>
      <c r="Q144" s="317" t="n">
        <v>0.952</v>
      </c>
      <c r="R144" s="317" t="n">
        <v>980009</v>
      </c>
      <c r="S144" s="317" t="n">
        <v>910000</v>
      </c>
      <c r="T144" s="318" t="n">
        <f aca="false">IF(I144="regional",IF(R144&gt;0,R144*0.2975,S144*0.3484),S144*0.1939)</f>
        <v>291552.6775</v>
      </c>
      <c r="U144" s="317" t="n">
        <v>592700</v>
      </c>
      <c r="V144" s="317" t="n">
        <v>317300</v>
      </c>
      <c r="W144" s="317" t="n">
        <v>4000</v>
      </c>
      <c r="X144" s="317" t="n">
        <v>687552.6775</v>
      </c>
      <c r="Y144" s="317" t="n">
        <v>291552.6775</v>
      </c>
      <c r="Z144" s="317" t="n">
        <v>396000</v>
      </c>
      <c r="AA144" s="317" t="n">
        <v>514000</v>
      </c>
      <c r="AB144" s="317" t="n">
        <v>0</v>
      </c>
      <c r="AC144" s="317" t="n">
        <v>514000</v>
      </c>
      <c r="AD144" s="317" t="n">
        <v>0</v>
      </c>
      <c r="AE144" s="317" t="n">
        <v>396000</v>
      </c>
      <c r="AF144" s="317" t="n">
        <v>0</v>
      </c>
      <c r="AG144" s="317" t="n">
        <v>514000</v>
      </c>
      <c r="AH144" s="317" t="n">
        <v>275000</v>
      </c>
      <c r="AI144" s="317" t="n">
        <v>593000</v>
      </c>
      <c r="AJ144" s="286" t="n">
        <v>4</v>
      </c>
      <c r="AK144" s="286" t="s">
        <v>724</v>
      </c>
      <c r="AL144" s="287" t="s">
        <v>48</v>
      </c>
      <c r="AM144" s="286"/>
      <c r="AN144" s="287" t="s">
        <v>668</v>
      </c>
      <c r="AO144" s="287" t="n">
        <v>687552.6775</v>
      </c>
      <c r="AP144" s="319" t="n">
        <f aca="false">AR144+AT144+AU144+AV144+AX144+AY144+AZ144+BD144+BF144+BG144+BH144+BJ144+BK144+(BL144+BM144+BN144)/1000+(0.1*BO144)</f>
        <v>1267.9439</v>
      </c>
      <c r="AQ144" s="319" t="n">
        <f aca="false">AR144+AT144+AU144+AV144+AX144+AY144+AZ144+BB144+BC144+BD144+BF144+BG144+BH144+BJ144+BK144+(BL144+BM144+BN144)/1000+(0.1*BO144)</f>
        <v>1293.9439</v>
      </c>
      <c r="AR144" s="285" t="n">
        <v>662</v>
      </c>
      <c r="AS144" s="285" t="n">
        <v>593</v>
      </c>
      <c r="AT144" s="285" t="n">
        <v>314</v>
      </c>
      <c r="AU144" s="285" t="n">
        <v>6</v>
      </c>
      <c r="AV144" s="285" t="n">
        <v>0</v>
      </c>
      <c r="AW144" s="285" t="n">
        <v>0</v>
      </c>
      <c r="AX144" s="285" t="n">
        <v>64</v>
      </c>
      <c r="AY144" s="285" t="n">
        <v>1</v>
      </c>
      <c r="AZ144" s="285" t="n">
        <v>13</v>
      </c>
      <c r="BA144" s="285" t="n">
        <v>32</v>
      </c>
      <c r="BB144" s="285" t="n">
        <v>25</v>
      </c>
      <c r="BC144" s="285" t="n">
        <v>1</v>
      </c>
      <c r="BD144" s="285" t="n">
        <v>25</v>
      </c>
      <c r="BE144" s="285" t="n">
        <v>3</v>
      </c>
      <c r="BF144" s="285" t="n">
        <v>0</v>
      </c>
      <c r="BG144" s="285" t="n">
        <v>0</v>
      </c>
      <c r="BH144" s="285" t="n">
        <v>175</v>
      </c>
      <c r="BI144" s="285" t="n">
        <v>0</v>
      </c>
      <c r="BJ144" s="285" t="n">
        <v>0</v>
      </c>
      <c r="BK144" s="285" t="n">
        <v>0</v>
      </c>
      <c r="BL144" s="285" t="n">
        <v>0</v>
      </c>
      <c r="BM144" s="285" t="n">
        <v>0</v>
      </c>
      <c r="BN144" s="285" t="n">
        <v>0</v>
      </c>
      <c r="BO144" s="285" t="n">
        <v>79.439</v>
      </c>
      <c r="BR144" s="290" t="n">
        <f aca="false">AR144*1000/0.072</f>
        <v>9194444.44444445</v>
      </c>
      <c r="BS144" s="290" t="n">
        <f aca="false">AT144*1000/0.072</f>
        <v>4361111.11111111</v>
      </c>
      <c r="BT144" s="290" t="n">
        <f aca="false">AU144*1000/0.072</f>
        <v>83333.3333333333</v>
      </c>
      <c r="BU144" s="290" t="n">
        <f aca="false">SUM(BR144:BT144)</f>
        <v>13638888.8888889</v>
      </c>
      <c r="BV144" s="290" t="n">
        <f aca="false">AV144*1000/5</f>
        <v>0</v>
      </c>
      <c r="BW144" s="290" t="n">
        <f aca="false">AX144*1000/5</f>
        <v>12800</v>
      </c>
      <c r="BX144" s="290" t="n">
        <f aca="false">AY144*1000/5</f>
        <v>200</v>
      </c>
      <c r="BY144" s="290" t="n">
        <f aca="false">SUM(BV144:BX144)</f>
        <v>13000</v>
      </c>
      <c r="CA144" s="290" t="n">
        <f aca="false">IF($AM144="n",0,BR144)</f>
        <v>9194444.44444445</v>
      </c>
      <c r="CB144" s="290" t="n">
        <f aca="false">IF($AM144="n",0,BS144)</f>
        <v>4361111.11111111</v>
      </c>
      <c r="CC144" s="290" t="n">
        <f aca="false">IF($AM144="n",0,BT144)</f>
        <v>83333.3333333333</v>
      </c>
      <c r="CD144" s="290" t="n">
        <f aca="false">SUM(CA144:CC144)</f>
        <v>13638888.8888889</v>
      </c>
      <c r="CE144" s="290" t="n">
        <f aca="false">IF($AM$2="n",0,BV144)</f>
        <v>0</v>
      </c>
      <c r="CF144" s="290" t="n">
        <f aca="false">IF($AM$2="n",0,BW144)</f>
        <v>12800</v>
      </c>
      <c r="CG144" s="290" t="n">
        <f aca="false">IF($AM$2="n",0,BX144)</f>
        <v>200</v>
      </c>
      <c r="CH144" s="290" t="n">
        <f aca="false">SUM(CE144:CG144)</f>
        <v>13000</v>
      </c>
    </row>
    <row r="145" customFormat="false" ht="15" hidden="false" customHeight="true" outlineLevel="0" collapsed="false">
      <c r="A145" s="285" t="n">
        <v>1585</v>
      </c>
      <c r="B145" s="285"/>
      <c r="C145" s="286" t="s">
        <v>400</v>
      </c>
      <c r="D145" s="287" t="s">
        <v>400</v>
      </c>
      <c r="E145" s="288" t="n">
        <f aca="false">IF(I145="regional",IF(R145*0.2975,S145*0.3484),S145*0.1939)</f>
        <v>17770.935</v>
      </c>
      <c r="F145" s="288" t="n">
        <v>0</v>
      </c>
      <c r="G145" s="289" t="n">
        <f aca="false">E145+F145</f>
        <v>17770.935</v>
      </c>
      <c r="H145" s="286"/>
      <c r="I145" s="287" t="s">
        <v>62</v>
      </c>
      <c r="J145" s="287"/>
      <c r="K145" s="287" t="s">
        <v>170</v>
      </c>
      <c r="L145" s="287"/>
      <c r="M145" s="317" t="n">
        <v>7</v>
      </c>
      <c r="N145" s="317" t="n">
        <v>1</v>
      </c>
      <c r="O145" s="317" t="n">
        <v>1</v>
      </c>
      <c r="P145" s="317" t="n">
        <v>1</v>
      </c>
      <c r="Q145" s="317" t="n">
        <v>1</v>
      </c>
      <c r="R145" s="317" t="n">
        <v>0</v>
      </c>
      <c r="S145" s="317" t="n">
        <v>91650</v>
      </c>
      <c r="T145" s="318" t="n">
        <f aca="false">IF(I145="regional",IF(R145&gt;0,R145*0.2975,S145*0.3484),S145*0.1939)</f>
        <v>17770.935</v>
      </c>
      <c r="U145" s="317" t="n">
        <v>24912</v>
      </c>
      <c r="V145" s="317" t="n">
        <v>66738</v>
      </c>
      <c r="W145" s="317" t="n">
        <v>502</v>
      </c>
      <c r="X145" s="317" t="n">
        <v>0</v>
      </c>
      <c r="Y145" s="317" t="n">
        <v>0</v>
      </c>
      <c r="Z145" s="317" t="n">
        <v>0</v>
      </c>
      <c r="AA145" s="317" t="n">
        <v>109420.935</v>
      </c>
      <c r="AB145" s="317" t="n">
        <v>17770.935</v>
      </c>
      <c r="AC145" s="317" t="n">
        <v>91650</v>
      </c>
      <c r="AD145" s="317" t="n">
        <v>0</v>
      </c>
      <c r="AE145" s="317" t="n">
        <v>0</v>
      </c>
      <c r="AF145" s="317" t="n">
        <v>0</v>
      </c>
      <c r="AG145" s="317" t="n">
        <v>91650</v>
      </c>
      <c r="AH145" s="317" t="n">
        <v>0</v>
      </c>
      <c r="AI145" s="317" t="n">
        <v>0</v>
      </c>
      <c r="AJ145" s="286" t="n">
        <v>4</v>
      </c>
      <c r="AK145" s="286" t="s">
        <v>720</v>
      </c>
      <c r="AL145" s="287" t="s">
        <v>62</v>
      </c>
      <c r="AM145" s="286"/>
      <c r="AN145" s="287" t="s">
        <v>400</v>
      </c>
      <c r="AO145" s="287" t="n">
        <v>17770.935</v>
      </c>
      <c r="AP145" s="319" t="n">
        <f aca="false">AR145+AT145+AU145+AV145+AX145+AY145+AZ145+BD145+BF145+BG145+BH145+BJ145+BK145+(BL145+BM145+BN145)/1000+(0.1*BO145)</f>
        <v>13</v>
      </c>
      <c r="AQ145" s="319" t="n">
        <f aca="false">AR145+AT145+AU145+AV145+AX145+AY145+AZ145+BB145+BC145+BD145+BF145+BG145+BH145+BJ145+BK145+(BL145+BM145+BN145)/1000+(0.1*BO145)</f>
        <v>13</v>
      </c>
      <c r="AR145" s="285" t="n">
        <v>0</v>
      </c>
      <c r="AS145" s="285" t="n">
        <v>0</v>
      </c>
      <c r="AT145" s="285" t="n">
        <v>8</v>
      </c>
      <c r="AU145" s="285" t="n">
        <v>5</v>
      </c>
      <c r="AV145" s="285" t="n">
        <v>0</v>
      </c>
      <c r="AW145" s="285" t="n">
        <v>0</v>
      </c>
      <c r="AX145" s="285" t="n">
        <v>0</v>
      </c>
      <c r="AY145" s="285" t="n">
        <v>0</v>
      </c>
      <c r="AZ145" s="285" t="n">
        <v>0</v>
      </c>
      <c r="BA145" s="285" t="n">
        <v>0</v>
      </c>
      <c r="BB145" s="285" t="n">
        <v>0</v>
      </c>
      <c r="BC145" s="285" t="n">
        <v>0</v>
      </c>
      <c r="BD145" s="285" t="n">
        <v>0</v>
      </c>
      <c r="BE145" s="285" t="n">
        <v>0</v>
      </c>
      <c r="BF145" s="285" t="n">
        <v>0</v>
      </c>
      <c r="BG145" s="285" t="n">
        <v>0</v>
      </c>
      <c r="BH145" s="285" t="n">
        <v>0</v>
      </c>
      <c r="BI145" s="285" t="n">
        <v>0</v>
      </c>
      <c r="BJ145" s="285" t="n">
        <v>0</v>
      </c>
      <c r="BK145" s="285" t="n">
        <v>0</v>
      </c>
      <c r="BL145" s="285" t="n">
        <v>0</v>
      </c>
      <c r="BM145" s="285" t="n">
        <v>0</v>
      </c>
      <c r="BN145" s="285" t="n">
        <v>0</v>
      </c>
      <c r="BO145" s="285" t="n">
        <v>0</v>
      </c>
      <c r="BR145" s="290" t="n">
        <f aca="false">AR145*1000/0.072</f>
        <v>0</v>
      </c>
      <c r="BS145" s="290" t="n">
        <f aca="false">AT145*1000/0.072</f>
        <v>111111.111111111</v>
      </c>
      <c r="BT145" s="290" t="n">
        <f aca="false">AU145*1000/0.072</f>
        <v>69444.4444444445</v>
      </c>
      <c r="BU145" s="290" t="n">
        <f aca="false">SUM(BR145:BT145)</f>
        <v>180555.555555556</v>
      </c>
      <c r="BV145" s="290" t="n">
        <f aca="false">AV145*1000/5</f>
        <v>0</v>
      </c>
      <c r="BW145" s="290" t="n">
        <f aca="false">AX145*1000/5</f>
        <v>0</v>
      </c>
      <c r="BX145" s="290" t="n">
        <f aca="false">AY145*1000/5</f>
        <v>0</v>
      </c>
      <c r="BY145" s="290" t="n">
        <f aca="false">SUM(BV145:BX145)</f>
        <v>0</v>
      </c>
      <c r="CA145" s="290" t="n">
        <f aca="false">IF($AM145="n",0,BR145)</f>
        <v>0</v>
      </c>
      <c r="CB145" s="290" t="n">
        <f aca="false">IF($AM145="n",0,BS145)</f>
        <v>111111.111111111</v>
      </c>
      <c r="CC145" s="290" t="n">
        <f aca="false">IF($AM145="n",0,BT145)</f>
        <v>69444.4444444445</v>
      </c>
      <c r="CD145" s="290" t="n">
        <f aca="false">SUM(CA145:CC145)</f>
        <v>180555.555555556</v>
      </c>
      <c r="CE145" s="290" t="n">
        <f aca="false">IF($AM$2="n",0,BV145)</f>
        <v>0</v>
      </c>
      <c r="CF145" s="290" t="n">
        <f aca="false">IF($AM$2="n",0,BW145)</f>
        <v>0</v>
      </c>
      <c r="CG145" s="290" t="n">
        <f aca="false">IF($AM$2="n",0,BX145)</f>
        <v>0</v>
      </c>
      <c r="CH145" s="290" t="n">
        <f aca="false">SUM(CE145:CG145)</f>
        <v>0</v>
      </c>
    </row>
    <row r="146" customFormat="false" ht="15" hidden="false" customHeight="true" outlineLevel="0" collapsed="false">
      <c r="A146" s="291" t="n">
        <v>9395</v>
      </c>
      <c r="B146" s="291"/>
      <c r="C146" s="292" t="s">
        <v>402</v>
      </c>
      <c r="D146" s="287" t="s">
        <v>402</v>
      </c>
      <c r="E146" s="288" t="n">
        <f aca="false">IF(I146="regional",IF(R146*0.2975,S146*0.3484),S146*0.1939)</f>
        <v>94375.5897</v>
      </c>
      <c r="F146" s="288" t="n">
        <v>0</v>
      </c>
      <c r="G146" s="289" t="n">
        <f aca="false">E146+F146</f>
        <v>94375.5897</v>
      </c>
      <c r="H146" s="292"/>
      <c r="I146" s="287" t="s">
        <v>405</v>
      </c>
      <c r="J146" s="287" t="s">
        <v>49</v>
      </c>
      <c r="K146" s="287" t="s">
        <v>406</v>
      </c>
      <c r="L146" s="287"/>
      <c r="M146" s="317" t="n">
        <v>115</v>
      </c>
      <c r="N146" s="317" t="n">
        <v>0.637</v>
      </c>
      <c r="O146" s="317" t="n">
        <v>0.619</v>
      </c>
      <c r="P146" s="317" t="n">
        <v>0.552</v>
      </c>
      <c r="Q146" s="317" t="n">
        <v>0.537</v>
      </c>
      <c r="R146" s="317" t="n">
        <v>640416</v>
      </c>
      <c r="S146" s="320" t="n">
        <v>486723</v>
      </c>
      <c r="T146" s="318" t="n">
        <f aca="false">IF(I146="regional",IF(R146&gt;0,R146*0.2975,S146*0.3484),S146*0.1939)</f>
        <v>94375.5897</v>
      </c>
      <c r="U146" s="317" t="n">
        <v>331831</v>
      </c>
      <c r="V146" s="317" t="n">
        <v>205099</v>
      </c>
      <c r="W146" s="317" t="n">
        <v>3610</v>
      </c>
      <c r="X146" s="317" t="n">
        <v>0</v>
      </c>
      <c r="Y146" s="317" t="n">
        <v>0</v>
      </c>
      <c r="Z146" s="317" t="n">
        <v>0</v>
      </c>
      <c r="AA146" s="317" t="n">
        <v>641040.727</v>
      </c>
      <c r="AB146" s="317" t="n">
        <v>104110.727</v>
      </c>
      <c r="AC146" s="317" t="n">
        <v>536930</v>
      </c>
      <c r="AD146" s="317" t="n">
        <v>0</v>
      </c>
      <c r="AE146" s="317" t="n">
        <v>0</v>
      </c>
      <c r="AF146" s="317" t="n">
        <v>0</v>
      </c>
      <c r="AG146" s="317" t="n">
        <v>536930</v>
      </c>
      <c r="AH146" s="317" t="n">
        <v>0</v>
      </c>
      <c r="AI146" s="317" t="n">
        <v>0</v>
      </c>
      <c r="AJ146" s="292" t="s">
        <v>707</v>
      </c>
      <c r="AK146" s="292" t="s">
        <v>729</v>
      </c>
      <c r="AL146" s="321" t="s">
        <v>749</v>
      </c>
      <c r="AM146" s="292"/>
      <c r="AN146" s="328" t="s">
        <v>750</v>
      </c>
      <c r="AO146" s="328" t="n">
        <v>0</v>
      </c>
      <c r="AP146" s="329" t="n">
        <v>0</v>
      </c>
      <c r="AQ146" s="319" t="n">
        <f aca="false">AR146+AT146+AU146+AV146+AX146+AY146+AZ146+BB146+BC146+BD146+BF146+BG146+BH146+BJ146+BK146+(BL146+BM146+BN146)/1000+(0.1*BO146)</f>
        <v>846</v>
      </c>
      <c r="AR146" s="188" t="n">
        <v>0</v>
      </c>
      <c r="AS146" s="188" t="n">
        <v>0</v>
      </c>
      <c r="AT146" s="188" t="n">
        <v>762</v>
      </c>
      <c r="AU146" s="188" t="n">
        <v>0</v>
      </c>
      <c r="AV146" s="291" t="n">
        <v>0</v>
      </c>
      <c r="AW146" s="291" t="n">
        <v>0</v>
      </c>
      <c r="AX146" s="291" t="n">
        <v>0</v>
      </c>
      <c r="AY146" s="291" t="n">
        <v>0</v>
      </c>
      <c r="AZ146" s="188" t="n">
        <v>0</v>
      </c>
      <c r="BA146" s="188" t="n">
        <v>0</v>
      </c>
      <c r="BB146" s="188" t="n">
        <v>72</v>
      </c>
      <c r="BC146" s="188" t="n">
        <v>0</v>
      </c>
      <c r="BD146" s="323" t="n">
        <v>0</v>
      </c>
      <c r="BE146" s="323" t="n">
        <v>0</v>
      </c>
      <c r="BF146" s="323" t="n">
        <v>0</v>
      </c>
      <c r="BG146" s="323" t="n">
        <v>0</v>
      </c>
      <c r="BH146" s="188" t="n">
        <v>0</v>
      </c>
      <c r="BI146" s="188" t="n">
        <v>0</v>
      </c>
      <c r="BJ146" s="188" t="n">
        <v>0</v>
      </c>
      <c r="BK146" s="188" t="n">
        <v>0</v>
      </c>
      <c r="BL146" s="188" t="n">
        <v>0</v>
      </c>
      <c r="BM146" s="188" t="n">
        <v>12000</v>
      </c>
      <c r="BN146" s="188" t="n">
        <v>0</v>
      </c>
      <c r="BO146" s="186"/>
      <c r="BP146" s="324"/>
      <c r="BR146" s="290" t="n">
        <f aca="false">AR146*1000/0.072</f>
        <v>0</v>
      </c>
      <c r="BS146" s="290" t="n">
        <f aca="false">AT146*1000/0.072</f>
        <v>10583333.3333333</v>
      </c>
      <c r="BT146" s="290" t="n">
        <f aca="false">AU146*1000/0.072</f>
        <v>0</v>
      </c>
      <c r="BU146" s="290" t="n">
        <f aca="false">SUM(BR146:BT146)</f>
        <v>10583333.3333333</v>
      </c>
      <c r="BV146" s="290" t="n">
        <f aca="false">AV146*1000/5</f>
        <v>0</v>
      </c>
      <c r="BW146" s="290" t="n">
        <f aca="false">AX146*1000/5</f>
        <v>0</v>
      </c>
      <c r="BX146" s="290" t="n">
        <f aca="false">AY146*1000/5</f>
        <v>0</v>
      </c>
      <c r="BY146" s="290" t="n">
        <f aca="false">SUM(BV146:BX146)</f>
        <v>0</v>
      </c>
      <c r="CA146" s="290" t="n">
        <f aca="false">IF($AM146="n",0,BR146)</f>
        <v>0</v>
      </c>
      <c r="CB146" s="290" t="n">
        <f aca="false">IF($AM146="n",0,BS146)</f>
        <v>10583333.3333333</v>
      </c>
      <c r="CC146" s="290" t="n">
        <f aca="false">IF($AM146="n",0,BT146)</f>
        <v>0</v>
      </c>
      <c r="CD146" s="290" t="n">
        <f aca="false">SUM(CA146:CC146)</f>
        <v>10583333.3333333</v>
      </c>
      <c r="CE146" s="290" t="n">
        <f aca="false">IF($AM$2="n",0,BV146)</f>
        <v>0</v>
      </c>
      <c r="CF146" s="290" t="n">
        <f aca="false">IF($AM$2="n",0,BW146)</f>
        <v>0</v>
      </c>
      <c r="CG146" s="290" t="n">
        <f aca="false">IF($AM$2="n",0,BX146)</f>
        <v>0</v>
      </c>
      <c r="CH146" s="290" t="n">
        <f aca="false">SUM(CE146:CG146)</f>
        <v>0</v>
      </c>
      <c r="CJ146" s="324"/>
      <c r="CK146" s="324"/>
      <c r="CL146" s="324"/>
      <c r="CM146" s="324"/>
      <c r="CN146" s="324"/>
      <c r="CO146" s="324"/>
      <c r="CP146" s="324"/>
      <c r="CQ146" s="324"/>
      <c r="CR146" s="324"/>
      <c r="CS146" s="324"/>
      <c r="CT146" s="324"/>
      <c r="CU146" s="324"/>
      <c r="CV146" s="324"/>
      <c r="CW146" s="324"/>
      <c r="CX146" s="324"/>
      <c r="CY146" s="324"/>
      <c r="CZ146" s="324"/>
      <c r="DA146" s="324"/>
      <c r="DB146" s="324"/>
      <c r="DC146" s="324"/>
      <c r="DD146" s="324"/>
      <c r="DE146" s="330"/>
      <c r="DF146" s="330"/>
      <c r="DG146" s="330"/>
      <c r="DH146" s="330"/>
      <c r="DI146" s="330"/>
      <c r="DJ146" s="330"/>
      <c r="DK146" s="330"/>
      <c r="DL146" s="330"/>
      <c r="DM146" s="330"/>
      <c r="DN146" s="330"/>
      <c r="DO146" s="330"/>
      <c r="DP146" s="330"/>
      <c r="DQ146" s="330"/>
      <c r="DR146" s="330"/>
      <c r="DS146" s="330"/>
      <c r="DT146" s="330"/>
      <c r="DU146" s="330"/>
      <c r="DV146" s="330"/>
      <c r="DW146" s="330"/>
      <c r="DX146" s="330"/>
      <c r="DY146" s="330"/>
      <c r="DZ146" s="330"/>
      <c r="EA146" s="330"/>
      <c r="EB146" s="330"/>
      <c r="EC146" s="330"/>
      <c r="ED146" s="330"/>
      <c r="EE146" s="330"/>
      <c r="EF146" s="330"/>
      <c r="EG146" s="330"/>
      <c r="EH146" s="330"/>
      <c r="EI146" s="330"/>
      <c r="EJ146" s="330"/>
      <c r="EK146" s="330"/>
      <c r="EL146" s="330"/>
      <c r="EM146" s="330"/>
      <c r="EN146" s="330"/>
      <c r="EO146" s="330"/>
      <c r="EP146" s="330"/>
      <c r="EQ146" s="330"/>
      <c r="ER146" s="330"/>
      <c r="ES146" s="330"/>
      <c r="ET146" s="330"/>
      <c r="EU146" s="330"/>
      <c r="EV146" s="330"/>
      <c r="EW146" s="330"/>
      <c r="EX146" s="330"/>
      <c r="EY146" s="330"/>
      <c r="EZ146" s="330"/>
      <c r="FA146" s="330"/>
      <c r="FB146" s="330"/>
      <c r="FC146" s="330"/>
      <c r="FD146" s="330"/>
      <c r="FE146" s="330"/>
      <c r="FF146" s="330"/>
      <c r="FG146" s="330"/>
      <c r="FH146" s="330"/>
      <c r="FI146" s="330"/>
      <c r="FJ146" s="330"/>
      <c r="FK146" s="330"/>
      <c r="FL146" s="330"/>
      <c r="FM146" s="330"/>
      <c r="FN146" s="330"/>
      <c r="FO146" s="330"/>
      <c r="FP146" s="330"/>
      <c r="FQ146" s="330"/>
      <c r="FR146" s="330"/>
      <c r="FS146" s="330"/>
      <c r="FT146" s="330"/>
      <c r="FU146" s="330"/>
      <c r="FV146" s="330"/>
      <c r="FW146" s="330"/>
      <c r="FX146" s="330"/>
      <c r="FY146" s="330"/>
      <c r="FZ146" s="330"/>
      <c r="GA146" s="330"/>
      <c r="GB146" s="330"/>
      <c r="GC146" s="330"/>
      <c r="GD146" s="330"/>
      <c r="GE146" s="330"/>
      <c r="GF146" s="330"/>
      <c r="GG146" s="330"/>
      <c r="GH146" s="330"/>
      <c r="GI146" s="330"/>
      <c r="GJ146" s="330"/>
      <c r="GK146" s="330"/>
      <c r="GL146" s="330"/>
      <c r="GM146" s="330"/>
      <c r="GN146" s="330"/>
      <c r="GO146" s="330"/>
      <c r="GP146" s="330"/>
      <c r="GQ146" s="330"/>
      <c r="GR146" s="330"/>
      <c r="GS146" s="330"/>
      <c r="GT146" s="330"/>
      <c r="GU146" s="330"/>
      <c r="GV146" s="330"/>
      <c r="GW146" s="330"/>
      <c r="GX146" s="330"/>
      <c r="GY146" s="330"/>
      <c r="GZ146" s="330"/>
      <c r="HA146" s="330"/>
      <c r="HB146" s="330"/>
      <c r="HC146" s="330"/>
      <c r="HD146" s="330"/>
      <c r="HE146" s="330"/>
      <c r="HF146" s="330"/>
      <c r="HG146" s="330"/>
      <c r="HH146" s="330"/>
      <c r="HI146" s="330"/>
      <c r="HJ146" s="330"/>
      <c r="HK146" s="330"/>
      <c r="HL146" s="330"/>
      <c r="HM146" s="330"/>
      <c r="HN146" s="330"/>
      <c r="HO146" s="330"/>
      <c r="HP146" s="330"/>
      <c r="HQ146" s="330"/>
      <c r="HR146" s="330"/>
      <c r="HS146" s="330"/>
      <c r="HT146" s="330"/>
      <c r="HU146" s="330"/>
      <c r="HV146" s="330"/>
      <c r="HW146" s="330"/>
      <c r="HX146" s="330"/>
      <c r="HY146" s="330"/>
      <c r="HZ146" s="330"/>
      <c r="IA146" s="330"/>
      <c r="IB146" s="330"/>
      <c r="IC146" s="330"/>
      <c r="ID146" s="330"/>
      <c r="IE146" s="330"/>
      <c r="IF146" s="330"/>
      <c r="IG146" s="330"/>
      <c r="IH146" s="330"/>
      <c r="II146" s="330"/>
      <c r="IJ146" s="330"/>
      <c r="IK146" s="330"/>
      <c r="IL146" s="330"/>
      <c r="IM146" s="330"/>
      <c r="IN146" s="330"/>
      <c r="IO146" s="330"/>
      <c r="IP146" s="330"/>
      <c r="IQ146" s="330"/>
      <c r="IR146" s="330"/>
      <c r="IS146" s="330"/>
      <c r="IT146" s="330"/>
      <c r="IU146" s="330"/>
      <c r="IV146" s="330"/>
      <c r="IW146" s="330"/>
    </row>
    <row r="147" customFormat="false" ht="15" hidden="false" customHeight="true" outlineLevel="0" collapsed="false">
      <c r="A147" s="285" t="n">
        <v>9397</v>
      </c>
      <c r="B147" s="285"/>
      <c r="C147" s="286" t="s">
        <v>402</v>
      </c>
      <c r="D147" s="293" t="s">
        <v>402</v>
      </c>
      <c r="E147" s="288" t="n">
        <f aca="false">IF(I147="regional",IF(R147*0.2975,S147*0.3484),S147*0.1939)</f>
        <v>0</v>
      </c>
      <c r="F147" s="294"/>
      <c r="G147" s="289" t="n">
        <f aca="false">E147+F147</f>
        <v>0</v>
      </c>
      <c r="H147" s="286"/>
      <c r="I147" s="293" t="s">
        <v>718</v>
      </c>
      <c r="J147" s="293"/>
      <c r="K147" s="293"/>
      <c r="L147" s="293"/>
      <c r="M147" s="320"/>
      <c r="N147" s="320"/>
      <c r="O147" s="320"/>
      <c r="P147" s="320"/>
      <c r="Q147" s="320"/>
      <c r="R147" s="320"/>
      <c r="S147" s="320"/>
      <c r="T147" s="318" t="n">
        <f aca="false">IF(I147="regional",IF(R147&gt;0,R147*0.2975,S147*0.3484),S147*0.1939)</f>
        <v>0</v>
      </c>
      <c r="U147" s="320"/>
      <c r="V147" s="320"/>
      <c r="W147" s="320"/>
      <c r="X147" s="320"/>
      <c r="Y147" s="320"/>
      <c r="Z147" s="320"/>
      <c r="AA147" s="320"/>
      <c r="AB147" s="320"/>
      <c r="AC147" s="320"/>
      <c r="AD147" s="320"/>
      <c r="AE147" s="320"/>
      <c r="AF147" s="320"/>
      <c r="AG147" s="320"/>
      <c r="AH147" s="320"/>
      <c r="AI147" s="320"/>
      <c r="AJ147" s="286" t="s">
        <v>707</v>
      </c>
      <c r="AK147" s="286" t="s">
        <v>729</v>
      </c>
      <c r="AL147" s="287" t="s">
        <v>405</v>
      </c>
      <c r="AM147" s="286"/>
      <c r="AN147" s="287" t="s">
        <v>402</v>
      </c>
      <c r="AO147" s="287" t="n">
        <v>104110.727</v>
      </c>
      <c r="AP147" s="319" t="n">
        <f aca="false">AR147+AT147+AU147+AV147+AX147+AY147+AZ147+BD147+BF147+BG147+BH147+BJ147+BK147+(BL147+BM147+BN147)/1000+(0.1*BO147)</f>
        <v>397.3824</v>
      </c>
      <c r="AQ147" s="319" t="n">
        <f aca="false">AR147+AT147+AU147+AV147+AX147+AY147+AZ147+BB147+BC147+BD147+BF147+BG147+BH147+BJ147+BK147+(BL147+BM147+BN147)/1000+(0.1*BO147)</f>
        <v>464.3824</v>
      </c>
      <c r="AR147" s="285" t="n">
        <v>199</v>
      </c>
      <c r="AS147" s="285" t="n">
        <v>0</v>
      </c>
      <c r="AT147" s="285" t="n">
        <v>116</v>
      </c>
      <c r="AU147" s="285" t="n">
        <v>-49</v>
      </c>
      <c r="AV147" s="285" t="n">
        <v>0</v>
      </c>
      <c r="AW147" s="285" t="n">
        <v>0</v>
      </c>
      <c r="AX147" s="285" t="n">
        <v>0</v>
      </c>
      <c r="AY147" s="285" t="n">
        <v>0</v>
      </c>
      <c r="AZ147" s="285" t="n">
        <v>0</v>
      </c>
      <c r="BA147" s="285" t="n">
        <v>0</v>
      </c>
      <c r="BB147" s="285" t="n">
        <v>67</v>
      </c>
      <c r="BC147" s="285" t="n">
        <v>0</v>
      </c>
      <c r="BD147" s="285" t="n">
        <v>12</v>
      </c>
      <c r="BE147" s="285" t="n">
        <v>0</v>
      </c>
      <c r="BF147" s="285" t="n">
        <v>0</v>
      </c>
      <c r="BG147" s="285" t="n">
        <v>0</v>
      </c>
      <c r="BH147" s="285" t="n">
        <v>27</v>
      </c>
      <c r="BI147" s="285" t="n">
        <v>0</v>
      </c>
      <c r="BJ147" s="285" t="n">
        <v>0</v>
      </c>
      <c r="BK147" s="285" t="n">
        <v>0</v>
      </c>
      <c r="BL147" s="285" t="n">
        <v>16458</v>
      </c>
      <c r="BM147" s="285" t="n">
        <v>0</v>
      </c>
      <c r="BN147" s="285" t="n">
        <v>0</v>
      </c>
      <c r="BO147" s="285" t="n">
        <v>759.244</v>
      </c>
      <c r="BR147" s="290" t="n">
        <f aca="false">AR147*1000/0.072</f>
        <v>2763888.88888889</v>
      </c>
      <c r="BS147" s="290" t="n">
        <f aca="false">AT147*1000/0.072</f>
        <v>1611111.11111111</v>
      </c>
      <c r="BT147" s="290" t="n">
        <f aca="false">AU147*1000/0.072</f>
        <v>-680555.555555556</v>
      </c>
      <c r="BU147" s="290" t="n">
        <f aca="false">SUM(BR147:BT147)</f>
        <v>3694444.44444444</v>
      </c>
      <c r="BV147" s="290" t="n">
        <f aca="false">AV147*1000/5</f>
        <v>0</v>
      </c>
      <c r="BW147" s="290" t="n">
        <f aca="false">AX147*1000/5</f>
        <v>0</v>
      </c>
      <c r="BX147" s="290" t="n">
        <f aca="false">AY147*1000/5</f>
        <v>0</v>
      </c>
      <c r="BY147" s="290" t="n">
        <f aca="false">SUM(BV147:BX147)</f>
        <v>0</v>
      </c>
      <c r="CA147" s="290" t="n">
        <f aca="false">IF($AM147="n",0,BR147)</f>
        <v>2763888.88888889</v>
      </c>
      <c r="CB147" s="290" t="n">
        <f aca="false">IF($AM147="n",0,BS147)</f>
        <v>1611111.11111111</v>
      </c>
      <c r="CC147" s="290" t="n">
        <f aca="false">IF($AM147="n",0,BT147)</f>
        <v>-680555.555555556</v>
      </c>
      <c r="CD147" s="290" t="n">
        <f aca="false">SUM(CA147:CC147)</f>
        <v>3694444.44444444</v>
      </c>
      <c r="CE147" s="290" t="n">
        <f aca="false">IF($AM$2="n",0,BV147)</f>
        <v>0</v>
      </c>
      <c r="CF147" s="290" t="n">
        <f aca="false">IF($AM$2="n",0,BW147)</f>
        <v>0</v>
      </c>
      <c r="CG147" s="290" t="n">
        <f aca="false">IF($AM$2="n",0,BX147)</f>
        <v>0</v>
      </c>
      <c r="CH147" s="290" t="n">
        <f aca="false">SUM(CE147:CG147)</f>
        <v>0</v>
      </c>
    </row>
    <row r="148" customFormat="false" ht="15" hidden="false" customHeight="true" outlineLevel="0" collapsed="false">
      <c r="A148" s="285" t="n">
        <v>2810</v>
      </c>
      <c r="B148" s="285" t="s">
        <v>44</v>
      </c>
      <c r="C148" s="286" t="s">
        <v>407</v>
      </c>
      <c r="D148" s="287" t="s">
        <v>407</v>
      </c>
      <c r="E148" s="288" t="n">
        <f aca="false">IF(I148="regional",IF(R148*0.2975,S148*0.3484),S148*0.1939)</f>
        <v>320775.0156</v>
      </c>
      <c r="F148" s="288" t="n">
        <v>699163</v>
      </c>
      <c r="G148" s="289" t="n">
        <f aca="false">E148+F148</f>
        <v>1019938.0156</v>
      </c>
      <c r="H148" s="286" t="s">
        <v>49</v>
      </c>
      <c r="I148" s="287" t="s">
        <v>48</v>
      </c>
      <c r="J148" s="287" t="s">
        <v>44</v>
      </c>
      <c r="K148" s="287" t="s">
        <v>409</v>
      </c>
      <c r="L148" s="287" t="s">
        <v>44</v>
      </c>
      <c r="M148" s="317" t="n">
        <v>126</v>
      </c>
      <c r="N148" s="317" t="n">
        <v>0.939</v>
      </c>
      <c r="O148" s="317" t="n">
        <v>0.932</v>
      </c>
      <c r="P148" s="317" t="n">
        <v>0.929</v>
      </c>
      <c r="Q148" s="317" t="n">
        <v>0.927</v>
      </c>
      <c r="R148" s="317" t="n">
        <v>1400573</v>
      </c>
      <c r="S148" s="317" t="n">
        <v>920709</v>
      </c>
      <c r="T148" s="318" t="n">
        <f aca="false">IF(I148="regional",IF(R148&gt;0,R148*0.2975,S148*0.3484),S148*0.1939)</f>
        <v>416670.4675</v>
      </c>
      <c r="U148" s="317" t="n">
        <v>530971</v>
      </c>
      <c r="V148" s="317" t="n">
        <v>389738</v>
      </c>
      <c r="W148" s="317" t="n">
        <v>4500</v>
      </c>
      <c r="X148" s="317" t="n">
        <v>1115833.468</v>
      </c>
      <c r="Y148" s="317" t="n">
        <v>416670.4675</v>
      </c>
      <c r="Z148" s="317" t="n">
        <v>699163</v>
      </c>
      <c r="AA148" s="317" t="n">
        <v>221546</v>
      </c>
      <c r="AB148" s="317" t="n">
        <v>0</v>
      </c>
      <c r="AC148" s="317" t="n">
        <v>221546</v>
      </c>
      <c r="AD148" s="317" t="n">
        <v>699163</v>
      </c>
      <c r="AE148" s="317" t="n">
        <v>0</v>
      </c>
      <c r="AF148" s="317" t="n">
        <v>221546</v>
      </c>
      <c r="AG148" s="317" t="n">
        <v>0</v>
      </c>
      <c r="AH148" s="317" t="n">
        <v>1021000</v>
      </c>
      <c r="AI148" s="317" t="n">
        <v>969000</v>
      </c>
      <c r="AJ148" s="286" t="s">
        <v>715</v>
      </c>
      <c r="AK148" s="286" t="s">
        <v>716</v>
      </c>
      <c r="AL148" s="287" t="s">
        <v>48</v>
      </c>
      <c r="AM148" s="286" t="s">
        <v>49</v>
      </c>
      <c r="AN148" s="287" t="s">
        <v>407</v>
      </c>
      <c r="AO148" s="287" t="n">
        <v>1115833.4675</v>
      </c>
      <c r="AP148" s="319" t="n">
        <f aca="false">AR148+AT148+AU148+AV148+AX148+AY148+AZ148+BD148+BF148+BG148+BH148+BJ148+BK148+(BL148+BM148+BN148)/1000+(0.1*BO148)</f>
        <v>1100.0844</v>
      </c>
      <c r="AQ148" s="319" t="n">
        <f aca="false">AR148+AT148+AU148+AV148+AX148+AY148+AZ148+BB148+BC148+BD148+BF148+BG148+BH148+BJ148+BK148+(BL148+BM148+BN148)/1000+(0.1*BO148)</f>
        <v>1268.0844</v>
      </c>
      <c r="AR148" s="285" t="n">
        <v>476</v>
      </c>
      <c r="AS148" s="285" t="n">
        <v>969</v>
      </c>
      <c r="AT148" s="285" t="n">
        <v>278</v>
      </c>
      <c r="AU148" s="285" t="n">
        <v>0</v>
      </c>
      <c r="AV148" s="285" t="n">
        <v>33</v>
      </c>
      <c r="AW148" s="285" t="n">
        <v>17</v>
      </c>
      <c r="AX148" s="285" t="n">
        <v>0</v>
      </c>
      <c r="AY148" s="285" t="n">
        <v>0</v>
      </c>
      <c r="AZ148" s="285" t="n">
        <v>29</v>
      </c>
      <c r="BA148" s="285" t="n">
        <v>48</v>
      </c>
      <c r="BB148" s="285" t="n">
        <v>168</v>
      </c>
      <c r="BC148" s="285" t="n">
        <v>0</v>
      </c>
      <c r="BD148" s="285" t="n">
        <v>69</v>
      </c>
      <c r="BE148" s="285" t="n">
        <v>0</v>
      </c>
      <c r="BF148" s="285" t="n">
        <v>0</v>
      </c>
      <c r="BG148" s="285" t="n">
        <v>0</v>
      </c>
      <c r="BH148" s="285" t="n">
        <v>152</v>
      </c>
      <c r="BI148" s="285" t="n">
        <v>0</v>
      </c>
      <c r="BJ148" s="285" t="n">
        <v>0</v>
      </c>
      <c r="BK148" s="285" t="n">
        <v>0</v>
      </c>
      <c r="BL148" s="285" t="n">
        <v>41063</v>
      </c>
      <c r="BM148" s="285" t="n">
        <v>0</v>
      </c>
      <c r="BN148" s="285" t="n">
        <v>0</v>
      </c>
      <c r="BO148" s="285" t="n">
        <v>220.214</v>
      </c>
      <c r="BR148" s="290" t="n">
        <f aca="false">AR148*1000/0.072</f>
        <v>6611111.11111111</v>
      </c>
      <c r="BS148" s="290" t="n">
        <f aca="false">AT148*1000/0.072</f>
        <v>3861111.11111111</v>
      </c>
      <c r="BT148" s="290" t="n">
        <f aca="false">AU148*1000/0.072</f>
        <v>0</v>
      </c>
      <c r="BU148" s="290" t="n">
        <f aca="false">SUM(BR148:BT148)</f>
        <v>10472222.2222222</v>
      </c>
      <c r="BV148" s="290" t="n">
        <f aca="false">AV148*1000/5</f>
        <v>6600</v>
      </c>
      <c r="BW148" s="290" t="n">
        <f aca="false">AX148*1000/5</f>
        <v>0</v>
      </c>
      <c r="BX148" s="290" t="n">
        <f aca="false">AY148*1000/5</f>
        <v>0</v>
      </c>
      <c r="BY148" s="290" t="n">
        <f aca="false">SUM(BV148:BX148)</f>
        <v>6600</v>
      </c>
      <c r="CA148" s="290" t="n">
        <f aca="false">IF($AM148="n",0,BR148)</f>
        <v>0</v>
      </c>
      <c r="CB148" s="290" t="n">
        <f aca="false">IF($AM148="n",0,BS148)</f>
        <v>0</v>
      </c>
      <c r="CC148" s="290" t="n">
        <f aca="false">IF($AM148="n",0,BT148)</f>
        <v>0</v>
      </c>
      <c r="CD148" s="290" t="n">
        <f aca="false">SUM(CA148:CC148)</f>
        <v>0</v>
      </c>
      <c r="CE148" s="290" t="n">
        <f aca="false">IF($AM$2="n",0,BV148)</f>
        <v>6600</v>
      </c>
      <c r="CF148" s="290" t="n">
        <f aca="false">IF($AM$2="n",0,BW148)</f>
        <v>0</v>
      </c>
      <c r="CG148" s="290" t="n">
        <f aca="false">IF($AM$2="n",0,BX148)</f>
        <v>0</v>
      </c>
      <c r="CH148" s="290" t="n">
        <f aca="false">SUM(CE148:CG148)</f>
        <v>6600</v>
      </c>
    </row>
    <row r="149" customFormat="false" ht="15" hidden="false" customHeight="true" outlineLevel="0" collapsed="false">
      <c r="A149" s="295" t="n">
        <v>2811</v>
      </c>
      <c r="B149" s="295"/>
      <c r="C149" s="295" t="s">
        <v>751</v>
      </c>
      <c r="D149" s="296" t="s">
        <v>751</v>
      </c>
      <c r="E149" s="288" t="n">
        <f aca="false">IF(I149="regional",IF(R149*0.2975,S149*0.3484),S149*0.1939)</f>
        <v>0</v>
      </c>
      <c r="F149" s="297"/>
      <c r="G149" s="289" t="n">
        <f aca="false">E149+F149</f>
        <v>0</v>
      </c>
      <c r="H149" s="295"/>
      <c r="I149" s="296" t="s">
        <v>62</v>
      </c>
      <c r="J149" s="296"/>
      <c r="K149" s="296"/>
      <c r="L149" s="296"/>
      <c r="M149" s="296"/>
      <c r="N149" s="296"/>
      <c r="O149" s="296"/>
      <c r="P149" s="296"/>
      <c r="Q149" s="296"/>
      <c r="R149" s="296"/>
      <c r="S149" s="296"/>
      <c r="T149" s="318" t="n">
        <f aca="false">IF(I149="regional",IF(R149&gt;0,R149*0.2975,S149*0.3484),S149*0.1939)</f>
        <v>0</v>
      </c>
      <c r="U149" s="296"/>
      <c r="V149" s="296"/>
      <c r="W149" s="296"/>
      <c r="X149" s="296"/>
      <c r="Y149" s="296"/>
      <c r="Z149" s="296"/>
      <c r="AA149" s="296"/>
      <c r="AB149" s="296"/>
      <c r="AC149" s="296"/>
      <c r="AD149" s="296"/>
      <c r="AE149" s="296"/>
      <c r="AF149" s="296"/>
      <c r="AG149" s="296"/>
      <c r="AH149" s="296"/>
      <c r="AI149" s="296"/>
      <c r="AJ149" s="295"/>
      <c r="AK149" s="295"/>
      <c r="AL149" s="295" t="s">
        <v>62</v>
      </c>
      <c r="AM149" s="295"/>
      <c r="AN149" s="295"/>
      <c r="AO149" s="295"/>
      <c r="AP149" s="325"/>
      <c r="AQ149" s="319" t="n">
        <f aca="false">AR149+AT149+AU149+AV149+AX149+AY149+AZ149+BB149+BC149+BD149+BF149+BG149+BH149+BJ149+BK149+(BL149+BM149+BN149)/1000+(0.1*BO149)</f>
        <v>12</v>
      </c>
      <c r="AR149" s="185" t="n">
        <v>0</v>
      </c>
      <c r="AS149" s="185" t="n">
        <v>0</v>
      </c>
      <c r="AT149" s="185" t="n">
        <v>12</v>
      </c>
      <c r="AU149" s="185" t="n">
        <v>0</v>
      </c>
      <c r="AV149" s="185" t="n">
        <v>0</v>
      </c>
      <c r="AW149" s="185" t="n">
        <v>0</v>
      </c>
      <c r="AX149" s="185" t="n">
        <v>0</v>
      </c>
      <c r="AY149" s="185" t="n">
        <v>0</v>
      </c>
      <c r="AZ149" s="185" t="n">
        <v>0</v>
      </c>
      <c r="BA149" s="185" t="n">
        <v>6</v>
      </c>
      <c r="BB149" s="185" t="n">
        <v>0</v>
      </c>
      <c r="BC149" s="185" t="n">
        <v>0</v>
      </c>
      <c r="BD149" s="295"/>
      <c r="BE149" s="295"/>
      <c r="BF149" s="295"/>
      <c r="BG149" s="295"/>
      <c r="BH149" s="295"/>
      <c r="BI149" s="295"/>
      <c r="BJ149" s="295"/>
      <c r="BK149" s="295"/>
      <c r="BL149" s="295"/>
      <c r="BM149" s="295"/>
      <c r="BN149" s="295"/>
      <c r="BO149" s="295"/>
      <c r="BR149" s="290" t="n">
        <f aca="false">AR149*1000/0.072</f>
        <v>0</v>
      </c>
      <c r="BS149" s="290" t="n">
        <f aca="false">AT149*1000/0.072</f>
        <v>166666.666666667</v>
      </c>
      <c r="BT149" s="290" t="n">
        <f aca="false">AU149*1000/0.072</f>
        <v>0</v>
      </c>
      <c r="BU149" s="290" t="n">
        <f aca="false">SUM(BR149:BT149)</f>
        <v>166666.666666667</v>
      </c>
      <c r="BV149" s="290" t="n">
        <f aca="false">AV149*1000/5</f>
        <v>0</v>
      </c>
      <c r="BW149" s="290" t="n">
        <f aca="false">AX149*1000/5</f>
        <v>0</v>
      </c>
      <c r="BX149" s="290" t="n">
        <f aca="false">AY149*1000/5</f>
        <v>0</v>
      </c>
      <c r="BY149" s="290" t="n">
        <f aca="false">SUM(BV149:BX149)</f>
        <v>0</v>
      </c>
      <c r="CA149" s="290" t="n">
        <f aca="false">IF($AM149="n",0,BR149)</f>
        <v>0</v>
      </c>
      <c r="CB149" s="290" t="n">
        <f aca="false">IF($AM149="n",0,BS149)</f>
        <v>166666.666666667</v>
      </c>
      <c r="CC149" s="290" t="n">
        <f aca="false">IF($AM149="n",0,BT149)</f>
        <v>0</v>
      </c>
      <c r="CD149" s="290" t="n">
        <f aca="false">SUM(CA149:CC149)</f>
        <v>166666.666666667</v>
      </c>
      <c r="CE149" s="290" t="n">
        <f aca="false">IF($AM$2="n",0,BV149)</f>
        <v>0</v>
      </c>
      <c r="CF149" s="290" t="n">
        <f aca="false">IF($AM$2="n",0,BW149)</f>
        <v>0</v>
      </c>
      <c r="CG149" s="290" t="n">
        <f aca="false">IF($AM$2="n",0,BX149)</f>
        <v>0</v>
      </c>
      <c r="CH149" s="290" t="n">
        <f aca="false">SUM(CE149:CG149)</f>
        <v>0</v>
      </c>
    </row>
    <row r="150" customFormat="false" ht="15" hidden="false" customHeight="true" outlineLevel="0" collapsed="false">
      <c r="A150" s="285" t="n">
        <v>1540</v>
      </c>
      <c r="B150" s="285"/>
      <c r="C150" s="286" t="s">
        <v>410</v>
      </c>
      <c r="D150" s="287" t="s">
        <v>410</v>
      </c>
      <c r="E150" s="288" t="n">
        <f aca="false">IF(I150="regional",IF(R150*0.2975,S150*0.3484),S150*0.1939)</f>
        <v>397718.1104</v>
      </c>
      <c r="F150" s="288" t="n">
        <v>0</v>
      </c>
      <c r="G150" s="289" t="n">
        <f aca="false">E150+F150</f>
        <v>397718.1104</v>
      </c>
      <c r="H150" s="286"/>
      <c r="I150" s="287" t="s">
        <v>48</v>
      </c>
      <c r="J150" s="287" t="s">
        <v>49</v>
      </c>
      <c r="K150" s="287" t="s">
        <v>118</v>
      </c>
      <c r="L150" s="287"/>
      <c r="M150" s="317" t="n">
        <v>113</v>
      </c>
      <c r="N150" s="317" t="n">
        <v>0.744</v>
      </c>
      <c r="O150" s="317" t="n">
        <v>0.879</v>
      </c>
      <c r="P150" s="317" t="n">
        <v>0.884</v>
      </c>
      <c r="Q150" s="317" t="n">
        <v>0.865</v>
      </c>
      <c r="R150" s="317" t="n">
        <v>1288322</v>
      </c>
      <c r="S150" s="317" t="n">
        <v>1141556</v>
      </c>
      <c r="T150" s="318" t="n">
        <f aca="false">IF(I150="regional",IF(R150&gt;0,R150*0.2975,S150*0.3484),S150*0.1939)</f>
        <v>383275.795</v>
      </c>
      <c r="U150" s="317" t="n">
        <v>839873</v>
      </c>
      <c r="V150" s="317" t="n">
        <v>301683</v>
      </c>
      <c r="W150" s="317" t="n">
        <v>6055</v>
      </c>
      <c r="X150" s="317" t="n">
        <v>0</v>
      </c>
      <c r="Y150" s="317" t="n">
        <v>0</v>
      </c>
      <c r="Z150" s="317" t="n">
        <v>0</v>
      </c>
      <c r="AA150" s="317" t="n">
        <v>1524831.795</v>
      </c>
      <c r="AB150" s="317" t="n">
        <v>383275.795</v>
      </c>
      <c r="AC150" s="317" t="n">
        <v>1141556</v>
      </c>
      <c r="AD150" s="317" t="n">
        <v>0</v>
      </c>
      <c r="AE150" s="317" t="n">
        <v>0</v>
      </c>
      <c r="AF150" s="317" t="n">
        <v>0</v>
      </c>
      <c r="AG150" s="317" t="n">
        <v>1141556</v>
      </c>
      <c r="AH150" s="317" t="n">
        <v>0</v>
      </c>
      <c r="AI150" s="317" t="n">
        <v>0</v>
      </c>
      <c r="AJ150" s="286" t="s">
        <v>707</v>
      </c>
      <c r="AK150" s="286" t="s">
        <v>708</v>
      </c>
      <c r="AL150" s="287" t="s">
        <v>48</v>
      </c>
      <c r="AM150" s="286"/>
      <c r="AN150" s="287" t="s">
        <v>410</v>
      </c>
      <c r="AO150" s="287" t="n">
        <v>383275.795</v>
      </c>
      <c r="AP150" s="319" t="n">
        <f aca="false">AR150+AT150+AU150+AV150+AX150+AY150+AZ150+BD150+BF150+BG150+BH150+BJ150+BK150+(BL150+BM150+BN150)/1000+(0.1*BO150)</f>
        <v>320.1338</v>
      </c>
      <c r="AQ150" s="319" t="n">
        <f aca="false">AR150+AT150+AU150+AV150+AX150+AY150+AZ150+BB150+BC150+BD150+BF150+BG150+BH150+BJ150+BK150+(BL150+BM150+BN150)/1000+(0.1*BO150)</f>
        <v>385.1338</v>
      </c>
      <c r="AR150" s="285" t="n">
        <v>116</v>
      </c>
      <c r="AS150" s="285" t="n">
        <v>6</v>
      </c>
      <c r="AT150" s="285" t="n">
        <v>113</v>
      </c>
      <c r="AU150" s="285" t="n">
        <v>53</v>
      </c>
      <c r="AV150" s="285" t="n">
        <v>0</v>
      </c>
      <c r="AW150" s="285" t="n">
        <v>0</v>
      </c>
      <c r="AX150" s="285" t="n">
        <v>1</v>
      </c>
      <c r="AY150" s="285" t="n">
        <v>0</v>
      </c>
      <c r="AZ150" s="285" t="n">
        <v>0</v>
      </c>
      <c r="BA150" s="285" t="n">
        <v>4</v>
      </c>
      <c r="BB150" s="285" t="n">
        <v>64</v>
      </c>
      <c r="BC150" s="285" t="n">
        <v>1</v>
      </c>
      <c r="BD150" s="285" t="n">
        <v>0</v>
      </c>
      <c r="BE150" s="285" t="n">
        <v>0</v>
      </c>
      <c r="BF150" s="285" t="n">
        <v>0</v>
      </c>
      <c r="BG150" s="285" t="n">
        <v>0</v>
      </c>
      <c r="BH150" s="285" t="n">
        <v>0</v>
      </c>
      <c r="BI150" s="285" t="n">
        <v>0</v>
      </c>
      <c r="BJ150" s="285" t="n">
        <v>0</v>
      </c>
      <c r="BK150" s="285" t="n">
        <v>0</v>
      </c>
      <c r="BL150" s="285" t="n">
        <v>0</v>
      </c>
      <c r="BM150" s="285" t="n">
        <v>0</v>
      </c>
      <c r="BN150" s="285" t="n">
        <v>0</v>
      </c>
      <c r="BO150" s="285" t="n">
        <v>371.338</v>
      </c>
      <c r="BR150" s="290" t="n">
        <f aca="false">AR150*1000/0.072</f>
        <v>1611111.11111111</v>
      </c>
      <c r="BS150" s="290" t="n">
        <f aca="false">AT150*1000/0.072</f>
        <v>1569444.44444444</v>
      </c>
      <c r="BT150" s="290" t="n">
        <f aca="false">AU150*1000/0.072</f>
        <v>736111.111111111</v>
      </c>
      <c r="BU150" s="290" t="n">
        <f aca="false">SUM(BR150:BT150)</f>
        <v>3916666.66666667</v>
      </c>
      <c r="BV150" s="290" t="n">
        <f aca="false">AV150*1000/5</f>
        <v>0</v>
      </c>
      <c r="BW150" s="290" t="n">
        <f aca="false">AX150*1000/5</f>
        <v>200</v>
      </c>
      <c r="BX150" s="290" t="n">
        <f aca="false">AY150*1000/5</f>
        <v>0</v>
      </c>
      <c r="BY150" s="290" t="n">
        <f aca="false">SUM(BV150:BX150)</f>
        <v>200</v>
      </c>
      <c r="CA150" s="290" t="n">
        <f aca="false">IF($AM150="n",0,BR150)</f>
        <v>1611111.11111111</v>
      </c>
      <c r="CB150" s="290" t="n">
        <f aca="false">IF($AM150="n",0,BS150)</f>
        <v>1569444.44444444</v>
      </c>
      <c r="CC150" s="290" t="n">
        <f aca="false">IF($AM150="n",0,BT150)</f>
        <v>736111.111111111</v>
      </c>
      <c r="CD150" s="290" t="n">
        <f aca="false">SUM(CA150:CC150)</f>
        <v>3916666.66666667</v>
      </c>
      <c r="CE150" s="290" t="n">
        <f aca="false">IF($AM$2="n",0,BV150)</f>
        <v>0</v>
      </c>
      <c r="CF150" s="290" t="n">
        <f aca="false">IF($AM$2="n",0,BW150)</f>
        <v>200</v>
      </c>
      <c r="CG150" s="290" t="n">
        <f aca="false">IF($AM$2="n",0,BX150)</f>
        <v>0</v>
      </c>
      <c r="CH150" s="290" t="n">
        <f aca="false">SUM(CE150:CG150)</f>
        <v>200</v>
      </c>
    </row>
    <row r="151" customFormat="false" ht="15" hidden="false" customHeight="true" outlineLevel="0" collapsed="false">
      <c r="A151" s="285" t="n">
        <v>4771</v>
      </c>
      <c r="B151" s="285" t="s">
        <v>44</v>
      </c>
      <c r="C151" s="286" t="s">
        <v>680</v>
      </c>
      <c r="D151" s="287" t="s">
        <v>680</v>
      </c>
      <c r="E151" s="288" t="n">
        <f aca="false">IF(I151="regional",IF(R151*0.2975,S151*0.3484),S151*0.1939)</f>
        <v>345946.9156</v>
      </c>
      <c r="F151" s="288" t="n">
        <v>426000</v>
      </c>
      <c r="G151" s="289" t="n">
        <f aca="false">E151+F151</f>
        <v>771946.9156</v>
      </c>
      <c r="H151" s="286" t="s">
        <v>49</v>
      </c>
      <c r="I151" s="287" t="s">
        <v>48</v>
      </c>
      <c r="J151" s="287" t="s">
        <v>44</v>
      </c>
      <c r="K151" s="287" t="s">
        <v>414</v>
      </c>
      <c r="L151" s="287" t="s">
        <v>44</v>
      </c>
      <c r="M151" s="317" t="n">
        <v>120</v>
      </c>
      <c r="N151" s="317" t="n">
        <v>0.85</v>
      </c>
      <c r="O151" s="317" t="n">
        <v>0.866</v>
      </c>
      <c r="P151" s="317" t="n">
        <v>0.925</v>
      </c>
      <c r="Q151" s="317" t="n">
        <v>0.952</v>
      </c>
      <c r="R151" s="317" t="n">
        <v>1133987</v>
      </c>
      <c r="S151" s="317" t="n">
        <v>992959</v>
      </c>
      <c r="T151" s="318" t="n">
        <f aca="false">IF(I151="regional",IF(R151&gt;0,R151*0.2975,S151*0.3484),S151*0.1939)</f>
        <v>337361.1325</v>
      </c>
      <c r="U151" s="317" t="n">
        <v>651533</v>
      </c>
      <c r="V151" s="317" t="n">
        <v>341426</v>
      </c>
      <c r="W151" s="317" t="n">
        <v>5829</v>
      </c>
      <c r="X151" s="317" t="n">
        <v>763361.1325</v>
      </c>
      <c r="Y151" s="317" t="n">
        <v>337361.1325</v>
      </c>
      <c r="Z151" s="317" t="n">
        <v>426000</v>
      </c>
      <c r="AA151" s="317" t="n">
        <v>566959</v>
      </c>
      <c r="AB151" s="317" t="n">
        <v>0</v>
      </c>
      <c r="AC151" s="317" t="n">
        <v>566959</v>
      </c>
      <c r="AD151" s="317" t="n">
        <v>426000</v>
      </c>
      <c r="AE151" s="317" t="n">
        <v>0</v>
      </c>
      <c r="AF151" s="317" t="n">
        <v>566959</v>
      </c>
      <c r="AG151" s="317" t="n">
        <v>0</v>
      </c>
      <c r="AH151" s="317" t="n">
        <v>373000</v>
      </c>
      <c r="AI151" s="317" t="n">
        <v>185000</v>
      </c>
      <c r="AJ151" s="286" t="n">
        <v>4</v>
      </c>
      <c r="AK151" s="286" t="s">
        <v>728</v>
      </c>
      <c r="AL151" s="287" t="s">
        <v>48</v>
      </c>
      <c r="AM151" s="286" t="s">
        <v>49</v>
      </c>
      <c r="AN151" s="287" t="s">
        <v>680</v>
      </c>
      <c r="AO151" s="287" t="n">
        <v>763361.1325</v>
      </c>
      <c r="AP151" s="319" t="n">
        <f aca="false">AR151+AT151+AU151+AV151+AX151+AY151+AZ151+BD151+BF151+BG151+BH151+BJ151+BK151+(BL151+BM151+BN151)/1000+(0.1*BO151)</f>
        <v>398.4319</v>
      </c>
      <c r="AQ151" s="319" t="n">
        <f aca="false">AR151+AT151+AU151+AV151+AX151+AY151+AZ151+BB151+BC151+BD151+BF151+BG151+BH151+BJ151+BK151+(BL151+BM151+BN151)/1000+(0.1*BO151)</f>
        <v>422.4319</v>
      </c>
      <c r="AR151" s="285" t="n">
        <v>0</v>
      </c>
      <c r="AS151" s="285" t="n">
        <v>185</v>
      </c>
      <c r="AT151" s="285" t="n">
        <v>268</v>
      </c>
      <c r="AU151" s="285" t="n">
        <v>48</v>
      </c>
      <c r="AV151" s="285" t="n">
        <v>0</v>
      </c>
      <c r="AW151" s="285" t="n">
        <v>6</v>
      </c>
      <c r="AX151" s="285" t="n">
        <v>11</v>
      </c>
      <c r="AY151" s="285" t="n">
        <v>11</v>
      </c>
      <c r="AZ151" s="285" t="n">
        <v>0</v>
      </c>
      <c r="BA151" s="285" t="n">
        <v>34</v>
      </c>
      <c r="BB151" s="285" t="n">
        <v>24</v>
      </c>
      <c r="BC151" s="285" t="n">
        <v>0</v>
      </c>
      <c r="BD151" s="285" t="n">
        <v>0</v>
      </c>
      <c r="BE151" s="285" t="n">
        <v>0</v>
      </c>
      <c r="BF151" s="285" t="n">
        <v>0</v>
      </c>
      <c r="BG151" s="285" t="n">
        <v>0</v>
      </c>
      <c r="BH151" s="285" t="n">
        <v>0</v>
      </c>
      <c r="BI151" s="285" t="n">
        <v>0</v>
      </c>
      <c r="BJ151" s="285" t="n">
        <v>0</v>
      </c>
      <c r="BK151" s="285" t="n">
        <v>0</v>
      </c>
      <c r="BL151" s="285" t="n">
        <v>31510</v>
      </c>
      <c r="BM151" s="285" t="n">
        <v>0</v>
      </c>
      <c r="BN151" s="285" t="n">
        <v>0</v>
      </c>
      <c r="BO151" s="285" t="n">
        <v>289.219</v>
      </c>
      <c r="BR151" s="290" t="n">
        <f aca="false">AR151*1000/0.072</f>
        <v>0</v>
      </c>
      <c r="BS151" s="290" t="n">
        <f aca="false">AT151*1000/0.072</f>
        <v>3722222.22222222</v>
      </c>
      <c r="BT151" s="290" t="n">
        <f aca="false">AU151*1000/0.072</f>
        <v>666666.666666667</v>
      </c>
      <c r="BU151" s="290" t="n">
        <f aca="false">SUM(BR151:BT151)</f>
        <v>4388888.88888889</v>
      </c>
      <c r="BV151" s="290" t="n">
        <f aca="false">AV151*1000/5</f>
        <v>0</v>
      </c>
      <c r="BW151" s="290" t="n">
        <f aca="false">AX151*1000/5</f>
        <v>2200</v>
      </c>
      <c r="BX151" s="290" t="n">
        <f aca="false">AY151*1000/5</f>
        <v>2200</v>
      </c>
      <c r="BY151" s="290" t="n">
        <f aca="false">SUM(BV151:BX151)</f>
        <v>4400</v>
      </c>
      <c r="CA151" s="290" t="n">
        <f aca="false">IF($AM151="n",0,BR151)</f>
        <v>0</v>
      </c>
      <c r="CB151" s="290" t="n">
        <f aca="false">IF($AM151="n",0,BS151)</f>
        <v>0</v>
      </c>
      <c r="CC151" s="290" t="n">
        <f aca="false">IF($AM151="n",0,BT151)</f>
        <v>0</v>
      </c>
      <c r="CD151" s="290" t="n">
        <f aca="false">SUM(CA151:CC151)</f>
        <v>0</v>
      </c>
      <c r="CE151" s="290" t="n">
        <f aca="false">IF($AM$2="n",0,BV151)</f>
        <v>0</v>
      </c>
      <c r="CF151" s="290" t="n">
        <f aca="false">IF($AM$2="n",0,BW151)</f>
        <v>2200</v>
      </c>
      <c r="CG151" s="290" t="n">
        <f aca="false">IF($AM$2="n",0,BX151)</f>
        <v>2200</v>
      </c>
      <c r="CH151" s="290" t="n">
        <f aca="false">SUM(CE151:CG151)</f>
        <v>4400</v>
      </c>
    </row>
    <row r="152" customFormat="false" ht="15" hidden="false" customHeight="true" outlineLevel="0" collapsed="false">
      <c r="A152" s="285" t="n">
        <v>1926</v>
      </c>
      <c r="B152" s="285"/>
      <c r="C152" s="286" t="s">
        <v>415</v>
      </c>
      <c r="D152" s="287" t="s">
        <v>415</v>
      </c>
      <c r="E152" s="288" t="n">
        <f aca="false">IF(I152="regional",IF(R152*0.2975,S152*0.3484),S152*0.1939)</f>
        <v>47662.1712</v>
      </c>
      <c r="F152" s="288" t="n">
        <v>0</v>
      </c>
      <c r="G152" s="289" t="n">
        <f aca="false">E152+F152</f>
        <v>47662.1712</v>
      </c>
      <c r="H152" s="286"/>
      <c r="I152" s="287" t="s">
        <v>62</v>
      </c>
      <c r="J152" s="287"/>
      <c r="K152" s="287" t="s">
        <v>98</v>
      </c>
      <c r="L152" s="287"/>
      <c r="M152" s="317" t="n">
        <v>11</v>
      </c>
      <c r="N152" s="317" t="n">
        <v>0.98</v>
      </c>
      <c r="O152" s="317" t="n">
        <v>0.98</v>
      </c>
      <c r="P152" s="317" t="n">
        <v>1</v>
      </c>
      <c r="Q152" s="317" t="n">
        <v>1</v>
      </c>
      <c r="R152" s="317" t="n">
        <v>0</v>
      </c>
      <c r="S152" s="317" t="n">
        <v>245808</v>
      </c>
      <c r="T152" s="318" t="n">
        <f aca="false">IF(I152="regional",IF(R152&gt;0,R152*0.2975,S152*0.3484),S152*0.1939)</f>
        <v>47662.1712</v>
      </c>
      <c r="U152" s="317" t="n">
        <v>208925</v>
      </c>
      <c r="V152" s="317" t="n">
        <v>36883</v>
      </c>
      <c r="W152" s="317" t="n">
        <v>1600</v>
      </c>
      <c r="X152" s="317" t="n">
        <v>0</v>
      </c>
      <c r="Y152" s="317" t="n">
        <v>0</v>
      </c>
      <c r="Z152" s="317" t="n">
        <v>0</v>
      </c>
      <c r="AA152" s="317" t="n">
        <v>293470.1712</v>
      </c>
      <c r="AB152" s="317" t="n">
        <v>47662.1712</v>
      </c>
      <c r="AC152" s="317" t="n">
        <v>245808</v>
      </c>
      <c r="AD152" s="317" t="n">
        <v>0</v>
      </c>
      <c r="AE152" s="317" t="n">
        <v>0</v>
      </c>
      <c r="AF152" s="317" t="n">
        <v>0</v>
      </c>
      <c r="AG152" s="317" t="n">
        <v>245808</v>
      </c>
      <c r="AH152" s="317" t="n">
        <v>0</v>
      </c>
      <c r="AI152" s="317" t="n">
        <v>0</v>
      </c>
      <c r="AJ152" s="286" t="n">
        <v>4</v>
      </c>
      <c r="AK152" s="286" t="s">
        <v>706</v>
      </c>
      <c r="AL152" s="287" t="s">
        <v>62</v>
      </c>
      <c r="AM152" s="286"/>
      <c r="AN152" s="287" t="s">
        <v>415</v>
      </c>
      <c r="AO152" s="287" t="n">
        <v>47662.1712</v>
      </c>
      <c r="AP152" s="319" t="n">
        <f aca="false">AR152+AT152+AU152+AV152+AX152+AY152+AZ152+BD152+BF152+BG152+BH152+BJ152+BK152+(BL152+BM152+BN152)/1000+(0.1*BO152)</f>
        <v>-11</v>
      </c>
      <c r="AQ152" s="319" t="n">
        <f aca="false">AR152+AT152+AU152+AV152+AX152+AY152+AZ152+BB152+BC152+BD152+BF152+BG152+BH152+BJ152+BK152+(BL152+BM152+BN152)/1000+(0.1*BO152)</f>
        <v>-10</v>
      </c>
      <c r="AR152" s="285" t="n">
        <v>0</v>
      </c>
      <c r="AS152" s="285" t="n">
        <v>0</v>
      </c>
      <c r="AT152" s="285" t="n">
        <v>1</v>
      </c>
      <c r="AU152" s="285" t="n">
        <v>-12</v>
      </c>
      <c r="AV152" s="285" t="n">
        <v>0</v>
      </c>
      <c r="AW152" s="285" t="n">
        <v>0</v>
      </c>
      <c r="AX152" s="285" t="n">
        <v>0</v>
      </c>
      <c r="AY152" s="285" t="n">
        <v>0</v>
      </c>
      <c r="AZ152" s="285" t="n">
        <v>0</v>
      </c>
      <c r="BA152" s="285" t="n">
        <v>0</v>
      </c>
      <c r="BB152" s="285" t="n">
        <v>0</v>
      </c>
      <c r="BC152" s="285" t="n">
        <v>1</v>
      </c>
      <c r="BD152" s="285" t="n">
        <v>0</v>
      </c>
      <c r="BE152" s="285" t="n">
        <v>0</v>
      </c>
      <c r="BF152" s="285" t="n">
        <v>0</v>
      </c>
      <c r="BG152" s="285" t="n">
        <v>0</v>
      </c>
      <c r="BH152" s="285" t="n">
        <v>0</v>
      </c>
      <c r="BI152" s="285" t="n">
        <v>0</v>
      </c>
      <c r="BJ152" s="285" t="n">
        <v>0</v>
      </c>
      <c r="BK152" s="285" t="n">
        <v>0</v>
      </c>
      <c r="BL152" s="285" t="n">
        <v>0</v>
      </c>
      <c r="BM152" s="285" t="n">
        <v>0</v>
      </c>
      <c r="BN152" s="285" t="n">
        <v>0</v>
      </c>
      <c r="BO152" s="285" t="n">
        <v>0</v>
      </c>
      <c r="BR152" s="290" t="n">
        <f aca="false">AR152*1000/0.072</f>
        <v>0</v>
      </c>
      <c r="BS152" s="290" t="n">
        <f aca="false">AT152*1000/0.072</f>
        <v>13888.8888888889</v>
      </c>
      <c r="BT152" s="290" t="n">
        <f aca="false">AU152*1000/0.072</f>
        <v>-166666.666666667</v>
      </c>
      <c r="BU152" s="290" t="n">
        <f aca="false">SUM(BR152:BT152)</f>
        <v>-152777.777777778</v>
      </c>
      <c r="BV152" s="290" t="n">
        <f aca="false">AV152*1000/5</f>
        <v>0</v>
      </c>
      <c r="BW152" s="290" t="n">
        <f aca="false">AX152*1000/5</f>
        <v>0</v>
      </c>
      <c r="BX152" s="290" t="n">
        <f aca="false">AY152*1000/5</f>
        <v>0</v>
      </c>
      <c r="BY152" s="290" t="n">
        <f aca="false">SUM(BV152:BX152)</f>
        <v>0</v>
      </c>
      <c r="CA152" s="290" t="n">
        <f aca="false">IF($AM152="n",0,BR152)</f>
        <v>0</v>
      </c>
      <c r="CB152" s="290" t="n">
        <f aca="false">IF($AM152="n",0,BS152)</f>
        <v>13888.8888888889</v>
      </c>
      <c r="CC152" s="290" t="n">
        <f aca="false">IF($AM152="n",0,BT152)</f>
        <v>-166666.666666667</v>
      </c>
      <c r="CD152" s="290" t="n">
        <f aca="false">SUM(CA152:CC152)</f>
        <v>-152777.777777778</v>
      </c>
      <c r="CE152" s="290" t="n">
        <f aca="false">IF($AM$2="n",0,BV152)</f>
        <v>0</v>
      </c>
      <c r="CF152" s="290" t="n">
        <f aca="false">IF($AM$2="n",0,BW152)</f>
        <v>0</v>
      </c>
      <c r="CG152" s="290" t="n">
        <f aca="false">IF($AM$2="n",0,BX152)</f>
        <v>0</v>
      </c>
      <c r="CH152" s="290" t="n">
        <f aca="false">SUM(CE152:CG152)</f>
        <v>0</v>
      </c>
    </row>
    <row r="153" customFormat="false" ht="15" hidden="false" customHeight="true" outlineLevel="0" collapsed="false">
      <c r="A153" s="285" t="n">
        <v>3527</v>
      </c>
      <c r="B153" s="285"/>
      <c r="C153" s="286" t="s">
        <v>417</v>
      </c>
      <c r="D153" s="287" t="s">
        <v>417</v>
      </c>
      <c r="E153" s="288" t="n">
        <f aca="false">IF(I153="regional",IF(R153*0.2975,S153*0.3484),S153*0.1939)</f>
        <v>22114.4889</v>
      </c>
      <c r="F153" s="288" t="n">
        <v>0</v>
      </c>
      <c r="G153" s="289" t="n">
        <f aca="false">E153+F153</f>
        <v>22114.4889</v>
      </c>
      <c r="H153" s="286"/>
      <c r="I153" s="287" t="s">
        <v>62</v>
      </c>
      <c r="J153" s="287" t="s">
        <v>49</v>
      </c>
      <c r="K153" s="287" t="s">
        <v>98</v>
      </c>
      <c r="L153" s="287"/>
      <c r="M153" s="317" t="n">
        <v>20</v>
      </c>
      <c r="N153" s="317" t="n">
        <v>0.955</v>
      </c>
      <c r="O153" s="317" t="n">
        <v>0.955</v>
      </c>
      <c r="P153" s="317" t="n">
        <v>0.91</v>
      </c>
      <c r="Q153" s="317" t="n">
        <v>0.955</v>
      </c>
      <c r="R153" s="317" t="n">
        <v>0</v>
      </c>
      <c r="S153" s="317" t="n">
        <v>114051</v>
      </c>
      <c r="T153" s="318" t="n">
        <f aca="false">IF(I153="regional",IF(R153&gt;0,R153*0.2975,S153*0.3484),S153*0.1939)</f>
        <v>22114.4889</v>
      </c>
      <c r="U153" s="317" t="n">
        <v>78587</v>
      </c>
      <c r="V153" s="317" t="n">
        <v>35464</v>
      </c>
      <c r="W153" s="317" t="n">
        <v>548</v>
      </c>
      <c r="X153" s="317" t="n">
        <v>0</v>
      </c>
      <c r="Y153" s="317" t="n">
        <v>0</v>
      </c>
      <c r="Z153" s="317" t="n">
        <v>0</v>
      </c>
      <c r="AA153" s="317" t="n">
        <v>136165.4889</v>
      </c>
      <c r="AB153" s="317" t="n">
        <v>22114.4889</v>
      </c>
      <c r="AC153" s="317" t="n">
        <v>114051</v>
      </c>
      <c r="AD153" s="317" t="n">
        <v>0</v>
      </c>
      <c r="AE153" s="317" t="n">
        <v>0</v>
      </c>
      <c r="AF153" s="317" t="n">
        <v>0</v>
      </c>
      <c r="AG153" s="317" t="n">
        <v>114051</v>
      </c>
      <c r="AH153" s="317" t="n">
        <v>0</v>
      </c>
      <c r="AI153" s="317" t="n">
        <v>0</v>
      </c>
      <c r="AJ153" s="286" t="n">
        <v>4</v>
      </c>
      <c r="AK153" s="286" t="s">
        <v>706</v>
      </c>
      <c r="AL153" s="287" t="s">
        <v>62</v>
      </c>
      <c r="AM153" s="286"/>
      <c r="AN153" s="287" t="s">
        <v>417</v>
      </c>
      <c r="AO153" s="287" t="n">
        <v>22114.4889</v>
      </c>
      <c r="AP153" s="319" t="n">
        <f aca="false">AR153+AT153+AU153+AV153+AX153+AY153+AZ153+BD153+BF153+BG153+BH153+BJ153+BK153+(BL153+BM153+BN153)/1000+(0.1*BO153)</f>
        <v>27</v>
      </c>
      <c r="AQ153" s="319" t="n">
        <f aca="false">AR153+AT153+AU153+AV153+AX153+AY153+AZ153+BB153+BC153+BD153+BF153+BG153+BH153+BJ153+BK153+(BL153+BM153+BN153)/1000+(0.1*BO153)</f>
        <v>27</v>
      </c>
      <c r="AR153" s="285" t="n">
        <v>0</v>
      </c>
      <c r="AS153" s="285" t="n">
        <v>0</v>
      </c>
      <c r="AT153" s="285" t="n">
        <v>7</v>
      </c>
      <c r="AU153" s="285" t="n">
        <v>19</v>
      </c>
      <c r="AV153" s="285" t="n">
        <v>0</v>
      </c>
      <c r="AW153" s="285" t="n">
        <v>0</v>
      </c>
      <c r="AX153" s="285" t="n">
        <v>0</v>
      </c>
      <c r="AY153" s="285" t="n">
        <v>1</v>
      </c>
      <c r="AZ153" s="285" t="n">
        <v>0</v>
      </c>
      <c r="BA153" s="285" t="n">
        <v>0</v>
      </c>
      <c r="BB153" s="285" t="n">
        <v>0</v>
      </c>
      <c r="BC153" s="285" t="n">
        <v>0</v>
      </c>
      <c r="BD153" s="285" t="n">
        <v>0</v>
      </c>
      <c r="BE153" s="285" t="n">
        <v>0</v>
      </c>
      <c r="BF153" s="285" t="n">
        <v>0</v>
      </c>
      <c r="BG153" s="285" t="n">
        <v>0</v>
      </c>
      <c r="BH153" s="285" t="n">
        <v>0</v>
      </c>
      <c r="BI153" s="285" t="n">
        <v>0</v>
      </c>
      <c r="BJ153" s="285" t="n">
        <v>0</v>
      </c>
      <c r="BK153" s="285" t="n">
        <v>0</v>
      </c>
      <c r="BL153" s="285" t="n">
        <v>0</v>
      </c>
      <c r="BM153" s="285" t="n">
        <v>0</v>
      </c>
      <c r="BN153" s="285" t="n">
        <v>0</v>
      </c>
      <c r="BO153" s="285" t="n">
        <v>0</v>
      </c>
      <c r="BR153" s="290" t="n">
        <f aca="false">AR153*1000/0.072</f>
        <v>0</v>
      </c>
      <c r="BS153" s="290" t="n">
        <f aca="false">AT153*1000/0.072</f>
        <v>97222.2222222222</v>
      </c>
      <c r="BT153" s="290" t="n">
        <f aca="false">AU153*1000/0.072</f>
        <v>263888.888888889</v>
      </c>
      <c r="BU153" s="290" t="n">
        <f aca="false">SUM(BR153:BT153)</f>
        <v>361111.111111111</v>
      </c>
      <c r="BV153" s="290" t="n">
        <f aca="false">AV153*1000/5</f>
        <v>0</v>
      </c>
      <c r="BW153" s="290" t="n">
        <f aca="false">AX153*1000/5</f>
        <v>0</v>
      </c>
      <c r="BX153" s="290" t="n">
        <f aca="false">AY153*1000/5</f>
        <v>200</v>
      </c>
      <c r="BY153" s="290" t="n">
        <f aca="false">SUM(BV153:BX153)</f>
        <v>200</v>
      </c>
      <c r="CA153" s="290" t="n">
        <f aca="false">IF($AM153="n",0,BR153)</f>
        <v>0</v>
      </c>
      <c r="CB153" s="290" t="n">
        <f aca="false">IF($AM153="n",0,BS153)</f>
        <v>97222.2222222222</v>
      </c>
      <c r="CC153" s="290" t="n">
        <f aca="false">IF($AM153="n",0,BT153)</f>
        <v>263888.888888889</v>
      </c>
      <c r="CD153" s="290" t="n">
        <f aca="false">SUM(CA153:CC153)</f>
        <v>361111.111111111</v>
      </c>
      <c r="CE153" s="290" t="n">
        <f aca="false">IF($AM$2="n",0,BV153)</f>
        <v>0</v>
      </c>
      <c r="CF153" s="290" t="n">
        <f aca="false">IF($AM$2="n",0,BW153)</f>
        <v>0</v>
      </c>
      <c r="CG153" s="290" t="n">
        <f aca="false">IF($AM$2="n",0,BX153)</f>
        <v>200</v>
      </c>
      <c r="CH153" s="290" t="n">
        <f aca="false">SUM(CE153:CG153)</f>
        <v>200</v>
      </c>
    </row>
    <row r="154" customFormat="false" ht="15" hidden="false" customHeight="true" outlineLevel="0" collapsed="false">
      <c r="A154" s="285" t="n">
        <v>2717</v>
      </c>
      <c r="B154" s="285" t="s">
        <v>44</v>
      </c>
      <c r="C154" s="286" t="s">
        <v>419</v>
      </c>
      <c r="D154" s="287" t="s">
        <v>419</v>
      </c>
      <c r="E154" s="288" t="n">
        <f aca="false">IF(I154="regional",IF(R154*0.2975,S154*0.3484),S154*0.1939)</f>
        <v>264148.5184</v>
      </c>
      <c r="F154" s="288" t="n">
        <v>0</v>
      </c>
      <c r="G154" s="289" t="n">
        <f aca="false">E154+F154</f>
        <v>264148.5184</v>
      </c>
      <c r="H154" s="286"/>
      <c r="I154" s="287" t="s">
        <v>48</v>
      </c>
      <c r="J154" s="287" t="s">
        <v>44</v>
      </c>
      <c r="K154" s="287" t="s">
        <v>421</v>
      </c>
      <c r="L154" s="287"/>
      <c r="M154" s="317" t="n">
        <v>101</v>
      </c>
      <c r="N154" s="317" t="n">
        <v>0.685</v>
      </c>
      <c r="O154" s="317" t="n">
        <v>0.706</v>
      </c>
      <c r="P154" s="317" t="n">
        <v>0.728</v>
      </c>
      <c r="Q154" s="317" t="n">
        <v>0.786</v>
      </c>
      <c r="R154" s="317" t="n">
        <v>861645</v>
      </c>
      <c r="S154" s="317" t="n">
        <v>758176</v>
      </c>
      <c r="T154" s="318" t="n">
        <f aca="false">IF(I154="regional",IF(R154&gt;0,R154*0.2975,S154*0.3484),S154*0.1939)</f>
        <v>256339.3875</v>
      </c>
      <c r="U154" s="317" t="n">
        <v>480230</v>
      </c>
      <c r="V154" s="317" t="n">
        <v>277946</v>
      </c>
      <c r="W154" s="317" t="n">
        <v>4200</v>
      </c>
      <c r="X154" s="317" t="n">
        <v>0</v>
      </c>
      <c r="Y154" s="317" t="n">
        <v>0</v>
      </c>
      <c r="Z154" s="317" t="n">
        <v>0</v>
      </c>
      <c r="AA154" s="317" t="n">
        <v>1014515.388</v>
      </c>
      <c r="AB154" s="317" t="n">
        <v>256339.3875</v>
      </c>
      <c r="AC154" s="317" t="n">
        <v>758176</v>
      </c>
      <c r="AD154" s="317" t="n">
        <v>0</v>
      </c>
      <c r="AE154" s="317" t="n">
        <v>0</v>
      </c>
      <c r="AF154" s="317" t="n">
        <v>758176</v>
      </c>
      <c r="AG154" s="317" t="n">
        <v>0</v>
      </c>
      <c r="AH154" s="317" t="n">
        <v>593000</v>
      </c>
      <c r="AI154" s="317" t="n">
        <v>683000</v>
      </c>
      <c r="AJ154" s="286" t="n">
        <v>4</v>
      </c>
      <c r="AK154" s="286" t="s">
        <v>720</v>
      </c>
      <c r="AL154" s="287" t="s">
        <v>48</v>
      </c>
      <c r="AM154" s="286"/>
      <c r="AN154" s="287" t="s">
        <v>419</v>
      </c>
      <c r="AO154" s="287" t="n">
        <v>256339.3875</v>
      </c>
      <c r="AP154" s="319" t="n">
        <f aca="false">AR154+AT154+AU154+AV154+AX154+AY154+AZ154+BD154+BF154+BG154+BH154+BJ154+BK154+(BL154+BM154+BN154)/1000+(0.1*BO154)</f>
        <v>241.7383</v>
      </c>
      <c r="AQ154" s="319" t="n">
        <f aca="false">AR154+AT154+AU154+AV154+AX154+AY154+AZ154+BB154+BC154+BD154+BF154+BG154+BH154+BJ154+BK154+(BL154+BM154+BN154)/1000+(0.1*BO154)</f>
        <v>274.7383</v>
      </c>
      <c r="AR154" s="285" t="n">
        <v>54</v>
      </c>
      <c r="AS154" s="285" t="n">
        <v>683</v>
      </c>
      <c r="AT154" s="285" t="n">
        <v>114</v>
      </c>
      <c r="AU154" s="285" t="n">
        <v>0</v>
      </c>
      <c r="AV154" s="285" t="n">
        <v>0</v>
      </c>
      <c r="AW154" s="285" t="n">
        <v>0</v>
      </c>
      <c r="AX154" s="285" t="n">
        <v>0</v>
      </c>
      <c r="AY154" s="285" t="n">
        <v>0</v>
      </c>
      <c r="AZ154" s="285" t="n">
        <v>0</v>
      </c>
      <c r="BA154" s="285" t="n">
        <v>13</v>
      </c>
      <c r="BB154" s="285" t="n">
        <v>33</v>
      </c>
      <c r="BC154" s="285" t="n">
        <v>0</v>
      </c>
      <c r="BD154" s="285" t="n">
        <v>0</v>
      </c>
      <c r="BE154" s="285" t="n">
        <v>0</v>
      </c>
      <c r="BF154" s="285" t="n">
        <v>0</v>
      </c>
      <c r="BG154" s="285" t="n">
        <v>0</v>
      </c>
      <c r="BH154" s="285" t="n">
        <v>0</v>
      </c>
      <c r="BI154" s="285" t="n">
        <v>0</v>
      </c>
      <c r="BJ154" s="285" t="n">
        <v>0</v>
      </c>
      <c r="BK154" s="285" t="n">
        <v>0</v>
      </c>
      <c r="BL154" s="285" t="n">
        <v>0</v>
      </c>
      <c r="BM154" s="285" t="n">
        <v>0</v>
      </c>
      <c r="BN154" s="285" t="n">
        <v>18095</v>
      </c>
      <c r="BO154" s="285" t="n">
        <v>556.433</v>
      </c>
      <c r="BR154" s="290" t="n">
        <f aca="false">AR154*1000/0.072</f>
        <v>750000</v>
      </c>
      <c r="BS154" s="290" t="n">
        <f aca="false">AT154*1000/0.072</f>
        <v>1583333.33333333</v>
      </c>
      <c r="BT154" s="290" t="n">
        <f aca="false">AU154*1000/0.072</f>
        <v>0</v>
      </c>
      <c r="BU154" s="290" t="n">
        <f aca="false">SUM(BR154:BT154)</f>
        <v>2333333.33333333</v>
      </c>
      <c r="BV154" s="290" t="n">
        <f aca="false">AV154*1000/5</f>
        <v>0</v>
      </c>
      <c r="BW154" s="290" t="n">
        <f aca="false">AX154*1000/5</f>
        <v>0</v>
      </c>
      <c r="BX154" s="290" t="n">
        <f aca="false">AY154*1000/5</f>
        <v>0</v>
      </c>
      <c r="BY154" s="290" t="n">
        <f aca="false">SUM(BV154:BX154)</f>
        <v>0</v>
      </c>
      <c r="CA154" s="290" t="n">
        <f aca="false">IF($AM154="n",0,BR154)</f>
        <v>750000</v>
      </c>
      <c r="CB154" s="290" t="n">
        <f aca="false">IF($AM154="n",0,BS154)</f>
        <v>1583333.33333333</v>
      </c>
      <c r="CC154" s="290" t="n">
        <f aca="false">IF($AM154="n",0,BT154)</f>
        <v>0</v>
      </c>
      <c r="CD154" s="290" t="n">
        <f aca="false">SUM(CA154:CC154)</f>
        <v>2333333.33333333</v>
      </c>
      <c r="CE154" s="290" t="n">
        <f aca="false">IF($AM$2="n",0,BV154)</f>
        <v>0</v>
      </c>
      <c r="CF154" s="290" t="n">
        <f aca="false">IF($AM$2="n",0,BW154)</f>
        <v>0</v>
      </c>
      <c r="CG154" s="290" t="n">
        <f aca="false">IF($AM$2="n",0,BX154)</f>
        <v>0</v>
      </c>
      <c r="CH154" s="290" t="n">
        <f aca="false">SUM(CE154:CG154)</f>
        <v>0</v>
      </c>
    </row>
    <row r="155" customFormat="false" ht="15" hidden="false" customHeight="true" outlineLevel="0" collapsed="false">
      <c r="A155" s="285" t="n">
        <v>9245</v>
      </c>
      <c r="B155" s="285"/>
      <c r="C155" s="286" t="s">
        <v>422</v>
      </c>
      <c r="D155" s="287" t="s">
        <v>422</v>
      </c>
      <c r="E155" s="288" t="n">
        <f aca="false">IF(I155="regional",IF(R155*0.2975,S155*0.3484),S155*0.1939)</f>
        <v>194821.0992</v>
      </c>
      <c r="F155" s="288" t="n">
        <v>0</v>
      </c>
      <c r="G155" s="289" t="n">
        <f aca="false">E155+F155</f>
        <v>194821.0992</v>
      </c>
      <c r="H155" s="286" t="s">
        <v>49</v>
      </c>
      <c r="I155" s="287" t="s">
        <v>48</v>
      </c>
      <c r="J155" s="287" t="s">
        <v>49</v>
      </c>
      <c r="K155" s="287" t="s">
        <v>98</v>
      </c>
      <c r="L155" s="287"/>
      <c r="M155" s="317" t="n">
        <v>112</v>
      </c>
      <c r="N155" s="317" t="n">
        <v>0.786</v>
      </c>
      <c r="O155" s="317" t="n">
        <v>0.786</v>
      </c>
      <c r="P155" s="317" t="n">
        <v>0.755</v>
      </c>
      <c r="Q155" s="317" t="n">
        <v>0.706</v>
      </c>
      <c r="R155" s="317" t="n">
        <v>695498</v>
      </c>
      <c r="S155" s="317" t="n">
        <v>559188</v>
      </c>
      <c r="T155" s="318" t="n">
        <f aca="false">IF(I155="regional",IF(R155&gt;0,R155*0.2975,S155*0.3484),S155*0.1939)</f>
        <v>206910.655</v>
      </c>
      <c r="U155" s="317" t="n">
        <v>310994</v>
      </c>
      <c r="V155" s="317" t="n">
        <v>248194</v>
      </c>
      <c r="W155" s="317" t="n">
        <v>3155</v>
      </c>
      <c r="X155" s="317" t="n">
        <v>0</v>
      </c>
      <c r="Y155" s="317" t="n">
        <v>0</v>
      </c>
      <c r="Z155" s="317" t="n">
        <v>0</v>
      </c>
      <c r="AA155" s="317" t="n">
        <v>766098.655</v>
      </c>
      <c r="AB155" s="317" t="n">
        <v>206910.655</v>
      </c>
      <c r="AC155" s="317" t="n">
        <v>559188</v>
      </c>
      <c r="AD155" s="317" t="n">
        <v>0</v>
      </c>
      <c r="AE155" s="317" t="n">
        <v>0</v>
      </c>
      <c r="AF155" s="317" t="n">
        <v>0</v>
      </c>
      <c r="AG155" s="317" t="n">
        <v>559188</v>
      </c>
      <c r="AH155" s="317" t="n">
        <v>0</v>
      </c>
      <c r="AI155" s="317" t="n">
        <v>0</v>
      </c>
      <c r="AJ155" s="286" t="n">
        <v>4</v>
      </c>
      <c r="AK155" s="286" t="s">
        <v>706</v>
      </c>
      <c r="AL155" s="287" t="s">
        <v>48</v>
      </c>
      <c r="AM155" s="286" t="s">
        <v>49</v>
      </c>
      <c r="AN155" s="287" t="s">
        <v>422</v>
      </c>
      <c r="AO155" s="287" t="n">
        <v>206910.655</v>
      </c>
      <c r="AP155" s="319" t="n">
        <f aca="false">AR155+AT155+AU155+AV155+AX155+AY155+AZ155+BD155+BF155+BG155+BH155+BJ155+BK155+(BL155+BM155+BN155)/1000+(0.1*BO155)</f>
        <v>161</v>
      </c>
      <c r="AQ155" s="319" t="n">
        <f aca="false">AR155+AT155+AU155+AV155+AX155+AY155+AZ155+BB155+BC155+BD155+BF155+BG155+BH155+BJ155+BK155+(BL155+BM155+BN155)/1000+(0.1*BO155)</f>
        <v>170</v>
      </c>
      <c r="AR155" s="285" t="n">
        <v>0</v>
      </c>
      <c r="AS155" s="285" t="n">
        <v>0</v>
      </c>
      <c r="AT155" s="285" t="n">
        <v>145</v>
      </c>
      <c r="AU155" s="285" t="n">
        <v>2</v>
      </c>
      <c r="AV155" s="285" t="n">
        <v>0</v>
      </c>
      <c r="AW155" s="285" t="n">
        <v>0</v>
      </c>
      <c r="AX155" s="285" t="n">
        <v>14</v>
      </c>
      <c r="AY155" s="285" t="n">
        <v>0</v>
      </c>
      <c r="AZ155" s="285" t="n">
        <v>0</v>
      </c>
      <c r="BA155" s="285" t="n">
        <v>0</v>
      </c>
      <c r="BB155" s="285" t="n">
        <v>9</v>
      </c>
      <c r="BC155" s="285" t="n">
        <v>0</v>
      </c>
      <c r="BD155" s="285" t="n">
        <v>0</v>
      </c>
      <c r="BE155" s="285" t="n">
        <v>0</v>
      </c>
      <c r="BF155" s="285" t="n">
        <v>0</v>
      </c>
      <c r="BG155" s="285" t="n">
        <v>0</v>
      </c>
      <c r="BH155" s="285" t="n">
        <v>0</v>
      </c>
      <c r="BI155" s="285" t="n">
        <v>0</v>
      </c>
      <c r="BJ155" s="285" t="n">
        <v>0</v>
      </c>
      <c r="BK155" s="285" t="n">
        <v>0</v>
      </c>
      <c r="BL155" s="285" t="n">
        <v>0</v>
      </c>
      <c r="BM155" s="285" t="n">
        <v>0</v>
      </c>
      <c r="BN155" s="285" t="n">
        <v>0</v>
      </c>
      <c r="BO155" s="285" t="n">
        <v>0</v>
      </c>
      <c r="BR155" s="290" t="n">
        <f aca="false">AR155*1000/0.072</f>
        <v>0</v>
      </c>
      <c r="BS155" s="290" t="n">
        <f aca="false">AT155*1000/0.072</f>
        <v>2013888.88888889</v>
      </c>
      <c r="BT155" s="290" t="n">
        <f aca="false">AU155*1000/0.072</f>
        <v>27777.7777777778</v>
      </c>
      <c r="BU155" s="290" t="n">
        <f aca="false">SUM(BR155:BT155)</f>
        <v>2041666.66666667</v>
      </c>
      <c r="BV155" s="290" t="n">
        <f aca="false">AV155*1000/5</f>
        <v>0</v>
      </c>
      <c r="BW155" s="290" t="n">
        <f aca="false">AX155*1000/5</f>
        <v>2800</v>
      </c>
      <c r="BX155" s="290" t="n">
        <f aca="false">AY155*1000/5</f>
        <v>0</v>
      </c>
      <c r="BY155" s="290" t="n">
        <f aca="false">SUM(BV155:BX155)</f>
        <v>2800</v>
      </c>
      <c r="CA155" s="290" t="n">
        <f aca="false">IF($AM155="n",0,BR155)</f>
        <v>0</v>
      </c>
      <c r="CB155" s="290" t="n">
        <f aca="false">IF($AM155="n",0,BS155)</f>
        <v>0</v>
      </c>
      <c r="CC155" s="290" t="n">
        <f aca="false">IF($AM155="n",0,BT155)</f>
        <v>0</v>
      </c>
      <c r="CD155" s="290" t="n">
        <f aca="false">SUM(CA155:CC155)</f>
        <v>0</v>
      </c>
      <c r="CE155" s="290" t="n">
        <f aca="false">IF($AM$2="n",0,BV155)</f>
        <v>0</v>
      </c>
      <c r="CF155" s="290" t="n">
        <f aca="false">IF($AM$2="n",0,BW155)</f>
        <v>2800</v>
      </c>
      <c r="CG155" s="290" t="n">
        <f aca="false">IF($AM$2="n",0,BX155)</f>
        <v>0</v>
      </c>
      <c r="CH155" s="290" t="n">
        <f aca="false">SUM(CE155:CG155)</f>
        <v>2800</v>
      </c>
    </row>
    <row r="156" customFormat="false" ht="15" hidden="false" customHeight="true" outlineLevel="0" collapsed="false">
      <c r="A156" s="285" t="n">
        <v>9250</v>
      </c>
      <c r="B156" s="285"/>
      <c r="C156" s="286" t="s">
        <v>424</v>
      </c>
      <c r="D156" s="287" t="s">
        <v>424</v>
      </c>
      <c r="E156" s="288" t="n">
        <f aca="false">IF(I156="regional",IF(R156*0.2975,S156*0.3484),S156*0.1939)</f>
        <v>385258.978</v>
      </c>
      <c r="F156" s="288" t="n">
        <v>0</v>
      </c>
      <c r="G156" s="289" t="n">
        <f aca="false">E156+F156</f>
        <v>385258.978</v>
      </c>
      <c r="H156" s="286"/>
      <c r="I156" s="287" t="s">
        <v>48</v>
      </c>
      <c r="J156" s="287" t="s">
        <v>49</v>
      </c>
      <c r="K156" s="287" t="s">
        <v>426</v>
      </c>
      <c r="L156" s="287"/>
      <c r="M156" s="317" t="n">
        <v>112</v>
      </c>
      <c r="N156" s="317" t="n">
        <v>0.903</v>
      </c>
      <c r="O156" s="317" t="n">
        <v>0.931</v>
      </c>
      <c r="P156" s="317" t="n">
        <v>0.865</v>
      </c>
      <c r="Q156" s="317" t="n">
        <v>0.919</v>
      </c>
      <c r="R156" s="317" t="n">
        <v>1197680</v>
      </c>
      <c r="S156" s="317" t="n">
        <v>1105795</v>
      </c>
      <c r="T156" s="318" t="n">
        <f aca="false">IF(I156="regional",IF(R156&gt;0,R156*0.2975,S156*0.3484),S156*0.1939)</f>
        <v>356309.8</v>
      </c>
      <c r="U156" s="317" t="n">
        <v>680555</v>
      </c>
      <c r="V156" s="317" t="n">
        <v>425240</v>
      </c>
      <c r="W156" s="317" t="n">
        <v>7000</v>
      </c>
      <c r="X156" s="317" t="n">
        <v>0</v>
      </c>
      <c r="Y156" s="317" t="n">
        <v>0</v>
      </c>
      <c r="Z156" s="317" t="n">
        <v>0</v>
      </c>
      <c r="AA156" s="317" t="n">
        <v>1462104.8</v>
      </c>
      <c r="AB156" s="317" t="n">
        <v>356309.8</v>
      </c>
      <c r="AC156" s="317" t="n">
        <v>1105795</v>
      </c>
      <c r="AD156" s="317" t="n">
        <v>0</v>
      </c>
      <c r="AE156" s="317" t="n">
        <v>0</v>
      </c>
      <c r="AF156" s="317" t="n">
        <v>0</v>
      </c>
      <c r="AG156" s="317" t="n">
        <v>1105795</v>
      </c>
      <c r="AH156" s="317" t="n">
        <v>0</v>
      </c>
      <c r="AI156" s="317" t="n">
        <v>0</v>
      </c>
      <c r="AJ156" s="286" t="n">
        <v>4</v>
      </c>
      <c r="AK156" s="286" t="s">
        <v>711</v>
      </c>
      <c r="AL156" s="287" t="s">
        <v>48</v>
      </c>
      <c r="AM156" s="286"/>
      <c r="AN156" s="287" t="s">
        <v>424</v>
      </c>
      <c r="AO156" s="287" t="n">
        <v>356309.8</v>
      </c>
      <c r="AP156" s="319" t="n">
        <f aca="false">AR156+AT156+AU156+AV156+AX156+AY156+AZ156+BD156+BF156+BG156+BH156+BJ156+BK156+(BL156+BM156+BN156)/1000+(0.1*BO156)</f>
        <v>458.1693</v>
      </c>
      <c r="AQ156" s="319" t="n">
        <f aca="false">AR156+AT156+AU156+AV156+AX156+AY156+AZ156+BB156+BC156+BD156+BF156+BG156+BH156+BJ156+BK156+(BL156+BM156+BN156)/1000+(0.1*BO156)</f>
        <v>741.1693</v>
      </c>
      <c r="AR156" s="285" t="n">
        <v>0</v>
      </c>
      <c r="AS156" s="285" t="n">
        <v>0</v>
      </c>
      <c r="AT156" s="285" t="n">
        <v>111</v>
      </c>
      <c r="AU156" s="285" t="n">
        <v>2</v>
      </c>
      <c r="AV156" s="285" t="n">
        <v>0</v>
      </c>
      <c r="AW156" s="285" t="n">
        <v>0</v>
      </c>
      <c r="AX156" s="285" t="n">
        <v>67</v>
      </c>
      <c r="AY156" s="285" t="n">
        <v>1</v>
      </c>
      <c r="AZ156" s="285" t="n">
        <v>0</v>
      </c>
      <c r="BA156" s="285" t="n">
        <v>0</v>
      </c>
      <c r="BB156" s="285" t="n">
        <v>107</v>
      </c>
      <c r="BC156" s="285" t="n">
        <v>176</v>
      </c>
      <c r="BD156" s="285" t="n">
        <v>0</v>
      </c>
      <c r="BE156" s="285" t="n">
        <v>0</v>
      </c>
      <c r="BF156" s="285" t="n">
        <v>0</v>
      </c>
      <c r="BG156" s="285" t="n">
        <v>0</v>
      </c>
      <c r="BH156" s="285" t="n">
        <v>67</v>
      </c>
      <c r="BI156" s="285" t="n">
        <v>0</v>
      </c>
      <c r="BJ156" s="285" t="n">
        <v>0</v>
      </c>
      <c r="BK156" s="285" t="n">
        <v>0</v>
      </c>
      <c r="BL156" s="285" t="n">
        <v>82314</v>
      </c>
      <c r="BM156" s="285" t="n">
        <v>0</v>
      </c>
      <c r="BN156" s="285" t="n">
        <v>45586</v>
      </c>
      <c r="BO156" s="285" t="n">
        <v>822.693</v>
      </c>
      <c r="BR156" s="290" t="n">
        <f aca="false">AR156*1000/0.072</f>
        <v>0</v>
      </c>
      <c r="BS156" s="290" t="n">
        <f aca="false">AT156*1000/0.072</f>
        <v>1541666.66666667</v>
      </c>
      <c r="BT156" s="290" t="n">
        <f aca="false">AU156*1000/0.072</f>
        <v>27777.7777777778</v>
      </c>
      <c r="BU156" s="290" t="n">
        <f aca="false">SUM(BR156:BT156)</f>
        <v>1569444.44444444</v>
      </c>
      <c r="BV156" s="290" t="n">
        <f aca="false">AV156*1000/5</f>
        <v>0</v>
      </c>
      <c r="BW156" s="290" t="n">
        <f aca="false">AX156*1000/5</f>
        <v>13400</v>
      </c>
      <c r="BX156" s="290" t="n">
        <f aca="false">AY156*1000/5</f>
        <v>200</v>
      </c>
      <c r="BY156" s="290" t="n">
        <f aca="false">SUM(BV156:BX156)</f>
        <v>13600</v>
      </c>
      <c r="CA156" s="290" t="n">
        <f aca="false">IF($AM156="n",0,BR156)</f>
        <v>0</v>
      </c>
      <c r="CB156" s="290" t="n">
        <f aca="false">IF($AM156="n",0,BS156)</f>
        <v>1541666.66666667</v>
      </c>
      <c r="CC156" s="290" t="n">
        <f aca="false">IF($AM156="n",0,BT156)</f>
        <v>27777.7777777778</v>
      </c>
      <c r="CD156" s="290" t="n">
        <f aca="false">SUM(CA156:CC156)</f>
        <v>1569444.44444444</v>
      </c>
      <c r="CE156" s="290" t="n">
        <f aca="false">IF($AM$2="n",0,BV156)</f>
        <v>0</v>
      </c>
      <c r="CF156" s="290" t="n">
        <f aca="false">IF($AM$2="n",0,BW156)</f>
        <v>13400</v>
      </c>
      <c r="CG156" s="290" t="n">
        <f aca="false">IF($AM$2="n",0,BX156)</f>
        <v>200</v>
      </c>
      <c r="CH156" s="290" t="n">
        <f aca="false">SUM(CE156:CG156)</f>
        <v>13600</v>
      </c>
    </row>
    <row r="157" customFormat="false" ht="15" hidden="false" customHeight="true" outlineLevel="0" collapsed="false">
      <c r="A157" s="285" t="n">
        <v>4831</v>
      </c>
      <c r="B157" s="285"/>
      <c r="C157" s="286" t="s">
        <v>752</v>
      </c>
      <c r="D157" s="287" t="s">
        <v>427</v>
      </c>
      <c r="E157" s="288" t="n">
        <f aca="false">IF(I157="regional",IF(R157*0.2975,S157*0.3484),S157*0.1939)</f>
        <v>330980</v>
      </c>
      <c r="F157" s="288" t="n">
        <v>356000</v>
      </c>
      <c r="G157" s="289" t="n">
        <f aca="false">E157+F157</f>
        <v>686980</v>
      </c>
      <c r="H157" s="286"/>
      <c r="I157" s="287" t="s">
        <v>48</v>
      </c>
      <c r="J157" s="287" t="s">
        <v>49</v>
      </c>
      <c r="K157" s="287" t="s">
        <v>277</v>
      </c>
      <c r="L157" s="287" t="s">
        <v>44</v>
      </c>
      <c r="M157" s="317" t="n">
        <v>126</v>
      </c>
      <c r="N157" s="317" t="n">
        <v>0.927</v>
      </c>
      <c r="O157" s="317" t="n">
        <v>0.938</v>
      </c>
      <c r="P157" s="317" t="n">
        <v>0.925</v>
      </c>
      <c r="Q157" s="317" t="n">
        <v>0.952</v>
      </c>
      <c r="R157" s="317" t="n">
        <v>1151275</v>
      </c>
      <c r="S157" s="317" t="n">
        <v>950000</v>
      </c>
      <c r="T157" s="318" t="n">
        <f aca="false">IF(I157="regional",IF(R157&gt;0,R157*0.2975,S157*0.3484),S157*0.1939)</f>
        <v>342504.3125</v>
      </c>
      <c r="U157" s="317" t="n">
        <v>665100</v>
      </c>
      <c r="V157" s="317" t="n">
        <v>284900</v>
      </c>
      <c r="W157" s="317" t="n">
        <v>5000</v>
      </c>
      <c r="X157" s="317" t="n">
        <v>698504.3125</v>
      </c>
      <c r="Y157" s="317" t="n">
        <v>342504.3125</v>
      </c>
      <c r="Z157" s="317" t="n">
        <v>356000</v>
      </c>
      <c r="AA157" s="317" t="n">
        <v>594000</v>
      </c>
      <c r="AB157" s="317" t="n">
        <v>0</v>
      </c>
      <c r="AC157" s="317" t="n">
        <v>594000</v>
      </c>
      <c r="AD157" s="317" t="n">
        <v>0</v>
      </c>
      <c r="AE157" s="317" t="n">
        <v>356000</v>
      </c>
      <c r="AF157" s="317" t="n">
        <v>0</v>
      </c>
      <c r="AG157" s="317" t="n">
        <v>594000</v>
      </c>
      <c r="AH157" s="317" t="n">
        <v>0</v>
      </c>
      <c r="AI157" s="317" t="n">
        <v>0</v>
      </c>
      <c r="AJ157" s="286" t="s">
        <v>707</v>
      </c>
      <c r="AK157" s="286" t="s">
        <v>712</v>
      </c>
      <c r="AL157" s="287" t="s">
        <v>48</v>
      </c>
      <c r="AM157" s="286"/>
      <c r="AN157" s="287" t="s">
        <v>427</v>
      </c>
      <c r="AO157" s="287" t="n">
        <v>698504.3125</v>
      </c>
      <c r="AP157" s="319" t="n">
        <f aca="false">AR157+AT157+AU157+AV157+AX157+AY157+AZ157+BD157+BF157+BG157+BH157+BJ157+BK157+(BL157+BM157+BN157)/1000+(0.1*BO157)</f>
        <v>491.805</v>
      </c>
      <c r="AQ157" s="319" t="n">
        <f aca="false">AR157+AT157+AU157+AV157+AX157+AY157+AZ157+BB157+BC157+BD157+BF157+BG157+BH157+BJ157+BK157+(BL157+BM157+BN157)/1000+(0.1*BO157)</f>
        <v>496.805</v>
      </c>
      <c r="AR157" s="285" t="n">
        <v>259</v>
      </c>
      <c r="AS157" s="285" t="n">
        <v>0</v>
      </c>
      <c r="AT157" s="285" t="n">
        <v>204</v>
      </c>
      <c r="AU157" s="285" t="n">
        <v>8</v>
      </c>
      <c r="AV157" s="285" t="n">
        <v>0</v>
      </c>
      <c r="AW157" s="285" t="n">
        <v>0</v>
      </c>
      <c r="AX157" s="285" t="n">
        <v>0</v>
      </c>
      <c r="AY157" s="285" t="n">
        <v>0</v>
      </c>
      <c r="AZ157" s="285" t="n">
        <v>2</v>
      </c>
      <c r="BA157" s="285" t="n">
        <v>26</v>
      </c>
      <c r="BB157" s="285" t="n">
        <v>5</v>
      </c>
      <c r="BC157" s="285" t="n">
        <v>0</v>
      </c>
      <c r="BD157" s="285" t="n">
        <v>6</v>
      </c>
      <c r="BE157" s="285" t="n">
        <v>0</v>
      </c>
      <c r="BF157" s="285" t="n">
        <v>0</v>
      </c>
      <c r="BG157" s="285" t="n">
        <v>0</v>
      </c>
      <c r="BH157" s="285" t="n">
        <v>10</v>
      </c>
      <c r="BI157" s="285" t="n">
        <v>0</v>
      </c>
      <c r="BJ157" s="285" t="n">
        <v>0</v>
      </c>
      <c r="BK157" s="285" t="n">
        <v>0</v>
      </c>
      <c r="BL157" s="285" t="n">
        <v>0</v>
      </c>
      <c r="BM157" s="285" t="n">
        <v>0</v>
      </c>
      <c r="BN157" s="285" t="n">
        <v>0</v>
      </c>
      <c r="BO157" s="285" t="n">
        <v>28.05</v>
      </c>
      <c r="BR157" s="290" t="n">
        <f aca="false">AR157*1000/0.072</f>
        <v>3597222.22222222</v>
      </c>
      <c r="BS157" s="290" t="n">
        <f aca="false">AT157*1000/0.072</f>
        <v>2833333.33333333</v>
      </c>
      <c r="BT157" s="290" t="n">
        <f aca="false">AU157*1000/0.072</f>
        <v>111111.111111111</v>
      </c>
      <c r="BU157" s="290" t="n">
        <f aca="false">SUM(BR157:BT157)</f>
        <v>6541666.66666667</v>
      </c>
      <c r="BV157" s="290" t="n">
        <f aca="false">AV157*1000/5</f>
        <v>0</v>
      </c>
      <c r="BW157" s="290" t="n">
        <f aca="false">AX157*1000/5</f>
        <v>0</v>
      </c>
      <c r="BX157" s="290" t="n">
        <f aca="false">AY157*1000/5</f>
        <v>0</v>
      </c>
      <c r="BY157" s="290" t="n">
        <f aca="false">SUM(BV157:BX157)</f>
        <v>0</v>
      </c>
      <c r="CA157" s="290" t="n">
        <f aca="false">IF($AM157="n",0,BR157)</f>
        <v>3597222.22222222</v>
      </c>
      <c r="CB157" s="290" t="n">
        <f aca="false">IF($AM157="n",0,BS157)</f>
        <v>2833333.33333333</v>
      </c>
      <c r="CC157" s="290" t="n">
        <f aca="false">IF($AM157="n",0,BT157)</f>
        <v>111111.111111111</v>
      </c>
      <c r="CD157" s="290" t="n">
        <f aca="false">SUM(CA157:CC157)</f>
        <v>6541666.66666667</v>
      </c>
      <c r="CE157" s="290" t="n">
        <f aca="false">IF($AM$2="n",0,BV157)</f>
        <v>0</v>
      </c>
      <c r="CF157" s="290" t="n">
        <f aca="false">IF($AM$2="n",0,BW157)</f>
        <v>0</v>
      </c>
      <c r="CG157" s="290" t="n">
        <f aca="false">IF($AM$2="n",0,BX157)</f>
        <v>0</v>
      </c>
      <c r="CH157" s="290" t="n">
        <f aca="false">SUM(CE157:CG157)</f>
        <v>0</v>
      </c>
    </row>
    <row r="158" customFormat="false" ht="15" hidden="false" customHeight="true" outlineLevel="0" collapsed="false">
      <c r="A158" s="285" t="n">
        <v>544</v>
      </c>
      <c r="B158" s="285"/>
      <c r="C158" s="286" t="s">
        <v>428</v>
      </c>
      <c r="D158" s="287" t="s">
        <v>428</v>
      </c>
      <c r="E158" s="288" t="n">
        <f aca="false">IF(I158="regional",IF(R158*0.2975,S158*0.3484),S158*0.1939)</f>
        <v>38417.9887</v>
      </c>
      <c r="F158" s="288" t="n">
        <v>0</v>
      </c>
      <c r="G158" s="289" t="n">
        <f aca="false">E158+F158</f>
        <v>38417.9887</v>
      </c>
      <c r="H158" s="286"/>
      <c r="I158" s="287" t="s">
        <v>62</v>
      </c>
      <c r="J158" s="287"/>
      <c r="K158" s="287" t="s">
        <v>334</v>
      </c>
      <c r="L158" s="287"/>
      <c r="M158" s="317" t="n">
        <v>22</v>
      </c>
      <c r="N158" s="317" t="n">
        <v>0.915</v>
      </c>
      <c r="O158" s="317" t="n">
        <v>0.915</v>
      </c>
      <c r="P158" s="317" t="n">
        <v>0.979</v>
      </c>
      <c r="Q158" s="317" t="n">
        <v>0.921</v>
      </c>
      <c r="R158" s="317" t="n">
        <v>0</v>
      </c>
      <c r="S158" s="317" t="n">
        <v>198133</v>
      </c>
      <c r="T158" s="318" t="n">
        <f aca="false">IF(I158="regional",IF(R158&gt;0,R158*0.2975,S158*0.3484),S158*0.1939)</f>
        <v>38417.9887</v>
      </c>
      <c r="U158" s="317" t="n">
        <v>118304</v>
      </c>
      <c r="V158" s="317" t="n">
        <v>79829</v>
      </c>
      <c r="W158" s="317" t="n">
        <v>991</v>
      </c>
      <c r="X158" s="317" t="n">
        <v>0</v>
      </c>
      <c r="Y158" s="317" t="n">
        <v>0</v>
      </c>
      <c r="Z158" s="317" t="n">
        <v>0</v>
      </c>
      <c r="AA158" s="317" t="n">
        <v>236550.9887</v>
      </c>
      <c r="AB158" s="317" t="n">
        <v>38417.9887</v>
      </c>
      <c r="AC158" s="317" t="n">
        <v>198133</v>
      </c>
      <c r="AD158" s="317" t="n">
        <v>0</v>
      </c>
      <c r="AE158" s="317" t="n">
        <v>0</v>
      </c>
      <c r="AF158" s="317" t="n">
        <v>0</v>
      </c>
      <c r="AG158" s="317" t="n">
        <v>198133</v>
      </c>
      <c r="AH158" s="317" t="n">
        <v>0</v>
      </c>
      <c r="AI158" s="317" t="n">
        <v>0</v>
      </c>
      <c r="AJ158" s="286" t="n">
        <v>4</v>
      </c>
      <c r="AK158" s="286" t="s">
        <v>720</v>
      </c>
      <c r="AL158" s="287" t="s">
        <v>62</v>
      </c>
      <c r="AM158" s="286"/>
      <c r="AN158" s="287" t="s">
        <v>428</v>
      </c>
      <c r="AO158" s="287" t="n">
        <v>38417.9887</v>
      </c>
      <c r="AP158" s="319" t="n">
        <f aca="false">AR158+AT158+AU158+AV158+AX158+AY158+AZ158+BD158+BF158+BG158+BH158+BJ158+BK158+(BL158+BM158+BN158)/1000+(0.1*BO158)</f>
        <v>36</v>
      </c>
      <c r="AQ158" s="319" t="n">
        <f aca="false">AR158+AT158+AU158+AV158+AX158+AY158+AZ158+BB158+BC158+BD158+BF158+BG158+BH158+BJ158+BK158+(BL158+BM158+BN158)/1000+(0.1*BO158)</f>
        <v>50</v>
      </c>
      <c r="AR158" s="285" t="n">
        <v>0</v>
      </c>
      <c r="AS158" s="285" t="n">
        <v>0</v>
      </c>
      <c r="AT158" s="285" t="n">
        <v>30</v>
      </c>
      <c r="AU158" s="285" t="n">
        <v>6</v>
      </c>
      <c r="AV158" s="285" t="n">
        <v>0</v>
      </c>
      <c r="AW158" s="285" t="n">
        <v>0</v>
      </c>
      <c r="AX158" s="285" t="n">
        <v>0</v>
      </c>
      <c r="AY158" s="285" t="n">
        <v>0</v>
      </c>
      <c r="AZ158" s="285" t="n">
        <v>0</v>
      </c>
      <c r="BA158" s="285" t="n">
        <v>8</v>
      </c>
      <c r="BB158" s="285" t="n">
        <v>14</v>
      </c>
      <c r="BC158" s="285" t="n">
        <v>0</v>
      </c>
      <c r="BD158" s="285" t="n">
        <v>0</v>
      </c>
      <c r="BE158" s="285" t="n">
        <v>0</v>
      </c>
      <c r="BF158" s="285" t="n">
        <v>0</v>
      </c>
      <c r="BG158" s="285" t="n">
        <v>0</v>
      </c>
      <c r="BH158" s="285" t="n">
        <v>0</v>
      </c>
      <c r="BI158" s="285" t="n">
        <v>0</v>
      </c>
      <c r="BJ158" s="285" t="n">
        <v>0</v>
      </c>
      <c r="BK158" s="285" t="n">
        <v>0</v>
      </c>
      <c r="BL158" s="285" t="n">
        <v>0</v>
      </c>
      <c r="BM158" s="285" t="n">
        <v>0</v>
      </c>
      <c r="BN158" s="285" t="n">
        <v>0</v>
      </c>
      <c r="BO158" s="285" t="n">
        <v>0</v>
      </c>
      <c r="BR158" s="290" t="n">
        <f aca="false">AR158*1000/0.072</f>
        <v>0</v>
      </c>
      <c r="BS158" s="290" t="n">
        <f aca="false">AT158*1000/0.072</f>
        <v>416666.666666667</v>
      </c>
      <c r="BT158" s="290" t="n">
        <f aca="false">AU158*1000/0.072</f>
        <v>83333.3333333333</v>
      </c>
      <c r="BU158" s="290" t="n">
        <f aca="false">SUM(BR158:BT158)</f>
        <v>500000</v>
      </c>
      <c r="BV158" s="290" t="n">
        <f aca="false">AV158*1000/5</f>
        <v>0</v>
      </c>
      <c r="BW158" s="290" t="n">
        <f aca="false">AX158*1000/5</f>
        <v>0</v>
      </c>
      <c r="BX158" s="290" t="n">
        <f aca="false">AY158*1000/5</f>
        <v>0</v>
      </c>
      <c r="BY158" s="290" t="n">
        <f aca="false">SUM(BV158:BX158)</f>
        <v>0</v>
      </c>
      <c r="CA158" s="290" t="n">
        <f aca="false">IF($AM158="n",0,BR158)</f>
        <v>0</v>
      </c>
      <c r="CB158" s="290" t="n">
        <f aca="false">IF($AM158="n",0,BS158)</f>
        <v>416666.666666667</v>
      </c>
      <c r="CC158" s="290" t="n">
        <f aca="false">IF($AM158="n",0,BT158)</f>
        <v>83333.3333333333</v>
      </c>
      <c r="CD158" s="290" t="n">
        <f aca="false">SUM(CA158:CC158)</f>
        <v>500000</v>
      </c>
      <c r="CE158" s="290" t="n">
        <f aca="false">IF($AM$2="n",0,BV158)</f>
        <v>0</v>
      </c>
      <c r="CF158" s="290" t="n">
        <f aca="false">IF($AM$2="n",0,BW158)</f>
        <v>0</v>
      </c>
      <c r="CG158" s="290" t="n">
        <f aca="false">IF($AM$2="n",0,BX158)</f>
        <v>0</v>
      </c>
      <c r="CH158" s="290" t="n">
        <f aca="false">SUM(CE158:CG158)</f>
        <v>0</v>
      </c>
    </row>
    <row r="159" customFormat="false" ht="15" hidden="false" customHeight="true" outlineLevel="0" collapsed="false">
      <c r="A159" s="285" t="n">
        <v>2525</v>
      </c>
      <c r="B159" s="285"/>
      <c r="C159" s="286" t="s">
        <v>430</v>
      </c>
      <c r="D159" s="287" t="s">
        <v>430</v>
      </c>
      <c r="E159" s="288" t="n">
        <f aca="false">IF(I159="regional",IF(R159*0.2975,S159*0.3484),S159*0.1939)</f>
        <v>35418.9374</v>
      </c>
      <c r="F159" s="288" t="n">
        <v>0</v>
      </c>
      <c r="G159" s="289" t="n">
        <f aca="false">E159+F159</f>
        <v>35418.9374</v>
      </c>
      <c r="H159" s="286"/>
      <c r="I159" s="287" t="s">
        <v>62</v>
      </c>
      <c r="J159" s="287" t="s">
        <v>49</v>
      </c>
      <c r="K159" s="287" t="s">
        <v>334</v>
      </c>
      <c r="L159" s="287"/>
      <c r="M159" s="317" t="n">
        <v>18</v>
      </c>
      <c r="N159" s="317" t="n">
        <v>0.797</v>
      </c>
      <c r="O159" s="317" t="n">
        <v>0.955</v>
      </c>
      <c r="P159" s="317" t="n">
        <v>0.899</v>
      </c>
      <c r="Q159" s="317" t="n">
        <v>1</v>
      </c>
      <c r="R159" s="317" t="n">
        <v>0</v>
      </c>
      <c r="S159" s="317" t="n">
        <v>182666</v>
      </c>
      <c r="T159" s="318" t="n">
        <f aca="false">IF(I159="regional",IF(R159&gt;0,R159*0.2975,S159*0.3484),S159*0.1939)</f>
        <v>35418.9374</v>
      </c>
      <c r="U159" s="317" t="n">
        <v>124028</v>
      </c>
      <c r="V159" s="317" t="n">
        <v>58638</v>
      </c>
      <c r="W159" s="317" t="n">
        <v>1077</v>
      </c>
      <c r="X159" s="317" t="n">
        <v>0</v>
      </c>
      <c r="Y159" s="317" t="n">
        <v>0</v>
      </c>
      <c r="Z159" s="317" t="n">
        <v>0</v>
      </c>
      <c r="AA159" s="317" t="n">
        <v>218084.9374</v>
      </c>
      <c r="AB159" s="317" t="n">
        <v>35418.9374</v>
      </c>
      <c r="AC159" s="317" t="n">
        <v>182666</v>
      </c>
      <c r="AD159" s="317" t="n">
        <v>0</v>
      </c>
      <c r="AE159" s="317" t="n">
        <v>0</v>
      </c>
      <c r="AF159" s="317" t="n">
        <v>0</v>
      </c>
      <c r="AG159" s="317" t="n">
        <v>182666</v>
      </c>
      <c r="AH159" s="317" t="n">
        <v>0</v>
      </c>
      <c r="AI159" s="317" t="n">
        <v>0</v>
      </c>
      <c r="AJ159" s="286" t="n">
        <v>4</v>
      </c>
      <c r="AK159" s="286" t="s">
        <v>720</v>
      </c>
      <c r="AL159" s="287" t="s">
        <v>62</v>
      </c>
      <c r="AM159" s="286"/>
      <c r="AN159" s="287" t="s">
        <v>430</v>
      </c>
      <c r="AO159" s="287" t="n">
        <v>35418.9374</v>
      </c>
      <c r="AP159" s="319" t="n">
        <f aca="false">AR159+AT159+AU159+AV159+AX159+AY159+AZ159+BD159+BF159+BG159+BH159+BJ159+BK159+(BL159+BM159+BN159)/1000+(0.1*BO159)</f>
        <v>24</v>
      </c>
      <c r="AQ159" s="319" t="n">
        <f aca="false">AR159+AT159+AU159+AV159+AX159+AY159+AZ159+BB159+BC159+BD159+BF159+BG159+BH159+BJ159+BK159+(BL159+BM159+BN159)/1000+(0.1*BO159)</f>
        <v>24</v>
      </c>
      <c r="AR159" s="285" t="n">
        <v>0</v>
      </c>
      <c r="AS159" s="285" t="n">
        <v>0</v>
      </c>
      <c r="AT159" s="285" t="n">
        <v>18</v>
      </c>
      <c r="AU159" s="285" t="n">
        <v>6</v>
      </c>
      <c r="AV159" s="285" t="n">
        <v>0</v>
      </c>
      <c r="AW159" s="285" t="n">
        <v>0</v>
      </c>
      <c r="AX159" s="285" t="n">
        <v>0</v>
      </c>
      <c r="AY159" s="285" t="n">
        <v>0</v>
      </c>
      <c r="AZ159" s="285" t="n">
        <v>0</v>
      </c>
      <c r="BA159" s="285" t="n">
        <v>1</v>
      </c>
      <c r="BB159" s="285" t="n">
        <v>0</v>
      </c>
      <c r="BC159" s="285" t="n">
        <v>0</v>
      </c>
      <c r="BD159" s="285" t="n">
        <v>0</v>
      </c>
      <c r="BE159" s="285" t="n">
        <v>0</v>
      </c>
      <c r="BF159" s="285" t="n">
        <v>0</v>
      </c>
      <c r="BG159" s="285" t="n">
        <v>0</v>
      </c>
      <c r="BH159" s="285" t="n">
        <v>0</v>
      </c>
      <c r="BI159" s="285" t="n">
        <v>0</v>
      </c>
      <c r="BJ159" s="285" t="n">
        <v>0</v>
      </c>
      <c r="BK159" s="285" t="n">
        <v>0</v>
      </c>
      <c r="BL159" s="285" t="n">
        <v>0</v>
      </c>
      <c r="BM159" s="285" t="n">
        <v>0</v>
      </c>
      <c r="BN159" s="285" t="n">
        <v>0</v>
      </c>
      <c r="BO159" s="285" t="n">
        <v>0</v>
      </c>
      <c r="BR159" s="290" t="n">
        <f aca="false">AR159*1000/0.072</f>
        <v>0</v>
      </c>
      <c r="BS159" s="290" t="n">
        <f aca="false">AT159*1000/0.072</f>
        <v>250000</v>
      </c>
      <c r="BT159" s="290" t="n">
        <f aca="false">AU159*1000/0.072</f>
        <v>83333.3333333333</v>
      </c>
      <c r="BU159" s="290" t="n">
        <f aca="false">SUM(BR159:BT159)</f>
        <v>333333.333333333</v>
      </c>
      <c r="BV159" s="290" t="n">
        <f aca="false">AV159*1000/5</f>
        <v>0</v>
      </c>
      <c r="BW159" s="290" t="n">
        <f aca="false">AX159*1000/5</f>
        <v>0</v>
      </c>
      <c r="BX159" s="290" t="n">
        <f aca="false">AY159*1000/5</f>
        <v>0</v>
      </c>
      <c r="BY159" s="290" t="n">
        <f aca="false">SUM(BV159:BX159)</f>
        <v>0</v>
      </c>
      <c r="CA159" s="290" t="n">
        <f aca="false">IF($AM159="n",0,BR159)</f>
        <v>0</v>
      </c>
      <c r="CB159" s="290" t="n">
        <f aca="false">IF($AM159="n",0,BS159)</f>
        <v>250000</v>
      </c>
      <c r="CC159" s="290" t="n">
        <f aca="false">IF($AM159="n",0,BT159)</f>
        <v>83333.3333333333</v>
      </c>
      <c r="CD159" s="290" t="n">
        <f aca="false">SUM(CA159:CC159)</f>
        <v>333333.333333333</v>
      </c>
      <c r="CE159" s="290" t="n">
        <f aca="false">IF($AM$2="n",0,BV159)</f>
        <v>0</v>
      </c>
      <c r="CF159" s="290" t="n">
        <f aca="false">IF($AM$2="n",0,BW159)</f>
        <v>0</v>
      </c>
      <c r="CG159" s="290" t="n">
        <f aca="false">IF($AM$2="n",0,BX159)</f>
        <v>0</v>
      </c>
      <c r="CH159" s="290" t="n">
        <f aca="false">SUM(CE159:CG159)</f>
        <v>0</v>
      </c>
    </row>
    <row r="160" customFormat="false" ht="15" hidden="false" customHeight="true" outlineLevel="0" collapsed="false">
      <c r="A160" s="285" t="n">
        <v>2743</v>
      </c>
      <c r="B160" s="285" t="s">
        <v>44</v>
      </c>
      <c r="C160" s="286" t="s">
        <v>432</v>
      </c>
      <c r="D160" s="287" t="s">
        <v>432</v>
      </c>
      <c r="E160" s="288" t="n">
        <f aca="false">IF(I160="regional",IF(R160*0.2975,S160*0.3484),S160*0.1939)</f>
        <v>231369.6528</v>
      </c>
      <c r="F160" s="288" t="n">
        <v>455134</v>
      </c>
      <c r="G160" s="289" t="n">
        <f aca="false">E160+F160</f>
        <v>686503.6528</v>
      </c>
      <c r="H160" s="286"/>
      <c r="I160" s="287" t="s">
        <v>48</v>
      </c>
      <c r="J160" s="287" t="s">
        <v>44</v>
      </c>
      <c r="K160" s="287" t="s">
        <v>434</v>
      </c>
      <c r="L160" s="287" t="s">
        <v>44</v>
      </c>
      <c r="M160" s="317" t="n">
        <v>106</v>
      </c>
      <c r="N160" s="317" t="n">
        <v>0.909</v>
      </c>
      <c r="O160" s="317" t="n">
        <v>0.912</v>
      </c>
      <c r="P160" s="317" t="n">
        <v>0.949</v>
      </c>
      <c r="Q160" s="317" t="n">
        <v>0.928</v>
      </c>
      <c r="R160" s="317" t="n">
        <v>748702</v>
      </c>
      <c r="S160" s="317" t="n">
        <v>664092</v>
      </c>
      <c r="T160" s="318" t="n">
        <f aca="false">IF(I160="regional",IF(R160&gt;0,R160*0.2975,S160*0.3484),S160*0.1939)</f>
        <v>222738.845</v>
      </c>
      <c r="U160" s="317" t="n">
        <v>445389</v>
      </c>
      <c r="V160" s="317" t="n">
        <v>218703</v>
      </c>
      <c r="W160" s="317" t="n">
        <v>3270</v>
      </c>
      <c r="X160" s="317" t="n">
        <v>677872.845</v>
      </c>
      <c r="Y160" s="317" t="n">
        <v>222738.845</v>
      </c>
      <c r="Z160" s="317" t="n">
        <v>455134</v>
      </c>
      <c r="AA160" s="317" t="n">
        <v>208958</v>
      </c>
      <c r="AB160" s="317" t="n">
        <v>0</v>
      </c>
      <c r="AC160" s="317" t="n">
        <v>208958</v>
      </c>
      <c r="AD160" s="317" t="n">
        <v>455134</v>
      </c>
      <c r="AE160" s="317" t="n">
        <v>0</v>
      </c>
      <c r="AF160" s="317" t="n">
        <v>208958</v>
      </c>
      <c r="AG160" s="317" t="n">
        <v>0</v>
      </c>
      <c r="AH160" s="317" t="n">
        <v>326000</v>
      </c>
      <c r="AI160" s="317" t="n">
        <v>281000</v>
      </c>
      <c r="AJ160" s="286" t="n">
        <v>4</v>
      </c>
      <c r="AK160" s="286" t="s">
        <v>706</v>
      </c>
      <c r="AL160" s="287" t="s">
        <v>48</v>
      </c>
      <c r="AM160" s="286"/>
      <c r="AN160" s="287" t="s">
        <v>432</v>
      </c>
      <c r="AO160" s="287" t="n">
        <v>677872.845</v>
      </c>
      <c r="AP160" s="319" t="n">
        <f aca="false">AR160+AT160+AU160+AV160+AX160+AY160+AZ160+BD160+BF160+BG160+BH160+BJ160+BK160+(BL160+BM160+BN160)/1000+(0.1*BO160)</f>
        <v>800.8458</v>
      </c>
      <c r="AQ160" s="319" t="n">
        <f aca="false">AR160+AT160+AU160+AV160+AX160+AY160+AZ160+BB160+BC160+BD160+BF160+BG160+BH160+BJ160+BK160+(BL160+BM160+BN160)/1000+(0.1*BO160)</f>
        <v>819.8458</v>
      </c>
      <c r="AR160" s="302" t="n">
        <v>189</v>
      </c>
      <c r="AS160" s="302" t="n">
        <v>281</v>
      </c>
      <c r="AT160" s="302" t="n">
        <v>27</v>
      </c>
      <c r="AU160" s="302" t="n">
        <v>0</v>
      </c>
      <c r="AV160" s="302" t="n">
        <v>34</v>
      </c>
      <c r="AW160" s="302" t="n">
        <v>0</v>
      </c>
      <c r="AX160" s="302" t="n">
        <v>1</v>
      </c>
      <c r="AY160" s="302" t="n">
        <v>0</v>
      </c>
      <c r="AZ160" s="302" t="n">
        <v>16</v>
      </c>
      <c r="BA160" s="302" t="n">
        <v>17</v>
      </c>
      <c r="BB160" s="302" t="n">
        <v>19</v>
      </c>
      <c r="BC160" s="302" t="n">
        <v>0</v>
      </c>
      <c r="BD160" s="285" t="n">
        <v>28</v>
      </c>
      <c r="BE160" s="285" t="n">
        <v>0</v>
      </c>
      <c r="BF160" s="285" t="n">
        <v>0</v>
      </c>
      <c r="BG160" s="285" t="n">
        <v>0</v>
      </c>
      <c r="BH160" s="285" t="n">
        <v>95</v>
      </c>
      <c r="BI160" s="285" t="n">
        <v>0</v>
      </c>
      <c r="BJ160" s="285" t="n">
        <v>0</v>
      </c>
      <c r="BK160" s="285" t="n">
        <v>0</v>
      </c>
      <c r="BL160" s="302" t="n">
        <v>0</v>
      </c>
      <c r="BM160" s="302" t="n">
        <v>0</v>
      </c>
      <c r="BN160" s="302" t="n">
        <v>324699</v>
      </c>
      <c r="BO160" s="302" t="n">
        <v>861.468</v>
      </c>
      <c r="BP160" s="324"/>
      <c r="BR160" s="290" t="n">
        <f aca="false">AR160*1000/0.072</f>
        <v>2625000</v>
      </c>
      <c r="BS160" s="290" t="n">
        <f aca="false">AT160*1000/0.072</f>
        <v>375000</v>
      </c>
      <c r="BT160" s="290" t="n">
        <f aca="false">AU160*1000/0.072</f>
        <v>0</v>
      </c>
      <c r="BU160" s="290" t="n">
        <f aca="false">SUM(BR160:BT160)</f>
        <v>3000000</v>
      </c>
      <c r="BV160" s="290" t="n">
        <f aca="false">AV160*1000/5</f>
        <v>6800</v>
      </c>
      <c r="BW160" s="290" t="n">
        <f aca="false">AX160*1000/5</f>
        <v>200</v>
      </c>
      <c r="BX160" s="290" t="n">
        <f aca="false">AY160*1000/5</f>
        <v>0</v>
      </c>
      <c r="BY160" s="290" t="n">
        <f aca="false">SUM(BV160:BX160)</f>
        <v>7000</v>
      </c>
      <c r="CA160" s="290" t="n">
        <f aca="false">IF($AM160="n",0,BR160)</f>
        <v>2625000</v>
      </c>
      <c r="CB160" s="290" t="n">
        <f aca="false">IF($AM160="n",0,BS160)</f>
        <v>375000</v>
      </c>
      <c r="CC160" s="290" t="n">
        <f aca="false">IF($AM160="n",0,BT160)</f>
        <v>0</v>
      </c>
      <c r="CD160" s="290" t="n">
        <f aca="false">SUM(CA160:CC160)</f>
        <v>3000000</v>
      </c>
      <c r="CE160" s="290" t="n">
        <f aca="false">IF($AM$2="n",0,BV160)</f>
        <v>6800</v>
      </c>
      <c r="CF160" s="290" t="n">
        <f aca="false">IF($AM$2="n",0,BW160)</f>
        <v>200</v>
      </c>
      <c r="CG160" s="290" t="n">
        <f aca="false">IF($AM$2="n",0,BX160)</f>
        <v>0</v>
      </c>
      <c r="CH160" s="290" t="n">
        <f aca="false">SUM(CE160:CG160)</f>
        <v>7000</v>
      </c>
      <c r="CJ160" s="324"/>
      <c r="CK160" s="324"/>
      <c r="CL160" s="324"/>
      <c r="CM160" s="324"/>
      <c r="CN160" s="324"/>
      <c r="CO160" s="324"/>
      <c r="CP160" s="324"/>
      <c r="CQ160" s="324"/>
      <c r="CR160" s="324"/>
      <c r="CS160" s="324"/>
      <c r="CT160" s="324"/>
      <c r="CU160" s="324"/>
      <c r="CV160" s="324"/>
      <c r="CW160" s="324"/>
      <c r="CX160" s="324"/>
      <c r="CY160" s="324"/>
      <c r="CZ160" s="324"/>
      <c r="DA160" s="324"/>
      <c r="DB160" s="324"/>
      <c r="DC160" s="324"/>
      <c r="DD160" s="324"/>
      <c r="DE160" s="324"/>
      <c r="DF160" s="324"/>
      <c r="DG160" s="324"/>
      <c r="DH160" s="324"/>
      <c r="DI160" s="324"/>
      <c r="DJ160" s="324"/>
      <c r="DK160" s="324"/>
      <c r="DL160" s="330"/>
      <c r="DM160" s="330"/>
      <c r="DN160" s="330"/>
      <c r="DO160" s="330"/>
      <c r="DP160" s="330"/>
      <c r="DQ160" s="330"/>
      <c r="DR160" s="330"/>
      <c r="DS160" s="330"/>
      <c r="DT160" s="330"/>
      <c r="DU160" s="330"/>
      <c r="DV160" s="330"/>
      <c r="DW160" s="330"/>
      <c r="DX160" s="330"/>
      <c r="DY160" s="330"/>
      <c r="DZ160" s="330"/>
      <c r="EA160" s="330"/>
      <c r="EB160" s="330"/>
      <c r="EC160" s="330"/>
      <c r="ED160" s="330"/>
      <c r="EE160" s="330"/>
      <c r="EF160" s="330"/>
      <c r="EG160" s="330"/>
      <c r="EH160" s="330"/>
      <c r="EI160" s="330"/>
      <c r="EJ160" s="330"/>
      <c r="EK160" s="330"/>
      <c r="EL160" s="330"/>
      <c r="EM160" s="330"/>
      <c r="EN160" s="330"/>
      <c r="EO160" s="330"/>
      <c r="EP160" s="330"/>
      <c r="EQ160" s="330"/>
      <c r="ER160" s="330"/>
      <c r="ES160" s="330"/>
      <c r="ET160" s="330"/>
      <c r="EU160" s="330"/>
      <c r="EV160" s="330"/>
      <c r="EW160" s="330"/>
      <c r="EX160" s="330"/>
      <c r="EY160" s="330"/>
      <c r="EZ160" s="330"/>
      <c r="FA160" s="330"/>
      <c r="FB160" s="330"/>
      <c r="FC160" s="330"/>
      <c r="FD160" s="330"/>
      <c r="FE160" s="330"/>
      <c r="FF160" s="330"/>
      <c r="FG160" s="330"/>
      <c r="FH160" s="330"/>
      <c r="FI160" s="330"/>
      <c r="FJ160" s="330"/>
      <c r="FK160" s="330"/>
      <c r="FL160" s="330"/>
      <c r="FM160" s="330"/>
      <c r="FN160" s="330"/>
      <c r="FO160" s="330"/>
      <c r="FP160" s="330"/>
      <c r="FQ160" s="330"/>
      <c r="FR160" s="330"/>
      <c r="FS160" s="330"/>
      <c r="FT160" s="330"/>
      <c r="FU160" s="330"/>
      <c r="FV160" s="330"/>
      <c r="FW160" s="330"/>
      <c r="FX160" s="330"/>
      <c r="FY160" s="330"/>
      <c r="FZ160" s="330"/>
      <c r="GA160" s="330"/>
      <c r="GB160" s="330"/>
      <c r="GC160" s="330"/>
      <c r="GD160" s="330"/>
      <c r="GE160" s="330"/>
      <c r="GF160" s="330"/>
      <c r="GG160" s="330"/>
      <c r="GH160" s="330"/>
      <c r="GI160" s="330"/>
      <c r="GJ160" s="330"/>
      <c r="GK160" s="330"/>
      <c r="GL160" s="330"/>
      <c r="GM160" s="330"/>
      <c r="GN160" s="330"/>
      <c r="GO160" s="330"/>
      <c r="GP160" s="330"/>
      <c r="GQ160" s="330"/>
      <c r="GR160" s="330"/>
      <c r="GS160" s="330"/>
      <c r="GT160" s="330"/>
      <c r="GU160" s="330"/>
      <c r="GV160" s="330"/>
      <c r="GW160" s="330"/>
      <c r="GX160" s="330"/>
      <c r="GY160" s="330"/>
      <c r="GZ160" s="330"/>
      <c r="HA160" s="330"/>
      <c r="HB160" s="330"/>
      <c r="HC160" s="330"/>
      <c r="HD160" s="330"/>
      <c r="HE160" s="330"/>
      <c r="HF160" s="330"/>
      <c r="HG160" s="330"/>
      <c r="HH160" s="330"/>
      <c r="HI160" s="330"/>
      <c r="HJ160" s="330"/>
      <c r="HK160" s="330"/>
      <c r="HL160" s="330"/>
      <c r="HM160" s="330"/>
      <c r="HN160" s="330"/>
      <c r="HO160" s="330"/>
      <c r="HP160" s="330"/>
      <c r="HQ160" s="330"/>
      <c r="HR160" s="330"/>
      <c r="HS160" s="330"/>
      <c r="HT160" s="330"/>
      <c r="HU160" s="330"/>
      <c r="HV160" s="330"/>
      <c r="HW160" s="330"/>
      <c r="HX160" s="330"/>
      <c r="HY160" s="330"/>
      <c r="HZ160" s="330"/>
      <c r="IA160" s="330"/>
      <c r="IB160" s="330"/>
      <c r="IC160" s="330"/>
      <c r="ID160" s="330"/>
      <c r="IE160" s="330"/>
      <c r="IF160" s="330"/>
      <c r="IG160" s="330"/>
      <c r="IH160" s="330"/>
      <c r="II160" s="330"/>
      <c r="IJ160" s="330"/>
      <c r="IK160" s="330"/>
      <c r="IL160" s="330"/>
      <c r="IM160" s="330"/>
      <c r="IN160" s="330"/>
      <c r="IO160" s="330"/>
      <c r="IP160" s="330"/>
      <c r="IQ160" s="330"/>
      <c r="IR160" s="330"/>
      <c r="IS160" s="330"/>
      <c r="IT160" s="330"/>
      <c r="IU160" s="330"/>
      <c r="IV160" s="330"/>
      <c r="IW160" s="330"/>
    </row>
    <row r="161" customFormat="false" ht="15" hidden="false" customHeight="true" outlineLevel="0" collapsed="false">
      <c r="A161" s="285" t="n">
        <v>4668</v>
      </c>
      <c r="B161" s="285"/>
      <c r="C161" s="286" t="s">
        <v>435</v>
      </c>
      <c r="D161" s="287" t="s">
        <v>435</v>
      </c>
      <c r="E161" s="288" t="n">
        <f aca="false">IF(I161="regional",IF(R161*0.2975,S161*0.3484),S161*0.1939)</f>
        <v>251445.506</v>
      </c>
      <c r="F161" s="288" t="n">
        <v>0</v>
      </c>
      <c r="G161" s="289" t="n">
        <f aca="false">E161+F161</f>
        <v>251445.506</v>
      </c>
      <c r="H161" s="286"/>
      <c r="I161" s="287" t="s">
        <v>48</v>
      </c>
      <c r="J161" s="287" t="s">
        <v>49</v>
      </c>
      <c r="K161" s="287" t="s">
        <v>437</v>
      </c>
      <c r="L161" s="287"/>
      <c r="M161" s="317" t="n">
        <v>76</v>
      </c>
      <c r="N161" s="317" t="n">
        <v>0.821</v>
      </c>
      <c r="O161" s="317" t="n">
        <v>0.847</v>
      </c>
      <c r="P161" s="317" t="n">
        <v>0.9</v>
      </c>
      <c r="Q161" s="317" t="n">
        <v>0.952</v>
      </c>
      <c r="R161" s="317" t="n">
        <v>877189</v>
      </c>
      <c r="S161" s="317" t="n">
        <v>721715</v>
      </c>
      <c r="T161" s="318" t="n">
        <f aca="false">IF(I161="regional",IF(R161&gt;0,R161*0.2975,S161*0.3484),S161*0.1939)</f>
        <v>260963.7275</v>
      </c>
      <c r="U161" s="317" t="n">
        <v>535500</v>
      </c>
      <c r="V161" s="317" t="n">
        <v>186215</v>
      </c>
      <c r="W161" s="317" t="n">
        <v>2000</v>
      </c>
      <c r="X161" s="317" t="n">
        <v>0</v>
      </c>
      <c r="Y161" s="317" t="n">
        <v>0</v>
      </c>
      <c r="Z161" s="317" t="n">
        <v>0</v>
      </c>
      <c r="AA161" s="317" t="n">
        <v>982678.7275</v>
      </c>
      <c r="AB161" s="317" t="n">
        <v>260963.7275</v>
      </c>
      <c r="AC161" s="317" t="n">
        <v>721715</v>
      </c>
      <c r="AD161" s="317" t="n">
        <v>0</v>
      </c>
      <c r="AE161" s="317" t="n">
        <v>0</v>
      </c>
      <c r="AF161" s="317" t="n">
        <v>0</v>
      </c>
      <c r="AG161" s="317" t="n">
        <v>721715</v>
      </c>
      <c r="AH161" s="317" t="n">
        <v>0</v>
      </c>
      <c r="AI161" s="317" t="n">
        <v>0</v>
      </c>
      <c r="AJ161" s="286" t="s">
        <v>707</v>
      </c>
      <c r="AK161" s="286" t="s">
        <v>712</v>
      </c>
      <c r="AL161" s="287" t="s">
        <v>48</v>
      </c>
      <c r="AM161" s="286"/>
      <c r="AN161" s="287" t="s">
        <v>435</v>
      </c>
      <c r="AO161" s="287" t="n">
        <v>260963.7275</v>
      </c>
      <c r="AP161" s="319" t="n">
        <f aca="false">AR161+AT161+AU161+AV161+AX161+AY161+AZ161+BD161+BF161+BG161+BH161+BJ161+BK161+(BL161+BM161+BN161)/1000+(0.1*BO161)</f>
        <v>289.4983</v>
      </c>
      <c r="AQ161" s="319" t="n">
        <f aca="false">AR161+AT161+AU161+AV161+AX161+AY161+AZ161+BB161+BC161+BD161+BF161+BG161+BH161+BJ161+BK161+(BL161+BM161+BN161)/1000+(0.1*BO161)</f>
        <v>324.4983</v>
      </c>
      <c r="AR161" s="302" t="n">
        <v>0</v>
      </c>
      <c r="AS161" s="302" t="n">
        <v>0</v>
      </c>
      <c r="AT161" s="302" t="n">
        <v>189</v>
      </c>
      <c r="AU161" s="302" t="n">
        <v>1</v>
      </c>
      <c r="AV161" s="302" t="n">
        <v>0</v>
      </c>
      <c r="AW161" s="302" t="n">
        <v>0</v>
      </c>
      <c r="AX161" s="302" t="n">
        <v>15</v>
      </c>
      <c r="AY161" s="302" t="n">
        <v>0</v>
      </c>
      <c r="AZ161" s="302" t="n">
        <v>0</v>
      </c>
      <c r="BA161" s="302" t="n">
        <v>0</v>
      </c>
      <c r="BB161" s="302" t="n">
        <v>35</v>
      </c>
      <c r="BC161" s="302" t="n">
        <v>0</v>
      </c>
      <c r="BD161" s="285" t="n">
        <v>0</v>
      </c>
      <c r="BE161" s="285" t="n">
        <v>0</v>
      </c>
      <c r="BF161" s="285" t="n">
        <v>0</v>
      </c>
      <c r="BG161" s="285" t="n">
        <v>0</v>
      </c>
      <c r="BH161" s="302" t="n">
        <v>0</v>
      </c>
      <c r="BI161" s="302" t="n">
        <v>0</v>
      </c>
      <c r="BJ161" s="302" t="n">
        <v>0</v>
      </c>
      <c r="BK161" s="302" t="n">
        <v>0</v>
      </c>
      <c r="BL161" s="285" t="n">
        <v>0</v>
      </c>
      <c r="BM161" s="285" t="n">
        <v>0</v>
      </c>
      <c r="BN161" s="285" t="n">
        <v>9761</v>
      </c>
      <c r="BO161" s="285" t="n">
        <v>747.373</v>
      </c>
      <c r="BP161" s="324"/>
      <c r="BR161" s="290" t="n">
        <f aca="false">AR161*1000/0.072</f>
        <v>0</v>
      </c>
      <c r="BS161" s="290" t="n">
        <f aca="false">AT161*1000/0.072</f>
        <v>2625000</v>
      </c>
      <c r="BT161" s="290" t="n">
        <f aca="false">AU161*1000/0.072</f>
        <v>13888.8888888889</v>
      </c>
      <c r="BU161" s="290" t="n">
        <f aca="false">SUM(BR161:BT161)</f>
        <v>2638888.88888889</v>
      </c>
      <c r="BV161" s="290" t="n">
        <f aca="false">AV161*1000/5</f>
        <v>0</v>
      </c>
      <c r="BW161" s="290" t="n">
        <f aca="false">AX161*1000/5</f>
        <v>3000</v>
      </c>
      <c r="BX161" s="290" t="n">
        <f aca="false">AY161*1000/5</f>
        <v>0</v>
      </c>
      <c r="BY161" s="290" t="n">
        <f aca="false">SUM(BV161:BX161)</f>
        <v>3000</v>
      </c>
      <c r="CA161" s="290" t="n">
        <f aca="false">IF($AM161="n",0,BR161)</f>
        <v>0</v>
      </c>
      <c r="CB161" s="290" t="n">
        <f aca="false">IF($AM161="n",0,BS161)</f>
        <v>2625000</v>
      </c>
      <c r="CC161" s="290" t="n">
        <f aca="false">IF($AM161="n",0,BT161)</f>
        <v>13888.8888888889</v>
      </c>
      <c r="CD161" s="290" t="n">
        <f aca="false">SUM(CA161:CC161)</f>
        <v>2638888.88888889</v>
      </c>
      <c r="CE161" s="290" t="n">
        <f aca="false">IF($AM$2="n",0,BV161)</f>
        <v>0</v>
      </c>
      <c r="CF161" s="290" t="n">
        <f aca="false">IF($AM$2="n",0,BW161)</f>
        <v>3000</v>
      </c>
      <c r="CG161" s="290" t="n">
        <f aca="false">IF($AM$2="n",0,BX161)</f>
        <v>0</v>
      </c>
      <c r="CH161" s="290" t="n">
        <f aca="false">SUM(CE161:CG161)</f>
        <v>3000</v>
      </c>
      <c r="CJ161" s="324"/>
      <c r="CK161" s="324"/>
      <c r="CL161" s="324"/>
      <c r="CM161" s="324"/>
      <c r="CN161" s="324"/>
      <c r="CO161" s="324"/>
      <c r="CP161" s="324"/>
      <c r="CQ161" s="324"/>
      <c r="CR161" s="324"/>
      <c r="CS161" s="324"/>
      <c r="CT161" s="324"/>
      <c r="CU161" s="324"/>
      <c r="CV161" s="324"/>
      <c r="CW161" s="324"/>
      <c r="CX161" s="324"/>
      <c r="CY161" s="324"/>
      <c r="CZ161" s="324"/>
      <c r="DA161" s="324"/>
      <c r="DB161" s="324"/>
      <c r="DC161" s="324"/>
      <c r="DD161" s="324"/>
      <c r="DE161" s="324"/>
      <c r="DF161" s="324"/>
      <c r="DG161" s="324"/>
      <c r="DH161" s="324"/>
      <c r="DI161" s="324"/>
      <c r="DJ161" s="324"/>
      <c r="DK161" s="324"/>
      <c r="DL161" s="330"/>
      <c r="DM161" s="330"/>
      <c r="DN161" s="330"/>
      <c r="DO161" s="330"/>
      <c r="DP161" s="330"/>
      <c r="DQ161" s="330"/>
      <c r="DR161" s="330"/>
      <c r="DS161" s="330"/>
      <c r="DT161" s="330"/>
      <c r="DU161" s="330"/>
      <c r="DV161" s="330"/>
      <c r="DW161" s="330"/>
      <c r="DX161" s="330"/>
      <c r="DY161" s="330"/>
      <c r="DZ161" s="330"/>
      <c r="EA161" s="330"/>
      <c r="EB161" s="330"/>
      <c r="EC161" s="330"/>
      <c r="ED161" s="330"/>
      <c r="EE161" s="330"/>
      <c r="EF161" s="330"/>
      <c r="EG161" s="330"/>
      <c r="EH161" s="330"/>
      <c r="EI161" s="330"/>
      <c r="EJ161" s="330"/>
      <c r="EK161" s="330"/>
      <c r="EL161" s="330"/>
      <c r="EM161" s="330"/>
      <c r="EN161" s="330"/>
      <c r="EO161" s="330"/>
      <c r="EP161" s="330"/>
      <c r="EQ161" s="330"/>
      <c r="ER161" s="330"/>
      <c r="ES161" s="330"/>
      <c r="ET161" s="330"/>
      <c r="EU161" s="330"/>
      <c r="EV161" s="330"/>
      <c r="EW161" s="330"/>
      <c r="EX161" s="330"/>
      <c r="EY161" s="330"/>
      <c r="EZ161" s="330"/>
      <c r="FA161" s="330"/>
      <c r="FB161" s="330"/>
      <c r="FC161" s="330"/>
      <c r="FD161" s="330"/>
      <c r="FE161" s="330"/>
      <c r="FF161" s="330"/>
      <c r="FG161" s="330"/>
      <c r="FH161" s="330"/>
      <c r="FI161" s="330"/>
      <c r="FJ161" s="330"/>
      <c r="FK161" s="330"/>
      <c r="FL161" s="330"/>
      <c r="FM161" s="330"/>
      <c r="FN161" s="330"/>
      <c r="FO161" s="330"/>
      <c r="FP161" s="330"/>
      <c r="FQ161" s="330"/>
      <c r="FR161" s="330"/>
      <c r="FS161" s="330"/>
      <c r="FT161" s="330"/>
      <c r="FU161" s="330"/>
      <c r="FV161" s="330"/>
      <c r="FW161" s="330"/>
      <c r="FX161" s="330"/>
      <c r="FY161" s="330"/>
      <c r="FZ161" s="330"/>
      <c r="GA161" s="330"/>
      <c r="GB161" s="330"/>
      <c r="GC161" s="330"/>
      <c r="GD161" s="330"/>
      <c r="GE161" s="330"/>
      <c r="GF161" s="330"/>
      <c r="GG161" s="330"/>
      <c r="GH161" s="330"/>
      <c r="GI161" s="330"/>
      <c r="GJ161" s="330"/>
      <c r="GK161" s="330"/>
      <c r="GL161" s="330"/>
      <c r="GM161" s="330"/>
      <c r="GN161" s="330"/>
      <c r="GO161" s="330"/>
      <c r="GP161" s="330"/>
      <c r="GQ161" s="330"/>
      <c r="GR161" s="330"/>
      <c r="GS161" s="330"/>
      <c r="GT161" s="330"/>
      <c r="GU161" s="330"/>
      <c r="GV161" s="330"/>
      <c r="GW161" s="330"/>
      <c r="GX161" s="330"/>
      <c r="GY161" s="330"/>
      <c r="GZ161" s="330"/>
      <c r="HA161" s="330"/>
      <c r="HB161" s="330"/>
      <c r="HC161" s="330"/>
      <c r="HD161" s="330"/>
      <c r="HE161" s="330"/>
      <c r="HF161" s="330"/>
      <c r="HG161" s="330"/>
      <c r="HH161" s="330"/>
      <c r="HI161" s="330"/>
      <c r="HJ161" s="330"/>
      <c r="HK161" s="330"/>
      <c r="HL161" s="330"/>
      <c r="HM161" s="330"/>
      <c r="HN161" s="330"/>
      <c r="HO161" s="330"/>
      <c r="HP161" s="330"/>
      <c r="HQ161" s="330"/>
      <c r="HR161" s="330"/>
      <c r="HS161" s="330"/>
      <c r="HT161" s="330"/>
      <c r="HU161" s="330"/>
      <c r="HV161" s="330"/>
      <c r="HW161" s="330"/>
      <c r="HX161" s="330"/>
      <c r="HY161" s="330"/>
      <c r="HZ161" s="330"/>
      <c r="IA161" s="330"/>
      <c r="IB161" s="330"/>
      <c r="IC161" s="330"/>
      <c r="ID161" s="330"/>
      <c r="IE161" s="330"/>
      <c r="IF161" s="330"/>
      <c r="IG161" s="330"/>
      <c r="IH161" s="330"/>
      <c r="II161" s="330"/>
      <c r="IJ161" s="330"/>
      <c r="IK161" s="330"/>
      <c r="IL161" s="330"/>
      <c r="IM161" s="330"/>
      <c r="IN161" s="330"/>
      <c r="IO161" s="330"/>
      <c r="IP161" s="330"/>
      <c r="IQ161" s="330"/>
      <c r="IR161" s="330"/>
      <c r="IS161" s="330"/>
      <c r="IT161" s="330"/>
      <c r="IU161" s="330"/>
      <c r="IV161" s="330"/>
      <c r="IW161" s="330"/>
    </row>
    <row r="162" customFormat="false" ht="15" hidden="false" customHeight="true" outlineLevel="0" collapsed="false">
      <c r="A162" s="298" t="n">
        <v>4669</v>
      </c>
      <c r="B162" s="298"/>
      <c r="C162" s="299" t="s">
        <v>753</v>
      </c>
      <c r="D162" s="293" t="s">
        <v>753</v>
      </c>
      <c r="E162" s="288" t="n">
        <f aca="false">IF(I162="regional",IF(R162*0.2975,S162*0.3484),S162*0.1939)</f>
        <v>0</v>
      </c>
      <c r="F162" s="294"/>
      <c r="G162" s="289" t="n">
        <f aca="false">E162+F162</f>
        <v>0</v>
      </c>
      <c r="H162" s="299"/>
      <c r="I162" s="293" t="s">
        <v>718</v>
      </c>
      <c r="J162" s="293"/>
      <c r="K162" s="293"/>
      <c r="L162" s="293"/>
      <c r="M162" s="320"/>
      <c r="N162" s="320"/>
      <c r="O162" s="320"/>
      <c r="P162" s="320"/>
      <c r="Q162" s="320"/>
      <c r="R162" s="320"/>
      <c r="S162" s="352"/>
      <c r="T162" s="318" t="n">
        <f aca="false">IF(I162="regional",IF(R162&gt;0,R162*0.2975,S162*0.3484),S162*0.1939)</f>
        <v>0</v>
      </c>
      <c r="U162" s="320"/>
      <c r="V162" s="320"/>
      <c r="W162" s="320"/>
      <c r="X162" s="320"/>
      <c r="Y162" s="320"/>
      <c r="Z162" s="320"/>
      <c r="AA162" s="320"/>
      <c r="AB162" s="320"/>
      <c r="AC162" s="320"/>
      <c r="AD162" s="320"/>
      <c r="AE162" s="320"/>
      <c r="AF162" s="320"/>
      <c r="AG162" s="320"/>
      <c r="AH162" s="320"/>
      <c r="AI162" s="320"/>
      <c r="AJ162" s="299" t="s">
        <v>707</v>
      </c>
      <c r="AK162" s="299" t="s">
        <v>712</v>
      </c>
      <c r="AL162" s="328" t="s">
        <v>718</v>
      </c>
      <c r="AM162" s="299"/>
      <c r="AN162" s="328" t="s">
        <v>753</v>
      </c>
      <c r="AO162" s="328" t="n">
        <v>0</v>
      </c>
      <c r="AP162" s="329" t="n">
        <v>0</v>
      </c>
      <c r="AQ162" s="319" t="n">
        <f aca="false">AR162+AT162+AU162+AV162+AX162+AY162+AZ162+BB162+BC162+BD162+BF162+BG162+BH162+BJ162+BK162+(BL162+BM162+BN162)/1000+(0.1*BO162)</f>
        <v>225</v>
      </c>
      <c r="AR162" s="185" t="n">
        <v>0</v>
      </c>
      <c r="AS162" s="185" t="n">
        <v>0</v>
      </c>
      <c r="AT162" s="185" t="n">
        <v>210</v>
      </c>
      <c r="AU162" s="185" t="n">
        <v>0</v>
      </c>
      <c r="AV162" s="185" t="n">
        <v>0</v>
      </c>
      <c r="AW162" s="185" t="n">
        <v>0</v>
      </c>
      <c r="AX162" s="185" t="n">
        <v>10</v>
      </c>
      <c r="AY162" s="185" t="n">
        <v>0</v>
      </c>
      <c r="AZ162" s="185" t="n">
        <v>0</v>
      </c>
      <c r="BA162" s="185" t="n">
        <v>0</v>
      </c>
      <c r="BB162" s="185" t="n">
        <v>5</v>
      </c>
      <c r="BC162" s="185" t="n">
        <v>0</v>
      </c>
      <c r="BD162" s="291" t="n">
        <v>0</v>
      </c>
      <c r="BE162" s="291" t="n">
        <v>0</v>
      </c>
      <c r="BF162" s="291" t="n">
        <v>0</v>
      </c>
      <c r="BG162" s="291" t="n">
        <v>0</v>
      </c>
      <c r="BH162" s="291" t="n">
        <v>0</v>
      </c>
      <c r="BI162" s="291" t="n">
        <v>0</v>
      </c>
      <c r="BJ162" s="291" t="n">
        <v>0</v>
      </c>
      <c r="BK162" s="291" t="n">
        <v>0</v>
      </c>
      <c r="BL162" s="185" t="n">
        <v>0</v>
      </c>
      <c r="BM162" s="185" t="n">
        <v>0</v>
      </c>
      <c r="BN162" s="185" t="n">
        <v>0</v>
      </c>
      <c r="BO162" s="165"/>
      <c r="BR162" s="290" t="n">
        <f aca="false">AR162*1000/0.072</f>
        <v>0</v>
      </c>
      <c r="BS162" s="290" t="n">
        <f aca="false">AT162*1000/0.072</f>
        <v>2916666.66666667</v>
      </c>
      <c r="BT162" s="290" t="n">
        <f aca="false">AU162*1000/0.072</f>
        <v>0</v>
      </c>
      <c r="BU162" s="290" t="n">
        <f aca="false">SUM(BR162:BT162)</f>
        <v>2916666.66666667</v>
      </c>
      <c r="BV162" s="290" t="n">
        <f aca="false">AV162*1000/5</f>
        <v>0</v>
      </c>
      <c r="BW162" s="290" t="n">
        <f aca="false">AX162*1000/5</f>
        <v>2000</v>
      </c>
      <c r="BX162" s="290" t="n">
        <f aca="false">AY162*1000/5</f>
        <v>0</v>
      </c>
      <c r="BY162" s="290" t="n">
        <f aca="false">SUM(BV162:BX162)</f>
        <v>2000</v>
      </c>
      <c r="CA162" s="290" t="n">
        <f aca="false">IF($AM162="n",0,BR162)</f>
        <v>0</v>
      </c>
      <c r="CB162" s="290" t="n">
        <f aca="false">IF($AM162="n",0,BS162)</f>
        <v>2916666.66666667</v>
      </c>
      <c r="CC162" s="290" t="n">
        <f aca="false">IF($AM162="n",0,BT162)</f>
        <v>0</v>
      </c>
      <c r="CD162" s="290" t="n">
        <f aca="false">SUM(CA162:CC162)</f>
        <v>2916666.66666667</v>
      </c>
      <c r="CE162" s="290" t="n">
        <f aca="false">IF($AM$2="n",0,BV162)</f>
        <v>0</v>
      </c>
      <c r="CF162" s="290" t="n">
        <f aca="false">IF($AM$2="n",0,BW162)</f>
        <v>2000</v>
      </c>
      <c r="CG162" s="290" t="n">
        <f aca="false">IF($AM$2="n",0,BX162)</f>
        <v>0</v>
      </c>
      <c r="CH162" s="290" t="n">
        <f aca="false">SUM(CE162:CG162)</f>
        <v>2000</v>
      </c>
    </row>
    <row r="163" customFormat="false" ht="15" hidden="false" customHeight="true" outlineLevel="0" collapsed="false">
      <c r="A163" s="298" t="n">
        <v>2905</v>
      </c>
      <c r="B163" s="298" t="s">
        <v>44</v>
      </c>
      <c r="C163" s="299" t="s">
        <v>438</v>
      </c>
      <c r="D163" s="287" t="s">
        <v>438</v>
      </c>
      <c r="E163" s="288" t="n">
        <f aca="false">IF(I163="regional",IF(R163*0.2975,S163*0.3484),S163*0.1939)</f>
        <v>0</v>
      </c>
      <c r="F163" s="288" t="n">
        <v>0</v>
      </c>
      <c r="G163" s="289" t="n">
        <f aca="false">E163+F163</f>
        <v>0</v>
      </c>
      <c r="H163" s="299" t="s">
        <v>49</v>
      </c>
      <c r="I163" s="287" t="s">
        <v>48</v>
      </c>
      <c r="J163" s="287"/>
      <c r="K163" s="287"/>
      <c r="L163" s="287" t="s">
        <v>44</v>
      </c>
      <c r="M163" s="317" t="n">
        <v>0</v>
      </c>
      <c r="N163" s="317" t="n">
        <v>0</v>
      </c>
      <c r="O163" s="317" t="n">
        <v>0</v>
      </c>
      <c r="P163" s="317" t="n">
        <v>0</v>
      </c>
      <c r="Q163" s="317" t="n">
        <v>0</v>
      </c>
      <c r="R163" s="317" t="n">
        <v>699931</v>
      </c>
      <c r="S163" s="317" t="n">
        <v>0</v>
      </c>
      <c r="T163" s="318" t="n">
        <f aca="false">IF(I163="regional",IF(R163&gt;0,R163*0.2975,S163*0.3484),S163*0.1939)</f>
        <v>208229.4725</v>
      </c>
      <c r="U163" s="317" t="n">
        <v>0</v>
      </c>
      <c r="V163" s="317" t="n">
        <v>0</v>
      </c>
      <c r="W163" s="317" t="n">
        <v>0</v>
      </c>
      <c r="X163" s="317" t="n">
        <v>0</v>
      </c>
      <c r="Y163" s="317" t="n">
        <v>0</v>
      </c>
      <c r="Z163" s="317" t="n">
        <v>0</v>
      </c>
      <c r="AA163" s="317" t="n">
        <v>0</v>
      </c>
      <c r="AB163" s="317" t="n">
        <v>0</v>
      </c>
      <c r="AC163" s="317" t="n">
        <v>0</v>
      </c>
      <c r="AD163" s="317" t="n">
        <v>0</v>
      </c>
      <c r="AE163" s="317" t="n">
        <v>0</v>
      </c>
      <c r="AF163" s="317" t="n">
        <v>0</v>
      </c>
      <c r="AG163" s="317" t="n">
        <v>0</v>
      </c>
      <c r="AH163" s="317" t="n">
        <v>308000</v>
      </c>
      <c r="AI163" s="317" t="n">
        <v>314000</v>
      </c>
      <c r="AJ163" s="292" t="s">
        <v>707</v>
      </c>
      <c r="AK163" s="292" t="s">
        <v>729</v>
      </c>
      <c r="AL163" s="328" t="s">
        <v>48</v>
      </c>
      <c r="AM163" s="299" t="s">
        <v>49</v>
      </c>
      <c r="AN163" s="328" t="s">
        <v>438</v>
      </c>
      <c r="AO163" s="328" t="n">
        <v>0</v>
      </c>
      <c r="AP163" s="329" t="n">
        <v>0</v>
      </c>
      <c r="AQ163" s="319" t="n">
        <f aca="false">AR163+AT163+AU163+AV163+AX163+AY163+AZ163+BB163+BC163+BD163+BF163+BG163+BH163+BJ163+BK163+(BL163+BM163+BN163)/1000+(0.1*BO163)</f>
        <v>130.4386</v>
      </c>
      <c r="AR163" s="188" t="n">
        <v>33</v>
      </c>
      <c r="AS163" s="188" t="n">
        <v>314</v>
      </c>
      <c r="AT163" s="188" t="n">
        <v>45</v>
      </c>
      <c r="AU163" s="188" t="n">
        <v>10</v>
      </c>
      <c r="AV163" s="188" t="n">
        <v>0</v>
      </c>
      <c r="AW163" s="188" t="n">
        <v>0</v>
      </c>
      <c r="AX163" s="188" t="n">
        <v>0</v>
      </c>
      <c r="AY163" s="188" t="n">
        <v>1</v>
      </c>
      <c r="AZ163" s="188" t="n">
        <v>0</v>
      </c>
      <c r="BA163" s="188" t="n">
        <v>29</v>
      </c>
      <c r="BB163" s="188" t="n">
        <v>12</v>
      </c>
      <c r="BC163" s="188" t="n">
        <v>1</v>
      </c>
      <c r="BD163" s="351" t="n">
        <v>0</v>
      </c>
      <c r="BE163" s="351" t="n">
        <v>0</v>
      </c>
      <c r="BF163" s="351" t="n">
        <v>0</v>
      </c>
      <c r="BG163" s="351" t="n">
        <v>0</v>
      </c>
      <c r="BH163" s="188" t="n">
        <v>0</v>
      </c>
      <c r="BI163" s="188" t="n">
        <v>3</v>
      </c>
      <c r="BJ163" s="188" t="n">
        <v>0</v>
      </c>
      <c r="BK163" s="188" t="n">
        <v>0</v>
      </c>
      <c r="BL163" s="291" t="n">
        <f aca="false">-BM1665</f>
        <v>-0</v>
      </c>
      <c r="BM163" s="291" t="n">
        <v>9000</v>
      </c>
      <c r="BN163" s="291" t="n">
        <v>5000</v>
      </c>
      <c r="BO163" s="291" t="n">
        <v>144.386</v>
      </c>
      <c r="BR163" s="290" t="n">
        <f aca="false">AR163*1000/0.072</f>
        <v>458333.333333333</v>
      </c>
      <c r="BS163" s="290" t="n">
        <f aca="false">AT163*1000/0.072</f>
        <v>625000</v>
      </c>
      <c r="BT163" s="290" t="n">
        <f aca="false">AU163*1000/0.072</f>
        <v>138888.888888889</v>
      </c>
      <c r="BU163" s="290" t="n">
        <f aca="false">SUM(BR163:BT163)</f>
        <v>1222222.22222222</v>
      </c>
      <c r="BV163" s="290" t="n">
        <f aca="false">AV163*1000/5</f>
        <v>0</v>
      </c>
      <c r="BW163" s="290" t="n">
        <f aca="false">AX163*1000/5</f>
        <v>0</v>
      </c>
      <c r="BX163" s="290" t="n">
        <f aca="false">AY163*1000/5</f>
        <v>200</v>
      </c>
      <c r="BY163" s="290" t="n">
        <f aca="false">SUM(BV163:BX163)</f>
        <v>200</v>
      </c>
      <c r="CA163" s="290" t="n">
        <f aca="false">IF($AM163="n",0,BR163)</f>
        <v>0</v>
      </c>
      <c r="CB163" s="290" t="n">
        <f aca="false">IF($AM163="n",0,BS163)</f>
        <v>0</v>
      </c>
      <c r="CC163" s="290" t="n">
        <f aca="false">IF($AM163="n",0,BT163)</f>
        <v>0</v>
      </c>
      <c r="CD163" s="290" t="n">
        <f aca="false">SUM(CA163:CC163)</f>
        <v>0</v>
      </c>
      <c r="CE163" s="290" t="n">
        <f aca="false">IF($AM$2="n",0,BV163)</f>
        <v>0</v>
      </c>
      <c r="CF163" s="290" t="n">
        <f aca="false">IF($AM$2="n",0,BW163)</f>
        <v>0</v>
      </c>
      <c r="CG163" s="290" t="n">
        <f aca="false">IF($AM$2="n",0,BX163)</f>
        <v>200</v>
      </c>
      <c r="CH163" s="290" t="n">
        <f aca="false">SUM(CE163:CG163)</f>
        <v>200</v>
      </c>
    </row>
    <row r="164" customFormat="false" ht="15" hidden="false" customHeight="true" outlineLevel="0" collapsed="false">
      <c r="A164" s="298" t="n">
        <v>4832</v>
      </c>
      <c r="B164" s="298"/>
      <c r="C164" s="299" t="s">
        <v>439</v>
      </c>
      <c r="D164" s="287" t="s">
        <v>439</v>
      </c>
      <c r="E164" s="288" t="n">
        <f aca="false">IF(I164="regional",IF(R164*0.2975,S164*0.3484),S164*0.1939)</f>
        <v>303108</v>
      </c>
      <c r="F164" s="288" t="n">
        <v>0</v>
      </c>
      <c r="G164" s="289" t="n">
        <f aca="false">E164+F164</f>
        <v>303108</v>
      </c>
      <c r="H164" s="299"/>
      <c r="I164" s="287" t="s">
        <v>48</v>
      </c>
      <c r="J164" s="287" t="s">
        <v>49</v>
      </c>
      <c r="K164" s="287" t="s">
        <v>345</v>
      </c>
      <c r="L164" s="287"/>
      <c r="M164" s="317" t="n">
        <v>113</v>
      </c>
      <c r="N164" s="317" t="n">
        <v>0.971</v>
      </c>
      <c r="O164" s="317" t="n">
        <v>0.96</v>
      </c>
      <c r="P164" s="317" t="n">
        <v>0.925</v>
      </c>
      <c r="Q164" s="317" t="n">
        <v>0.952</v>
      </c>
      <c r="R164" s="317" t="n">
        <v>999838</v>
      </c>
      <c r="S164" s="317" t="n">
        <v>870000</v>
      </c>
      <c r="T164" s="318" t="n">
        <f aca="false">IF(I164="regional",IF(R164&gt;0,R164*0.2975,S164*0.3484),S164*0.1939)</f>
        <v>297451.805</v>
      </c>
      <c r="U164" s="317" t="n">
        <v>596500</v>
      </c>
      <c r="V164" s="317" t="n">
        <v>273500</v>
      </c>
      <c r="W164" s="317" t="n">
        <v>4700</v>
      </c>
      <c r="X164" s="317" t="n">
        <v>0</v>
      </c>
      <c r="Y164" s="317" t="n">
        <v>0</v>
      </c>
      <c r="Z164" s="317" t="n">
        <v>0</v>
      </c>
      <c r="AA164" s="317" t="n">
        <v>1167451.805</v>
      </c>
      <c r="AB164" s="317" t="n">
        <v>297451.805</v>
      </c>
      <c r="AC164" s="317" t="n">
        <v>870000</v>
      </c>
      <c r="AD164" s="317" t="n">
        <v>0</v>
      </c>
      <c r="AE164" s="317" t="n">
        <v>0</v>
      </c>
      <c r="AF164" s="317" t="n">
        <v>0</v>
      </c>
      <c r="AG164" s="317" t="n">
        <v>870000</v>
      </c>
      <c r="AH164" s="317" t="n">
        <v>0</v>
      </c>
      <c r="AI164" s="317" t="n">
        <v>0</v>
      </c>
      <c r="AJ164" s="299" t="s">
        <v>715</v>
      </c>
      <c r="AK164" s="299" t="s">
        <v>716</v>
      </c>
      <c r="AL164" s="328" t="s">
        <v>48</v>
      </c>
      <c r="AM164" s="299"/>
      <c r="AN164" s="328" t="s">
        <v>439</v>
      </c>
      <c r="AO164" s="328" t="n">
        <v>297451.805</v>
      </c>
      <c r="AP164" s="322" t="n">
        <f aca="false">AR164+AT164+AU164+AV164+AX164+AY164+AZ164+BD164+BF164+BG164+BH164+BJ164+BK164+(BL164+BM164+BN164)/1000+(0.1*BO164)</f>
        <v>253.6383</v>
      </c>
      <c r="AQ164" s="319" t="n">
        <f aca="false">AR164+AT164+AU164+AV164+AX164+AY164+AZ164+BB164+BC164+BD164+BF164+BG164+BH164+BJ164+BK164+(BL164+BM164+BN164)/1000+(0.1*BO164)</f>
        <v>294.6383</v>
      </c>
      <c r="AR164" s="291" t="n">
        <v>0</v>
      </c>
      <c r="AS164" s="291" t="n">
        <v>0</v>
      </c>
      <c r="AT164" s="291" t="n">
        <v>242</v>
      </c>
      <c r="AU164" s="291" t="n">
        <v>5</v>
      </c>
      <c r="AV164" s="291" t="n">
        <v>0</v>
      </c>
      <c r="AW164" s="291" t="n">
        <v>0</v>
      </c>
      <c r="AX164" s="291" t="n">
        <v>0</v>
      </c>
      <c r="AY164" s="291" t="n">
        <v>0</v>
      </c>
      <c r="AZ164" s="291" t="n">
        <v>0</v>
      </c>
      <c r="BA164" s="291" t="n">
        <v>0</v>
      </c>
      <c r="BB164" s="291" t="n">
        <v>40</v>
      </c>
      <c r="BC164" s="291" t="n">
        <v>1</v>
      </c>
      <c r="BD164" s="291" t="n">
        <v>0</v>
      </c>
      <c r="BE164" s="291" t="n">
        <v>1</v>
      </c>
      <c r="BF164" s="291" t="n">
        <v>0</v>
      </c>
      <c r="BG164" s="291" t="n">
        <v>0</v>
      </c>
      <c r="BH164" s="291" t="n">
        <v>4</v>
      </c>
      <c r="BI164" s="291" t="n">
        <v>0</v>
      </c>
      <c r="BJ164" s="291" t="n">
        <v>0</v>
      </c>
      <c r="BK164" s="291" t="n">
        <v>0</v>
      </c>
      <c r="BL164" s="291" t="n">
        <v>0</v>
      </c>
      <c r="BM164" s="291" t="n">
        <v>0</v>
      </c>
      <c r="BN164" s="291" t="n">
        <v>0</v>
      </c>
      <c r="BO164" s="291" t="n">
        <v>26.383</v>
      </c>
      <c r="BP164" s="324"/>
      <c r="BR164" s="290" t="n">
        <f aca="false">AR164*1000/0.072</f>
        <v>0</v>
      </c>
      <c r="BS164" s="290" t="n">
        <f aca="false">AT164*1000/0.072</f>
        <v>3361111.11111111</v>
      </c>
      <c r="BT164" s="290" t="n">
        <f aca="false">AU164*1000/0.072</f>
        <v>69444.4444444445</v>
      </c>
      <c r="BU164" s="290" t="n">
        <f aca="false">SUM(BR164:BT164)</f>
        <v>3430555.55555556</v>
      </c>
      <c r="BV164" s="290" t="n">
        <f aca="false">AV164*1000/5</f>
        <v>0</v>
      </c>
      <c r="BW164" s="290" t="n">
        <f aca="false">AX164*1000/5</f>
        <v>0</v>
      </c>
      <c r="BX164" s="290" t="n">
        <f aca="false">AY164*1000/5</f>
        <v>0</v>
      </c>
      <c r="BY164" s="290" t="n">
        <f aca="false">SUM(BV164:BX164)</f>
        <v>0</v>
      </c>
      <c r="CA164" s="290" t="n">
        <f aca="false">IF($AM164="n",0,BR164)</f>
        <v>0</v>
      </c>
      <c r="CB164" s="290" t="n">
        <f aca="false">IF($AM164="n",0,BS164)</f>
        <v>3361111.11111111</v>
      </c>
      <c r="CC164" s="290" t="n">
        <f aca="false">IF($AM164="n",0,BT164)</f>
        <v>69444.4444444445</v>
      </c>
      <c r="CD164" s="290" t="n">
        <f aca="false">SUM(CA164:CC164)</f>
        <v>3430555.55555556</v>
      </c>
      <c r="CE164" s="290" t="n">
        <f aca="false">IF($AM$2="n",0,BV164)</f>
        <v>0</v>
      </c>
      <c r="CF164" s="290" t="n">
        <f aca="false">IF($AM$2="n",0,BW164)</f>
        <v>0</v>
      </c>
      <c r="CG164" s="290" t="n">
        <f aca="false">IF($AM$2="n",0,BX164)</f>
        <v>0</v>
      </c>
      <c r="CH164" s="290" t="n">
        <f aca="false">SUM(CE164:CG164)</f>
        <v>0</v>
      </c>
      <c r="CJ164" s="324"/>
      <c r="CK164" s="324"/>
      <c r="CL164" s="324"/>
      <c r="CM164" s="324"/>
      <c r="CN164" s="324"/>
      <c r="CO164" s="324"/>
      <c r="CP164" s="324"/>
      <c r="CQ164" s="324"/>
      <c r="CR164" s="324"/>
      <c r="CS164" s="324"/>
      <c r="CT164" s="324"/>
      <c r="CU164" s="324"/>
      <c r="CV164" s="324"/>
      <c r="CW164" s="324"/>
      <c r="CX164" s="324"/>
      <c r="CY164" s="324"/>
      <c r="CZ164" s="324"/>
      <c r="DA164" s="324"/>
      <c r="DB164" s="324"/>
      <c r="DC164" s="324"/>
      <c r="DD164" s="324"/>
      <c r="DE164" s="324"/>
      <c r="DF164" s="324"/>
      <c r="DG164" s="324"/>
      <c r="DH164" s="324"/>
      <c r="DI164" s="324"/>
      <c r="DJ164" s="324"/>
      <c r="DK164" s="324"/>
      <c r="DL164" s="324"/>
      <c r="DM164" s="324"/>
      <c r="DN164" s="324"/>
      <c r="DO164" s="324"/>
      <c r="DP164" s="324"/>
      <c r="DQ164" s="324"/>
      <c r="DR164" s="324"/>
      <c r="DS164" s="324"/>
      <c r="DT164" s="324"/>
      <c r="DU164" s="324"/>
      <c r="DV164" s="324"/>
      <c r="DW164" s="324"/>
      <c r="DX164" s="324"/>
      <c r="DY164" s="324"/>
      <c r="DZ164" s="324"/>
      <c r="EA164" s="324"/>
      <c r="EB164" s="324"/>
      <c r="EC164" s="324"/>
      <c r="ED164" s="324"/>
      <c r="EE164" s="324"/>
      <c r="EF164" s="324"/>
      <c r="EG164" s="324"/>
      <c r="EH164" s="324"/>
      <c r="EI164" s="324"/>
      <c r="EJ164" s="324"/>
      <c r="EK164" s="324"/>
      <c r="EL164" s="324"/>
      <c r="EM164" s="324"/>
      <c r="EN164" s="324"/>
      <c r="EO164" s="324"/>
      <c r="EP164" s="324"/>
      <c r="EQ164" s="324"/>
      <c r="ER164" s="324"/>
      <c r="ES164" s="324"/>
      <c r="ET164" s="324"/>
      <c r="EU164" s="324"/>
      <c r="EV164" s="324"/>
      <c r="EW164" s="324"/>
      <c r="EX164" s="324"/>
      <c r="EY164" s="324"/>
      <c r="EZ164" s="324"/>
      <c r="FA164" s="324"/>
      <c r="FB164" s="324"/>
      <c r="FC164" s="324"/>
      <c r="FD164" s="324"/>
      <c r="FE164" s="324"/>
      <c r="FF164" s="324"/>
      <c r="FG164" s="324"/>
      <c r="FH164" s="324"/>
      <c r="FI164" s="324"/>
      <c r="FJ164" s="324"/>
      <c r="FK164" s="324"/>
      <c r="FL164" s="324"/>
      <c r="FM164" s="324"/>
      <c r="FN164" s="324"/>
      <c r="FO164" s="324"/>
      <c r="FP164" s="324"/>
      <c r="FQ164" s="324"/>
      <c r="FR164" s="324"/>
      <c r="FS164" s="324"/>
      <c r="FT164" s="324"/>
      <c r="FU164" s="324"/>
      <c r="FV164" s="324"/>
      <c r="FW164" s="324"/>
      <c r="FX164" s="324"/>
      <c r="FY164" s="324"/>
      <c r="FZ164" s="324"/>
      <c r="GA164" s="324"/>
      <c r="GB164" s="324"/>
      <c r="GC164" s="324"/>
      <c r="GD164" s="324"/>
      <c r="GE164" s="324"/>
      <c r="GF164" s="324"/>
      <c r="GG164" s="324"/>
      <c r="GH164" s="324"/>
      <c r="GI164" s="324"/>
      <c r="GJ164" s="324"/>
      <c r="GK164" s="324"/>
      <c r="GL164" s="324"/>
      <c r="GM164" s="324"/>
      <c r="GN164" s="324"/>
      <c r="GO164" s="324"/>
      <c r="GP164" s="324"/>
      <c r="GQ164" s="324"/>
      <c r="GR164" s="324"/>
      <c r="GS164" s="324"/>
      <c r="GT164" s="324"/>
      <c r="GU164" s="324"/>
      <c r="GV164" s="324"/>
      <c r="GW164" s="324"/>
      <c r="GX164" s="324"/>
      <c r="GY164" s="324"/>
      <c r="GZ164" s="324"/>
      <c r="HA164" s="324"/>
      <c r="HB164" s="324"/>
      <c r="HC164" s="324"/>
      <c r="HD164" s="324"/>
      <c r="HE164" s="324"/>
      <c r="HF164" s="324"/>
      <c r="HG164" s="324"/>
      <c r="HH164" s="324"/>
      <c r="HI164" s="324"/>
      <c r="HJ164" s="324"/>
      <c r="HK164" s="324"/>
      <c r="HL164" s="324"/>
      <c r="HM164" s="324"/>
      <c r="HN164" s="324"/>
      <c r="HO164" s="324"/>
      <c r="HP164" s="324"/>
      <c r="HQ164" s="324"/>
      <c r="HR164" s="324"/>
      <c r="HS164" s="324"/>
      <c r="HT164" s="324"/>
      <c r="HU164" s="324"/>
      <c r="HV164" s="324"/>
      <c r="HW164" s="324"/>
      <c r="HX164" s="324"/>
      <c r="HY164" s="324"/>
      <c r="HZ164" s="324"/>
      <c r="IA164" s="324"/>
      <c r="IB164" s="324"/>
      <c r="IC164" s="324"/>
      <c r="ID164" s="324"/>
      <c r="IE164" s="324"/>
      <c r="IF164" s="324"/>
      <c r="IG164" s="324"/>
      <c r="IH164" s="324"/>
      <c r="II164" s="324"/>
      <c r="IJ164" s="324"/>
      <c r="IK164" s="324"/>
      <c r="IL164" s="324"/>
      <c r="IM164" s="324"/>
      <c r="IN164" s="324"/>
      <c r="IO164" s="324"/>
      <c r="IP164" s="324"/>
      <c r="IQ164" s="324"/>
      <c r="IR164" s="324"/>
      <c r="IS164" s="324"/>
      <c r="IT164" s="324"/>
      <c r="IU164" s="324"/>
      <c r="IV164" s="324"/>
      <c r="IW164" s="324"/>
    </row>
    <row r="165" customFormat="false" ht="15" hidden="false" customHeight="true" outlineLevel="0" collapsed="false">
      <c r="A165" s="298" t="n">
        <v>1625</v>
      </c>
      <c r="B165" s="298"/>
      <c r="C165" s="299" t="s">
        <v>441</v>
      </c>
      <c r="D165" s="293" t="s">
        <v>441</v>
      </c>
      <c r="E165" s="288" t="n">
        <f aca="false">IF(I165="regional",IF(R165*0.2975,S165*0.3484),S165*0.1939)</f>
        <v>48636.7126</v>
      </c>
      <c r="F165" s="294"/>
      <c r="G165" s="289" t="n">
        <f aca="false">E165+F165</f>
        <v>48636.7126</v>
      </c>
      <c r="H165" s="292"/>
      <c r="I165" s="293" t="s">
        <v>718</v>
      </c>
      <c r="J165" s="293"/>
      <c r="K165" s="293"/>
      <c r="L165" s="293"/>
      <c r="M165" s="320"/>
      <c r="N165" s="320"/>
      <c r="O165" s="320"/>
      <c r="P165" s="320"/>
      <c r="Q165" s="320"/>
      <c r="R165" s="320"/>
      <c r="S165" s="352" t="n">
        <v>250834</v>
      </c>
      <c r="T165" s="318" t="n">
        <f aca="false">IF(I165="regional",IF(R165&gt;0,R165*0.2975,S165*0.3484),S165*0.1939)</f>
        <v>48636.7126</v>
      </c>
      <c r="U165" s="320"/>
      <c r="V165" s="320"/>
      <c r="W165" s="320"/>
      <c r="X165" s="320"/>
      <c r="Y165" s="320"/>
      <c r="Z165" s="320"/>
      <c r="AA165" s="320"/>
      <c r="AB165" s="320"/>
      <c r="AC165" s="320"/>
      <c r="AD165" s="320"/>
      <c r="AE165" s="320"/>
      <c r="AF165" s="320"/>
      <c r="AG165" s="320"/>
      <c r="AH165" s="320"/>
      <c r="AI165" s="320"/>
      <c r="AJ165" s="292" t="n">
        <v>4</v>
      </c>
      <c r="AK165" s="292" t="s">
        <v>706</v>
      </c>
      <c r="AL165" s="328" t="s">
        <v>718</v>
      </c>
      <c r="AM165" s="292"/>
      <c r="AN165" s="321" t="s">
        <v>754</v>
      </c>
      <c r="AO165" s="328" t="n">
        <v>0</v>
      </c>
      <c r="AP165" s="322" t="n">
        <f aca="false">AR165+AT165+AU165+AV165+AX165+AY165+AZ165+BD165+BF165+BG165+BH165+BJ165+BK165+(BL165+BM165+BN165)/1000+(0.1*BO165)</f>
        <v>267.5</v>
      </c>
      <c r="AQ165" s="319" t="n">
        <f aca="false">AR165+AT165+AU165+AV165+AX165+AY165+AZ165+BB165+BC165+BD165+BF165+BG165+BH165+BJ165+BK165+(BL165+BM165+BN165)/1000+(0.1*BO165)</f>
        <v>289.5</v>
      </c>
      <c r="AR165" s="291" t="n">
        <v>0</v>
      </c>
      <c r="AS165" s="291" t="n">
        <v>0</v>
      </c>
      <c r="AT165" s="291" t="n">
        <v>232</v>
      </c>
      <c r="AU165" s="291" t="n">
        <v>-25</v>
      </c>
      <c r="AV165" s="291" t="n">
        <v>0</v>
      </c>
      <c r="AW165" s="291" t="n">
        <v>0</v>
      </c>
      <c r="AX165" s="291" t="n">
        <v>1</v>
      </c>
      <c r="AY165" s="291" t="n">
        <v>0</v>
      </c>
      <c r="AZ165" s="291" t="n">
        <v>0</v>
      </c>
      <c r="BA165" s="291" t="n">
        <v>0</v>
      </c>
      <c r="BB165" s="291" t="n">
        <v>2</v>
      </c>
      <c r="BC165" s="291" t="n">
        <v>20</v>
      </c>
      <c r="BD165" s="291" t="n">
        <v>0</v>
      </c>
      <c r="BE165" s="291" t="n">
        <v>0</v>
      </c>
      <c r="BF165" s="291" t="n">
        <v>0</v>
      </c>
      <c r="BG165" s="291" t="n">
        <v>0</v>
      </c>
      <c r="BH165" s="291" t="n">
        <v>35</v>
      </c>
      <c r="BI165" s="291" t="n">
        <v>0</v>
      </c>
      <c r="BJ165" s="291" t="n">
        <v>0</v>
      </c>
      <c r="BK165" s="291" t="n">
        <v>0</v>
      </c>
      <c r="BL165" s="291" t="n">
        <v>24500</v>
      </c>
      <c r="BM165" s="291" t="n">
        <v>0</v>
      </c>
      <c r="BN165" s="291" t="n">
        <v>0</v>
      </c>
      <c r="BO165" s="291" t="n">
        <v>0</v>
      </c>
      <c r="BR165" s="290" t="n">
        <f aca="false">AR165*1000/0.072</f>
        <v>0</v>
      </c>
      <c r="BS165" s="290" t="n">
        <f aca="false">AT165*1000/0.072</f>
        <v>3222222.22222222</v>
      </c>
      <c r="BT165" s="290" t="n">
        <f aca="false">AU165*1000/0.072</f>
        <v>-347222.222222222</v>
      </c>
      <c r="BU165" s="290" t="n">
        <f aca="false">SUM(BR165:BT165)</f>
        <v>2875000</v>
      </c>
      <c r="BV165" s="290" t="n">
        <f aca="false">AV165*1000/5</f>
        <v>0</v>
      </c>
      <c r="BW165" s="290" t="n">
        <f aca="false">AX165*1000/5</f>
        <v>200</v>
      </c>
      <c r="BX165" s="290" t="n">
        <f aca="false">AY165*1000/5</f>
        <v>0</v>
      </c>
      <c r="BY165" s="290" t="n">
        <f aca="false">SUM(BV165:BX165)</f>
        <v>200</v>
      </c>
      <c r="CA165" s="290" t="n">
        <f aca="false">IF($AM165="n",0,BR165)</f>
        <v>0</v>
      </c>
      <c r="CB165" s="290" t="n">
        <f aca="false">IF($AM165="n",0,BS165)</f>
        <v>3222222.22222222</v>
      </c>
      <c r="CC165" s="290" t="n">
        <f aca="false">IF($AM165="n",0,BT165)</f>
        <v>-347222.222222222</v>
      </c>
      <c r="CD165" s="290" t="n">
        <f aca="false">SUM(CA165:CC165)</f>
        <v>2875000</v>
      </c>
      <c r="CE165" s="290" t="n">
        <f aca="false">IF($AM$2="n",0,BV165)</f>
        <v>0</v>
      </c>
      <c r="CF165" s="290" t="n">
        <f aca="false">IF($AM$2="n",0,BW165)</f>
        <v>200</v>
      </c>
      <c r="CG165" s="290" t="n">
        <f aca="false">IF($AM$2="n",0,BX165)</f>
        <v>0</v>
      </c>
      <c r="CH165" s="290" t="n">
        <f aca="false">SUM(CE165:CG165)</f>
        <v>200</v>
      </c>
    </row>
    <row r="166" customFormat="false" ht="15" hidden="false" customHeight="true" outlineLevel="0" collapsed="false">
      <c r="A166" s="291" t="n">
        <v>1626</v>
      </c>
      <c r="B166" s="291"/>
      <c r="C166" s="292" t="s">
        <v>441</v>
      </c>
      <c r="D166" s="287" t="s">
        <v>441</v>
      </c>
      <c r="E166" s="288" t="n">
        <f aca="false">IF(I166="regional",IF(R166*0.2975,S166*0.3484),S166*0.1939)</f>
        <v>96185.6462</v>
      </c>
      <c r="F166" s="288" t="n">
        <v>0</v>
      </c>
      <c r="G166" s="289" t="n">
        <f aca="false">E166+F166</f>
        <v>96185.6462</v>
      </c>
      <c r="H166" s="292"/>
      <c r="I166" s="293" t="s">
        <v>718</v>
      </c>
      <c r="J166" s="287"/>
      <c r="K166" s="287"/>
      <c r="L166" s="287"/>
      <c r="M166" s="317" t="n">
        <v>0</v>
      </c>
      <c r="N166" s="317" t="n">
        <v>0</v>
      </c>
      <c r="O166" s="317" t="n">
        <v>0</v>
      </c>
      <c r="P166" s="317" t="n">
        <v>0</v>
      </c>
      <c r="Q166" s="317" t="n">
        <v>0</v>
      </c>
      <c r="R166" s="317" t="n">
        <v>0</v>
      </c>
      <c r="S166" s="317" t="n">
        <v>496058</v>
      </c>
      <c r="T166" s="318" t="n">
        <f aca="false">IF(I166="regional",IF(R166&gt;0,R166*0.2975,S166*0.3484),S166*0.1939)</f>
        <v>96185.6462</v>
      </c>
      <c r="U166" s="317" t="n">
        <v>0</v>
      </c>
      <c r="V166" s="317" t="n">
        <v>496058</v>
      </c>
      <c r="W166" s="317" t="n">
        <v>0</v>
      </c>
      <c r="X166" s="317" t="n">
        <v>0</v>
      </c>
      <c r="Y166" s="317" t="n">
        <v>0</v>
      </c>
      <c r="Z166" s="317" t="n">
        <v>0</v>
      </c>
      <c r="AA166" s="317" t="n">
        <v>592243.6462</v>
      </c>
      <c r="AB166" s="317" t="n">
        <v>96185.6462</v>
      </c>
      <c r="AC166" s="317" t="n">
        <v>496058</v>
      </c>
      <c r="AD166" s="317" t="n">
        <v>0</v>
      </c>
      <c r="AE166" s="317" t="n">
        <v>0</v>
      </c>
      <c r="AF166" s="317" t="n">
        <v>0</v>
      </c>
      <c r="AG166" s="317" t="n">
        <v>496058</v>
      </c>
      <c r="AH166" s="317" t="n">
        <v>0</v>
      </c>
      <c r="AI166" s="317" t="n">
        <v>0</v>
      </c>
      <c r="AJ166" s="292" t="n">
        <v>4</v>
      </c>
      <c r="AK166" s="292" t="s">
        <v>706</v>
      </c>
      <c r="AL166" s="321" t="s">
        <v>405</v>
      </c>
      <c r="AM166" s="292"/>
      <c r="AN166" s="321" t="s">
        <v>441</v>
      </c>
      <c r="AO166" s="321" t="n">
        <v>96185.6462</v>
      </c>
      <c r="AP166" s="322" t="n">
        <v>0</v>
      </c>
      <c r="AQ166" s="319" t="n">
        <f aca="false">AR166+AT166+AU166+AV166+AX166+AY166+AZ166+BB166+BC166+BD166+BF166+BG166+BH166+BJ166+BK166+(BL166+BM166+BN166)/1000+(0.1*BO166)</f>
        <v>350</v>
      </c>
      <c r="AR166" s="185" t="n">
        <v>0</v>
      </c>
      <c r="AS166" s="185" t="n">
        <v>0</v>
      </c>
      <c r="AT166" s="185" t="n">
        <v>289</v>
      </c>
      <c r="AU166" s="353" t="n">
        <v>12</v>
      </c>
      <c r="AV166" s="185" t="n">
        <v>0</v>
      </c>
      <c r="AW166" s="185" t="n">
        <v>0</v>
      </c>
      <c r="AX166" s="185" t="n">
        <v>1</v>
      </c>
      <c r="AY166" s="185" t="n">
        <v>0</v>
      </c>
      <c r="AZ166" s="185" t="n">
        <v>0</v>
      </c>
      <c r="BA166" s="185" t="n">
        <v>0</v>
      </c>
      <c r="BB166" s="185" t="n">
        <v>2</v>
      </c>
      <c r="BC166" s="185" t="n">
        <v>12</v>
      </c>
      <c r="BD166" s="185" t="n">
        <v>0</v>
      </c>
      <c r="BE166" s="185" t="n">
        <v>0</v>
      </c>
      <c r="BF166" s="185" t="n">
        <v>0</v>
      </c>
      <c r="BG166" s="185" t="n">
        <v>0</v>
      </c>
      <c r="BH166" s="185" t="n">
        <v>34</v>
      </c>
      <c r="BI166" s="185" t="n">
        <v>0</v>
      </c>
      <c r="BJ166" s="185" t="n">
        <v>0</v>
      </c>
      <c r="BK166" s="185" t="n">
        <v>0</v>
      </c>
      <c r="BL166" s="185" t="n">
        <v>0</v>
      </c>
      <c r="BM166" s="185" t="n">
        <v>0</v>
      </c>
      <c r="BN166" s="185" t="n">
        <v>0</v>
      </c>
      <c r="BO166" s="185" t="n">
        <v>0</v>
      </c>
      <c r="BR166" s="290" t="n">
        <f aca="false">AR166*1000/0.072</f>
        <v>0</v>
      </c>
      <c r="BS166" s="290" t="n">
        <f aca="false">AT166*1000/0.072</f>
        <v>4013888.88888889</v>
      </c>
      <c r="BT166" s="290" t="n">
        <f aca="false">AU166*1000/0.072</f>
        <v>166666.666666667</v>
      </c>
      <c r="BU166" s="290" t="n">
        <f aca="false">SUM(BR166:BT166)</f>
        <v>4180555.55555556</v>
      </c>
      <c r="BV166" s="290" t="n">
        <f aca="false">AV166*1000/5</f>
        <v>0</v>
      </c>
      <c r="BW166" s="290" t="n">
        <f aca="false">AX166*1000/5</f>
        <v>200</v>
      </c>
      <c r="BX166" s="290" t="n">
        <f aca="false">AY166*1000/5</f>
        <v>0</v>
      </c>
      <c r="BY166" s="290" t="n">
        <f aca="false">SUM(BV166:BX166)</f>
        <v>200</v>
      </c>
      <c r="CA166" s="290" t="n">
        <f aca="false">IF($AM166="n",0,BR166)</f>
        <v>0</v>
      </c>
      <c r="CB166" s="290" t="n">
        <f aca="false">IF($AM166="n",0,BS166)</f>
        <v>4013888.88888889</v>
      </c>
      <c r="CC166" s="290" t="n">
        <f aca="false">IF($AM166="n",0,BT166)</f>
        <v>166666.666666667</v>
      </c>
      <c r="CD166" s="290" t="n">
        <f aca="false">SUM(CA166:CC166)</f>
        <v>4180555.55555556</v>
      </c>
      <c r="CE166" s="290" t="n">
        <f aca="false">IF($AM$2="n",0,BV166)</f>
        <v>0</v>
      </c>
      <c r="CF166" s="290" t="n">
        <f aca="false">IF($AM$2="n",0,BW166)</f>
        <v>200</v>
      </c>
      <c r="CG166" s="290" t="n">
        <f aca="false">IF($AM$2="n",0,BX166)</f>
        <v>0</v>
      </c>
      <c r="CH166" s="290" t="n">
        <f aca="false">SUM(CE166:CG166)</f>
        <v>200</v>
      </c>
    </row>
    <row r="167" customFormat="false" ht="15" hidden="false" customHeight="true" outlineLevel="0" collapsed="false">
      <c r="A167" s="291" t="n">
        <v>2924</v>
      </c>
      <c r="B167" s="291"/>
      <c r="C167" s="292" t="s">
        <v>443</v>
      </c>
      <c r="D167" s="287" t="s">
        <v>443</v>
      </c>
      <c r="E167" s="288" t="n">
        <f aca="false">IF(I167="regional",IF(R167*0.2975,S167*0.3484),S167*0.1939)</f>
        <v>319077.2624</v>
      </c>
      <c r="F167" s="288" t="n">
        <v>0</v>
      </c>
      <c r="G167" s="289" t="n">
        <f aca="false">E167+F167</f>
        <v>319077.2624</v>
      </c>
      <c r="H167" s="292"/>
      <c r="I167" s="287" t="s">
        <v>48</v>
      </c>
      <c r="J167" s="287" t="s">
        <v>49</v>
      </c>
      <c r="K167" s="287" t="s">
        <v>444</v>
      </c>
      <c r="L167" s="287"/>
      <c r="M167" s="317" t="n">
        <v>100</v>
      </c>
      <c r="N167" s="317" t="n">
        <v>0.936</v>
      </c>
      <c r="O167" s="317" t="n">
        <v>0.946</v>
      </c>
      <c r="P167" s="317" t="n">
        <v>0.909</v>
      </c>
      <c r="Q167" s="317" t="n">
        <v>0.902</v>
      </c>
      <c r="R167" s="317" t="n">
        <v>1132074</v>
      </c>
      <c r="S167" s="317" t="n">
        <v>915836</v>
      </c>
      <c r="T167" s="318" t="n">
        <f aca="false">IF(I167="regional",IF(R167&gt;0,R167*0.2975,S167*0.3484),S167*0.1939)</f>
        <v>336792.015</v>
      </c>
      <c r="U167" s="317" t="n">
        <v>534180</v>
      </c>
      <c r="V167" s="317" t="n">
        <v>381656</v>
      </c>
      <c r="W167" s="317" t="n">
        <v>4280</v>
      </c>
      <c r="X167" s="317" t="n">
        <v>0</v>
      </c>
      <c r="Y167" s="317" t="n">
        <v>0</v>
      </c>
      <c r="Z167" s="317" t="n">
        <v>0</v>
      </c>
      <c r="AA167" s="317" t="n">
        <v>1252628.015</v>
      </c>
      <c r="AB167" s="317" t="n">
        <v>336792.015</v>
      </c>
      <c r="AC167" s="317" t="n">
        <v>915836</v>
      </c>
      <c r="AD167" s="317" t="n">
        <v>0</v>
      </c>
      <c r="AE167" s="317" t="n">
        <v>0</v>
      </c>
      <c r="AF167" s="317" t="n">
        <v>0</v>
      </c>
      <c r="AG167" s="317" t="n">
        <v>915836</v>
      </c>
      <c r="AH167" s="317" t="n">
        <v>0</v>
      </c>
      <c r="AI167" s="317" t="n">
        <v>0</v>
      </c>
      <c r="AJ167" s="292" t="s">
        <v>707</v>
      </c>
      <c r="AK167" s="292" t="s">
        <v>714</v>
      </c>
      <c r="AL167" s="321" t="s">
        <v>48</v>
      </c>
      <c r="AM167" s="292"/>
      <c r="AN167" s="321" t="s">
        <v>443</v>
      </c>
      <c r="AO167" s="321" t="n">
        <v>336792.015</v>
      </c>
      <c r="AP167" s="322" t="n">
        <f aca="false">AR167+AT167+AU167+AV167+AX167+AY167+AZ167+BD167+BF167+BG167+BH167+BJ167+BK167+(BL167+BM167+BN167)/1000+(0.1*BO167)</f>
        <v>358.645</v>
      </c>
      <c r="AQ167" s="319" t="n">
        <f aca="false">AR167+AT167+AU167+AV167+AX167+AY167+AZ167+BB167+BC167+BD167+BF167+BG167+BH167+BJ167+BK167+(BL167+BM167+BN167)/1000+(0.1*BO167)</f>
        <v>390.645</v>
      </c>
      <c r="AR167" s="291" t="n">
        <v>0</v>
      </c>
      <c r="AS167" s="291" t="n">
        <v>0</v>
      </c>
      <c r="AT167" s="291" t="n">
        <v>173</v>
      </c>
      <c r="AU167" s="291" t="n">
        <v>17</v>
      </c>
      <c r="AV167" s="291" t="n">
        <v>0</v>
      </c>
      <c r="AW167" s="291" t="n">
        <v>0</v>
      </c>
      <c r="AX167" s="291" t="n">
        <v>0</v>
      </c>
      <c r="AY167" s="291" t="n">
        <v>0</v>
      </c>
      <c r="AZ167" s="291" t="n">
        <v>0</v>
      </c>
      <c r="BA167" s="291" t="n">
        <v>37</v>
      </c>
      <c r="BB167" s="291" t="n">
        <v>32</v>
      </c>
      <c r="BC167" s="291" t="n">
        <v>0</v>
      </c>
      <c r="BD167" s="291" t="n">
        <v>0</v>
      </c>
      <c r="BE167" s="291" t="n">
        <v>0</v>
      </c>
      <c r="BF167" s="291" t="n">
        <v>0</v>
      </c>
      <c r="BG167" s="291" t="n">
        <v>0</v>
      </c>
      <c r="BH167" s="291" t="n">
        <v>0</v>
      </c>
      <c r="BI167" s="291" t="n">
        <v>0</v>
      </c>
      <c r="BJ167" s="291" t="n">
        <v>0</v>
      </c>
      <c r="BK167" s="291" t="n">
        <v>0</v>
      </c>
      <c r="BL167" s="291" t="n">
        <v>99165</v>
      </c>
      <c r="BM167" s="291" t="n">
        <v>0</v>
      </c>
      <c r="BN167" s="291" t="n">
        <v>0</v>
      </c>
      <c r="BO167" s="291" t="n">
        <v>694.8</v>
      </c>
      <c r="BR167" s="290" t="n">
        <f aca="false">AR167*1000/0.072</f>
        <v>0</v>
      </c>
      <c r="BS167" s="290" t="n">
        <f aca="false">AT167*1000/0.072</f>
        <v>2402777.77777778</v>
      </c>
      <c r="BT167" s="290" t="n">
        <f aca="false">AU167*1000/0.072</f>
        <v>236111.111111111</v>
      </c>
      <c r="BU167" s="290" t="n">
        <f aca="false">SUM(BR167:BT167)</f>
        <v>2638888.88888889</v>
      </c>
      <c r="BV167" s="290" t="n">
        <f aca="false">AV167*1000/5</f>
        <v>0</v>
      </c>
      <c r="BW167" s="290" t="n">
        <f aca="false">AX167*1000/5</f>
        <v>0</v>
      </c>
      <c r="BX167" s="290" t="n">
        <f aca="false">AY167*1000/5</f>
        <v>0</v>
      </c>
      <c r="BY167" s="290" t="n">
        <f aca="false">SUM(BV167:BX167)</f>
        <v>0</v>
      </c>
      <c r="CA167" s="290" t="n">
        <f aca="false">IF($AM167="n",0,BR167)</f>
        <v>0</v>
      </c>
      <c r="CB167" s="290" t="n">
        <f aca="false">IF($AM167="n",0,BS167)</f>
        <v>2402777.77777778</v>
      </c>
      <c r="CC167" s="290" t="n">
        <f aca="false">IF($AM167="n",0,BT167)</f>
        <v>236111.111111111</v>
      </c>
      <c r="CD167" s="290" t="n">
        <f aca="false">SUM(CA167:CC167)</f>
        <v>2638888.88888889</v>
      </c>
      <c r="CE167" s="290" t="n">
        <f aca="false">IF($AM$2="n",0,BV167)</f>
        <v>0</v>
      </c>
      <c r="CF167" s="290" t="n">
        <f aca="false">IF($AM$2="n",0,BW167)</f>
        <v>0</v>
      </c>
      <c r="CG167" s="290" t="n">
        <f aca="false">IF($AM$2="n",0,BX167)</f>
        <v>0</v>
      </c>
      <c r="CH167" s="290" t="n">
        <f aca="false">SUM(CE167:CG167)</f>
        <v>0</v>
      </c>
    </row>
    <row r="168" customFormat="false" ht="15" hidden="false" customHeight="true" outlineLevel="0" collapsed="false">
      <c r="A168" s="291" t="n">
        <v>4670</v>
      </c>
      <c r="B168" s="291"/>
      <c r="C168" s="292" t="s">
        <v>445</v>
      </c>
      <c r="D168" s="287" t="s">
        <v>445</v>
      </c>
      <c r="E168" s="288" t="n">
        <f aca="false">IF(I168="regional",IF(R168*0.2975,S168*0.3484),S168*0.1939)</f>
        <v>418590.0576</v>
      </c>
      <c r="F168" s="288" t="n">
        <v>562000</v>
      </c>
      <c r="G168" s="289" t="n">
        <f aca="false">E168+F168</f>
        <v>980590.0576</v>
      </c>
      <c r="H168" s="292"/>
      <c r="I168" s="287" t="s">
        <v>48</v>
      </c>
      <c r="J168" s="287" t="s">
        <v>49</v>
      </c>
      <c r="K168" s="287" t="s">
        <v>98</v>
      </c>
      <c r="L168" s="287" t="s">
        <v>44</v>
      </c>
      <c r="M168" s="317" t="n">
        <v>155</v>
      </c>
      <c r="N168" s="317" t="n">
        <v>0.911</v>
      </c>
      <c r="O168" s="317" t="n">
        <v>0.917</v>
      </c>
      <c r="P168" s="317" t="n">
        <v>0.963</v>
      </c>
      <c r="Q168" s="317" t="n">
        <v>0.952</v>
      </c>
      <c r="R168" s="317" t="n">
        <v>1456971</v>
      </c>
      <c r="S168" s="317" t="n">
        <v>1201464</v>
      </c>
      <c r="T168" s="318" t="n">
        <f aca="false">IF(I168="regional",IF(R168&gt;0,R168*0.2975,S168*0.3484),S168*0.1939)</f>
        <v>433448.8725</v>
      </c>
      <c r="U168" s="317" t="n">
        <v>735737</v>
      </c>
      <c r="V168" s="317" t="n">
        <v>465727</v>
      </c>
      <c r="W168" s="317" t="n">
        <v>6800</v>
      </c>
      <c r="X168" s="317" t="n">
        <v>995448.8725</v>
      </c>
      <c r="Y168" s="317" t="n">
        <v>433448.8725</v>
      </c>
      <c r="Z168" s="317" t="n">
        <v>562000</v>
      </c>
      <c r="AA168" s="317" t="n">
        <v>639464</v>
      </c>
      <c r="AB168" s="317" t="n">
        <v>0</v>
      </c>
      <c r="AC168" s="317" t="n">
        <v>639464</v>
      </c>
      <c r="AD168" s="317" t="n">
        <v>0</v>
      </c>
      <c r="AE168" s="317" t="n">
        <v>562000</v>
      </c>
      <c r="AF168" s="317" t="n">
        <v>0</v>
      </c>
      <c r="AG168" s="317" t="n">
        <v>639464</v>
      </c>
      <c r="AH168" s="317" t="n">
        <v>0</v>
      </c>
      <c r="AI168" s="317" t="n">
        <v>0</v>
      </c>
      <c r="AJ168" s="292" t="n">
        <v>4</v>
      </c>
      <c r="AK168" s="292" t="s">
        <v>706</v>
      </c>
      <c r="AL168" s="321" t="s">
        <v>48</v>
      </c>
      <c r="AM168" s="292"/>
      <c r="AN168" s="321" t="s">
        <v>445</v>
      </c>
      <c r="AO168" s="321" t="n">
        <v>995448.8725</v>
      </c>
      <c r="AP168" s="322" t="n">
        <f aca="false">AR168+AT168+AU168+AV168+AX168+AY168+AZ168+BD168+BF168+BG168+BH168+BJ168+BK168+(BL168+BM168+BN168)/1000+(0.1*BO168)</f>
        <v>1982</v>
      </c>
      <c r="AQ168" s="319" t="n">
        <f aca="false">AR168+AT168+AU168+AV168+AX168+AY168+AZ168+BB168+BC168+BD168+BF168+BG168+BH168+BJ168+BK168+(BL168+BM168+BN168)/1000+(0.1*BO168)</f>
        <v>1983</v>
      </c>
      <c r="AR168" s="351" t="n">
        <v>1520</v>
      </c>
      <c r="AS168" s="351" t="n">
        <v>0</v>
      </c>
      <c r="AT168" s="351" t="n">
        <v>64</v>
      </c>
      <c r="AU168" s="351" t="n">
        <v>-46</v>
      </c>
      <c r="AV168" s="351" t="n">
        <v>0</v>
      </c>
      <c r="AW168" s="351" t="n">
        <v>0</v>
      </c>
      <c r="AX168" s="351" t="n">
        <v>0</v>
      </c>
      <c r="AY168" s="351" t="n">
        <v>0</v>
      </c>
      <c r="AZ168" s="351" t="n">
        <v>29</v>
      </c>
      <c r="BA168" s="351" t="n">
        <v>0</v>
      </c>
      <c r="BB168" s="351" t="n">
        <v>1</v>
      </c>
      <c r="BC168" s="351" t="n">
        <v>0</v>
      </c>
      <c r="BD168" s="291" t="n">
        <v>0</v>
      </c>
      <c r="BE168" s="291" t="n">
        <v>0</v>
      </c>
      <c r="BF168" s="291" t="n">
        <v>0</v>
      </c>
      <c r="BG168" s="291" t="n">
        <v>0</v>
      </c>
      <c r="BH168" s="291" t="n">
        <v>415</v>
      </c>
      <c r="BI168" s="291" t="n">
        <v>0</v>
      </c>
      <c r="BJ168" s="291" t="n">
        <v>0</v>
      </c>
      <c r="BK168" s="291" t="n">
        <v>0</v>
      </c>
      <c r="BL168" s="291" t="n">
        <v>0</v>
      </c>
      <c r="BM168" s="291" t="n">
        <v>0</v>
      </c>
      <c r="BN168" s="291" t="n">
        <v>0</v>
      </c>
      <c r="BO168" s="291" t="n">
        <v>0</v>
      </c>
      <c r="BP168" s="324"/>
      <c r="BR168" s="290" t="n">
        <f aca="false">AR168*1000/0.072</f>
        <v>21111111.1111111</v>
      </c>
      <c r="BS168" s="290" t="n">
        <f aca="false">AT168*1000/0.072</f>
        <v>888888.888888889</v>
      </c>
      <c r="BT168" s="290" t="n">
        <f aca="false">AU168*1000/0.072</f>
        <v>-638888.888888889</v>
      </c>
      <c r="BU168" s="290" t="n">
        <f aca="false">SUM(BR168:BT168)</f>
        <v>21361111.1111111</v>
      </c>
      <c r="BV168" s="290" t="n">
        <f aca="false">AV168*1000/5</f>
        <v>0</v>
      </c>
      <c r="BW168" s="290" t="n">
        <f aca="false">AX168*1000/5</f>
        <v>0</v>
      </c>
      <c r="BX168" s="290" t="n">
        <f aca="false">AY168*1000/5</f>
        <v>0</v>
      </c>
      <c r="BY168" s="290" t="n">
        <f aca="false">SUM(BV168:BX168)</f>
        <v>0</v>
      </c>
      <c r="CA168" s="290" t="n">
        <f aca="false">IF($AM168="n",0,BR168)</f>
        <v>21111111.1111111</v>
      </c>
      <c r="CB168" s="290" t="n">
        <f aca="false">IF($AM168="n",0,BS168)</f>
        <v>888888.888888889</v>
      </c>
      <c r="CC168" s="290" t="n">
        <f aca="false">IF($AM168="n",0,BT168)</f>
        <v>-638888.888888889</v>
      </c>
      <c r="CD168" s="290" t="n">
        <f aca="false">SUM(CA168:CC168)</f>
        <v>21361111.1111111</v>
      </c>
      <c r="CE168" s="290" t="n">
        <f aca="false">IF($AM$2="n",0,BV168)</f>
        <v>0</v>
      </c>
      <c r="CF168" s="290" t="n">
        <f aca="false">IF($AM$2="n",0,BW168)</f>
        <v>0</v>
      </c>
      <c r="CG168" s="290" t="n">
        <f aca="false">IF($AM$2="n",0,BX168)</f>
        <v>0</v>
      </c>
      <c r="CH168" s="290" t="n">
        <f aca="false">SUM(CE168:CG168)</f>
        <v>0</v>
      </c>
      <c r="CJ168" s="324"/>
      <c r="CK168" s="324"/>
      <c r="CL168" s="324"/>
      <c r="CM168" s="324"/>
      <c r="CN168" s="324"/>
      <c r="CO168" s="324"/>
      <c r="CP168" s="324"/>
      <c r="CQ168" s="324"/>
      <c r="CR168" s="324"/>
      <c r="CS168" s="324"/>
      <c r="CT168" s="324"/>
      <c r="CU168" s="324"/>
      <c r="CV168" s="324"/>
      <c r="CW168" s="324"/>
      <c r="CX168" s="324"/>
      <c r="CY168" s="324"/>
      <c r="CZ168" s="324"/>
      <c r="DA168" s="324"/>
      <c r="DB168" s="324"/>
      <c r="DC168" s="324"/>
      <c r="DD168" s="324"/>
      <c r="DE168" s="330"/>
      <c r="DF168" s="330"/>
      <c r="DG168" s="330"/>
      <c r="DH168" s="330"/>
      <c r="DI168" s="330"/>
      <c r="DJ168" s="330"/>
      <c r="DK168" s="330"/>
      <c r="DL168" s="330"/>
      <c r="DM168" s="330"/>
      <c r="DN168" s="330"/>
      <c r="DO168" s="330"/>
      <c r="DP168" s="330"/>
      <c r="DQ168" s="330"/>
      <c r="DR168" s="330"/>
      <c r="DS168" s="330"/>
      <c r="DT168" s="330"/>
      <c r="DU168" s="330"/>
      <c r="DV168" s="330"/>
      <c r="DW168" s="330"/>
      <c r="DX168" s="330"/>
      <c r="DY168" s="330"/>
      <c r="DZ168" s="330"/>
      <c r="EA168" s="330"/>
      <c r="EB168" s="330"/>
      <c r="EC168" s="330"/>
      <c r="ED168" s="330"/>
      <c r="EE168" s="330"/>
      <c r="EF168" s="330"/>
      <c r="EG168" s="330"/>
      <c r="EH168" s="330"/>
      <c r="EI168" s="330"/>
      <c r="EJ168" s="330"/>
      <c r="EK168" s="330"/>
      <c r="EL168" s="330"/>
      <c r="EM168" s="330"/>
      <c r="EN168" s="330"/>
      <c r="EO168" s="330"/>
      <c r="EP168" s="330"/>
      <c r="EQ168" s="330"/>
      <c r="ER168" s="330"/>
      <c r="ES168" s="330"/>
      <c r="ET168" s="330"/>
      <c r="EU168" s="330"/>
      <c r="EV168" s="330"/>
      <c r="EW168" s="330"/>
      <c r="EX168" s="330"/>
      <c r="EY168" s="330"/>
      <c r="EZ168" s="330"/>
      <c r="FA168" s="330"/>
      <c r="FB168" s="330"/>
      <c r="FC168" s="330"/>
      <c r="FD168" s="330"/>
      <c r="FE168" s="330"/>
      <c r="FF168" s="330"/>
      <c r="FG168" s="330"/>
      <c r="FH168" s="330"/>
      <c r="FI168" s="330"/>
      <c r="FJ168" s="330"/>
      <c r="FK168" s="330"/>
      <c r="FL168" s="330"/>
      <c r="FM168" s="330"/>
      <c r="FN168" s="330"/>
      <c r="FO168" s="330"/>
      <c r="FP168" s="330"/>
      <c r="FQ168" s="330"/>
      <c r="FR168" s="330"/>
      <c r="FS168" s="330"/>
      <c r="FT168" s="330"/>
      <c r="FU168" s="330"/>
      <c r="FV168" s="330"/>
      <c r="FW168" s="330"/>
      <c r="FX168" s="330"/>
      <c r="FY168" s="330"/>
      <c r="FZ168" s="330"/>
      <c r="GA168" s="330"/>
      <c r="GB168" s="330"/>
      <c r="GC168" s="330"/>
      <c r="GD168" s="330"/>
      <c r="GE168" s="330"/>
      <c r="GF168" s="330"/>
      <c r="GG168" s="330"/>
      <c r="GH168" s="330"/>
      <c r="GI168" s="330"/>
      <c r="GJ168" s="330"/>
      <c r="GK168" s="330"/>
      <c r="GL168" s="330"/>
      <c r="GM168" s="330"/>
      <c r="GN168" s="330"/>
      <c r="GO168" s="330"/>
      <c r="GP168" s="330"/>
      <c r="GQ168" s="330"/>
      <c r="GR168" s="330"/>
      <c r="GS168" s="330"/>
      <c r="GT168" s="330"/>
      <c r="GU168" s="330"/>
      <c r="GV168" s="330"/>
      <c r="GW168" s="330"/>
      <c r="GX168" s="330"/>
      <c r="GY168" s="330"/>
      <c r="GZ168" s="330"/>
      <c r="HA168" s="330"/>
      <c r="HB168" s="330"/>
      <c r="HC168" s="330"/>
      <c r="HD168" s="330"/>
      <c r="HE168" s="330"/>
      <c r="HF168" s="330"/>
      <c r="HG168" s="330"/>
      <c r="HH168" s="330"/>
      <c r="HI168" s="330"/>
      <c r="HJ168" s="330"/>
      <c r="HK168" s="330"/>
      <c r="HL168" s="330"/>
      <c r="HM168" s="330"/>
      <c r="HN168" s="330"/>
      <c r="HO168" s="330"/>
      <c r="HP168" s="330"/>
      <c r="HQ168" s="330"/>
      <c r="HR168" s="330"/>
      <c r="HS168" s="330"/>
      <c r="HT168" s="330"/>
      <c r="HU168" s="330"/>
      <c r="HV168" s="330"/>
      <c r="HW168" s="330"/>
      <c r="HX168" s="330"/>
      <c r="HY168" s="330"/>
      <c r="HZ168" s="330"/>
      <c r="IA168" s="330"/>
      <c r="IB168" s="330"/>
      <c r="IC168" s="330"/>
      <c r="ID168" s="330"/>
      <c r="IE168" s="330"/>
      <c r="IF168" s="330"/>
      <c r="IG168" s="330"/>
      <c r="IH168" s="330"/>
      <c r="II168" s="330"/>
      <c r="IJ168" s="330"/>
      <c r="IK168" s="330"/>
      <c r="IL168" s="330"/>
      <c r="IM168" s="330"/>
      <c r="IN168" s="330"/>
      <c r="IO168" s="330"/>
      <c r="IP168" s="330"/>
      <c r="IQ168" s="330"/>
      <c r="IR168" s="330"/>
      <c r="IS168" s="330"/>
      <c r="IT168" s="330"/>
      <c r="IU168" s="330"/>
      <c r="IV168" s="330"/>
      <c r="IW168" s="330"/>
    </row>
    <row r="169" customFormat="false" ht="15" hidden="false" customHeight="true" outlineLevel="0" collapsed="false">
      <c r="A169" s="291" t="n">
        <v>9353</v>
      </c>
      <c r="B169" s="291"/>
      <c r="C169" s="292" t="s">
        <v>446</v>
      </c>
      <c r="D169" s="287" t="s">
        <v>446</v>
      </c>
      <c r="E169" s="288" t="n">
        <f aca="false">IF(I169="regional",IF(R169*0.2975,S169*0.3484),S169*0.1939)</f>
        <v>230444.3024</v>
      </c>
      <c r="F169" s="288" t="n">
        <v>0</v>
      </c>
      <c r="G169" s="289" t="n">
        <f aca="false">E169+F169</f>
        <v>230444.3024</v>
      </c>
      <c r="H169" s="292"/>
      <c r="I169" s="287" t="s">
        <v>48</v>
      </c>
      <c r="J169" s="287"/>
      <c r="K169" s="287" t="s">
        <v>250</v>
      </c>
      <c r="L169" s="287"/>
      <c r="M169" s="317" t="n">
        <v>91</v>
      </c>
      <c r="N169" s="317" t="n">
        <v>0.979</v>
      </c>
      <c r="O169" s="317" t="n">
        <v>0.988</v>
      </c>
      <c r="P169" s="317" t="n">
        <v>1</v>
      </c>
      <c r="Q169" s="317" t="n">
        <v>0.964</v>
      </c>
      <c r="R169" s="317" t="n">
        <v>661436</v>
      </c>
      <c r="S169" s="320" t="n">
        <v>661436</v>
      </c>
      <c r="T169" s="318" t="n">
        <f aca="false">IF(I169="regional",IF(R169&gt;0,R169*0.2975,S169*0.3484),S169*0.1939)</f>
        <v>196777.21</v>
      </c>
      <c r="U169" s="317" t="n">
        <v>387378</v>
      </c>
      <c r="V169" s="317" t="n">
        <v>172654</v>
      </c>
      <c r="W169" s="317" t="n">
        <v>3045</v>
      </c>
      <c r="X169" s="317" t="n">
        <v>0</v>
      </c>
      <c r="Y169" s="317" t="n">
        <v>0</v>
      </c>
      <c r="Z169" s="317" t="n">
        <v>0</v>
      </c>
      <c r="AA169" s="317" t="n">
        <v>756809.21</v>
      </c>
      <c r="AB169" s="317" t="n">
        <v>196777.21</v>
      </c>
      <c r="AC169" s="317" t="n">
        <v>560032</v>
      </c>
      <c r="AD169" s="317" t="n">
        <v>0</v>
      </c>
      <c r="AE169" s="317" t="n">
        <v>0</v>
      </c>
      <c r="AF169" s="317" t="n">
        <v>0</v>
      </c>
      <c r="AG169" s="317" t="n">
        <v>560032</v>
      </c>
      <c r="AH169" s="317" t="n">
        <v>0</v>
      </c>
      <c r="AI169" s="317" t="n">
        <v>0</v>
      </c>
      <c r="AJ169" s="292" t="s">
        <v>707</v>
      </c>
      <c r="AK169" s="292" t="s">
        <v>714</v>
      </c>
      <c r="AL169" s="321" t="s">
        <v>48</v>
      </c>
      <c r="AM169" s="292"/>
      <c r="AN169" s="321" t="s">
        <v>446</v>
      </c>
      <c r="AO169" s="321" t="n">
        <v>196777.21</v>
      </c>
      <c r="AP169" s="322" t="n">
        <f aca="false">AR169+AT169+AU169+AV169+AX169+AY169+AZ169+BD169+BF169+BG169+BH169+BJ169+BK169+(BL169+BM169+BN169)/1000+(0.1*BO169)</f>
        <v>184.498</v>
      </c>
      <c r="AQ169" s="319" t="n">
        <f aca="false">AR169+AT169+AU169+AV169+AX169+AY169+AZ169+BB169+BC169+BD169+BF169+BG169+BH169+BJ169+BK169+(BL169+BM169+BN169)/1000+(0.1*BO169)</f>
        <v>244.498</v>
      </c>
      <c r="AR169" s="291" t="n">
        <v>0</v>
      </c>
      <c r="AS169" s="291" t="n">
        <v>0</v>
      </c>
      <c r="AT169" s="291" t="n">
        <v>163</v>
      </c>
      <c r="AU169" s="291" t="n">
        <v>0</v>
      </c>
      <c r="AV169" s="291" t="n">
        <v>0</v>
      </c>
      <c r="AW169" s="291" t="n">
        <v>0</v>
      </c>
      <c r="AX169" s="291" t="n">
        <v>0</v>
      </c>
      <c r="AY169" s="291" t="n">
        <v>0</v>
      </c>
      <c r="AZ169" s="291" t="n">
        <v>0</v>
      </c>
      <c r="BA169" s="291" t="n">
        <v>0</v>
      </c>
      <c r="BB169" s="291" t="n">
        <v>60</v>
      </c>
      <c r="BC169" s="291" t="n">
        <v>0</v>
      </c>
      <c r="BD169" s="291" t="n">
        <v>0</v>
      </c>
      <c r="BE169" s="291" t="n">
        <v>0</v>
      </c>
      <c r="BF169" s="291" t="n">
        <v>0</v>
      </c>
      <c r="BG169" s="291" t="n">
        <v>0</v>
      </c>
      <c r="BH169" s="291" t="n">
        <v>0</v>
      </c>
      <c r="BI169" s="291" t="n">
        <v>0</v>
      </c>
      <c r="BJ169" s="291" t="n">
        <v>0</v>
      </c>
      <c r="BK169" s="291" t="n">
        <v>0</v>
      </c>
      <c r="BL169" s="291" t="n">
        <v>14498</v>
      </c>
      <c r="BM169" s="291" t="n">
        <v>0</v>
      </c>
      <c r="BN169" s="291" t="n">
        <v>7000</v>
      </c>
      <c r="BO169" s="291" t="n">
        <v>0</v>
      </c>
      <c r="BR169" s="290" t="n">
        <f aca="false">AR169*1000/0.072</f>
        <v>0</v>
      </c>
      <c r="BS169" s="290" t="n">
        <f aca="false">AT169*1000/0.072</f>
        <v>2263888.88888889</v>
      </c>
      <c r="BT169" s="290" t="n">
        <f aca="false">AU169*1000/0.072</f>
        <v>0</v>
      </c>
      <c r="BU169" s="290" t="n">
        <f aca="false">SUM(BR169:BT169)</f>
        <v>2263888.88888889</v>
      </c>
      <c r="BV169" s="290" t="n">
        <f aca="false">AV169*1000/5</f>
        <v>0</v>
      </c>
      <c r="BW169" s="290" t="n">
        <f aca="false">AX169*1000/5</f>
        <v>0</v>
      </c>
      <c r="BX169" s="290" t="n">
        <f aca="false">AY169*1000/5</f>
        <v>0</v>
      </c>
      <c r="BY169" s="290" t="n">
        <f aca="false">SUM(BV169:BX169)</f>
        <v>0</v>
      </c>
      <c r="CA169" s="290" t="n">
        <f aca="false">IF($AM169="n",0,BR169)</f>
        <v>0</v>
      </c>
      <c r="CB169" s="290" t="n">
        <f aca="false">IF($AM169="n",0,BS169)</f>
        <v>2263888.88888889</v>
      </c>
      <c r="CC169" s="290" t="n">
        <f aca="false">IF($AM169="n",0,BT169)</f>
        <v>0</v>
      </c>
      <c r="CD169" s="290" t="n">
        <f aca="false">SUM(CA169:CC169)</f>
        <v>2263888.88888889</v>
      </c>
      <c r="CE169" s="290" t="n">
        <f aca="false">IF($AM$2="n",0,BV169)</f>
        <v>0</v>
      </c>
      <c r="CF169" s="290" t="n">
        <f aca="false">IF($AM$2="n",0,BW169)</f>
        <v>0</v>
      </c>
      <c r="CG169" s="290" t="n">
        <f aca="false">IF($AM$2="n",0,BX169)</f>
        <v>0</v>
      </c>
      <c r="CH169" s="290" t="n">
        <f aca="false">SUM(CE169:CG169)</f>
        <v>0</v>
      </c>
    </row>
    <row r="170" customFormat="false" ht="15" hidden="false" customHeight="true" outlineLevel="0" collapsed="false">
      <c r="A170" s="298" t="n">
        <v>9363</v>
      </c>
      <c r="B170" s="298"/>
      <c r="C170" s="299" t="s">
        <v>447</v>
      </c>
      <c r="D170" s="287" t="s">
        <v>447</v>
      </c>
      <c r="E170" s="288" t="n">
        <f aca="false">IF(I170="regional",IF(R170*0.2975,S170*0.3484),S170*0.1939)</f>
        <v>440103.0608</v>
      </c>
      <c r="F170" s="288" t="n">
        <v>0</v>
      </c>
      <c r="G170" s="289" t="n">
        <f aca="false">E170+F170</f>
        <v>440103.0608</v>
      </c>
      <c r="H170" s="292"/>
      <c r="I170" s="287" t="s">
        <v>48</v>
      </c>
      <c r="J170" s="287" t="s">
        <v>49</v>
      </c>
      <c r="K170" s="287" t="s">
        <v>449</v>
      </c>
      <c r="L170" s="287"/>
      <c r="M170" s="317" t="n">
        <v>135</v>
      </c>
      <c r="N170" s="317" t="n">
        <v>0.938</v>
      </c>
      <c r="O170" s="317" t="n">
        <v>0.938</v>
      </c>
      <c r="P170" s="317" t="n">
        <v>0.907</v>
      </c>
      <c r="Q170" s="317" t="n">
        <v>0.915</v>
      </c>
      <c r="R170" s="317" t="n">
        <v>1280382</v>
      </c>
      <c r="S170" s="317" t="n">
        <v>1263212</v>
      </c>
      <c r="T170" s="318" t="n">
        <f aca="false">IF(I170="regional",IF(R170&gt;0,R170*0.2975,S170*0.3484),S170*0.1939)</f>
        <v>380913.645</v>
      </c>
      <c r="U170" s="317" t="n">
        <v>904288</v>
      </c>
      <c r="V170" s="317" t="n">
        <v>358924</v>
      </c>
      <c r="W170" s="317" t="n">
        <v>3168</v>
      </c>
      <c r="X170" s="317" t="n">
        <v>0</v>
      </c>
      <c r="Y170" s="317" t="n">
        <v>0</v>
      </c>
      <c r="Z170" s="317" t="n">
        <v>0</v>
      </c>
      <c r="AA170" s="317" t="n">
        <v>1644125.645</v>
      </c>
      <c r="AB170" s="317" t="n">
        <v>380913.645</v>
      </c>
      <c r="AC170" s="317" t="n">
        <v>1263212</v>
      </c>
      <c r="AD170" s="317" t="n">
        <v>0</v>
      </c>
      <c r="AE170" s="317" t="n">
        <v>0</v>
      </c>
      <c r="AF170" s="317" t="n">
        <v>0</v>
      </c>
      <c r="AG170" s="317" t="n">
        <v>1263212</v>
      </c>
      <c r="AH170" s="317" t="n">
        <v>0</v>
      </c>
      <c r="AI170" s="317" t="n">
        <v>0</v>
      </c>
      <c r="AJ170" s="292" t="s">
        <v>707</v>
      </c>
      <c r="AK170" s="292" t="s">
        <v>714</v>
      </c>
      <c r="AL170" s="321" t="s">
        <v>128</v>
      </c>
      <c r="AM170" s="292"/>
      <c r="AN170" s="321" t="s">
        <v>755</v>
      </c>
      <c r="AO170" s="328" t="n">
        <v>0</v>
      </c>
      <c r="AP170" s="329" t="n">
        <v>0</v>
      </c>
      <c r="AQ170" s="319" t="n">
        <f aca="false">AR170+AT170+AU170+AV170+AX170+AY170+AZ170+BB170+BC170+BD170+BF170+BG170+BH170+BJ170+BK170+(BL170+BM170+BN170)/1000+(0.1*BO170)</f>
        <v>634.5991</v>
      </c>
      <c r="AR170" s="185" t="n">
        <v>0</v>
      </c>
      <c r="AS170" s="185" t="n">
        <v>0</v>
      </c>
      <c r="AT170" s="185" t="n">
        <v>259</v>
      </c>
      <c r="AU170" s="185" t="n">
        <v>13</v>
      </c>
      <c r="AV170" s="185" t="n">
        <v>0</v>
      </c>
      <c r="AW170" s="185" t="n">
        <v>0</v>
      </c>
      <c r="AX170" s="185" t="n">
        <v>1</v>
      </c>
      <c r="AY170" s="185" t="n">
        <v>0</v>
      </c>
      <c r="AZ170" s="185" t="n">
        <v>0</v>
      </c>
      <c r="BA170" s="185" t="n">
        <v>0</v>
      </c>
      <c r="BB170" s="185" t="n">
        <v>259</v>
      </c>
      <c r="BC170" s="185" t="n">
        <v>0</v>
      </c>
      <c r="BD170" s="291" t="n">
        <v>0</v>
      </c>
      <c r="BE170" s="291" t="n">
        <v>0</v>
      </c>
      <c r="BF170" s="291" t="n">
        <v>0</v>
      </c>
      <c r="BG170" s="291" t="n">
        <v>0</v>
      </c>
      <c r="BH170" s="291" t="n">
        <v>0</v>
      </c>
      <c r="BI170" s="291" t="n">
        <v>0</v>
      </c>
      <c r="BJ170" s="291" t="n">
        <v>0</v>
      </c>
      <c r="BK170" s="291" t="n">
        <v>0</v>
      </c>
      <c r="BL170" s="291" t="n">
        <v>0</v>
      </c>
      <c r="BM170" s="291" t="n">
        <v>0</v>
      </c>
      <c r="BN170" s="354" t="n">
        <v>195</v>
      </c>
      <c r="BO170" s="291" t="n">
        <v>1024.041</v>
      </c>
      <c r="BR170" s="290" t="n">
        <f aca="false">AR170*1000/0.072</f>
        <v>0</v>
      </c>
      <c r="BS170" s="290" t="n">
        <f aca="false">AT170*1000/0.072</f>
        <v>3597222.22222222</v>
      </c>
      <c r="BT170" s="290" t="n">
        <f aca="false">AU170*1000/0.072</f>
        <v>180555.555555556</v>
      </c>
      <c r="BU170" s="290" t="n">
        <f aca="false">SUM(BR170:BT170)</f>
        <v>3777777.77777778</v>
      </c>
      <c r="BV170" s="290" t="n">
        <f aca="false">AV170*1000/5</f>
        <v>0</v>
      </c>
      <c r="BW170" s="290" t="n">
        <f aca="false">AX170*1000/5</f>
        <v>200</v>
      </c>
      <c r="BX170" s="290" t="n">
        <f aca="false">AY170*1000/5</f>
        <v>0</v>
      </c>
      <c r="BY170" s="290" t="n">
        <f aca="false">SUM(BV170:BX170)</f>
        <v>200</v>
      </c>
      <c r="CA170" s="290" t="n">
        <f aca="false">IF($AM170="n",0,BR170)</f>
        <v>0</v>
      </c>
      <c r="CB170" s="290" t="n">
        <f aca="false">IF($AM170="n",0,BS170)</f>
        <v>3597222.22222222</v>
      </c>
      <c r="CC170" s="290" t="n">
        <f aca="false">IF($AM170="n",0,BT170)</f>
        <v>180555.555555556</v>
      </c>
      <c r="CD170" s="290" t="n">
        <f aca="false">SUM(CA170:CC170)</f>
        <v>3777777.77777778</v>
      </c>
      <c r="CE170" s="290" t="n">
        <f aca="false">IF($AM$2="n",0,BV170)</f>
        <v>0</v>
      </c>
      <c r="CF170" s="290" t="n">
        <f aca="false">IF($AM$2="n",0,BW170)</f>
        <v>200</v>
      </c>
      <c r="CG170" s="290" t="n">
        <f aca="false">IF($AM$2="n",0,BX170)</f>
        <v>0</v>
      </c>
      <c r="CH170" s="290" t="n">
        <f aca="false">SUM(CE170:CG170)</f>
        <v>200</v>
      </c>
    </row>
    <row r="171" customFormat="false" ht="15" hidden="false" customHeight="true" outlineLevel="0" collapsed="false">
      <c r="A171" s="285" t="n">
        <v>1536</v>
      </c>
      <c r="B171" s="285"/>
      <c r="C171" s="286" t="s">
        <v>450</v>
      </c>
      <c r="D171" s="287" t="s">
        <v>450</v>
      </c>
      <c r="E171" s="288" t="n">
        <f aca="false">IF(I171="regional",IF(R171*0.2975,S171*0.3484),S171*0.1939)</f>
        <v>21542.4839</v>
      </c>
      <c r="F171" s="288" t="n">
        <v>0</v>
      </c>
      <c r="G171" s="289" t="n">
        <f aca="false">E171+F171</f>
        <v>21542.4839</v>
      </c>
      <c r="H171" s="286"/>
      <c r="I171" s="287" t="s">
        <v>62</v>
      </c>
      <c r="J171" s="287"/>
      <c r="K171" s="287" t="s">
        <v>453</v>
      </c>
      <c r="L171" s="287"/>
      <c r="M171" s="317" t="n">
        <v>4</v>
      </c>
      <c r="N171" s="317" t="n">
        <v>1</v>
      </c>
      <c r="O171" s="317" t="n">
        <v>1</v>
      </c>
      <c r="P171" s="317" t="n">
        <v>1</v>
      </c>
      <c r="Q171" s="317" t="n">
        <v>1</v>
      </c>
      <c r="R171" s="317" t="n">
        <v>0</v>
      </c>
      <c r="S171" s="317" t="n">
        <v>111101</v>
      </c>
      <c r="T171" s="318" t="n">
        <f aca="false">IF(I171="regional",IF(R171&gt;0,R171*0.2975,S171*0.3484),S171*0.1939)</f>
        <v>21542.4839</v>
      </c>
      <c r="U171" s="317" t="n">
        <v>82398</v>
      </c>
      <c r="V171" s="317" t="n">
        <v>28703</v>
      </c>
      <c r="W171" s="317" t="n">
        <v>752</v>
      </c>
      <c r="X171" s="317" t="n">
        <v>0</v>
      </c>
      <c r="Y171" s="317" t="n">
        <v>0</v>
      </c>
      <c r="Z171" s="317" t="n">
        <v>0</v>
      </c>
      <c r="AA171" s="317" t="n">
        <v>132643.4839</v>
      </c>
      <c r="AB171" s="317" t="n">
        <v>21542.4839</v>
      </c>
      <c r="AC171" s="317" t="n">
        <v>111101</v>
      </c>
      <c r="AD171" s="317" t="n">
        <v>0</v>
      </c>
      <c r="AE171" s="317" t="n">
        <v>0</v>
      </c>
      <c r="AF171" s="317" t="n">
        <v>0</v>
      </c>
      <c r="AG171" s="317" t="n">
        <v>111101</v>
      </c>
      <c r="AH171" s="317" t="n">
        <v>0</v>
      </c>
      <c r="AI171" s="317" t="n">
        <v>0</v>
      </c>
      <c r="AJ171" s="286" t="n">
        <v>4</v>
      </c>
      <c r="AK171" s="286" t="s">
        <v>720</v>
      </c>
      <c r="AL171" s="287" t="s">
        <v>62</v>
      </c>
      <c r="AM171" s="286"/>
      <c r="AN171" s="287" t="s">
        <v>450</v>
      </c>
      <c r="AO171" s="287" t="n">
        <v>21542.4839</v>
      </c>
      <c r="AP171" s="319" t="n">
        <f aca="false">AR171+AT171+AU171+AV171+AX171+AY171+AZ171+BD171+BF171+BG171+BH171+BJ171+BK171+(BL171+BM171+BN171)/1000+(0.1*BO171)</f>
        <v>5</v>
      </c>
      <c r="AQ171" s="319" t="n">
        <f aca="false">AR171+AT171+AU171+AV171+AX171+AY171+AZ171+BB171+BC171+BD171+BF171+BG171+BH171+BJ171+BK171+(BL171+BM171+BN171)/1000+(0.1*BO171)</f>
        <v>5</v>
      </c>
      <c r="AR171" s="285" t="n">
        <v>0</v>
      </c>
      <c r="AS171" s="285" t="n">
        <v>0</v>
      </c>
      <c r="AT171" s="285" t="n">
        <v>5</v>
      </c>
      <c r="AU171" s="285" t="n">
        <v>0</v>
      </c>
      <c r="AV171" s="285" t="n">
        <v>0</v>
      </c>
      <c r="AW171" s="285" t="n">
        <v>0</v>
      </c>
      <c r="AX171" s="285" t="n">
        <v>0</v>
      </c>
      <c r="AY171" s="285" t="n">
        <v>0</v>
      </c>
      <c r="AZ171" s="285" t="n">
        <v>0</v>
      </c>
      <c r="BA171" s="285" t="n">
        <v>0</v>
      </c>
      <c r="BB171" s="285" t="n">
        <v>0</v>
      </c>
      <c r="BC171" s="285" t="n">
        <v>0</v>
      </c>
      <c r="BD171" s="285" t="n">
        <v>0</v>
      </c>
      <c r="BE171" s="285" t="n">
        <v>0</v>
      </c>
      <c r="BF171" s="285" t="n">
        <v>0</v>
      </c>
      <c r="BG171" s="285" t="n">
        <v>0</v>
      </c>
      <c r="BH171" s="285" t="n">
        <v>0</v>
      </c>
      <c r="BI171" s="285" t="n">
        <v>0</v>
      </c>
      <c r="BJ171" s="285" t="n">
        <v>0</v>
      </c>
      <c r="BK171" s="285" t="n">
        <v>0</v>
      </c>
      <c r="BL171" s="285" t="n">
        <v>0</v>
      </c>
      <c r="BM171" s="285" t="n">
        <v>0</v>
      </c>
      <c r="BN171" s="285" t="n">
        <v>0</v>
      </c>
      <c r="BO171" s="285" t="n">
        <v>0</v>
      </c>
      <c r="BR171" s="290" t="n">
        <f aca="false">AR171*1000/0.072</f>
        <v>0</v>
      </c>
      <c r="BS171" s="290" t="n">
        <f aca="false">AT171*1000/0.072</f>
        <v>69444.4444444445</v>
      </c>
      <c r="BT171" s="290" t="n">
        <f aca="false">AU171*1000/0.072</f>
        <v>0</v>
      </c>
      <c r="BU171" s="290" t="n">
        <f aca="false">SUM(BR171:BT171)</f>
        <v>69444.4444444445</v>
      </c>
      <c r="BV171" s="290" t="n">
        <f aca="false">AV171*1000/5</f>
        <v>0</v>
      </c>
      <c r="BW171" s="290" t="n">
        <f aca="false">AX171*1000/5</f>
        <v>0</v>
      </c>
      <c r="BX171" s="290" t="n">
        <f aca="false">AY171*1000/5</f>
        <v>0</v>
      </c>
      <c r="BY171" s="290" t="n">
        <f aca="false">SUM(BV171:BX171)</f>
        <v>0</v>
      </c>
      <c r="CA171" s="290" t="n">
        <f aca="false">IF($AM171="n",0,BR171)</f>
        <v>0</v>
      </c>
      <c r="CB171" s="290" t="n">
        <f aca="false">IF($AM171="n",0,BS171)</f>
        <v>69444.4444444445</v>
      </c>
      <c r="CC171" s="290" t="n">
        <f aca="false">IF($AM171="n",0,BT171)</f>
        <v>0</v>
      </c>
      <c r="CD171" s="290" t="n">
        <f aca="false">SUM(CA171:CC171)</f>
        <v>69444.4444444445</v>
      </c>
      <c r="CE171" s="290" t="n">
        <f aca="false">IF($AM$2="n",0,BV171)</f>
        <v>0</v>
      </c>
      <c r="CF171" s="290" t="n">
        <f aca="false">IF($AM$2="n",0,BW171)</f>
        <v>0</v>
      </c>
      <c r="CG171" s="290" t="n">
        <f aca="false">IF($AM$2="n",0,BX171)</f>
        <v>0</v>
      </c>
      <c r="CH171" s="290" t="n">
        <f aca="false">SUM(CE171:CG171)</f>
        <v>0</v>
      </c>
    </row>
    <row r="172" customFormat="false" ht="15" hidden="false" customHeight="true" outlineLevel="0" collapsed="false">
      <c r="A172" s="285" t="n">
        <v>4834</v>
      </c>
      <c r="B172" s="285" t="s">
        <v>44</v>
      </c>
      <c r="C172" s="286" t="s">
        <v>756</v>
      </c>
      <c r="D172" s="287" t="s">
        <v>669</v>
      </c>
      <c r="E172" s="288" t="n">
        <f aca="false">IF(I172="regional",IF(R172*0.2975,S172*0.3484),S172*0.1939)</f>
        <v>285688</v>
      </c>
      <c r="F172" s="288" t="n">
        <v>491000</v>
      </c>
      <c r="G172" s="289" t="n">
        <f aca="false">E172+F172</f>
        <v>776688</v>
      </c>
      <c r="H172" s="286"/>
      <c r="I172" s="287" t="s">
        <v>48</v>
      </c>
      <c r="J172" s="287" t="s">
        <v>44</v>
      </c>
      <c r="K172" s="287" t="s">
        <v>277</v>
      </c>
      <c r="L172" s="287" t="s">
        <v>44</v>
      </c>
      <c r="M172" s="317" t="n">
        <v>110</v>
      </c>
      <c r="N172" s="317" t="n">
        <v>0.864</v>
      </c>
      <c r="O172" s="317" t="n">
        <v>0.867</v>
      </c>
      <c r="P172" s="317" t="n">
        <v>0.925</v>
      </c>
      <c r="Q172" s="317" t="n">
        <v>0.952</v>
      </c>
      <c r="R172" s="317" t="n">
        <v>1008030</v>
      </c>
      <c r="S172" s="317" t="n">
        <v>820000</v>
      </c>
      <c r="T172" s="318" t="n">
        <f aca="false">IF(I172="regional",IF(R172&gt;0,R172*0.2975,S172*0.3484),S172*0.1939)</f>
        <v>299888.925</v>
      </c>
      <c r="U172" s="317" t="n">
        <v>427000</v>
      </c>
      <c r="V172" s="317" t="n">
        <v>393000</v>
      </c>
      <c r="W172" s="317" t="n">
        <v>4100</v>
      </c>
      <c r="X172" s="317" t="n">
        <v>790888.925</v>
      </c>
      <c r="Y172" s="317" t="n">
        <v>299888.925</v>
      </c>
      <c r="Z172" s="317" t="n">
        <v>491000</v>
      </c>
      <c r="AA172" s="317" t="n">
        <v>329000</v>
      </c>
      <c r="AB172" s="317" t="n">
        <v>0</v>
      </c>
      <c r="AC172" s="317" t="n">
        <v>329000</v>
      </c>
      <c r="AD172" s="317" t="n">
        <v>491000</v>
      </c>
      <c r="AE172" s="317" t="n">
        <v>0</v>
      </c>
      <c r="AF172" s="317" t="n">
        <v>329000</v>
      </c>
      <c r="AG172" s="317" t="n">
        <v>0</v>
      </c>
      <c r="AH172" s="317" t="n">
        <v>566000</v>
      </c>
      <c r="AI172" s="317" t="n">
        <v>540000</v>
      </c>
      <c r="AJ172" s="286" t="s">
        <v>707</v>
      </c>
      <c r="AK172" s="286" t="s">
        <v>712</v>
      </c>
      <c r="AL172" s="287" t="s">
        <v>48</v>
      </c>
      <c r="AM172" s="286"/>
      <c r="AN172" s="287" t="s">
        <v>669</v>
      </c>
      <c r="AO172" s="287" t="n">
        <v>790888.925</v>
      </c>
      <c r="AP172" s="319" t="n">
        <f aca="false">AR172+AT172+AU172+AV172+AX172+AY172+AZ172+BD172+BF172+BG172+BH172+BJ172+BK172+(BL172+BM172+BN172)/1000+(0.1*BO172)</f>
        <v>643.1512</v>
      </c>
      <c r="AQ172" s="319" t="n">
        <f aca="false">AR172+AT172+AU172+AV172+AX172+AY172+AZ172+BB172+BC172+BD172+BF172+BG172+BH172+BJ172+BK172+(BL172+BM172+BN172)/1000+(0.1*BO172)</f>
        <v>735.1512</v>
      </c>
      <c r="AR172" s="285" t="n">
        <v>327</v>
      </c>
      <c r="AS172" s="285" t="n">
        <v>540</v>
      </c>
      <c r="AT172" s="285" t="n">
        <v>215</v>
      </c>
      <c r="AU172" s="285" t="n">
        <v>0</v>
      </c>
      <c r="AV172" s="285" t="n">
        <v>0</v>
      </c>
      <c r="AW172" s="285" t="n">
        <v>0</v>
      </c>
      <c r="AX172" s="285" t="n">
        <v>0</v>
      </c>
      <c r="AY172" s="285" t="n">
        <v>0</v>
      </c>
      <c r="AZ172" s="285" t="n">
        <v>32</v>
      </c>
      <c r="BA172" s="285" t="n">
        <v>85</v>
      </c>
      <c r="BB172" s="285" t="n">
        <v>92</v>
      </c>
      <c r="BC172" s="285" t="n">
        <v>0</v>
      </c>
      <c r="BD172" s="285" t="n">
        <v>9</v>
      </c>
      <c r="BE172" s="285" t="n">
        <v>1</v>
      </c>
      <c r="BF172" s="285" t="n">
        <v>0</v>
      </c>
      <c r="BG172" s="285" t="n">
        <v>0</v>
      </c>
      <c r="BH172" s="285" t="n">
        <v>60</v>
      </c>
      <c r="BI172" s="285" t="n">
        <v>0</v>
      </c>
      <c r="BJ172" s="285" t="n">
        <v>0</v>
      </c>
      <c r="BK172" s="285" t="n">
        <v>0</v>
      </c>
      <c r="BL172" s="285" t="n">
        <v>0</v>
      </c>
      <c r="BM172" s="285" t="n">
        <v>0</v>
      </c>
      <c r="BN172" s="285" t="n">
        <v>0</v>
      </c>
      <c r="BO172" s="285" t="n">
        <v>1.512</v>
      </c>
      <c r="BR172" s="290" t="n">
        <f aca="false">AR172*1000/0.072</f>
        <v>4541666.66666667</v>
      </c>
      <c r="BS172" s="290" t="n">
        <f aca="false">AT172*1000/0.072</f>
        <v>2986111.11111111</v>
      </c>
      <c r="BT172" s="290" t="n">
        <f aca="false">AU172*1000/0.072</f>
        <v>0</v>
      </c>
      <c r="BU172" s="290" t="n">
        <f aca="false">SUM(BR172:BT172)</f>
        <v>7527777.77777778</v>
      </c>
      <c r="BV172" s="290" t="n">
        <f aca="false">AV172*1000/5</f>
        <v>0</v>
      </c>
      <c r="BW172" s="290" t="n">
        <f aca="false">AX172*1000/5</f>
        <v>0</v>
      </c>
      <c r="BX172" s="290" t="n">
        <f aca="false">AY172*1000/5</f>
        <v>0</v>
      </c>
      <c r="BY172" s="290" t="n">
        <f aca="false">SUM(BV172:BX172)</f>
        <v>0</v>
      </c>
      <c r="CA172" s="290" t="n">
        <f aca="false">IF($AM172="n",0,BR172)</f>
        <v>4541666.66666667</v>
      </c>
      <c r="CB172" s="290" t="n">
        <f aca="false">IF($AM172="n",0,BS172)</f>
        <v>2986111.11111111</v>
      </c>
      <c r="CC172" s="290" t="n">
        <f aca="false">IF($AM172="n",0,BT172)</f>
        <v>0</v>
      </c>
      <c r="CD172" s="290" t="n">
        <f aca="false">SUM(CA172:CC172)</f>
        <v>7527777.77777778</v>
      </c>
      <c r="CE172" s="290" t="n">
        <f aca="false">IF($AM$2="n",0,BV172)</f>
        <v>0</v>
      </c>
      <c r="CF172" s="290" t="n">
        <f aca="false">IF($AM$2="n",0,BW172)</f>
        <v>0</v>
      </c>
      <c r="CG172" s="290" t="n">
        <f aca="false">IF($AM$2="n",0,BX172)</f>
        <v>0</v>
      </c>
      <c r="CH172" s="290" t="n">
        <f aca="false">SUM(CE172:CG172)</f>
        <v>0</v>
      </c>
    </row>
    <row r="173" customFormat="false" ht="15" hidden="false" customHeight="true" outlineLevel="0" collapsed="false">
      <c r="A173" s="285" t="n">
        <v>728</v>
      </c>
      <c r="B173" s="285"/>
      <c r="C173" s="286" t="s">
        <v>455</v>
      </c>
      <c r="D173" s="287" t="s">
        <v>455</v>
      </c>
      <c r="E173" s="288" t="n">
        <f aca="false">IF(I173="regional",IF(R173*0.2975,S173*0.3484),S173*0.1939)</f>
        <v>59805.3526</v>
      </c>
      <c r="F173" s="288" t="n">
        <v>0</v>
      </c>
      <c r="G173" s="289" t="n">
        <f aca="false">E173+F173</f>
        <v>59805.3526</v>
      </c>
      <c r="H173" s="286" t="s">
        <v>49</v>
      </c>
      <c r="I173" s="287" t="s">
        <v>62</v>
      </c>
      <c r="J173" s="287"/>
      <c r="K173" s="287" t="s">
        <v>458</v>
      </c>
      <c r="L173" s="287"/>
      <c r="M173" s="317" t="n">
        <v>25</v>
      </c>
      <c r="N173" s="317" t="n">
        <v>0.933</v>
      </c>
      <c r="O173" s="317" t="n">
        <v>0.941</v>
      </c>
      <c r="P173" s="317" t="n">
        <v>0.656</v>
      </c>
      <c r="Q173" s="317" t="n">
        <v>0.944</v>
      </c>
      <c r="R173" s="317" t="n">
        <v>0</v>
      </c>
      <c r="S173" s="317" t="n">
        <v>308434</v>
      </c>
      <c r="T173" s="318" t="n">
        <f aca="false">IF(I173="regional",IF(R173&gt;0,R173*0.2975,S173*0.3484),S173*0.1939)</f>
        <v>59805.3526</v>
      </c>
      <c r="U173" s="317" t="n">
        <v>250749</v>
      </c>
      <c r="V173" s="317" t="n">
        <v>57685</v>
      </c>
      <c r="W173" s="317" t="n">
        <v>2854</v>
      </c>
      <c r="X173" s="317" t="n">
        <v>0</v>
      </c>
      <c r="Y173" s="317" t="n">
        <v>0</v>
      </c>
      <c r="Z173" s="317" t="n">
        <v>0</v>
      </c>
      <c r="AA173" s="317" t="n">
        <v>368239.3526</v>
      </c>
      <c r="AB173" s="317" t="n">
        <v>59805.3526</v>
      </c>
      <c r="AC173" s="317" t="n">
        <v>308434</v>
      </c>
      <c r="AD173" s="317" t="n">
        <v>0</v>
      </c>
      <c r="AE173" s="317" t="n">
        <v>0</v>
      </c>
      <c r="AF173" s="317" t="n">
        <v>0</v>
      </c>
      <c r="AG173" s="317" t="n">
        <v>308434</v>
      </c>
      <c r="AH173" s="317" t="n">
        <v>0</v>
      </c>
      <c r="AI173" s="317" t="n">
        <v>0</v>
      </c>
      <c r="AJ173" s="286" t="n">
        <v>4</v>
      </c>
      <c r="AK173" s="286" t="s">
        <v>722</v>
      </c>
      <c r="AL173" s="287" t="s">
        <v>62</v>
      </c>
      <c r="AM173" s="286" t="s">
        <v>49</v>
      </c>
      <c r="AN173" s="287" t="s">
        <v>455</v>
      </c>
      <c r="AO173" s="287" t="n">
        <v>59805.3526</v>
      </c>
      <c r="AP173" s="319" t="n">
        <f aca="false">AR173+AT173+AU173+AV173+AX173+AY173+AZ173+BD173+BF173+BG173+BH173+BJ173+BK173+(BL173+BM173+BN173)/1000+(0.1*BO173)</f>
        <v>56</v>
      </c>
      <c r="AQ173" s="319" t="n">
        <f aca="false">AR173+AT173+AU173+AV173+AX173+AY173+AZ173+BB173+BC173+BD173+BF173+BG173+BH173+BJ173+BK173+(BL173+BM173+BN173)/1000+(0.1*BO173)</f>
        <v>57</v>
      </c>
      <c r="AR173" s="285" t="n">
        <v>0</v>
      </c>
      <c r="AS173" s="285" t="n">
        <v>0</v>
      </c>
      <c r="AT173" s="285" t="n">
        <v>30</v>
      </c>
      <c r="AU173" s="285" t="n">
        <v>21</v>
      </c>
      <c r="AV173" s="285" t="n">
        <v>0</v>
      </c>
      <c r="AW173" s="285" t="n">
        <v>0</v>
      </c>
      <c r="AX173" s="285" t="n">
        <v>0</v>
      </c>
      <c r="AY173" s="285" t="n">
        <v>5</v>
      </c>
      <c r="AZ173" s="285" t="n">
        <v>0</v>
      </c>
      <c r="BA173" s="285" t="n">
        <v>11</v>
      </c>
      <c r="BB173" s="285" t="n">
        <v>0</v>
      </c>
      <c r="BC173" s="285" t="n">
        <v>1</v>
      </c>
      <c r="BD173" s="285" t="n">
        <v>0</v>
      </c>
      <c r="BE173" s="285" t="n">
        <v>0</v>
      </c>
      <c r="BF173" s="285" t="n">
        <v>0</v>
      </c>
      <c r="BG173" s="285" t="n">
        <v>0</v>
      </c>
      <c r="BH173" s="285" t="n">
        <v>0</v>
      </c>
      <c r="BI173" s="285" t="n">
        <v>0</v>
      </c>
      <c r="BJ173" s="285" t="n">
        <v>0</v>
      </c>
      <c r="BK173" s="285" t="n">
        <v>0</v>
      </c>
      <c r="BL173" s="285" t="n">
        <v>0</v>
      </c>
      <c r="BM173" s="285" t="n">
        <v>0</v>
      </c>
      <c r="BN173" s="285" t="n">
        <v>0</v>
      </c>
      <c r="BO173" s="285" t="n">
        <v>0</v>
      </c>
      <c r="BR173" s="290" t="n">
        <f aca="false">AR173*1000/0.072</f>
        <v>0</v>
      </c>
      <c r="BS173" s="290" t="n">
        <f aca="false">AT173*1000/0.072</f>
        <v>416666.666666667</v>
      </c>
      <c r="BT173" s="290" t="n">
        <f aca="false">AU173*1000/0.072</f>
        <v>291666.666666667</v>
      </c>
      <c r="BU173" s="290" t="n">
        <f aca="false">SUM(BR173:BT173)</f>
        <v>708333.333333333</v>
      </c>
      <c r="BV173" s="290" t="n">
        <f aca="false">AV173*1000/5</f>
        <v>0</v>
      </c>
      <c r="BW173" s="290" t="n">
        <f aca="false">AX173*1000/5</f>
        <v>0</v>
      </c>
      <c r="BX173" s="290" t="n">
        <f aca="false">AY173*1000/5</f>
        <v>1000</v>
      </c>
      <c r="BY173" s="290" t="n">
        <f aca="false">SUM(BV173:BX173)</f>
        <v>1000</v>
      </c>
      <c r="CA173" s="290" t="n">
        <f aca="false">IF($AM173="n",0,BR173)</f>
        <v>0</v>
      </c>
      <c r="CB173" s="290" t="n">
        <f aca="false">IF($AM173="n",0,BS173)</f>
        <v>0</v>
      </c>
      <c r="CC173" s="290" t="n">
        <f aca="false">IF($AM173="n",0,BT173)</f>
        <v>0</v>
      </c>
      <c r="CD173" s="290" t="n">
        <f aca="false">SUM(CA173:CC173)</f>
        <v>0</v>
      </c>
      <c r="CE173" s="290" t="n">
        <f aca="false">IF($AM$2="n",0,BV173)</f>
        <v>0</v>
      </c>
      <c r="CF173" s="290" t="n">
        <f aca="false">IF($AM$2="n",0,BW173)</f>
        <v>0</v>
      </c>
      <c r="CG173" s="290" t="n">
        <f aca="false">IF($AM$2="n",0,BX173)</f>
        <v>1000</v>
      </c>
      <c r="CH173" s="290" t="n">
        <f aca="false">SUM(CE173:CG173)</f>
        <v>1000</v>
      </c>
    </row>
    <row r="174" customFormat="false" ht="15" hidden="false" customHeight="true" outlineLevel="0" collapsed="false">
      <c r="A174" s="285" t="n">
        <v>9903</v>
      </c>
      <c r="B174" s="285"/>
      <c r="C174" s="286" t="s">
        <v>459</v>
      </c>
      <c r="D174" s="287" t="s">
        <v>459</v>
      </c>
      <c r="E174" s="288" t="n">
        <f aca="false">IF(I174="regional",IF(R174*0.2975,S174*0.3484),S174*0.1939)</f>
        <v>272582.2372</v>
      </c>
      <c r="F174" s="288" t="n">
        <v>0</v>
      </c>
      <c r="G174" s="289" t="n">
        <f aca="false">E174+F174</f>
        <v>272582.2372</v>
      </c>
      <c r="H174" s="286" t="s">
        <v>49</v>
      </c>
      <c r="I174" s="287" t="s">
        <v>48</v>
      </c>
      <c r="J174" s="287" t="s">
        <v>49</v>
      </c>
      <c r="K174" s="287" t="s">
        <v>449</v>
      </c>
      <c r="L174" s="287"/>
      <c r="M174" s="317" t="n">
        <v>132</v>
      </c>
      <c r="N174" s="317" t="n">
        <v>0.705</v>
      </c>
      <c r="O174" s="317" t="n">
        <v>0.717</v>
      </c>
      <c r="P174" s="317" t="n">
        <v>0.746</v>
      </c>
      <c r="Q174" s="317" t="n">
        <v>0.736</v>
      </c>
      <c r="R174" s="317" t="n">
        <v>944410</v>
      </c>
      <c r="S174" s="317" t="n">
        <v>782383</v>
      </c>
      <c r="T174" s="318" t="n">
        <f aca="false">IF(I174="regional",IF(R174&gt;0,R174*0.2975,S174*0.3484),S174*0.1939)</f>
        <v>280961.975</v>
      </c>
      <c r="U174" s="317" t="n">
        <v>458554</v>
      </c>
      <c r="V174" s="317" t="n">
        <v>323829</v>
      </c>
      <c r="W174" s="317" t="n">
        <v>3671</v>
      </c>
      <c r="X174" s="317" t="n">
        <v>0</v>
      </c>
      <c r="Y174" s="317" t="n">
        <v>0</v>
      </c>
      <c r="Z174" s="317" t="n">
        <v>0</v>
      </c>
      <c r="AA174" s="317" t="n">
        <v>1063344.975</v>
      </c>
      <c r="AB174" s="317" t="n">
        <v>280961.975</v>
      </c>
      <c r="AC174" s="317" t="n">
        <v>782383</v>
      </c>
      <c r="AD174" s="317" t="n">
        <v>0</v>
      </c>
      <c r="AE174" s="317" t="n">
        <v>0</v>
      </c>
      <c r="AF174" s="317" t="n">
        <v>0</v>
      </c>
      <c r="AG174" s="317" t="n">
        <v>782383</v>
      </c>
      <c r="AH174" s="317" t="n">
        <v>0</v>
      </c>
      <c r="AI174" s="317" t="n">
        <v>0</v>
      </c>
      <c r="AJ174" s="286" t="s">
        <v>707</v>
      </c>
      <c r="AK174" s="286" t="s">
        <v>714</v>
      </c>
      <c r="AL174" s="287" t="s">
        <v>48</v>
      </c>
      <c r="AM174" s="286" t="s">
        <v>49</v>
      </c>
      <c r="AN174" s="287" t="s">
        <v>459</v>
      </c>
      <c r="AO174" s="287" t="n">
        <v>280961.975</v>
      </c>
      <c r="AP174" s="319" t="n">
        <f aca="false">AR174+AT174+AU174+AV174+AX174+AY174+AZ174+BD174+BF174+BG174+BH174+BJ174+BK174+(BL174+BM174+BN174)/1000+(0.1*BO174)</f>
        <v>331.4256</v>
      </c>
      <c r="AQ174" s="319" t="n">
        <f aca="false">AR174+AT174+AU174+AV174+AX174+AY174+AZ174+BB174+BC174+BD174+BF174+BG174+BH174+BJ174+BK174+(BL174+BM174+BN174)/1000+(0.1*BO174)</f>
        <v>392.4256</v>
      </c>
      <c r="AR174" s="285" t="n">
        <v>0</v>
      </c>
      <c r="AS174" s="285" t="n">
        <v>0</v>
      </c>
      <c r="AT174" s="285" t="n">
        <v>223</v>
      </c>
      <c r="AU174" s="285" t="n">
        <v>2</v>
      </c>
      <c r="AV174" s="285" t="n">
        <v>0</v>
      </c>
      <c r="AW174" s="285" t="n">
        <v>0</v>
      </c>
      <c r="AX174" s="285" t="n">
        <v>4</v>
      </c>
      <c r="AY174" s="285" t="n">
        <v>0</v>
      </c>
      <c r="AZ174" s="285" t="n">
        <v>0</v>
      </c>
      <c r="BA174" s="285" t="n">
        <v>0</v>
      </c>
      <c r="BB174" s="285" t="n">
        <v>52</v>
      </c>
      <c r="BC174" s="285" t="n">
        <v>9</v>
      </c>
      <c r="BD174" s="285" t="n">
        <v>0</v>
      </c>
      <c r="BE174" s="285" t="n">
        <v>0</v>
      </c>
      <c r="BF174" s="285" t="n">
        <v>0</v>
      </c>
      <c r="BG174" s="285" t="n">
        <v>0</v>
      </c>
      <c r="BH174" s="285" t="n">
        <v>1</v>
      </c>
      <c r="BI174" s="285" t="n">
        <v>0</v>
      </c>
      <c r="BJ174" s="285" t="n">
        <v>0</v>
      </c>
      <c r="BK174" s="285" t="n">
        <v>0</v>
      </c>
      <c r="BL174" s="285" t="n">
        <v>0</v>
      </c>
      <c r="BM174" s="285" t="n">
        <v>0</v>
      </c>
      <c r="BN174" s="285" t="n">
        <v>39651</v>
      </c>
      <c r="BO174" s="285" t="n">
        <v>617.746</v>
      </c>
      <c r="BR174" s="290" t="n">
        <f aca="false">AR174*1000/0.072</f>
        <v>0</v>
      </c>
      <c r="BS174" s="290" t="n">
        <f aca="false">AT174*1000/0.072</f>
        <v>3097222.22222222</v>
      </c>
      <c r="BT174" s="290" t="n">
        <f aca="false">AU174*1000/0.072</f>
        <v>27777.7777777778</v>
      </c>
      <c r="BU174" s="290" t="n">
        <f aca="false">SUM(BR174:BT174)</f>
        <v>3125000</v>
      </c>
      <c r="BV174" s="290" t="n">
        <f aca="false">AV174*1000/5</f>
        <v>0</v>
      </c>
      <c r="BW174" s="290" t="n">
        <f aca="false">AX174*1000/5</f>
        <v>800</v>
      </c>
      <c r="BX174" s="290" t="n">
        <f aca="false">AY174*1000/5</f>
        <v>0</v>
      </c>
      <c r="BY174" s="290" t="n">
        <f aca="false">SUM(BV174:BX174)</f>
        <v>800</v>
      </c>
      <c r="CA174" s="290" t="n">
        <f aca="false">IF($AM174="n",0,BR174)</f>
        <v>0</v>
      </c>
      <c r="CB174" s="290" t="n">
        <f aca="false">IF($AM174="n",0,BS174)</f>
        <v>0</v>
      </c>
      <c r="CC174" s="290" t="n">
        <f aca="false">IF($AM174="n",0,BT174)</f>
        <v>0</v>
      </c>
      <c r="CD174" s="290" t="n">
        <f aca="false">SUM(CA174:CC174)</f>
        <v>0</v>
      </c>
      <c r="CE174" s="290" t="n">
        <f aca="false">IF($AM$2="n",0,BV174)</f>
        <v>0</v>
      </c>
      <c r="CF174" s="290" t="n">
        <f aca="false">IF($AM$2="n",0,BW174)</f>
        <v>800</v>
      </c>
      <c r="CG174" s="290" t="n">
        <f aca="false">IF($AM$2="n",0,BX174)</f>
        <v>0</v>
      </c>
      <c r="CH174" s="290" t="n">
        <f aca="false">SUM(CE174:CG174)</f>
        <v>800</v>
      </c>
    </row>
    <row r="175" customFormat="false" ht="15" hidden="false" customHeight="true" outlineLevel="0" collapsed="false">
      <c r="A175" s="285" t="n">
        <v>2318</v>
      </c>
      <c r="B175" s="285" t="s">
        <v>44</v>
      </c>
      <c r="C175" s="286" t="s">
        <v>461</v>
      </c>
      <c r="D175" s="287" t="s">
        <v>461</v>
      </c>
      <c r="E175" s="288" t="n">
        <f aca="false">IF(I175="regional",IF(R175*0.2975,S175*0.3484),S175*0.1939)</f>
        <v>272448.8</v>
      </c>
      <c r="F175" s="288" t="n">
        <v>0</v>
      </c>
      <c r="G175" s="289" t="n">
        <f aca="false">E175+F175</f>
        <v>272448.8</v>
      </c>
      <c r="H175" s="286"/>
      <c r="I175" s="287" t="s">
        <v>48</v>
      </c>
      <c r="J175" s="287" t="s">
        <v>44</v>
      </c>
      <c r="K175" s="287" t="s">
        <v>406</v>
      </c>
      <c r="L175" s="287"/>
      <c r="M175" s="317" t="n">
        <v>53</v>
      </c>
      <c r="N175" s="317" t="n">
        <v>0.93</v>
      </c>
      <c r="O175" s="317" t="n">
        <v>0.923</v>
      </c>
      <c r="P175" s="317" t="n">
        <v>0.919</v>
      </c>
      <c r="Q175" s="317" t="n">
        <v>0.944</v>
      </c>
      <c r="R175" s="317" t="n">
        <v>804218</v>
      </c>
      <c r="S175" s="317" t="n">
        <v>782000</v>
      </c>
      <c r="T175" s="318" t="n">
        <f aca="false">IF(I175="regional",IF(R175&gt;0,R175*0.2975,S175*0.3484),S175*0.1939)</f>
        <v>239254.855</v>
      </c>
      <c r="U175" s="317" t="n">
        <v>600982</v>
      </c>
      <c r="V175" s="317" t="n">
        <v>181018</v>
      </c>
      <c r="W175" s="317" t="n">
        <v>2352</v>
      </c>
      <c r="X175" s="317" t="n">
        <v>0</v>
      </c>
      <c r="Y175" s="317" t="n">
        <v>0</v>
      </c>
      <c r="Z175" s="317" t="n">
        <v>0</v>
      </c>
      <c r="AA175" s="317" t="n">
        <v>1021254.855</v>
      </c>
      <c r="AB175" s="317" t="n">
        <v>239254.855</v>
      </c>
      <c r="AC175" s="317" t="n">
        <v>782000</v>
      </c>
      <c r="AD175" s="317" t="n">
        <v>0</v>
      </c>
      <c r="AE175" s="317" t="n">
        <v>0</v>
      </c>
      <c r="AF175" s="317" t="n">
        <v>782000</v>
      </c>
      <c r="AG175" s="317" t="n">
        <v>0</v>
      </c>
      <c r="AH175" s="317" t="n">
        <v>60000</v>
      </c>
      <c r="AI175" s="317" t="n">
        <v>61000</v>
      </c>
      <c r="AJ175" s="286" t="s">
        <v>707</v>
      </c>
      <c r="AK175" s="286" t="s">
        <v>729</v>
      </c>
      <c r="AL175" s="287" t="s">
        <v>48</v>
      </c>
      <c r="AM175" s="286"/>
      <c r="AN175" s="287" t="s">
        <v>461</v>
      </c>
      <c r="AO175" s="287" t="n">
        <v>239254.855</v>
      </c>
      <c r="AP175" s="319" t="n">
        <f aca="false">AR175+AT175+AU175+AV175+AX175+AY175+AZ175+BD175+BF175+BG175+BH175+BJ175+BK175+(BL175+BM175+BN175)/1000+(0.1*BO175)</f>
        <v>137.5335</v>
      </c>
      <c r="AQ175" s="319" t="n">
        <f aca="false">AR175+AT175+AU175+AV175+AX175+AY175+AZ175+BB175+BC175+BD175+BF175+BG175+BH175+BJ175+BK175+(BL175+BM175+BN175)/1000+(0.1*BO175)</f>
        <v>141.5335</v>
      </c>
      <c r="AR175" s="285" t="n">
        <v>51</v>
      </c>
      <c r="AS175" s="285" t="n">
        <v>61</v>
      </c>
      <c r="AT175" s="285" t="n">
        <v>24</v>
      </c>
      <c r="AU175" s="285" t="n">
        <v>1</v>
      </c>
      <c r="AV175" s="285" t="n">
        <v>0</v>
      </c>
      <c r="AW175" s="285" t="n">
        <v>0</v>
      </c>
      <c r="AX175" s="285" t="n">
        <v>2</v>
      </c>
      <c r="AY175" s="285" t="n">
        <v>0</v>
      </c>
      <c r="AZ175" s="285" t="n">
        <v>0</v>
      </c>
      <c r="BA175" s="285" t="n">
        <v>1</v>
      </c>
      <c r="BB175" s="285" t="n">
        <v>4</v>
      </c>
      <c r="BC175" s="285" t="n">
        <v>0</v>
      </c>
      <c r="BD175" s="285" t="n">
        <v>0</v>
      </c>
      <c r="BE175" s="285" t="n">
        <v>0</v>
      </c>
      <c r="BF175" s="285" t="n">
        <v>0</v>
      </c>
      <c r="BG175" s="285" t="n">
        <v>0</v>
      </c>
      <c r="BH175" s="285" t="n">
        <v>0</v>
      </c>
      <c r="BI175" s="285" t="n">
        <v>0</v>
      </c>
      <c r="BJ175" s="285" t="n">
        <v>0</v>
      </c>
      <c r="BK175" s="285" t="n">
        <v>0</v>
      </c>
      <c r="BL175" s="285" t="n">
        <v>9776</v>
      </c>
      <c r="BM175" s="285" t="n">
        <v>0</v>
      </c>
      <c r="BN175" s="285" t="n">
        <v>14515</v>
      </c>
      <c r="BO175" s="285" t="n">
        <v>352.425</v>
      </c>
      <c r="BR175" s="290" t="n">
        <f aca="false">AR175*1000/0.072</f>
        <v>708333.333333333</v>
      </c>
      <c r="BS175" s="290" t="n">
        <f aca="false">AT175*1000/0.072</f>
        <v>333333.333333333</v>
      </c>
      <c r="BT175" s="290" t="n">
        <f aca="false">AU175*1000/0.072</f>
        <v>13888.8888888889</v>
      </c>
      <c r="BU175" s="290" t="n">
        <f aca="false">SUM(BR175:BT175)</f>
        <v>1055555.55555556</v>
      </c>
      <c r="BV175" s="290" t="n">
        <f aca="false">AV175*1000/5</f>
        <v>0</v>
      </c>
      <c r="BW175" s="290" t="n">
        <f aca="false">AX175*1000/5</f>
        <v>400</v>
      </c>
      <c r="BX175" s="290" t="n">
        <f aca="false">AY175*1000/5</f>
        <v>0</v>
      </c>
      <c r="BY175" s="290" t="n">
        <f aca="false">SUM(BV175:BX175)</f>
        <v>400</v>
      </c>
      <c r="CA175" s="290" t="n">
        <f aca="false">IF($AM175="n",0,BR175)</f>
        <v>708333.333333333</v>
      </c>
      <c r="CB175" s="290" t="n">
        <f aca="false">IF($AM175="n",0,BS175)</f>
        <v>333333.333333333</v>
      </c>
      <c r="CC175" s="290" t="n">
        <f aca="false">IF($AM175="n",0,BT175)</f>
        <v>13888.8888888889</v>
      </c>
      <c r="CD175" s="290" t="n">
        <f aca="false">SUM(CA175:CC175)</f>
        <v>1055555.55555556</v>
      </c>
      <c r="CE175" s="290" t="n">
        <f aca="false">IF($AM$2="n",0,BV175)</f>
        <v>0</v>
      </c>
      <c r="CF175" s="290" t="n">
        <f aca="false">IF($AM$2="n",0,BW175)</f>
        <v>400</v>
      </c>
      <c r="CG175" s="290" t="n">
        <f aca="false">IF($AM$2="n",0,BX175)</f>
        <v>0</v>
      </c>
      <c r="CH175" s="290" t="n">
        <f aca="false">SUM(CE175:CG175)</f>
        <v>400</v>
      </c>
    </row>
    <row r="176" customFormat="false" ht="15" hidden="false" customHeight="true" outlineLevel="0" collapsed="false">
      <c r="A176" s="285" t="n">
        <v>9419</v>
      </c>
      <c r="B176" s="285"/>
      <c r="C176" s="286" t="s">
        <v>463</v>
      </c>
      <c r="D176" s="287" t="s">
        <v>463</v>
      </c>
      <c r="E176" s="288" t="n">
        <f aca="false">IF(I176="regional",IF(R176*0.2975,S176*0.3484),S176*0.1939)</f>
        <v>315224.3068</v>
      </c>
      <c r="F176" s="288" t="n">
        <v>0</v>
      </c>
      <c r="G176" s="289" t="n">
        <f aca="false">E176+F176</f>
        <v>315224.3068</v>
      </c>
      <c r="H176" s="286"/>
      <c r="I176" s="287" t="s">
        <v>48</v>
      </c>
      <c r="J176" s="287" t="s">
        <v>49</v>
      </c>
      <c r="K176" s="287" t="s">
        <v>464</v>
      </c>
      <c r="L176" s="287"/>
      <c r="M176" s="317" t="n">
        <v>73</v>
      </c>
      <c r="N176" s="317" t="n">
        <v>0.657</v>
      </c>
      <c r="O176" s="317" t="n">
        <v>0.698</v>
      </c>
      <c r="P176" s="317" t="n">
        <v>0.692</v>
      </c>
      <c r="Q176" s="317" t="n">
        <v>0.68</v>
      </c>
      <c r="R176" s="317" t="n">
        <v>974410</v>
      </c>
      <c r="S176" s="317" t="n">
        <v>904777</v>
      </c>
      <c r="T176" s="318" t="n">
        <f aca="false">IF(I176="regional",IF(R176&gt;0,R176*0.2975,S176*0.3484),S176*0.1939)</f>
        <v>289886.975</v>
      </c>
      <c r="U176" s="317" t="n">
        <v>691230</v>
      </c>
      <c r="V176" s="317" t="n">
        <v>213547</v>
      </c>
      <c r="W176" s="317" t="n">
        <v>4584</v>
      </c>
      <c r="X176" s="317" t="n">
        <v>0</v>
      </c>
      <c r="Y176" s="317" t="n">
        <v>0</v>
      </c>
      <c r="Z176" s="317" t="n">
        <v>0</v>
      </c>
      <c r="AA176" s="317" t="n">
        <v>1194663.975</v>
      </c>
      <c r="AB176" s="317" t="n">
        <v>289886.975</v>
      </c>
      <c r="AC176" s="317" t="n">
        <v>904777</v>
      </c>
      <c r="AD176" s="317" t="n">
        <v>0</v>
      </c>
      <c r="AE176" s="317" t="n">
        <v>0</v>
      </c>
      <c r="AF176" s="317" t="n">
        <v>0</v>
      </c>
      <c r="AG176" s="317" t="n">
        <v>904777</v>
      </c>
      <c r="AH176" s="317" t="n">
        <v>0</v>
      </c>
      <c r="AI176" s="317" t="n">
        <v>0</v>
      </c>
      <c r="AJ176" s="286" t="s">
        <v>707</v>
      </c>
      <c r="AK176" s="286" t="s">
        <v>712</v>
      </c>
      <c r="AL176" s="287" t="s">
        <v>48</v>
      </c>
      <c r="AM176" s="286"/>
      <c r="AN176" s="287" t="s">
        <v>463</v>
      </c>
      <c r="AO176" s="287" t="n">
        <v>289886.975</v>
      </c>
      <c r="AP176" s="319" t="n">
        <f aca="false">AR176+AT176+AU176+AV176+AX176+AY176+AZ176+BD176+BF176+BG176+BH176+BJ176+BK176+(BL176+BM176+BN176)/1000+(0.1*BO176)</f>
        <v>227.6824</v>
      </c>
      <c r="AQ176" s="319" t="n">
        <f aca="false">AR176+AT176+AU176+AV176+AX176+AY176+AZ176+BB176+BC176+BD176+BF176+BG176+BH176+BJ176+BK176+(BL176+BM176+BN176)/1000+(0.1*BO176)</f>
        <v>237.6824</v>
      </c>
      <c r="AR176" s="285" t="n">
        <v>0</v>
      </c>
      <c r="AS176" s="285" t="n">
        <v>0</v>
      </c>
      <c r="AT176" s="285" t="n">
        <v>62</v>
      </c>
      <c r="AU176" s="285" t="n">
        <v>26</v>
      </c>
      <c r="AV176" s="285" t="n">
        <v>0</v>
      </c>
      <c r="AW176" s="285" t="n">
        <v>0</v>
      </c>
      <c r="AX176" s="285" t="n">
        <v>6</v>
      </c>
      <c r="AY176" s="285" t="n">
        <v>2</v>
      </c>
      <c r="AZ176" s="285" t="n">
        <v>0</v>
      </c>
      <c r="BA176" s="285" t="n">
        <v>0</v>
      </c>
      <c r="BB176" s="285" t="n">
        <v>7</v>
      </c>
      <c r="BC176" s="285" t="n">
        <v>3</v>
      </c>
      <c r="BD176" s="285" t="n">
        <v>0</v>
      </c>
      <c r="BE176" s="285" t="n">
        <v>0</v>
      </c>
      <c r="BF176" s="285" t="n">
        <v>0</v>
      </c>
      <c r="BG176" s="285" t="n">
        <v>0</v>
      </c>
      <c r="BH176" s="285" t="n">
        <v>0</v>
      </c>
      <c r="BI176" s="285" t="n">
        <v>0</v>
      </c>
      <c r="BJ176" s="285" t="n">
        <v>0</v>
      </c>
      <c r="BK176" s="285" t="n">
        <v>0</v>
      </c>
      <c r="BL176" s="285" t="n">
        <v>88626</v>
      </c>
      <c r="BM176" s="285" t="n">
        <v>0</v>
      </c>
      <c r="BN176" s="285" t="n">
        <v>0</v>
      </c>
      <c r="BO176" s="285" t="n">
        <v>430.564</v>
      </c>
      <c r="BR176" s="290" t="n">
        <f aca="false">AR176*1000/0.072</f>
        <v>0</v>
      </c>
      <c r="BS176" s="290" t="n">
        <f aca="false">AT176*1000/0.072</f>
        <v>861111.111111111</v>
      </c>
      <c r="BT176" s="290" t="n">
        <f aca="false">AU176*1000/0.072</f>
        <v>361111.111111111</v>
      </c>
      <c r="BU176" s="290" t="n">
        <f aca="false">SUM(BR176:BT176)</f>
        <v>1222222.22222222</v>
      </c>
      <c r="BV176" s="290" t="n">
        <f aca="false">AV176*1000/5</f>
        <v>0</v>
      </c>
      <c r="BW176" s="290" t="n">
        <f aca="false">AX176*1000/5</f>
        <v>1200</v>
      </c>
      <c r="BX176" s="290" t="n">
        <f aca="false">AY176*1000/5</f>
        <v>400</v>
      </c>
      <c r="BY176" s="290" t="n">
        <f aca="false">SUM(BV176:BX176)</f>
        <v>1600</v>
      </c>
      <c r="CA176" s="290" t="n">
        <f aca="false">IF($AM176="n",0,BR176)</f>
        <v>0</v>
      </c>
      <c r="CB176" s="290" t="n">
        <f aca="false">IF($AM176="n",0,BS176)</f>
        <v>861111.111111111</v>
      </c>
      <c r="CC176" s="290" t="n">
        <f aca="false">IF($AM176="n",0,BT176)</f>
        <v>361111.111111111</v>
      </c>
      <c r="CD176" s="290" t="n">
        <f aca="false">SUM(CA176:CC176)</f>
        <v>1222222.22222222</v>
      </c>
      <c r="CE176" s="290" t="n">
        <f aca="false">IF($AM$2="n",0,BV176)</f>
        <v>0</v>
      </c>
      <c r="CF176" s="290" t="n">
        <f aca="false">IF($AM$2="n",0,BW176)</f>
        <v>1200</v>
      </c>
      <c r="CG176" s="290" t="n">
        <f aca="false">IF($AM$2="n",0,BX176)</f>
        <v>400</v>
      </c>
      <c r="CH176" s="290" t="n">
        <f aca="false">SUM(CE176:CG176)</f>
        <v>1600</v>
      </c>
    </row>
    <row r="177" customFormat="false" ht="15" hidden="false" customHeight="true" outlineLevel="0" collapsed="false">
      <c r="A177" s="285" t="n">
        <v>9421</v>
      </c>
      <c r="B177" s="285"/>
      <c r="C177" s="286" t="s">
        <v>465</v>
      </c>
      <c r="D177" s="287" t="s">
        <v>465</v>
      </c>
      <c r="E177" s="288" t="n">
        <f aca="false">IF(I177="regional",IF(R177*0.2975,S177*0.3484),S177*0.1939)</f>
        <v>551665.9668</v>
      </c>
      <c r="F177" s="288" t="n">
        <v>0</v>
      </c>
      <c r="G177" s="289" t="n">
        <f aca="false">E177+F177</f>
        <v>551665.9668</v>
      </c>
      <c r="H177" s="286"/>
      <c r="I177" s="287" t="s">
        <v>48</v>
      </c>
      <c r="J177" s="287"/>
      <c r="K177" s="287" t="s">
        <v>260</v>
      </c>
      <c r="L177" s="287"/>
      <c r="M177" s="317" t="n">
        <v>174</v>
      </c>
      <c r="N177" s="317" t="n">
        <v>0.662</v>
      </c>
      <c r="O177" s="317" t="n">
        <v>0.651</v>
      </c>
      <c r="P177" s="317" t="n">
        <v>0.648</v>
      </c>
      <c r="Q177" s="317" t="n">
        <v>0.649</v>
      </c>
      <c r="R177" s="317" t="n">
        <v>205220</v>
      </c>
      <c r="S177" s="317" t="n">
        <v>1583427</v>
      </c>
      <c r="T177" s="318" t="n">
        <f aca="false">IF(I177="regional",IF(R177&gt;0,R177*0.2975,S177*0.3484),S177*0.1939)</f>
        <v>61052.95</v>
      </c>
      <c r="U177" s="317" t="n">
        <v>1126240</v>
      </c>
      <c r="V177" s="317" t="n">
        <v>457187</v>
      </c>
      <c r="W177" s="317" t="n">
        <v>8016</v>
      </c>
      <c r="X177" s="317" t="n">
        <v>0</v>
      </c>
      <c r="Y177" s="317" t="n">
        <v>0</v>
      </c>
      <c r="Z177" s="317" t="n">
        <v>0</v>
      </c>
      <c r="AA177" s="317" t="n">
        <v>1644479.95</v>
      </c>
      <c r="AB177" s="317" t="n">
        <v>61052.95</v>
      </c>
      <c r="AC177" s="317" t="n">
        <v>1583427</v>
      </c>
      <c r="AD177" s="317" t="n">
        <v>0</v>
      </c>
      <c r="AE177" s="317" t="n">
        <v>0</v>
      </c>
      <c r="AF177" s="317" t="n">
        <v>0</v>
      </c>
      <c r="AG177" s="317" t="n">
        <v>1583427</v>
      </c>
      <c r="AH177" s="317" t="n">
        <v>0</v>
      </c>
      <c r="AI177" s="317" t="n">
        <v>0</v>
      </c>
      <c r="AJ177" s="286" t="n">
        <v>4</v>
      </c>
      <c r="AK177" s="286" t="s">
        <v>720</v>
      </c>
      <c r="AL177" s="287" t="s">
        <v>48</v>
      </c>
      <c r="AM177" s="286"/>
      <c r="AN177" s="287" t="s">
        <v>465</v>
      </c>
      <c r="AO177" s="287" t="n">
        <v>61052.95</v>
      </c>
      <c r="AP177" s="319" t="n">
        <f aca="false">AR177+AT177+AU177+AV177+AX177+AY177+AZ177+BD177+BF177+BG177+BH177+BJ177+BK177+(BL177+BM177+BN177)/1000+(0.1*BO177)</f>
        <v>519.2717</v>
      </c>
      <c r="AQ177" s="319" t="n">
        <f aca="false">AR177+AT177+AU177+AV177+AX177+AY177+AZ177+BB177+BC177+BD177+BF177+BG177+BH177+BJ177+BK177+(BL177+BM177+BN177)/1000+(0.1*BO177)</f>
        <v>635.2717</v>
      </c>
      <c r="AR177" s="285" t="n">
        <v>0</v>
      </c>
      <c r="AS177" s="285" t="n">
        <v>0</v>
      </c>
      <c r="AT177" s="285" t="n">
        <v>382</v>
      </c>
      <c r="AU177" s="285" t="n">
        <v>10</v>
      </c>
      <c r="AV177" s="285" t="n">
        <v>0</v>
      </c>
      <c r="AW177" s="285" t="n">
        <v>0</v>
      </c>
      <c r="AX177" s="285" t="n">
        <v>16</v>
      </c>
      <c r="AY177" s="285" t="n">
        <v>14</v>
      </c>
      <c r="AZ177" s="285" t="n">
        <v>0</v>
      </c>
      <c r="BA177" s="285" t="n">
        <v>0</v>
      </c>
      <c r="BB177" s="285" t="n">
        <v>116</v>
      </c>
      <c r="BC177" s="285" t="n">
        <v>0</v>
      </c>
      <c r="BD177" s="285" t="n">
        <v>0</v>
      </c>
      <c r="BE177" s="285" t="n">
        <v>0</v>
      </c>
      <c r="BF177" s="285" t="n">
        <v>0</v>
      </c>
      <c r="BG177" s="285" t="n">
        <v>0</v>
      </c>
      <c r="BH177" s="285" t="n">
        <v>0</v>
      </c>
      <c r="BI177" s="285" t="n">
        <v>0</v>
      </c>
      <c r="BJ177" s="285" t="n">
        <v>0</v>
      </c>
      <c r="BK177" s="285" t="n">
        <v>0</v>
      </c>
      <c r="BL177" s="285" t="n">
        <v>0</v>
      </c>
      <c r="BM177" s="285" t="n">
        <v>0</v>
      </c>
      <c r="BN177" s="285" t="n">
        <v>0</v>
      </c>
      <c r="BO177" s="285" t="n">
        <v>972.717</v>
      </c>
      <c r="BR177" s="290" t="n">
        <f aca="false">AR177*1000/0.072</f>
        <v>0</v>
      </c>
      <c r="BS177" s="290" t="n">
        <f aca="false">AT177*1000/0.072</f>
        <v>5305555.55555556</v>
      </c>
      <c r="BT177" s="290" t="n">
        <f aca="false">AU177*1000/0.072</f>
        <v>138888.888888889</v>
      </c>
      <c r="BU177" s="290" t="n">
        <f aca="false">SUM(BR177:BT177)</f>
        <v>5444444.44444445</v>
      </c>
      <c r="BV177" s="290" t="n">
        <f aca="false">AV177*1000/5</f>
        <v>0</v>
      </c>
      <c r="BW177" s="290" t="n">
        <f aca="false">AX177*1000/5</f>
        <v>3200</v>
      </c>
      <c r="BX177" s="290" t="n">
        <f aca="false">AY177*1000/5</f>
        <v>2800</v>
      </c>
      <c r="BY177" s="290" t="n">
        <f aca="false">SUM(BV177:BX177)</f>
        <v>6000</v>
      </c>
      <c r="CA177" s="290" t="n">
        <f aca="false">IF($AM177="n",0,BR177)</f>
        <v>0</v>
      </c>
      <c r="CB177" s="290" t="n">
        <f aca="false">IF($AM177="n",0,BS177)</f>
        <v>5305555.55555556</v>
      </c>
      <c r="CC177" s="290" t="n">
        <f aca="false">IF($AM177="n",0,BT177)</f>
        <v>138888.888888889</v>
      </c>
      <c r="CD177" s="290" t="n">
        <f aca="false">SUM(CA177:CC177)</f>
        <v>5444444.44444445</v>
      </c>
      <c r="CE177" s="290" t="n">
        <f aca="false">IF($AM$2="n",0,BV177)</f>
        <v>0</v>
      </c>
      <c r="CF177" s="290" t="n">
        <f aca="false">IF($AM$2="n",0,BW177)</f>
        <v>3200</v>
      </c>
      <c r="CG177" s="290" t="n">
        <f aca="false">IF($AM$2="n",0,BX177)</f>
        <v>2800</v>
      </c>
      <c r="CH177" s="290" t="n">
        <f aca="false">SUM(CE177:CG177)</f>
        <v>6000</v>
      </c>
    </row>
    <row r="178" customFormat="false" ht="15" hidden="false" customHeight="true" outlineLevel="0" collapsed="false">
      <c r="A178" s="285" t="n">
        <v>3518</v>
      </c>
      <c r="B178" s="285"/>
      <c r="C178" s="286" t="s">
        <v>467</v>
      </c>
      <c r="D178" s="287" t="s">
        <v>467</v>
      </c>
      <c r="E178" s="288" t="n">
        <f aca="false">IF(I178="regional",IF(R178*0.2975,S178*0.3484),S178*0.1939)</f>
        <v>53746.5593</v>
      </c>
      <c r="F178" s="288" t="n">
        <v>0</v>
      </c>
      <c r="G178" s="289" t="n">
        <f aca="false">E178+F178</f>
        <v>53746.5593</v>
      </c>
      <c r="H178" s="286"/>
      <c r="I178" s="287" t="s">
        <v>62</v>
      </c>
      <c r="J178" s="287"/>
      <c r="K178" s="287" t="s">
        <v>50</v>
      </c>
      <c r="L178" s="287"/>
      <c r="M178" s="317" t="n">
        <v>10</v>
      </c>
      <c r="N178" s="317" t="n">
        <v>1</v>
      </c>
      <c r="O178" s="317" t="n">
        <v>1</v>
      </c>
      <c r="P178" s="317" t="n">
        <v>1</v>
      </c>
      <c r="Q178" s="317" t="n">
        <v>1</v>
      </c>
      <c r="R178" s="317" t="n">
        <v>0</v>
      </c>
      <c r="S178" s="317" t="n">
        <v>277187</v>
      </c>
      <c r="T178" s="318" t="n">
        <f aca="false">IF(I178="regional",IF(R178&gt;0,R178*0.2975,S178*0.3484),S178*0.1939)</f>
        <v>53746.5593</v>
      </c>
      <c r="U178" s="317" t="n">
        <v>210627</v>
      </c>
      <c r="V178" s="317" t="n">
        <v>66560</v>
      </c>
      <c r="W178" s="317" t="n">
        <v>1262</v>
      </c>
      <c r="X178" s="317" t="n">
        <v>0</v>
      </c>
      <c r="Y178" s="317" t="n">
        <v>0</v>
      </c>
      <c r="Z178" s="317" t="n">
        <v>0</v>
      </c>
      <c r="AA178" s="317" t="n">
        <v>330933.5593</v>
      </c>
      <c r="AB178" s="317" t="n">
        <v>53746.5593</v>
      </c>
      <c r="AC178" s="317" t="n">
        <v>277187</v>
      </c>
      <c r="AD178" s="317" t="n">
        <v>0</v>
      </c>
      <c r="AE178" s="317" t="n">
        <v>0</v>
      </c>
      <c r="AF178" s="317" t="n">
        <v>0</v>
      </c>
      <c r="AG178" s="317" t="n">
        <v>277187</v>
      </c>
      <c r="AH178" s="317" t="n">
        <v>0</v>
      </c>
      <c r="AI178" s="317" t="n">
        <v>0</v>
      </c>
      <c r="AJ178" s="286" t="n">
        <v>4</v>
      </c>
      <c r="AK178" s="286" t="s">
        <v>706</v>
      </c>
      <c r="AL178" s="287" t="s">
        <v>62</v>
      </c>
      <c r="AM178" s="286"/>
      <c r="AN178" s="287" t="s">
        <v>467</v>
      </c>
      <c r="AO178" s="287" t="n">
        <v>53746.5593</v>
      </c>
      <c r="AP178" s="319" t="n">
        <f aca="false">AR178+AT178+AU178+AV178+AX178+AY178+AZ178+BD178+BF178+BG178+BH178+BJ178+BK178+(BL178+BM178+BN178)/1000+(0.1*BO178)</f>
        <v>17.5404</v>
      </c>
      <c r="AQ178" s="319" t="n">
        <f aca="false">AR178+AT178+AU178+AV178+AX178+AY178+AZ178+BB178+BC178+BD178+BF178+BG178+BH178+BJ178+BK178+(BL178+BM178+BN178)/1000+(0.1*BO178)</f>
        <v>17.5404</v>
      </c>
      <c r="AR178" s="285" t="n">
        <v>0</v>
      </c>
      <c r="AS178" s="285" t="n">
        <v>0</v>
      </c>
      <c r="AT178" s="285" t="n">
        <v>10</v>
      </c>
      <c r="AU178" s="285" t="n">
        <v>0</v>
      </c>
      <c r="AV178" s="285" t="n">
        <v>0</v>
      </c>
      <c r="AW178" s="285" t="n">
        <v>0</v>
      </c>
      <c r="AX178" s="285" t="n">
        <v>0</v>
      </c>
      <c r="AY178" s="285" t="n">
        <v>0</v>
      </c>
      <c r="AZ178" s="285" t="n">
        <v>0</v>
      </c>
      <c r="BA178" s="285" t="n">
        <v>0</v>
      </c>
      <c r="BB178" s="285" t="n">
        <v>0</v>
      </c>
      <c r="BC178" s="285" t="n">
        <v>0</v>
      </c>
      <c r="BD178" s="285" t="n">
        <v>0</v>
      </c>
      <c r="BE178" s="285" t="n">
        <v>0</v>
      </c>
      <c r="BF178" s="285" t="n">
        <v>0</v>
      </c>
      <c r="BG178" s="285" t="n">
        <v>0</v>
      </c>
      <c r="BH178" s="285" t="n">
        <v>0</v>
      </c>
      <c r="BI178" s="285" t="n">
        <v>0</v>
      </c>
      <c r="BJ178" s="285" t="n">
        <v>0</v>
      </c>
      <c r="BK178" s="285" t="n">
        <v>0</v>
      </c>
      <c r="BL178" s="285" t="n">
        <v>0</v>
      </c>
      <c r="BM178" s="285" t="n">
        <v>0</v>
      </c>
      <c r="BN178" s="285" t="n">
        <v>0</v>
      </c>
      <c r="BO178" s="285" t="n">
        <v>75.404</v>
      </c>
      <c r="BR178" s="290" t="n">
        <f aca="false">AR178*1000/0.072</f>
        <v>0</v>
      </c>
      <c r="BS178" s="290" t="n">
        <f aca="false">AT178*1000/0.072</f>
        <v>138888.888888889</v>
      </c>
      <c r="BT178" s="290" t="n">
        <f aca="false">AU178*1000/0.072</f>
        <v>0</v>
      </c>
      <c r="BU178" s="290" t="n">
        <f aca="false">SUM(BR178:BT178)</f>
        <v>138888.888888889</v>
      </c>
      <c r="BV178" s="290" t="n">
        <f aca="false">AV178*1000/5</f>
        <v>0</v>
      </c>
      <c r="BW178" s="290" t="n">
        <f aca="false">AX178*1000/5</f>
        <v>0</v>
      </c>
      <c r="BX178" s="290" t="n">
        <f aca="false">AY178*1000/5</f>
        <v>0</v>
      </c>
      <c r="BY178" s="290" t="n">
        <f aca="false">SUM(BV178:BX178)</f>
        <v>0</v>
      </c>
      <c r="CA178" s="290" t="n">
        <f aca="false">IF($AM178="n",0,BR178)</f>
        <v>0</v>
      </c>
      <c r="CB178" s="290" t="n">
        <f aca="false">IF($AM178="n",0,BS178)</f>
        <v>138888.888888889</v>
      </c>
      <c r="CC178" s="290" t="n">
        <f aca="false">IF($AM178="n",0,BT178)</f>
        <v>0</v>
      </c>
      <c r="CD178" s="290" t="n">
        <f aca="false">SUM(CA178:CC178)</f>
        <v>138888.888888889</v>
      </c>
      <c r="CE178" s="290" t="n">
        <f aca="false">IF($AM$2="n",0,BV178)</f>
        <v>0</v>
      </c>
      <c r="CF178" s="290" t="n">
        <f aca="false">IF($AM$2="n",0,BW178)</f>
        <v>0</v>
      </c>
      <c r="CG178" s="290" t="n">
        <f aca="false">IF($AM$2="n",0,BX178)</f>
        <v>0</v>
      </c>
      <c r="CH178" s="290" t="n">
        <f aca="false">SUM(CE178:CG178)</f>
        <v>0</v>
      </c>
    </row>
    <row r="179" customFormat="false" ht="15" hidden="false" customHeight="true" outlineLevel="0" collapsed="false">
      <c r="A179" s="285" t="n">
        <v>9555</v>
      </c>
      <c r="B179" s="285"/>
      <c r="C179" s="286" t="s">
        <v>469</v>
      </c>
      <c r="D179" s="287" t="s">
        <v>469</v>
      </c>
      <c r="E179" s="288" t="n">
        <f aca="false">IF(I179="regional",IF(R179*0.2975,S179*0.3484),S179*0.1939)</f>
        <v>299748.7272</v>
      </c>
      <c r="F179" s="288" t="n">
        <v>0</v>
      </c>
      <c r="G179" s="289" t="n">
        <f aca="false">E179+F179</f>
        <v>299748.7272</v>
      </c>
      <c r="H179" s="286"/>
      <c r="I179" s="287" t="s">
        <v>48</v>
      </c>
      <c r="J179" s="287"/>
      <c r="K179" s="287" t="s">
        <v>118</v>
      </c>
      <c r="L179" s="287"/>
      <c r="M179" s="317" t="n">
        <v>106</v>
      </c>
      <c r="N179" s="317" t="n">
        <v>0.774</v>
      </c>
      <c r="O179" s="317" t="n">
        <v>0.785</v>
      </c>
      <c r="P179" s="317" t="n">
        <v>0.612</v>
      </c>
      <c r="Q179" s="317" t="n">
        <v>0.515</v>
      </c>
      <c r="R179" s="317" t="n">
        <v>890408</v>
      </c>
      <c r="S179" s="317" t="n">
        <v>860358</v>
      </c>
      <c r="T179" s="318" t="n">
        <f aca="false">IF(I179="regional",IF(R179&gt;0,R179*0.2975,S179*0.3484),S179*0.1939)</f>
        <v>264896.38</v>
      </c>
      <c r="U179" s="317" t="n">
        <v>598255</v>
      </c>
      <c r="V179" s="317" t="n">
        <v>262103</v>
      </c>
      <c r="W179" s="317" t="n">
        <v>4721</v>
      </c>
      <c r="X179" s="317" t="n">
        <v>0</v>
      </c>
      <c r="Y179" s="317" t="n">
        <v>0</v>
      </c>
      <c r="Z179" s="317" t="n">
        <v>0</v>
      </c>
      <c r="AA179" s="317" t="n">
        <v>1125254.38</v>
      </c>
      <c r="AB179" s="317" t="n">
        <v>264896.38</v>
      </c>
      <c r="AC179" s="317" t="n">
        <v>860358</v>
      </c>
      <c r="AD179" s="317" t="n">
        <v>0</v>
      </c>
      <c r="AE179" s="317" t="n">
        <v>0</v>
      </c>
      <c r="AF179" s="317" t="n">
        <v>0</v>
      </c>
      <c r="AG179" s="317" t="n">
        <v>860358</v>
      </c>
      <c r="AH179" s="317" t="n">
        <v>0</v>
      </c>
      <c r="AI179" s="317" t="n">
        <v>0</v>
      </c>
      <c r="AJ179" s="286" t="s">
        <v>707</v>
      </c>
      <c r="AK179" s="286" t="s">
        <v>708</v>
      </c>
      <c r="AL179" s="287" t="s">
        <v>48</v>
      </c>
      <c r="AM179" s="286"/>
      <c r="AN179" s="287" t="s">
        <v>469</v>
      </c>
      <c r="AO179" s="287" t="n">
        <v>264896.38</v>
      </c>
      <c r="AP179" s="319" t="n">
        <f aca="false">AR179+AT179+AU179+AV179+AX179+AY179+AZ179+BD179+BF179+BG179+BH179+BJ179+BK179+(BL179+BM179+BN179)/1000+(0.1*BO179)</f>
        <v>243.4312</v>
      </c>
      <c r="AQ179" s="319" t="n">
        <f aca="false">AR179+AT179+AU179+AV179+AX179+AY179+AZ179+BB179+BC179+BD179+BF179+BG179+BH179+BJ179+BK179+(BL179+BM179+BN179)/1000+(0.1*BO179)</f>
        <v>263.4312</v>
      </c>
      <c r="AR179" s="285" t="n">
        <v>0</v>
      </c>
      <c r="AS179" s="285" t="n">
        <v>0</v>
      </c>
      <c r="AT179" s="285" t="n">
        <v>168</v>
      </c>
      <c r="AU179" s="285" t="n">
        <v>10</v>
      </c>
      <c r="AV179" s="285" t="n">
        <v>0</v>
      </c>
      <c r="AW179" s="285" t="n">
        <v>0</v>
      </c>
      <c r="AX179" s="285" t="n">
        <v>6</v>
      </c>
      <c r="AY179" s="285" t="n">
        <v>0</v>
      </c>
      <c r="AZ179" s="285" t="n">
        <v>0</v>
      </c>
      <c r="BA179" s="285" t="n">
        <v>0</v>
      </c>
      <c r="BB179" s="285" t="n">
        <v>20</v>
      </c>
      <c r="BC179" s="285" t="n">
        <v>0</v>
      </c>
      <c r="BD179" s="285" t="n">
        <v>0</v>
      </c>
      <c r="BE179" s="285" t="n">
        <v>0</v>
      </c>
      <c r="BF179" s="285" t="n">
        <v>0</v>
      </c>
      <c r="BG179" s="285" t="n">
        <v>0</v>
      </c>
      <c r="BH179" s="285" t="n">
        <v>0</v>
      </c>
      <c r="BI179" s="285" t="n">
        <v>0</v>
      </c>
      <c r="BJ179" s="285" t="n">
        <v>0</v>
      </c>
      <c r="BK179" s="285" t="n">
        <v>0</v>
      </c>
      <c r="BL179" s="285" t="n">
        <v>13500</v>
      </c>
      <c r="BM179" s="285" t="n">
        <v>0</v>
      </c>
      <c r="BN179" s="285" t="n">
        <v>0</v>
      </c>
      <c r="BO179" s="285" t="n">
        <v>459.312</v>
      </c>
      <c r="BR179" s="290" t="n">
        <f aca="false">AR179*1000/0.072</f>
        <v>0</v>
      </c>
      <c r="BS179" s="290" t="n">
        <f aca="false">AT179*1000/0.072</f>
        <v>2333333.33333333</v>
      </c>
      <c r="BT179" s="290" t="n">
        <f aca="false">AU179*1000/0.072</f>
        <v>138888.888888889</v>
      </c>
      <c r="BU179" s="290" t="n">
        <f aca="false">SUM(BR179:BT179)</f>
        <v>2472222.22222222</v>
      </c>
      <c r="BV179" s="290" t="n">
        <f aca="false">AV179*1000/5</f>
        <v>0</v>
      </c>
      <c r="BW179" s="290" t="n">
        <f aca="false">AX179*1000/5</f>
        <v>1200</v>
      </c>
      <c r="BX179" s="290" t="n">
        <f aca="false">AY179*1000/5</f>
        <v>0</v>
      </c>
      <c r="BY179" s="290" t="n">
        <f aca="false">SUM(BV179:BX179)</f>
        <v>1200</v>
      </c>
      <c r="CA179" s="290" t="n">
        <f aca="false">IF($AM179="n",0,BR179)</f>
        <v>0</v>
      </c>
      <c r="CB179" s="290" t="n">
        <f aca="false">IF($AM179="n",0,BS179)</f>
        <v>2333333.33333333</v>
      </c>
      <c r="CC179" s="290" t="n">
        <f aca="false">IF($AM179="n",0,BT179)</f>
        <v>138888.888888889</v>
      </c>
      <c r="CD179" s="290" t="n">
        <f aca="false">SUM(CA179:CC179)</f>
        <v>2472222.22222222</v>
      </c>
      <c r="CE179" s="290" t="n">
        <f aca="false">IF($AM$2="n",0,BV179)</f>
        <v>0</v>
      </c>
      <c r="CF179" s="290" t="n">
        <f aca="false">IF($AM$2="n",0,BW179)</f>
        <v>1200</v>
      </c>
      <c r="CG179" s="290" t="n">
        <f aca="false">IF($AM$2="n",0,BX179)</f>
        <v>0</v>
      </c>
      <c r="CH179" s="290" t="n">
        <f aca="false">SUM(CE179:CG179)</f>
        <v>1200</v>
      </c>
    </row>
    <row r="180" customFormat="false" ht="15" hidden="false" customHeight="true" outlineLevel="0" collapsed="false">
      <c r="A180" s="285" t="n">
        <v>9448</v>
      </c>
      <c r="B180" s="285"/>
      <c r="C180" s="286" t="s">
        <v>471</v>
      </c>
      <c r="D180" s="287" t="s">
        <v>471</v>
      </c>
      <c r="E180" s="288" t="n">
        <f aca="false">IF(I180="regional",IF(R180*0.2975,S180*0.3484),S180*0.1939)</f>
        <v>136710.418</v>
      </c>
      <c r="F180" s="288" t="n">
        <v>0</v>
      </c>
      <c r="G180" s="289" t="n">
        <f aca="false">E180+F180</f>
        <v>136710.418</v>
      </c>
      <c r="H180" s="286"/>
      <c r="I180" s="287" t="s">
        <v>48</v>
      </c>
      <c r="J180" s="287" t="s">
        <v>49</v>
      </c>
      <c r="K180" s="287" t="s">
        <v>473</v>
      </c>
      <c r="L180" s="287"/>
      <c r="M180" s="317" t="n">
        <v>45</v>
      </c>
      <c r="N180" s="317" t="n">
        <v>0.899</v>
      </c>
      <c r="O180" s="317" t="n">
        <v>0.868</v>
      </c>
      <c r="P180" s="317" t="n">
        <v>0.806</v>
      </c>
      <c r="Q180" s="317" t="n">
        <v>0.776</v>
      </c>
      <c r="R180" s="317" t="n">
        <v>457256</v>
      </c>
      <c r="S180" s="317" t="n">
        <v>392395</v>
      </c>
      <c r="T180" s="318" t="n">
        <f aca="false">IF(I180="regional",IF(R180&gt;0,R180*0.2975,S180*0.3484),S180*0.1939)</f>
        <v>136033.66</v>
      </c>
      <c r="U180" s="317" t="n">
        <v>283103</v>
      </c>
      <c r="V180" s="317" t="n">
        <v>109292</v>
      </c>
      <c r="W180" s="317" t="n">
        <v>2000</v>
      </c>
      <c r="X180" s="317" t="n">
        <v>0</v>
      </c>
      <c r="Y180" s="317" t="n">
        <v>0</v>
      </c>
      <c r="Z180" s="317" t="n">
        <v>0</v>
      </c>
      <c r="AA180" s="317" t="n">
        <v>528428.66</v>
      </c>
      <c r="AB180" s="317" t="n">
        <v>136033.66</v>
      </c>
      <c r="AC180" s="317" t="n">
        <v>392395</v>
      </c>
      <c r="AD180" s="317" t="n">
        <v>0</v>
      </c>
      <c r="AE180" s="317" t="n">
        <v>0</v>
      </c>
      <c r="AF180" s="317" t="n">
        <v>0</v>
      </c>
      <c r="AG180" s="317" t="n">
        <v>392395</v>
      </c>
      <c r="AH180" s="317" t="n">
        <v>0</v>
      </c>
      <c r="AI180" s="317" t="n">
        <v>0</v>
      </c>
      <c r="AJ180" s="286" t="n">
        <v>4</v>
      </c>
      <c r="AK180" s="286" t="s">
        <v>720</v>
      </c>
      <c r="AL180" s="287" t="s">
        <v>48</v>
      </c>
      <c r="AM180" s="286"/>
      <c r="AN180" s="287" t="s">
        <v>471</v>
      </c>
      <c r="AO180" s="287" t="n">
        <v>136033.66</v>
      </c>
      <c r="AP180" s="319" t="n">
        <f aca="false">AR180+AT180+AU180+AV180+AX180+AY180+AZ180+BD180+BF180+BG180+BH180+BJ180+BK180+(BL180+BM180+BN180)/1000+(0.1*BO180)</f>
        <v>90.6858</v>
      </c>
      <c r="AQ180" s="319" t="n">
        <f aca="false">AR180+AT180+AU180+AV180+AX180+AY180+AZ180+BB180+BC180+BD180+BF180+BG180+BH180+BJ180+BK180+(BL180+BM180+BN180)/1000+(0.1*BO180)</f>
        <v>96.6858</v>
      </c>
      <c r="AR180" s="285" t="n">
        <v>0</v>
      </c>
      <c r="AS180" s="285" t="n">
        <v>0</v>
      </c>
      <c r="AT180" s="285" t="n">
        <v>28</v>
      </c>
      <c r="AU180" s="285" t="n">
        <v>9</v>
      </c>
      <c r="AV180" s="285" t="n">
        <v>0</v>
      </c>
      <c r="AW180" s="285" t="n">
        <v>0</v>
      </c>
      <c r="AX180" s="285" t="n">
        <v>2</v>
      </c>
      <c r="AY180" s="285" t="n">
        <v>2</v>
      </c>
      <c r="AZ180" s="285" t="n">
        <v>0</v>
      </c>
      <c r="BA180" s="285" t="n">
        <v>0</v>
      </c>
      <c r="BB180" s="285" t="n">
        <v>5</v>
      </c>
      <c r="BC180" s="285" t="n">
        <v>1</v>
      </c>
      <c r="BD180" s="285" t="n">
        <v>0</v>
      </c>
      <c r="BE180" s="285" t="n">
        <v>0</v>
      </c>
      <c r="BF180" s="285" t="n">
        <v>0</v>
      </c>
      <c r="BG180" s="285" t="n">
        <v>0</v>
      </c>
      <c r="BH180" s="285" t="n">
        <v>0</v>
      </c>
      <c r="BI180" s="285" t="n">
        <v>0</v>
      </c>
      <c r="BJ180" s="285" t="n">
        <v>0</v>
      </c>
      <c r="BK180" s="285" t="n">
        <v>0</v>
      </c>
      <c r="BL180" s="285" t="n">
        <v>0</v>
      </c>
      <c r="BM180" s="285" t="n">
        <v>0</v>
      </c>
      <c r="BN180" s="285" t="n">
        <v>25926</v>
      </c>
      <c r="BO180" s="285" t="n">
        <v>237.598</v>
      </c>
      <c r="BR180" s="290" t="n">
        <f aca="false">AR180*1000/0.072</f>
        <v>0</v>
      </c>
      <c r="BS180" s="290" t="n">
        <f aca="false">AT180*1000/0.072</f>
        <v>388888.888888889</v>
      </c>
      <c r="BT180" s="290" t="n">
        <f aca="false">AU180*1000/0.072</f>
        <v>125000</v>
      </c>
      <c r="BU180" s="290" t="n">
        <f aca="false">SUM(BR180:BT180)</f>
        <v>513888.888888889</v>
      </c>
      <c r="BV180" s="290" t="n">
        <f aca="false">AV180*1000/5</f>
        <v>0</v>
      </c>
      <c r="BW180" s="290" t="n">
        <f aca="false">AX180*1000/5</f>
        <v>400</v>
      </c>
      <c r="BX180" s="290" t="n">
        <f aca="false">AY180*1000/5</f>
        <v>400</v>
      </c>
      <c r="BY180" s="290" t="n">
        <f aca="false">SUM(BV180:BX180)</f>
        <v>800</v>
      </c>
      <c r="CA180" s="290" t="n">
        <f aca="false">IF($AM180="n",0,BR180)</f>
        <v>0</v>
      </c>
      <c r="CB180" s="290" t="n">
        <f aca="false">IF($AM180="n",0,BS180)</f>
        <v>388888.888888889</v>
      </c>
      <c r="CC180" s="290" t="n">
        <f aca="false">IF($AM180="n",0,BT180)</f>
        <v>125000</v>
      </c>
      <c r="CD180" s="290" t="n">
        <f aca="false">SUM(CA180:CC180)</f>
        <v>513888.888888889</v>
      </c>
      <c r="CE180" s="290" t="n">
        <f aca="false">IF($AM$2="n",0,BV180)</f>
        <v>0</v>
      </c>
      <c r="CF180" s="290" t="n">
        <f aca="false">IF($AM$2="n",0,BW180)</f>
        <v>400</v>
      </c>
      <c r="CG180" s="290" t="n">
        <f aca="false">IF($AM$2="n",0,BX180)</f>
        <v>400</v>
      </c>
      <c r="CH180" s="290" t="n">
        <f aca="false">SUM(CE180:CG180)</f>
        <v>800</v>
      </c>
    </row>
    <row r="181" customFormat="false" ht="15" hidden="false" customHeight="true" outlineLevel="0" collapsed="false">
      <c r="A181" s="285" t="n">
        <v>9445</v>
      </c>
      <c r="B181" s="285"/>
      <c r="C181" s="286" t="s">
        <v>474</v>
      </c>
      <c r="D181" s="287" t="s">
        <v>474</v>
      </c>
      <c r="E181" s="288" t="n">
        <f aca="false">IF(I181="regional",IF(R181*0.2975,S181*0.3484),S181*0.1939)</f>
        <v>304202.6728</v>
      </c>
      <c r="F181" s="288" t="n">
        <v>0</v>
      </c>
      <c r="G181" s="289" t="n">
        <f aca="false">E181+F181</f>
        <v>304202.6728</v>
      </c>
      <c r="H181" s="286"/>
      <c r="I181" s="287" t="s">
        <v>48</v>
      </c>
      <c r="J181" s="287" t="s">
        <v>49</v>
      </c>
      <c r="K181" s="287" t="s">
        <v>260</v>
      </c>
      <c r="L181" s="287"/>
      <c r="M181" s="317" t="n">
        <v>94</v>
      </c>
      <c r="N181" s="317" t="n">
        <v>0.383</v>
      </c>
      <c r="O181" s="317" t="n">
        <v>0.431</v>
      </c>
      <c r="P181" s="317" t="n">
        <v>0.648</v>
      </c>
      <c r="Q181" s="317" t="n">
        <v>0.649</v>
      </c>
      <c r="R181" s="317" t="n">
        <v>898374</v>
      </c>
      <c r="S181" s="317" t="n">
        <v>873142</v>
      </c>
      <c r="T181" s="318" t="n">
        <f aca="false">IF(I181="regional",IF(R181&gt;0,R181*0.2975,S181*0.3484),S181*0.1939)</f>
        <v>267266.265</v>
      </c>
      <c r="U181" s="317" t="n">
        <v>587036</v>
      </c>
      <c r="V181" s="317" t="n">
        <v>286106</v>
      </c>
      <c r="W181" s="317" t="n">
        <v>4865</v>
      </c>
      <c r="X181" s="317" t="n">
        <v>0</v>
      </c>
      <c r="Y181" s="317" t="n">
        <v>0</v>
      </c>
      <c r="Z181" s="317" t="n">
        <v>0</v>
      </c>
      <c r="AA181" s="317" t="n">
        <v>1140408.265</v>
      </c>
      <c r="AB181" s="317" t="n">
        <v>267266.265</v>
      </c>
      <c r="AC181" s="317" t="n">
        <v>873142</v>
      </c>
      <c r="AD181" s="317" t="n">
        <v>0</v>
      </c>
      <c r="AE181" s="317" t="n">
        <v>0</v>
      </c>
      <c r="AF181" s="317" t="n">
        <v>0</v>
      </c>
      <c r="AG181" s="317" t="n">
        <v>873142</v>
      </c>
      <c r="AH181" s="317" t="n">
        <v>0</v>
      </c>
      <c r="AI181" s="317" t="n">
        <v>0</v>
      </c>
      <c r="AJ181" s="286" t="n">
        <v>4</v>
      </c>
      <c r="AK181" s="286" t="s">
        <v>720</v>
      </c>
      <c r="AL181" s="287" t="s">
        <v>48</v>
      </c>
      <c r="AM181" s="286"/>
      <c r="AN181" s="287" t="s">
        <v>474</v>
      </c>
      <c r="AO181" s="287" t="n">
        <v>267266.265</v>
      </c>
      <c r="AP181" s="319" t="n">
        <f aca="false">AR181+AT181+AU181+AV181+AX181+AY181+AZ181+BD181+BF181+BG181+BH181+BJ181+BK181+(BL181+BM181+BN181)/1000+(0.1*BO181)</f>
        <v>185.322</v>
      </c>
      <c r="AQ181" s="319" t="n">
        <f aca="false">AR181+AT181+AU181+AV181+AX181+AY181+AZ181+BB181+BC181+BD181+BF181+BG181+BH181+BJ181+BK181+(BL181+BM181+BN181)/1000+(0.1*BO181)</f>
        <v>287.322</v>
      </c>
      <c r="AR181" s="285" t="n">
        <v>0</v>
      </c>
      <c r="AS181" s="285" t="n">
        <v>1</v>
      </c>
      <c r="AT181" s="285" t="n">
        <v>92</v>
      </c>
      <c r="AU181" s="285" t="n">
        <v>37</v>
      </c>
      <c r="AV181" s="285" t="n">
        <v>0</v>
      </c>
      <c r="AW181" s="285" t="n">
        <v>0</v>
      </c>
      <c r="AX181" s="285" t="n">
        <v>14</v>
      </c>
      <c r="AY181" s="285" t="n">
        <v>12</v>
      </c>
      <c r="AZ181" s="285" t="n">
        <v>0</v>
      </c>
      <c r="BA181" s="285" t="n">
        <v>0</v>
      </c>
      <c r="BB181" s="285" t="n">
        <v>102</v>
      </c>
      <c r="BC181" s="285" t="n">
        <v>0</v>
      </c>
      <c r="BD181" s="285" t="n">
        <v>0</v>
      </c>
      <c r="BE181" s="285" t="n">
        <v>0</v>
      </c>
      <c r="BF181" s="285" t="n">
        <v>0</v>
      </c>
      <c r="BG181" s="285" t="n">
        <v>0</v>
      </c>
      <c r="BH181" s="285" t="n">
        <v>0</v>
      </c>
      <c r="BI181" s="285" t="n">
        <v>0</v>
      </c>
      <c r="BJ181" s="285" t="n">
        <v>0</v>
      </c>
      <c r="BK181" s="285" t="n">
        <v>0</v>
      </c>
      <c r="BL181" s="285" t="n">
        <v>0</v>
      </c>
      <c r="BM181" s="285" t="n">
        <v>0</v>
      </c>
      <c r="BN181" s="285" t="n">
        <v>0</v>
      </c>
      <c r="BO181" s="285" t="n">
        <v>303.22</v>
      </c>
      <c r="BR181" s="290" t="n">
        <f aca="false">AR181*1000/0.072</f>
        <v>0</v>
      </c>
      <c r="BS181" s="290" t="n">
        <f aca="false">AT181*1000/0.072</f>
        <v>1277777.77777778</v>
      </c>
      <c r="BT181" s="290" t="n">
        <f aca="false">AU181*1000/0.072</f>
        <v>513888.888888889</v>
      </c>
      <c r="BU181" s="290" t="n">
        <f aca="false">SUM(BR181:BT181)</f>
        <v>1791666.66666667</v>
      </c>
      <c r="BV181" s="290" t="n">
        <f aca="false">AV181*1000/5</f>
        <v>0</v>
      </c>
      <c r="BW181" s="290" t="n">
        <f aca="false">AX181*1000/5</f>
        <v>2800</v>
      </c>
      <c r="BX181" s="290" t="n">
        <f aca="false">AY181*1000/5</f>
        <v>2400</v>
      </c>
      <c r="BY181" s="290" t="n">
        <f aca="false">SUM(BV181:BX181)</f>
        <v>5200</v>
      </c>
      <c r="CA181" s="290" t="n">
        <f aca="false">IF($AM181="n",0,BR181)</f>
        <v>0</v>
      </c>
      <c r="CB181" s="290" t="n">
        <f aca="false">IF($AM181="n",0,BS181)</f>
        <v>1277777.77777778</v>
      </c>
      <c r="CC181" s="290" t="n">
        <f aca="false">IF($AM181="n",0,BT181)</f>
        <v>513888.888888889</v>
      </c>
      <c r="CD181" s="290" t="n">
        <f aca="false">SUM(CA181:CC181)</f>
        <v>1791666.66666667</v>
      </c>
      <c r="CE181" s="290" t="n">
        <f aca="false">IF($AM$2="n",0,BV181)</f>
        <v>0</v>
      </c>
      <c r="CF181" s="290" t="n">
        <f aca="false">IF($AM$2="n",0,BW181)</f>
        <v>2800</v>
      </c>
      <c r="CG181" s="290" t="n">
        <f aca="false">IF($AM$2="n",0,BX181)</f>
        <v>2400</v>
      </c>
      <c r="CH181" s="290" t="n">
        <f aca="false">SUM(CE181:CG181)</f>
        <v>5200</v>
      </c>
    </row>
    <row r="182" customFormat="false" ht="15" hidden="false" customHeight="true" outlineLevel="0" collapsed="false">
      <c r="A182" s="285" t="n">
        <v>7314</v>
      </c>
      <c r="B182" s="285"/>
      <c r="C182" s="286" t="s">
        <v>475</v>
      </c>
      <c r="D182" s="287" t="s">
        <v>475</v>
      </c>
      <c r="E182" s="288" t="n">
        <f aca="false">IF(I182="regional",IF(R182*0.2975,S182*0.3484),S182*0.1939)</f>
        <v>34267.5592</v>
      </c>
      <c r="F182" s="288" t="n">
        <v>0</v>
      </c>
      <c r="G182" s="289" t="n">
        <f aca="false">E182+F182</f>
        <v>34267.5592</v>
      </c>
      <c r="H182" s="286" t="s">
        <v>49</v>
      </c>
      <c r="I182" s="287" t="s">
        <v>62</v>
      </c>
      <c r="J182" s="287"/>
      <c r="K182" s="287" t="s">
        <v>98</v>
      </c>
      <c r="L182" s="287"/>
      <c r="M182" s="317" t="n">
        <v>28</v>
      </c>
      <c r="N182" s="317" t="n">
        <v>0.797</v>
      </c>
      <c r="O182" s="317" t="n">
        <v>0.802</v>
      </c>
      <c r="P182" s="317" t="n">
        <v>0.812</v>
      </c>
      <c r="Q182" s="317" t="n">
        <v>0.855</v>
      </c>
      <c r="R182" s="317" t="n">
        <v>0</v>
      </c>
      <c r="S182" s="317" t="n">
        <v>176728</v>
      </c>
      <c r="T182" s="318" t="n">
        <f aca="false">IF(I182="regional",IF(R182&gt;0,R182*0.2975,S182*0.3484),S182*0.1939)</f>
        <v>34267.5592</v>
      </c>
      <c r="U182" s="317" t="n">
        <v>93667</v>
      </c>
      <c r="V182" s="317" t="n">
        <v>83061</v>
      </c>
      <c r="W182" s="317" t="n">
        <v>1100</v>
      </c>
      <c r="X182" s="317" t="n">
        <v>0</v>
      </c>
      <c r="Y182" s="317" t="n">
        <v>0</v>
      </c>
      <c r="Z182" s="317" t="n">
        <v>0</v>
      </c>
      <c r="AA182" s="317" t="n">
        <v>210995.5592</v>
      </c>
      <c r="AB182" s="317" t="n">
        <v>34267.5592</v>
      </c>
      <c r="AC182" s="317" t="n">
        <v>176728</v>
      </c>
      <c r="AD182" s="317" t="n">
        <v>0</v>
      </c>
      <c r="AE182" s="317" t="n">
        <v>0</v>
      </c>
      <c r="AF182" s="317" t="n">
        <v>0</v>
      </c>
      <c r="AG182" s="317" t="n">
        <v>176728</v>
      </c>
      <c r="AH182" s="317" t="n">
        <v>0</v>
      </c>
      <c r="AI182" s="317" t="n">
        <v>0</v>
      </c>
      <c r="AJ182" s="286" t="s">
        <v>707</v>
      </c>
      <c r="AK182" s="286" t="s">
        <v>708</v>
      </c>
      <c r="AL182" s="287" t="s">
        <v>62</v>
      </c>
      <c r="AM182" s="286" t="s">
        <v>49</v>
      </c>
      <c r="AN182" s="287" t="s">
        <v>475</v>
      </c>
      <c r="AO182" s="287" t="n">
        <v>34267.5592</v>
      </c>
      <c r="AP182" s="319" t="n">
        <f aca="false">AR182+AT182+AU182+AV182+AX182+AY182+AZ182+BD182+BF182+BG182+BH182+BJ182+BK182+(BL182+BM182+BN182)/1000+(0.1*BO182)</f>
        <v>26</v>
      </c>
      <c r="AQ182" s="319" t="n">
        <f aca="false">AR182+AT182+AU182+AV182+AX182+AY182+AZ182+BB182+BC182+BD182+BF182+BG182+BH182+BJ182+BK182+(BL182+BM182+BN182)/1000+(0.1*BO182)</f>
        <v>29</v>
      </c>
      <c r="AR182" s="285" t="n">
        <v>0</v>
      </c>
      <c r="AS182" s="285" t="n">
        <v>0</v>
      </c>
      <c r="AT182" s="285" t="n">
        <v>22</v>
      </c>
      <c r="AU182" s="285" t="n">
        <v>4</v>
      </c>
      <c r="AV182" s="285" t="n">
        <v>0</v>
      </c>
      <c r="AW182" s="285" t="n">
        <v>0</v>
      </c>
      <c r="AX182" s="285" t="n">
        <v>0</v>
      </c>
      <c r="AY182" s="285" t="n">
        <v>0</v>
      </c>
      <c r="AZ182" s="285" t="n">
        <v>0</v>
      </c>
      <c r="BA182" s="285" t="n">
        <v>16</v>
      </c>
      <c r="BB182" s="285" t="n">
        <v>3</v>
      </c>
      <c r="BC182" s="285" t="n">
        <v>0</v>
      </c>
      <c r="BD182" s="285" t="n">
        <v>0</v>
      </c>
      <c r="BE182" s="285" t="n">
        <v>0</v>
      </c>
      <c r="BF182" s="285" t="n">
        <v>0</v>
      </c>
      <c r="BG182" s="285" t="n">
        <v>0</v>
      </c>
      <c r="BH182" s="285" t="n">
        <v>0</v>
      </c>
      <c r="BI182" s="285" t="n">
        <v>0</v>
      </c>
      <c r="BJ182" s="285" t="n">
        <v>0</v>
      </c>
      <c r="BK182" s="285" t="n">
        <v>0</v>
      </c>
      <c r="BL182" s="285" t="n">
        <v>0</v>
      </c>
      <c r="BM182" s="285" t="n">
        <v>0</v>
      </c>
      <c r="BN182" s="285" t="n">
        <v>0</v>
      </c>
      <c r="BO182" s="285" t="n">
        <v>0</v>
      </c>
      <c r="BR182" s="290" t="n">
        <f aca="false">AR182*1000/0.072</f>
        <v>0</v>
      </c>
      <c r="BS182" s="290" t="n">
        <f aca="false">AT182*1000/0.072</f>
        <v>305555.555555556</v>
      </c>
      <c r="BT182" s="290" t="n">
        <f aca="false">AU182*1000/0.072</f>
        <v>55555.5555555556</v>
      </c>
      <c r="BU182" s="290" t="n">
        <f aca="false">SUM(BR182:BT182)</f>
        <v>361111.111111111</v>
      </c>
      <c r="BV182" s="290" t="n">
        <f aca="false">AV182*1000/5</f>
        <v>0</v>
      </c>
      <c r="BW182" s="290" t="n">
        <f aca="false">AX182*1000/5</f>
        <v>0</v>
      </c>
      <c r="BX182" s="290" t="n">
        <f aca="false">AY182*1000/5</f>
        <v>0</v>
      </c>
      <c r="BY182" s="290" t="n">
        <f aca="false">SUM(BV182:BX182)</f>
        <v>0</v>
      </c>
      <c r="CA182" s="290" t="n">
        <f aca="false">IF($AM182="n",0,BR182)</f>
        <v>0</v>
      </c>
      <c r="CB182" s="290" t="n">
        <f aca="false">IF($AM182="n",0,BS182)</f>
        <v>0</v>
      </c>
      <c r="CC182" s="290" t="n">
        <f aca="false">IF($AM182="n",0,BT182)</f>
        <v>0</v>
      </c>
      <c r="CD182" s="290" t="n">
        <f aca="false">SUM(CA182:CC182)</f>
        <v>0</v>
      </c>
      <c r="CE182" s="290" t="n">
        <f aca="false">IF($AM$2="n",0,BV182)</f>
        <v>0</v>
      </c>
      <c r="CF182" s="290" t="n">
        <f aca="false">IF($AM$2="n",0,BW182)</f>
        <v>0</v>
      </c>
      <c r="CG182" s="290" t="n">
        <f aca="false">IF($AM$2="n",0,BX182)</f>
        <v>0</v>
      </c>
      <c r="CH182" s="290" t="n">
        <f aca="false">SUM(CE182:CG182)</f>
        <v>0</v>
      </c>
    </row>
    <row r="183" customFormat="false" ht="15" hidden="false" customHeight="true" outlineLevel="0" collapsed="false">
      <c r="A183" s="285" t="n">
        <v>1904</v>
      </c>
      <c r="B183" s="285"/>
      <c r="C183" s="286" t="s">
        <v>477</v>
      </c>
      <c r="D183" s="287" t="s">
        <v>477</v>
      </c>
      <c r="E183" s="288" t="n">
        <f aca="false">IF(I183="regional",IF(R183*0.2975,S183*0.3484),S183*0.1939)</f>
        <v>46699.4577</v>
      </c>
      <c r="F183" s="288" t="n">
        <v>0</v>
      </c>
      <c r="G183" s="289" t="n">
        <f aca="false">E183+F183</f>
        <v>46699.4577</v>
      </c>
      <c r="H183" s="286" t="s">
        <v>49</v>
      </c>
      <c r="I183" s="287" t="s">
        <v>62</v>
      </c>
      <c r="J183" s="287"/>
      <c r="K183" s="287" t="s">
        <v>406</v>
      </c>
      <c r="L183" s="287"/>
      <c r="M183" s="317" t="n">
        <v>20</v>
      </c>
      <c r="N183" s="317" t="n">
        <v>0.861</v>
      </c>
      <c r="O183" s="317" t="n">
        <v>0.861</v>
      </c>
      <c r="P183" s="317" t="n">
        <v>0.869</v>
      </c>
      <c r="Q183" s="317" t="n">
        <v>1</v>
      </c>
      <c r="R183" s="317" t="n">
        <v>0</v>
      </c>
      <c r="S183" s="317" t="n">
        <v>240843</v>
      </c>
      <c r="T183" s="318" t="n">
        <f aca="false">IF(I183="regional",IF(R183&gt;0,R183*0.2975,S183*0.3484),S183*0.1939)</f>
        <v>46699.4577</v>
      </c>
      <c r="U183" s="317" t="n">
        <v>186175</v>
      </c>
      <c r="V183" s="317" t="n">
        <v>54668</v>
      </c>
      <c r="W183" s="317" t="n">
        <v>1666</v>
      </c>
      <c r="X183" s="317" t="n">
        <v>0</v>
      </c>
      <c r="Y183" s="317" t="n">
        <v>0</v>
      </c>
      <c r="Z183" s="317" t="n">
        <v>0</v>
      </c>
      <c r="AA183" s="317" t="n">
        <v>287542.4577</v>
      </c>
      <c r="AB183" s="317" t="n">
        <v>46699.4577</v>
      </c>
      <c r="AC183" s="317" t="n">
        <v>240843</v>
      </c>
      <c r="AD183" s="317" t="n">
        <v>0</v>
      </c>
      <c r="AE183" s="317" t="n">
        <v>0</v>
      </c>
      <c r="AF183" s="317" t="n">
        <v>0</v>
      </c>
      <c r="AG183" s="317" t="n">
        <v>240843</v>
      </c>
      <c r="AH183" s="317" t="n">
        <v>0</v>
      </c>
      <c r="AI183" s="317" t="n">
        <v>0</v>
      </c>
      <c r="AJ183" s="286" t="s">
        <v>707</v>
      </c>
      <c r="AK183" s="286" t="s">
        <v>712</v>
      </c>
      <c r="AL183" s="287" t="s">
        <v>62</v>
      </c>
      <c r="AM183" s="286" t="s">
        <v>49</v>
      </c>
      <c r="AN183" s="287" t="s">
        <v>477</v>
      </c>
      <c r="AO183" s="287" t="n">
        <v>46699.4577</v>
      </c>
      <c r="AP183" s="319" t="n">
        <f aca="false">AR183+AT183+AU183+AV183+AX183+AY183+AZ183+BD183+BF183+BG183+BH183+BJ183+BK183+(BL183+BM183+BN183)/1000+(0.1*BO183)</f>
        <v>17</v>
      </c>
      <c r="AQ183" s="319" t="n">
        <f aca="false">AR183+AT183+AU183+AV183+AX183+AY183+AZ183+BB183+BC183+BD183+BF183+BG183+BH183+BJ183+BK183+(BL183+BM183+BN183)/1000+(0.1*BO183)</f>
        <v>20</v>
      </c>
      <c r="AR183" s="302" t="n">
        <v>0</v>
      </c>
      <c r="AS183" s="302" t="n">
        <v>0</v>
      </c>
      <c r="AT183" s="302" t="n">
        <v>14</v>
      </c>
      <c r="AU183" s="302" t="n">
        <v>3</v>
      </c>
      <c r="AV183" s="302" t="n">
        <v>0</v>
      </c>
      <c r="AW183" s="302" t="n">
        <v>0</v>
      </c>
      <c r="AX183" s="302" t="n">
        <v>0</v>
      </c>
      <c r="AY183" s="302" t="n">
        <v>0</v>
      </c>
      <c r="AZ183" s="302" t="n">
        <v>0</v>
      </c>
      <c r="BA183" s="302" t="n">
        <v>3</v>
      </c>
      <c r="BB183" s="302" t="n">
        <v>4</v>
      </c>
      <c r="BC183" s="302" t="n">
        <v>-1</v>
      </c>
      <c r="BD183" s="285" t="n">
        <v>0</v>
      </c>
      <c r="BE183" s="285" t="n">
        <v>0</v>
      </c>
      <c r="BF183" s="285" t="n">
        <v>0</v>
      </c>
      <c r="BG183" s="285" t="n">
        <v>0</v>
      </c>
      <c r="BH183" s="285" t="n">
        <v>0</v>
      </c>
      <c r="BI183" s="285" t="n">
        <v>0</v>
      </c>
      <c r="BJ183" s="285" t="n">
        <v>0</v>
      </c>
      <c r="BK183" s="285" t="n">
        <v>0</v>
      </c>
      <c r="BL183" s="285" t="n">
        <v>0</v>
      </c>
      <c r="BM183" s="285" t="n">
        <v>0</v>
      </c>
      <c r="BN183" s="285" t="n">
        <v>0</v>
      </c>
      <c r="BO183" s="285" t="n">
        <v>0</v>
      </c>
      <c r="BP183" s="324"/>
      <c r="BR183" s="290" t="n">
        <f aca="false">AR183*1000/0.072</f>
        <v>0</v>
      </c>
      <c r="BS183" s="290" t="n">
        <f aca="false">AT183*1000/0.072</f>
        <v>194444.444444444</v>
      </c>
      <c r="BT183" s="290" t="n">
        <f aca="false">AU183*1000/0.072</f>
        <v>41666.6666666667</v>
      </c>
      <c r="BU183" s="290" t="n">
        <f aca="false">SUM(BR183:BT183)</f>
        <v>236111.111111111</v>
      </c>
      <c r="BV183" s="290" t="n">
        <f aca="false">AV183*1000/5</f>
        <v>0</v>
      </c>
      <c r="BW183" s="290" t="n">
        <f aca="false">AX183*1000/5</f>
        <v>0</v>
      </c>
      <c r="BX183" s="290" t="n">
        <f aca="false">AY183*1000/5</f>
        <v>0</v>
      </c>
      <c r="BY183" s="290" t="n">
        <f aca="false">SUM(BV183:BX183)</f>
        <v>0</v>
      </c>
      <c r="CA183" s="290" t="n">
        <f aca="false">IF($AM183="n",0,BR183)</f>
        <v>0</v>
      </c>
      <c r="CB183" s="290" t="n">
        <f aca="false">IF($AM183="n",0,BS183)</f>
        <v>0</v>
      </c>
      <c r="CC183" s="290" t="n">
        <f aca="false">IF($AM183="n",0,BT183)</f>
        <v>0</v>
      </c>
      <c r="CD183" s="290" t="n">
        <f aca="false">SUM(CA183:CC183)</f>
        <v>0</v>
      </c>
      <c r="CE183" s="290" t="n">
        <f aca="false">IF($AM$2="n",0,BV183)</f>
        <v>0</v>
      </c>
      <c r="CF183" s="290" t="n">
        <f aca="false">IF($AM$2="n",0,BW183)</f>
        <v>0</v>
      </c>
      <c r="CG183" s="290" t="n">
        <f aca="false">IF($AM$2="n",0,BX183)</f>
        <v>0</v>
      </c>
      <c r="CH183" s="290" t="n">
        <f aca="false">SUM(CE183:CG183)</f>
        <v>0</v>
      </c>
      <c r="CJ183" s="324"/>
      <c r="CK183" s="324"/>
      <c r="CL183" s="324"/>
      <c r="CM183" s="324"/>
      <c r="CN183" s="324"/>
      <c r="CO183" s="324"/>
      <c r="CP183" s="324"/>
      <c r="CQ183" s="324"/>
      <c r="CR183" s="324"/>
      <c r="CS183" s="324"/>
      <c r="CT183" s="324"/>
      <c r="CU183" s="324"/>
      <c r="CV183" s="324"/>
      <c r="CW183" s="324"/>
      <c r="CX183" s="324"/>
      <c r="CY183" s="324"/>
      <c r="CZ183" s="324"/>
      <c r="DA183" s="324"/>
      <c r="DB183" s="324"/>
      <c r="DC183" s="324"/>
      <c r="DD183" s="324"/>
      <c r="DE183" s="324"/>
      <c r="DF183" s="324"/>
      <c r="DG183" s="324"/>
      <c r="DH183" s="324"/>
      <c r="DI183" s="330"/>
      <c r="DJ183" s="330"/>
      <c r="DK183" s="330"/>
      <c r="DL183" s="330"/>
      <c r="DM183" s="330"/>
      <c r="DN183" s="330"/>
      <c r="DO183" s="330"/>
      <c r="DP183" s="330"/>
      <c r="DQ183" s="330"/>
      <c r="DR183" s="330"/>
      <c r="DS183" s="330"/>
      <c r="DT183" s="330"/>
      <c r="DU183" s="330"/>
      <c r="DV183" s="330"/>
      <c r="DW183" s="330"/>
      <c r="DX183" s="330"/>
      <c r="DY183" s="330"/>
      <c r="DZ183" s="330"/>
      <c r="EA183" s="330"/>
      <c r="EB183" s="330"/>
      <c r="EC183" s="330"/>
      <c r="ED183" s="330"/>
      <c r="EE183" s="330"/>
      <c r="EF183" s="330"/>
      <c r="EG183" s="330"/>
      <c r="EH183" s="330"/>
      <c r="EI183" s="330"/>
      <c r="EJ183" s="330"/>
      <c r="EK183" s="330"/>
      <c r="EL183" s="330"/>
      <c r="EM183" s="330"/>
      <c r="EN183" s="330"/>
      <c r="EO183" s="330"/>
      <c r="EP183" s="330"/>
      <c r="EQ183" s="330"/>
      <c r="ER183" s="330"/>
      <c r="ES183" s="330"/>
      <c r="ET183" s="330"/>
      <c r="EU183" s="330"/>
      <c r="EV183" s="330"/>
      <c r="EW183" s="330"/>
      <c r="EX183" s="330"/>
      <c r="EY183" s="330"/>
      <c r="EZ183" s="330"/>
      <c r="FA183" s="330"/>
      <c r="FB183" s="330"/>
      <c r="FC183" s="330"/>
      <c r="FD183" s="330"/>
      <c r="FE183" s="330"/>
      <c r="FF183" s="330"/>
      <c r="FG183" s="330"/>
      <c r="FH183" s="330"/>
      <c r="FI183" s="330"/>
      <c r="FJ183" s="330"/>
      <c r="FK183" s="330"/>
      <c r="FL183" s="330"/>
      <c r="FM183" s="330"/>
      <c r="FN183" s="330"/>
      <c r="FO183" s="330"/>
      <c r="FP183" s="330"/>
      <c r="FQ183" s="330"/>
      <c r="FR183" s="330"/>
      <c r="FS183" s="330"/>
      <c r="FT183" s="330"/>
      <c r="FU183" s="330"/>
      <c r="FV183" s="330"/>
      <c r="FW183" s="330"/>
      <c r="FX183" s="330"/>
      <c r="FY183" s="330"/>
      <c r="FZ183" s="330"/>
      <c r="GA183" s="330"/>
      <c r="GB183" s="330"/>
      <c r="GC183" s="330"/>
      <c r="GD183" s="330"/>
      <c r="GE183" s="330"/>
      <c r="GF183" s="330"/>
      <c r="GG183" s="330"/>
      <c r="GH183" s="330"/>
      <c r="GI183" s="330"/>
      <c r="GJ183" s="330"/>
      <c r="GK183" s="330"/>
      <c r="GL183" s="330"/>
      <c r="GM183" s="330"/>
      <c r="GN183" s="330"/>
      <c r="GO183" s="330"/>
      <c r="GP183" s="330"/>
      <c r="GQ183" s="330"/>
      <c r="GR183" s="330"/>
      <c r="GS183" s="330"/>
      <c r="GT183" s="330"/>
      <c r="GU183" s="330"/>
      <c r="GV183" s="330"/>
      <c r="GW183" s="330"/>
      <c r="GX183" s="330"/>
      <c r="GY183" s="330"/>
      <c r="GZ183" s="330"/>
      <c r="HA183" s="330"/>
      <c r="HB183" s="330"/>
      <c r="HC183" s="330"/>
      <c r="HD183" s="330"/>
      <c r="HE183" s="330"/>
      <c r="HF183" s="330"/>
      <c r="HG183" s="330"/>
      <c r="HH183" s="330"/>
      <c r="HI183" s="330"/>
      <c r="HJ183" s="330"/>
      <c r="HK183" s="330"/>
      <c r="HL183" s="330"/>
      <c r="HM183" s="330"/>
      <c r="HN183" s="330"/>
      <c r="HO183" s="330"/>
      <c r="HP183" s="330"/>
      <c r="HQ183" s="330"/>
      <c r="HR183" s="330"/>
      <c r="HS183" s="330"/>
      <c r="HT183" s="330"/>
      <c r="HU183" s="330"/>
      <c r="HV183" s="330"/>
      <c r="HW183" s="330"/>
      <c r="HX183" s="330"/>
      <c r="HY183" s="330"/>
      <c r="HZ183" s="330"/>
      <c r="IA183" s="330"/>
      <c r="IB183" s="330"/>
      <c r="IC183" s="330"/>
      <c r="ID183" s="330"/>
      <c r="IE183" s="330"/>
      <c r="IF183" s="330"/>
      <c r="IG183" s="330"/>
      <c r="IH183" s="330"/>
      <c r="II183" s="330"/>
      <c r="IJ183" s="330"/>
      <c r="IK183" s="330"/>
      <c r="IL183" s="330"/>
      <c r="IM183" s="330"/>
      <c r="IN183" s="330"/>
      <c r="IO183" s="330"/>
      <c r="IP183" s="330"/>
      <c r="IQ183" s="330"/>
      <c r="IR183" s="330"/>
      <c r="IS183" s="330"/>
      <c r="IT183" s="330"/>
      <c r="IU183" s="330"/>
      <c r="IV183" s="330"/>
      <c r="IW183" s="330"/>
    </row>
    <row r="184" customFormat="false" ht="15" hidden="false" customHeight="true" outlineLevel="0" collapsed="false">
      <c r="A184" s="285" t="n">
        <v>4671</v>
      </c>
      <c r="B184" s="285"/>
      <c r="C184" s="286" t="s">
        <v>480</v>
      </c>
      <c r="D184" s="287" t="s">
        <v>480</v>
      </c>
      <c r="E184" s="288" t="n">
        <f aca="false">IF(I184="regional",IF(R184*0.2975,S184*0.3484),S184*0.1939)</f>
        <v>432888.0452</v>
      </c>
      <c r="F184" s="288" t="n">
        <v>427000</v>
      </c>
      <c r="G184" s="289" t="n">
        <f aca="false">E184+F184</f>
        <v>859888.0452</v>
      </c>
      <c r="H184" s="286"/>
      <c r="I184" s="287" t="s">
        <v>48</v>
      </c>
      <c r="J184" s="287" t="s">
        <v>49</v>
      </c>
      <c r="K184" s="287"/>
      <c r="L184" s="287" t="s">
        <v>44</v>
      </c>
      <c r="M184" s="317" t="n">
        <v>100</v>
      </c>
      <c r="N184" s="317" t="n">
        <v>0.947</v>
      </c>
      <c r="O184" s="317" t="n">
        <v>0.949</v>
      </c>
      <c r="P184" s="317" t="n">
        <v>0.917</v>
      </c>
      <c r="Q184" s="317" t="n">
        <v>0.952</v>
      </c>
      <c r="R184" s="317" t="n">
        <v>1443739</v>
      </c>
      <c r="S184" s="317" t="n">
        <v>1242503</v>
      </c>
      <c r="T184" s="318" t="n">
        <f aca="false">IF(I184="regional",IF(R184&gt;0,R184*0.2975,S184*0.3484),S184*0.1939)</f>
        <v>429512.3525</v>
      </c>
      <c r="U184" s="317" t="n">
        <v>825706</v>
      </c>
      <c r="V184" s="317" t="n">
        <v>416797</v>
      </c>
      <c r="W184" s="317" t="n">
        <v>6605</v>
      </c>
      <c r="X184" s="317" t="n">
        <v>856512.3525</v>
      </c>
      <c r="Y184" s="317" t="n">
        <v>429512.3525</v>
      </c>
      <c r="Z184" s="317" t="n">
        <v>427000</v>
      </c>
      <c r="AA184" s="317" t="n">
        <v>815503</v>
      </c>
      <c r="AB184" s="317" t="n">
        <v>0</v>
      </c>
      <c r="AC184" s="317" t="n">
        <v>815503</v>
      </c>
      <c r="AD184" s="317" t="n">
        <v>0</v>
      </c>
      <c r="AE184" s="317" t="n">
        <v>427000</v>
      </c>
      <c r="AF184" s="317" t="n">
        <v>0</v>
      </c>
      <c r="AG184" s="317" t="n">
        <v>815503</v>
      </c>
      <c r="AH184" s="317" t="n">
        <v>0</v>
      </c>
      <c r="AI184" s="317" t="n">
        <v>0</v>
      </c>
      <c r="AJ184" s="286" t="n">
        <v>4</v>
      </c>
      <c r="AK184" s="286" t="s">
        <v>706</v>
      </c>
      <c r="AL184" s="287" t="s">
        <v>48</v>
      </c>
      <c r="AM184" s="286"/>
      <c r="AN184" s="287" t="s">
        <v>480</v>
      </c>
      <c r="AO184" s="287" t="n">
        <v>856512.3525</v>
      </c>
      <c r="AP184" s="319" t="n">
        <f aca="false">AR184+AT184+AU184+AV184+AX184+AY184+AZ184+BD184+BF184+BG184+BH184+BJ184+BK184+(BL184+BM184+BN184)/1000+(0.1*BO184)</f>
        <v>1080</v>
      </c>
      <c r="AQ184" s="319" t="n">
        <f aca="false">AR184+AT184+AU184+AV184+AX184+AY184+AZ184+BB184+BC184+BD184+BF184+BG184+BH184+BJ184+BK184+(BL184+BM184+BN184)/1000+(0.1*BO184)</f>
        <v>1086</v>
      </c>
      <c r="AR184" s="285" t="n">
        <v>277</v>
      </c>
      <c r="AS184" s="285" t="n">
        <v>0</v>
      </c>
      <c r="AT184" s="285" t="n">
        <v>296</v>
      </c>
      <c r="AU184" s="285" t="n">
        <v>4</v>
      </c>
      <c r="AV184" s="285" t="n">
        <v>127</v>
      </c>
      <c r="AW184" s="285" t="n">
        <v>0</v>
      </c>
      <c r="AX184" s="285" t="n">
        <v>5</v>
      </c>
      <c r="AY184" s="285" t="n">
        <v>0</v>
      </c>
      <c r="AZ184" s="285" t="n">
        <v>18</v>
      </c>
      <c r="BA184" s="285" t="n">
        <v>0</v>
      </c>
      <c r="BB184" s="285" t="n">
        <v>7</v>
      </c>
      <c r="BC184" s="285" t="n">
        <v>-1</v>
      </c>
      <c r="BD184" s="285" t="n">
        <v>105</v>
      </c>
      <c r="BE184" s="285" t="n">
        <v>0</v>
      </c>
      <c r="BF184" s="285" t="n">
        <v>0</v>
      </c>
      <c r="BG184" s="285" t="n">
        <v>0</v>
      </c>
      <c r="BH184" s="285" t="n">
        <v>248</v>
      </c>
      <c r="BI184" s="285" t="n">
        <v>0</v>
      </c>
      <c r="BJ184" s="285" t="n">
        <v>0</v>
      </c>
      <c r="BK184" s="285" t="n">
        <v>0</v>
      </c>
      <c r="BL184" s="285" t="n">
        <v>0</v>
      </c>
      <c r="BM184" s="285" t="n">
        <v>0</v>
      </c>
      <c r="BN184" s="285" t="n">
        <v>0</v>
      </c>
      <c r="BO184" s="285" t="n">
        <v>0</v>
      </c>
      <c r="BR184" s="290" t="n">
        <f aca="false">AR184*1000/0.072</f>
        <v>3847222.22222222</v>
      </c>
      <c r="BS184" s="290" t="n">
        <f aca="false">AT184*1000/0.072</f>
        <v>4111111.11111111</v>
      </c>
      <c r="BT184" s="290" t="n">
        <f aca="false">AU184*1000/0.072</f>
        <v>55555.5555555556</v>
      </c>
      <c r="BU184" s="290" t="n">
        <f aca="false">SUM(BR184:BT184)</f>
        <v>8013888.88888889</v>
      </c>
      <c r="BV184" s="290" t="n">
        <f aca="false">AV184*1000/5</f>
        <v>25400</v>
      </c>
      <c r="BW184" s="290" t="n">
        <f aca="false">AX184*1000/5</f>
        <v>1000</v>
      </c>
      <c r="BX184" s="290" t="n">
        <f aca="false">AY184*1000/5</f>
        <v>0</v>
      </c>
      <c r="BY184" s="290" t="n">
        <f aca="false">SUM(BV184:BX184)</f>
        <v>26400</v>
      </c>
      <c r="CA184" s="290" t="n">
        <f aca="false">IF($AM184="n",0,BR184)</f>
        <v>3847222.22222222</v>
      </c>
      <c r="CB184" s="290" t="n">
        <f aca="false">IF($AM184="n",0,BS184)</f>
        <v>4111111.11111111</v>
      </c>
      <c r="CC184" s="290" t="n">
        <f aca="false">IF($AM184="n",0,BT184)</f>
        <v>55555.5555555556</v>
      </c>
      <c r="CD184" s="290" t="n">
        <f aca="false">SUM(CA184:CC184)</f>
        <v>8013888.88888889</v>
      </c>
      <c r="CE184" s="290" t="n">
        <f aca="false">IF($AM$2="n",0,BV184)</f>
        <v>25400</v>
      </c>
      <c r="CF184" s="290" t="n">
        <f aca="false">IF($AM$2="n",0,BW184)</f>
        <v>1000</v>
      </c>
      <c r="CG184" s="290" t="n">
        <f aca="false">IF($AM$2="n",0,BX184)</f>
        <v>0</v>
      </c>
      <c r="CH184" s="290" t="n">
        <f aca="false">SUM(CE184:CG184)</f>
        <v>26400</v>
      </c>
    </row>
    <row r="185" customFormat="false" ht="15" hidden="false" customHeight="true" outlineLevel="0" collapsed="false">
      <c r="A185" s="298" t="n">
        <v>4672</v>
      </c>
      <c r="B185" s="298"/>
      <c r="C185" s="299" t="s">
        <v>757</v>
      </c>
      <c r="D185" s="293" t="s">
        <v>757</v>
      </c>
      <c r="E185" s="288" t="n">
        <f aca="false">IF(I185="regional",IF(R185*0.2975,S185*0.3484),S185*0.1939)</f>
        <v>0</v>
      </c>
      <c r="F185" s="294"/>
      <c r="G185" s="289" t="n">
        <f aca="false">E185+F185</f>
        <v>0</v>
      </c>
      <c r="H185" s="299"/>
      <c r="I185" s="293" t="s">
        <v>718</v>
      </c>
      <c r="J185" s="293"/>
      <c r="K185" s="293"/>
      <c r="L185" s="293"/>
      <c r="M185" s="320"/>
      <c r="N185" s="320"/>
      <c r="O185" s="320"/>
      <c r="P185" s="320"/>
      <c r="Q185" s="320"/>
      <c r="R185" s="320"/>
      <c r="S185" s="320"/>
      <c r="T185" s="318" t="n">
        <f aca="false">IF(I185="regional",IF(R185&gt;0,R185*0.2975,S185*0.3484),S185*0.1939)</f>
        <v>0</v>
      </c>
      <c r="U185" s="320"/>
      <c r="V185" s="320"/>
      <c r="W185" s="320"/>
      <c r="X185" s="320"/>
      <c r="Y185" s="320"/>
      <c r="Z185" s="320"/>
      <c r="AA185" s="320"/>
      <c r="AB185" s="320"/>
      <c r="AC185" s="320"/>
      <c r="AD185" s="320"/>
      <c r="AE185" s="320"/>
      <c r="AF185" s="320"/>
      <c r="AG185" s="320"/>
      <c r="AH185" s="320"/>
      <c r="AI185" s="320"/>
      <c r="AJ185" s="299" t="n">
        <v>4</v>
      </c>
      <c r="AK185" s="299" t="s">
        <v>706</v>
      </c>
      <c r="AL185" s="328" t="s">
        <v>718</v>
      </c>
      <c r="AM185" s="299"/>
      <c r="AN185" s="328" t="s">
        <v>757</v>
      </c>
      <c r="AO185" s="355" t="n">
        <v>0</v>
      </c>
      <c r="AP185" s="356" t="n">
        <v>0</v>
      </c>
      <c r="AQ185" s="319" t="n">
        <f aca="false">AR185+AT185+AU185+AV185+AX185+AY185+AZ185+BB185+BC185+BD185+BF185+BG185+BH185+BJ185+BK185+(BL185+BM185+BN185)/1000+(0.1*BO185)</f>
        <v>129</v>
      </c>
      <c r="AR185" s="188" t="n">
        <v>114</v>
      </c>
      <c r="AS185" s="188" t="n">
        <v>0</v>
      </c>
      <c r="AT185" s="188" t="n">
        <v>7</v>
      </c>
      <c r="AU185" s="188" t="n">
        <v>0</v>
      </c>
      <c r="AV185" s="185" t="n">
        <v>2</v>
      </c>
      <c r="AW185" s="185" t="n">
        <v>0</v>
      </c>
      <c r="AX185" s="185" t="n">
        <v>1</v>
      </c>
      <c r="AY185" s="185" t="n">
        <v>0</v>
      </c>
      <c r="AZ185" s="188" t="n">
        <v>0</v>
      </c>
      <c r="BA185" s="188" t="n">
        <v>0</v>
      </c>
      <c r="BB185" s="188" t="n">
        <v>5</v>
      </c>
      <c r="BC185" s="188" t="n">
        <v>0</v>
      </c>
      <c r="BD185" s="188" t="n">
        <v>0</v>
      </c>
      <c r="BE185" s="188" t="n">
        <v>0</v>
      </c>
      <c r="BF185" s="188" t="n">
        <v>0</v>
      </c>
      <c r="BG185" s="188" t="n">
        <v>0</v>
      </c>
      <c r="BH185" s="188" t="n">
        <v>0</v>
      </c>
      <c r="BI185" s="188" t="n">
        <v>0</v>
      </c>
      <c r="BJ185" s="188" t="n">
        <v>0</v>
      </c>
      <c r="BK185" s="188" t="n">
        <v>0</v>
      </c>
      <c r="BL185" s="188" t="n">
        <v>0</v>
      </c>
      <c r="BM185" s="188" t="n">
        <v>0</v>
      </c>
      <c r="BN185" s="188" t="n">
        <v>0</v>
      </c>
      <c r="BO185" s="188" t="n">
        <v>0</v>
      </c>
      <c r="BP185" s="324"/>
      <c r="BR185" s="290" t="n">
        <f aca="false">AR185*1000/0.072</f>
        <v>1583333.33333333</v>
      </c>
      <c r="BS185" s="290" t="n">
        <f aca="false">AT185*1000/0.072</f>
        <v>97222.2222222222</v>
      </c>
      <c r="BT185" s="290" t="n">
        <f aca="false">AU185*1000/0.072</f>
        <v>0</v>
      </c>
      <c r="BU185" s="290" t="n">
        <f aca="false">SUM(BR185:BT185)</f>
        <v>1680555.55555556</v>
      </c>
      <c r="BV185" s="290" t="n">
        <f aca="false">AV185*1000/5</f>
        <v>400</v>
      </c>
      <c r="BW185" s="290" t="n">
        <f aca="false">AX185*1000/5</f>
        <v>200</v>
      </c>
      <c r="BX185" s="290" t="n">
        <f aca="false">AY185*1000/5</f>
        <v>0</v>
      </c>
      <c r="BY185" s="290" t="n">
        <f aca="false">SUM(BV185:BX185)</f>
        <v>600</v>
      </c>
      <c r="CA185" s="290" t="n">
        <f aca="false">IF($AM185="n",0,BR185)</f>
        <v>1583333.33333333</v>
      </c>
      <c r="CB185" s="290" t="n">
        <f aca="false">IF($AM185="n",0,BS185)</f>
        <v>97222.2222222222</v>
      </c>
      <c r="CC185" s="290" t="n">
        <f aca="false">IF($AM185="n",0,BT185)</f>
        <v>0</v>
      </c>
      <c r="CD185" s="290" t="n">
        <f aca="false">SUM(CA185:CC185)</f>
        <v>1680555.55555556</v>
      </c>
      <c r="CE185" s="290" t="n">
        <f aca="false">IF($AM$2="n",0,BV185)</f>
        <v>400</v>
      </c>
      <c r="CF185" s="290" t="n">
        <f aca="false">IF($AM$2="n",0,BW185)</f>
        <v>200</v>
      </c>
      <c r="CG185" s="290" t="n">
        <f aca="false">IF($AM$2="n",0,BX185)</f>
        <v>0</v>
      </c>
      <c r="CH185" s="290" t="n">
        <f aca="false">SUM(CE185:CG185)</f>
        <v>600</v>
      </c>
      <c r="CJ185" s="324"/>
      <c r="CK185" s="324"/>
      <c r="CL185" s="324"/>
      <c r="CM185" s="324"/>
      <c r="CN185" s="324"/>
      <c r="CO185" s="324"/>
      <c r="CP185" s="324"/>
      <c r="CQ185" s="324"/>
      <c r="CR185" s="324"/>
      <c r="CS185" s="324"/>
      <c r="CT185" s="324"/>
      <c r="CU185" s="324"/>
      <c r="CV185" s="324"/>
      <c r="CW185" s="324"/>
      <c r="CX185" s="324"/>
      <c r="CY185" s="330"/>
      <c r="CZ185" s="330"/>
      <c r="DA185" s="330"/>
      <c r="DB185" s="330"/>
      <c r="DC185" s="330"/>
      <c r="DD185" s="330"/>
      <c r="DE185" s="330"/>
      <c r="DF185" s="330"/>
      <c r="DG185" s="330"/>
      <c r="DH185" s="330"/>
      <c r="DI185" s="330"/>
      <c r="DJ185" s="330"/>
      <c r="DK185" s="330"/>
      <c r="DL185" s="330"/>
      <c r="DM185" s="330"/>
      <c r="DN185" s="330"/>
      <c r="DO185" s="330"/>
      <c r="DP185" s="330"/>
      <c r="DQ185" s="330"/>
      <c r="DR185" s="330"/>
      <c r="DS185" s="330"/>
      <c r="DT185" s="330"/>
      <c r="DU185" s="330"/>
      <c r="DV185" s="330"/>
      <c r="DW185" s="330"/>
      <c r="DX185" s="330"/>
      <c r="DY185" s="330"/>
      <c r="DZ185" s="330"/>
      <c r="EA185" s="330"/>
      <c r="EB185" s="330"/>
      <c r="EC185" s="330"/>
      <c r="ED185" s="330"/>
      <c r="EE185" s="330"/>
      <c r="EF185" s="330"/>
      <c r="EG185" s="330"/>
      <c r="EH185" s="330"/>
      <c r="EI185" s="330"/>
      <c r="EJ185" s="330"/>
      <c r="EK185" s="330"/>
      <c r="EL185" s="330"/>
      <c r="EM185" s="330"/>
      <c r="EN185" s="330"/>
      <c r="EO185" s="330"/>
      <c r="EP185" s="330"/>
      <c r="EQ185" s="330"/>
      <c r="ER185" s="330"/>
      <c r="ES185" s="330"/>
      <c r="ET185" s="330"/>
      <c r="EU185" s="330"/>
      <c r="EV185" s="330"/>
      <c r="EW185" s="330"/>
      <c r="EX185" s="330"/>
      <c r="EY185" s="330"/>
      <c r="EZ185" s="330"/>
      <c r="FA185" s="330"/>
      <c r="FB185" s="330"/>
      <c r="FC185" s="330"/>
      <c r="FD185" s="330"/>
      <c r="FE185" s="330"/>
      <c r="FF185" s="330"/>
      <c r="FG185" s="330"/>
      <c r="FH185" s="330"/>
      <c r="FI185" s="330"/>
      <c r="FJ185" s="330"/>
      <c r="FK185" s="330"/>
      <c r="FL185" s="330"/>
      <c r="FM185" s="330"/>
      <c r="FN185" s="330"/>
      <c r="FO185" s="330"/>
      <c r="FP185" s="330"/>
      <c r="FQ185" s="330"/>
      <c r="FR185" s="330"/>
      <c r="FS185" s="330"/>
      <c r="FT185" s="330"/>
      <c r="FU185" s="330"/>
      <c r="FV185" s="330"/>
      <c r="FW185" s="330"/>
      <c r="FX185" s="330"/>
      <c r="FY185" s="330"/>
      <c r="FZ185" s="330"/>
      <c r="GA185" s="330"/>
      <c r="GB185" s="330"/>
      <c r="GC185" s="330"/>
      <c r="GD185" s="330"/>
      <c r="GE185" s="330"/>
      <c r="GF185" s="330"/>
      <c r="GG185" s="330"/>
      <c r="GH185" s="330"/>
      <c r="GI185" s="330"/>
      <c r="GJ185" s="330"/>
      <c r="GK185" s="330"/>
      <c r="GL185" s="330"/>
      <c r="GM185" s="330"/>
      <c r="GN185" s="330"/>
      <c r="GO185" s="330"/>
      <c r="GP185" s="330"/>
      <c r="GQ185" s="330"/>
      <c r="GR185" s="330"/>
      <c r="GS185" s="330"/>
      <c r="GT185" s="330"/>
      <c r="GU185" s="330"/>
      <c r="GV185" s="330"/>
      <c r="GW185" s="330"/>
      <c r="GX185" s="330"/>
      <c r="GY185" s="330"/>
      <c r="GZ185" s="330"/>
      <c r="HA185" s="330"/>
      <c r="HB185" s="330"/>
      <c r="HC185" s="330"/>
      <c r="HD185" s="330"/>
      <c r="HE185" s="330"/>
      <c r="HF185" s="330"/>
      <c r="HG185" s="330"/>
      <c r="HH185" s="330"/>
      <c r="HI185" s="330"/>
      <c r="HJ185" s="330"/>
      <c r="HK185" s="330"/>
      <c r="HL185" s="330"/>
      <c r="HM185" s="330"/>
      <c r="HN185" s="330"/>
      <c r="HO185" s="330"/>
      <c r="HP185" s="330"/>
      <c r="HQ185" s="330"/>
      <c r="HR185" s="330"/>
      <c r="HS185" s="330"/>
      <c r="HT185" s="330"/>
      <c r="HU185" s="330"/>
      <c r="HV185" s="330"/>
      <c r="HW185" s="330"/>
      <c r="HX185" s="330"/>
      <c r="HY185" s="330"/>
      <c r="HZ185" s="330"/>
      <c r="IA185" s="330"/>
      <c r="IB185" s="330"/>
      <c r="IC185" s="330"/>
      <c r="ID185" s="330"/>
      <c r="IE185" s="330"/>
      <c r="IF185" s="330"/>
      <c r="IG185" s="330"/>
      <c r="IH185" s="330"/>
      <c r="II185" s="330"/>
      <c r="IJ185" s="330"/>
      <c r="IK185" s="330"/>
      <c r="IL185" s="330"/>
      <c r="IM185" s="330"/>
      <c r="IN185" s="330"/>
      <c r="IO185" s="330"/>
      <c r="IP185" s="330"/>
      <c r="IQ185" s="330"/>
      <c r="IR185" s="330"/>
      <c r="IS185" s="330"/>
      <c r="IT185" s="330"/>
      <c r="IU185" s="330"/>
      <c r="IV185" s="330"/>
      <c r="IW185" s="330"/>
    </row>
    <row r="186" customFormat="false" ht="15" hidden="false" customHeight="true" outlineLevel="0" collapsed="false">
      <c r="A186" s="291" t="n">
        <v>3824</v>
      </c>
      <c r="B186" s="291"/>
      <c r="C186" s="292" t="s">
        <v>758</v>
      </c>
      <c r="D186" s="287" t="s">
        <v>482</v>
      </c>
      <c r="E186" s="288" t="n">
        <f aca="false">IF(I186="regional",IF(R186*0.2975,S186*0.3484),S186*0.1939)</f>
        <v>158664.1042</v>
      </c>
      <c r="F186" s="288" t="n">
        <v>0</v>
      </c>
      <c r="G186" s="289" t="n">
        <f aca="false">E186+F186</f>
        <v>158664.1042</v>
      </c>
      <c r="H186" s="292"/>
      <c r="I186" s="287" t="s">
        <v>405</v>
      </c>
      <c r="J186" s="287"/>
      <c r="K186" s="287" t="s">
        <v>98</v>
      </c>
      <c r="L186" s="287"/>
      <c r="M186" s="317" t="n">
        <v>0</v>
      </c>
      <c r="N186" s="317" t="n">
        <v>0</v>
      </c>
      <c r="O186" s="317" t="n">
        <v>0</v>
      </c>
      <c r="P186" s="317" t="n">
        <v>0</v>
      </c>
      <c r="Q186" s="317" t="n">
        <v>0</v>
      </c>
      <c r="R186" s="317" t="n">
        <v>0</v>
      </c>
      <c r="S186" s="317" t="n">
        <v>818278</v>
      </c>
      <c r="T186" s="318" t="n">
        <f aca="false">IF(I186="regional",IF(R186&gt;0,R186*0.2975,S186*0.3484),S186*0.1939)</f>
        <v>158664.1042</v>
      </c>
      <c r="U186" s="317" t="n">
        <v>780000</v>
      </c>
      <c r="V186" s="317" t="n">
        <v>38278</v>
      </c>
      <c r="W186" s="317" t="n">
        <v>0</v>
      </c>
      <c r="X186" s="317" t="n">
        <v>0</v>
      </c>
      <c r="Y186" s="317" t="n">
        <v>0</v>
      </c>
      <c r="Z186" s="317" t="n">
        <v>0</v>
      </c>
      <c r="AA186" s="317" t="n">
        <v>976942.1042</v>
      </c>
      <c r="AB186" s="317" t="n">
        <v>158664.1042</v>
      </c>
      <c r="AC186" s="317" t="n">
        <v>818278</v>
      </c>
      <c r="AD186" s="317" t="n">
        <v>0</v>
      </c>
      <c r="AE186" s="317" t="n">
        <v>0</v>
      </c>
      <c r="AF186" s="317" t="n">
        <v>0</v>
      </c>
      <c r="AG186" s="317" t="n">
        <v>818278</v>
      </c>
      <c r="AH186" s="317" t="n">
        <v>0</v>
      </c>
      <c r="AI186" s="317" t="n">
        <v>0</v>
      </c>
      <c r="AJ186" s="292" t="n">
        <v>4</v>
      </c>
      <c r="AK186" s="292" t="s">
        <v>706</v>
      </c>
      <c r="AL186" s="321" t="s">
        <v>405</v>
      </c>
      <c r="AM186" s="292"/>
      <c r="AN186" s="321" t="s">
        <v>482</v>
      </c>
      <c r="AO186" s="321" t="n">
        <v>158664.1042</v>
      </c>
      <c r="AP186" s="322" t="n">
        <f aca="false">AR186+AT186+AU186+AV186+AX186+AY186+AZ186+BD186+BF186+BG186+BH186+BJ186+BK186+(BL186+BM186+BN186)/1000+(0.1*BO186)</f>
        <v>0</v>
      </c>
      <c r="AQ186" s="319" t="n">
        <f aca="false">AR186+AT186+AU186+AV186+AX186+AY186+AZ186+BB186+BC186+BD186+BF186+BG186+BH186+BJ186+BK186+(BL186+BM186+BN186)/1000+(0.1*BO186)</f>
        <v>0</v>
      </c>
      <c r="AR186" s="351" t="n">
        <v>0</v>
      </c>
      <c r="AS186" s="351" t="n">
        <v>0</v>
      </c>
      <c r="AT186" s="351" t="n">
        <v>0</v>
      </c>
      <c r="AU186" s="351" t="n">
        <v>0</v>
      </c>
      <c r="AV186" s="291" t="n">
        <v>0</v>
      </c>
      <c r="AW186" s="291" t="n">
        <v>0</v>
      </c>
      <c r="AX186" s="291" t="n">
        <v>0</v>
      </c>
      <c r="AY186" s="291" t="n">
        <v>0</v>
      </c>
      <c r="AZ186" s="291" t="n">
        <v>0</v>
      </c>
      <c r="BA186" s="291" t="n">
        <v>0</v>
      </c>
      <c r="BB186" s="291" t="n">
        <v>0</v>
      </c>
      <c r="BC186" s="291" t="n">
        <v>0</v>
      </c>
      <c r="BD186" s="291" t="n">
        <v>0</v>
      </c>
      <c r="BE186" s="291" t="n">
        <v>0</v>
      </c>
      <c r="BF186" s="291" t="n">
        <v>0</v>
      </c>
      <c r="BG186" s="291" t="n">
        <v>0</v>
      </c>
      <c r="BH186" s="291" t="n">
        <v>0</v>
      </c>
      <c r="BI186" s="291" t="n">
        <v>0</v>
      </c>
      <c r="BJ186" s="291" t="n">
        <v>0</v>
      </c>
      <c r="BK186" s="291" t="n">
        <v>0</v>
      </c>
      <c r="BL186" s="291" t="n">
        <v>0</v>
      </c>
      <c r="BM186" s="291" t="n">
        <v>0</v>
      </c>
      <c r="BN186" s="291" t="n">
        <v>0</v>
      </c>
      <c r="BO186" s="291" t="n">
        <v>0</v>
      </c>
      <c r="BP186" s="324"/>
      <c r="BR186" s="290" t="n">
        <f aca="false">AR186*1000/0.072</f>
        <v>0</v>
      </c>
      <c r="BS186" s="290" t="n">
        <f aca="false">AT186*1000/0.072</f>
        <v>0</v>
      </c>
      <c r="BT186" s="290" t="n">
        <f aca="false">AU186*1000/0.072</f>
        <v>0</v>
      </c>
      <c r="BU186" s="290" t="n">
        <f aca="false">SUM(BR186:BT186)</f>
        <v>0</v>
      </c>
      <c r="BV186" s="290" t="n">
        <f aca="false">AV186*1000/5</f>
        <v>0</v>
      </c>
      <c r="BW186" s="290" t="n">
        <f aca="false">AX186*1000/5</f>
        <v>0</v>
      </c>
      <c r="BX186" s="290" t="n">
        <f aca="false">AY186*1000/5</f>
        <v>0</v>
      </c>
      <c r="BY186" s="290" t="n">
        <f aca="false">SUM(BV186:BX186)</f>
        <v>0</v>
      </c>
      <c r="CA186" s="290" t="n">
        <f aca="false">IF($AM186="n",0,BR186)</f>
        <v>0</v>
      </c>
      <c r="CB186" s="290" t="n">
        <f aca="false">IF($AM186="n",0,BS186)</f>
        <v>0</v>
      </c>
      <c r="CC186" s="290" t="n">
        <f aca="false">IF($AM186="n",0,BT186)</f>
        <v>0</v>
      </c>
      <c r="CD186" s="290" t="n">
        <f aca="false">SUM(CA186:CC186)</f>
        <v>0</v>
      </c>
      <c r="CE186" s="290" t="n">
        <f aca="false">IF($AM$2="n",0,BV186)</f>
        <v>0</v>
      </c>
      <c r="CF186" s="290" t="n">
        <f aca="false">IF($AM$2="n",0,BW186)</f>
        <v>0</v>
      </c>
      <c r="CG186" s="290" t="n">
        <f aca="false">IF($AM$2="n",0,BX186)</f>
        <v>0</v>
      </c>
      <c r="CH186" s="290" t="n">
        <f aca="false">SUM(CE186:CG186)</f>
        <v>0</v>
      </c>
      <c r="CJ186" s="324"/>
      <c r="CK186" s="324"/>
      <c r="CL186" s="324"/>
      <c r="CM186" s="324"/>
      <c r="CN186" s="324"/>
      <c r="CO186" s="324"/>
      <c r="CP186" s="324"/>
      <c r="CQ186" s="324"/>
      <c r="CR186" s="324"/>
      <c r="CS186" s="324"/>
      <c r="CT186" s="324"/>
      <c r="CU186" s="324"/>
      <c r="CV186" s="324"/>
      <c r="CW186" s="324"/>
      <c r="CX186" s="324"/>
      <c r="CY186" s="330"/>
      <c r="CZ186" s="330"/>
      <c r="DA186" s="330"/>
      <c r="DB186" s="330"/>
      <c r="DC186" s="330"/>
      <c r="DD186" s="330"/>
      <c r="DE186" s="330"/>
      <c r="DF186" s="330"/>
      <c r="DG186" s="330"/>
      <c r="DH186" s="330"/>
      <c r="DI186" s="330"/>
      <c r="DJ186" s="330"/>
      <c r="DK186" s="330"/>
      <c r="DL186" s="330"/>
      <c r="DM186" s="330"/>
      <c r="DN186" s="330"/>
      <c r="DO186" s="330"/>
      <c r="DP186" s="330"/>
      <c r="DQ186" s="330"/>
      <c r="DR186" s="330"/>
      <c r="DS186" s="330"/>
      <c r="DT186" s="330"/>
      <c r="DU186" s="330"/>
      <c r="DV186" s="330"/>
      <c r="DW186" s="330"/>
      <c r="DX186" s="330"/>
      <c r="DY186" s="330"/>
      <c r="DZ186" s="330"/>
      <c r="EA186" s="330"/>
      <c r="EB186" s="330"/>
      <c r="EC186" s="330"/>
      <c r="ED186" s="330"/>
      <c r="EE186" s="330"/>
      <c r="EF186" s="330"/>
      <c r="EG186" s="330"/>
      <c r="EH186" s="330"/>
      <c r="EI186" s="330"/>
      <c r="EJ186" s="330"/>
      <c r="EK186" s="330"/>
      <c r="EL186" s="330"/>
      <c r="EM186" s="330"/>
      <c r="EN186" s="330"/>
      <c r="EO186" s="330"/>
      <c r="EP186" s="330"/>
      <c r="EQ186" s="330"/>
      <c r="ER186" s="330"/>
      <c r="ES186" s="330"/>
      <c r="ET186" s="330"/>
      <c r="EU186" s="330"/>
      <c r="EV186" s="330"/>
      <c r="EW186" s="330"/>
      <c r="EX186" s="330"/>
      <c r="EY186" s="330"/>
      <c r="EZ186" s="330"/>
      <c r="FA186" s="330"/>
      <c r="FB186" s="330"/>
      <c r="FC186" s="330"/>
      <c r="FD186" s="330"/>
      <c r="FE186" s="330"/>
      <c r="FF186" s="330"/>
      <c r="FG186" s="330"/>
      <c r="FH186" s="330"/>
      <c r="FI186" s="330"/>
      <c r="FJ186" s="330"/>
      <c r="FK186" s="330"/>
      <c r="FL186" s="330"/>
      <c r="FM186" s="330"/>
      <c r="FN186" s="330"/>
      <c r="FO186" s="330"/>
      <c r="FP186" s="330"/>
      <c r="FQ186" s="330"/>
      <c r="FR186" s="330"/>
      <c r="FS186" s="330"/>
      <c r="FT186" s="330"/>
      <c r="FU186" s="330"/>
      <c r="FV186" s="330"/>
      <c r="FW186" s="330"/>
      <c r="FX186" s="330"/>
      <c r="FY186" s="330"/>
      <c r="FZ186" s="330"/>
      <c r="GA186" s="330"/>
      <c r="GB186" s="330"/>
      <c r="GC186" s="330"/>
      <c r="GD186" s="330"/>
      <c r="GE186" s="330"/>
      <c r="GF186" s="330"/>
      <c r="GG186" s="330"/>
      <c r="GH186" s="330"/>
      <c r="GI186" s="330"/>
      <c r="GJ186" s="330"/>
      <c r="GK186" s="330"/>
      <c r="GL186" s="330"/>
      <c r="GM186" s="330"/>
      <c r="GN186" s="330"/>
      <c r="GO186" s="330"/>
      <c r="GP186" s="330"/>
      <c r="GQ186" s="330"/>
      <c r="GR186" s="330"/>
      <c r="GS186" s="330"/>
      <c r="GT186" s="330"/>
      <c r="GU186" s="330"/>
      <c r="GV186" s="330"/>
      <c r="GW186" s="330"/>
      <c r="GX186" s="330"/>
      <c r="GY186" s="330"/>
      <c r="GZ186" s="330"/>
      <c r="HA186" s="330"/>
      <c r="HB186" s="330"/>
      <c r="HC186" s="330"/>
      <c r="HD186" s="330"/>
      <c r="HE186" s="330"/>
      <c r="HF186" s="330"/>
      <c r="HG186" s="330"/>
      <c r="HH186" s="330"/>
      <c r="HI186" s="330"/>
      <c r="HJ186" s="330"/>
      <c r="HK186" s="330"/>
      <c r="HL186" s="330"/>
      <c r="HM186" s="330"/>
      <c r="HN186" s="330"/>
      <c r="HO186" s="330"/>
      <c r="HP186" s="330"/>
      <c r="HQ186" s="330"/>
      <c r="HR186" s="330"/>
      <c r="HS186" s="330"/>
      <c r="HT186" s="330"/>
      <c r="HU186" s="330"/>
      <c r="HV186" s="330"/>
      <c r="HW186" s="330"/>
      <c r="HX186" s="330"/>
      <c r="HY186" s="330"/>
      <c r="HZ186" s="330"/>
      <c r="IA186" s="330"/>
      <c r="IB186" s="330"/>
      <c r="IC186" s="330"/>
      <c r="ID186" s="330"/>
      <c r="IE186" s="330"/>
      <c r="IF186" s="330"/>
      <c r="IG186" s="330"/>
      <c r="IH186" s="330"/>
      <c r="II186" s="330"/>
      <c r="IJ186" s="330"/>
      <c r="IK186" s="330"/>
      <c r="IL186" s="330"/>
      <c r="IM186" s="330"/>
      <c r="IN186" s="330"/>
      <c r="IO186" s="330"/>
      <c r="IP186" s="330"/>
      <c r="IQ186" s="330"/>
      <c r="IR186" s="330"/>
      <c r="IS186" s="330"/>
      <c r="IT186" s="330"/>
      <c r="IU186" s="330"/>
      <c r="IV186" s="330"/>
      <c r="IW186" s="330"/>
    </row>
    <row r="187" customFormat="false" ht="15" hidden="false" customHeight="true" outlineLevel="0" collapsed="false">
      <c r="A187" s="291" t="n">
        <v>3894</v>
      </c>
      <c r="B187" s="291"/>
      <c r="C187" s="292" t="s">
        <v>759</v>
      </c>
      <c r="D187" s="287"/>
      <c r="E187" s="288" t="n">
        <f aca="false">IF(I187="regional",IF(R187*0.2975,S187*0.3484),S187*0.1939)</f>
        <v>0</v>
      </c>
      <c r="F187" s="288"/>
      <c r="G187" s="289"/>
      <c r="H187" s="292"/>
      <c r="I187" s="287" t="s">
        <v>48</v>
      </c>
      <c r="J187" s="287"/>
      <c r="K187" s="287"/>
      <c r="L187" s="287"/>
      <c r="M187" s="317"/>
      <c r="N187" s="317"/>
      <c r="O187" s="317"/>
      <c r="P187" s="317"/>
      <c r="Q187" s="317"/>
      <c r="R187" s="317"/>
      <c r="S187" s="317"/>
      <c r="T187" s="318" t="n">
        <f aca="false">IF(I187="regional",IF(R187&gt;0,R187*0.2975,S187*0.3484),S187*0.1939)</f>
        <v>0</v>
      </c>
      <c r="U187" s="317"/>
      <c r="V187" s="317"/>
      <c r="W187" s="317"/>
      <c r="X187" s="317"/>
      <c r="Y187" s="317"/>
      <c r="Z187" s="317"/>
      <c r="AA187" s="317"/>
      <c r="AB187" s="317"/>
      <c r="AC187" s="317"/>
      <c r="AD187" s="317"/>
      <c r="AE187" s="317"/>
      <c r="AF187" s="317"/>
      <c r="AG187" s="317"/>
      <c r="AH187" s="317"/>
      <c r="AI187" s="317"/>
      <c r="AJ187" s="292"/>
      <c r="AK187" s="292"/>
      <c r="AL187" s="321" t="s">
        <v>48</v>
      </c>
      <c r="AM187" s="292"/>
      <c r="AN187" s="321"/>
      <c r="AO187" s="321"/>
      <c r="AP187" s="322"/>
      <c r="AQ187" s="319" t="n">
        <f aca="false">AR187+AT187+AU187+AV187+AX187+AY187+AZ187+BB187+BC187+BD187+BF187+BG187+BH187+BJ187+BK187+(BL187+BM187+BN187)/1000+(0.1*BO187)</f>
        <v>375</v>
      </c>
      <c r="AR187" s="188" t="n">
        <v>0</v>
      </c>
      <c r="AS187" s="188" t="n">
        <v>0</v>
      </c>
      <c r="AT187" s="188" t="n">
        <v>0</v>
      </c>
      <c r="AU187" s="188" t="n">
        <v>356</v>
      </c>
      <c r="AV187" s="188" t="n">
        <v>0</v>
      </c>
      <c r="AW187" s="188" t="n">
        <v>0</v>
      </c>
      <c r="AX187" s="188" t="n">
        <v>0</v>
      </c>
      <c r="AY187" s="188" t="n">
        <v>1</v>
      </c>
      <c r="AZ187" s="188" t="n">
        <v>0</v>
      </c>
      <c r="BA187" s="188" t="n">
        <v>0</v>
      </c>
      <c r="BB187" s="188" t="n">
        <v>0</v>
      </c>
      <c r="BC187" s="188" t="n">
        <v>18</v>
      </c>
      <c r="BD187" s="188" t="n">
        <v>0</v>
      </c>
      <c r="BE187" s="188" t="n">
        <v>0</v>
      </c>
      <c r="BF187" s="188" t="n">
        <v>0</v>
      </c>
      <c r="BG187" s="188" t="n">
        <v>0</v>
      </c>
      <c r="BH187" s="188" t="n">
        <v>0</v>
      </c>
      <c r="BI187" s="188" t="n">
        <v>0</v>
      </c>
      <c r="BJ187" s="188" t="n">
        <v>0</v>
      </c>
      <c r="BK187" s="188" t="n">
        <v>0</v>
      </c>
      <c r="BL187" s="188" t="n">
        <v>0</v>
      </c>
      <c r="BM187" s="188" t="n">
        <v>0</v>
      </c>
      <c r="BN187" s="188" t="n">
        <v>0</v>
      </c>
      <c r="BO187" s="188" t="n">
        <v>0</v>
      </c>
      <c r="BP187" s="324"/>
      <c r="BR187" s="290" t="n">
        <f aca="false">AR187*1000/0.072</f>
        <v>0</v>
      </c>
      <c r="BS187" s="290" t="n">
        <f aca="false">AT187*1000/0.072</f>
        <v>0</v>
      </c>
      <c r="BT187" s="290" t="n">
        <f aca="false">AU187*1000/0.072</f>
        <v>4944444.44444445</v>
      </c>
      <c r="BU187" s="290" t="n">
        <f aca="false">SUM(BR187:BT187)</f>
        <v>4944444.44444445</v>
      </c>
      <c r="BV187" s="290" t="n">
        <f aca="false">AV187*1000/5</f>
        <v>0</v>
      </c>
      <c r="BW187" s="290" t="n">
        <f aca="false">AX187*1000/5</f>
        <v>0</v>
      </c>
      <c r="BX187" s="290" t="n">
        <f aca="false">AY187*1000/5</f>
        <v>200</v>
      </c>
      <c r="BY187" s="290" t="n">
        <f aca="false">SUM(BV187:BX187)</f>
        <v>200</v>
      </c>
      <c r="CA187" s="290" t="n">
        <f aca="false">IF($AM187="n",0,BR187)</f>
        <v>0</v>
      </c>
      <c r="CB187" s="290" t="n">
        <f aca="false">IF($AM187="n",0,BS187)</f>
        <v>0</v>
      </c>
      <c r="CC187" s="290" t="n">
        <f aca="false">IF($AM187="n",0,BT187)</f>
        <v>4944444.44444445</v>
      </c>
      <c r="CD187" s="290" t="n">
        <f aca="false">SUM(CA187:CC187)</f>
        <v>4944444.44444445</v>
      </c>
      <c r="CE187" s="290" t="n">
        <f aca="false">IF($AM$2="n",0,BV187)</f>
        <v>0</v>
      </c>
      <c r="CF187" s="290" t="n">
        <f aca="false">IF($AM$2="n",0,BW187)</f>
        <v>0</v>
      </c>
      <c r="CG187" s="290" t="n">
        <f aca="false">IF($AM$2="n",0,BX187)</f>
        <v>200</v>
      </c>
      <c r="CH187" s="290" t="n">
        <f aca="false">SUM(CE187:CG187)</f>
        <v>200</v>
      </c>
      <c r="CJ187" s="324"/>
      <c r="CK187" s="324"/>
      <c r="CL187" s="324"/>
      <c r="CM187" s="324"/>
      <c r="CN187" s="324"/>
      <c r="CO187" s="324"/>
      <c r="CP187" s="324"/>
      <c r="CQ187" s="324"/>
      <c r="CR187" s="324"/>
      <c r="CS187" s="324"/>
      <c r="CT187" s="324"/>
      <c r="CU187" s="324"/>
      <c r="CV187" s="324"/>
      <c r="CW187" s="324"/>
      <c r="CX187" s="324"/>
      <c r="CY187" s="330"/>
      <c r="CZ187" s="330"/>
      <c r="DA187" s="330"/>
      <c r="DB187" s="330"/>
      <c r="DC187" s="330"/>
      <c r="DD187" s="330"/>
      <c r="DE187" s="330"/>
      <c r="DF187" s="330"/>
      <c r="DG187" s="330"/>
      <c r="DH187" s="330"/>
      <c r="DI187" s="330"/>
      <c r="DJ187" s="330"/>
      <c r="DK187" s="330"/>
      <c r="DL187" s="330"/>
      <c r="DM187" s="330"/>
      <c r="DN187" s="330"/>
      <c r="DO187" s="330"/>
      <c r="DP187" s="330"/>
      <c r="DQ187" s="330"/>
      <c r="DR187" s="330"/>
      <c r="DS187" s="330"/>
      <c r="DT187" s="330"/>
      <c r="DU187" s="330"/>
      <c r="DV187" s="330"/>
      <c r="DW187" s="330"/>
      <c r="DX187" s="330"/>
      <c r="DY187" s="330"/>
      <c r="DZ187" s="330"/>
      <c r="EA187" s="330"/>
      <c r="EB187" s="330"/>
      <c r="EC187" s="330"/>
      <c r="ED187" s="330"/>
      <c r="EE187" s="330"/>
      <c r="EF187" s="330"/>
      <c r="EG187" s="330"/>
      <c r="EH187" s="330"/>
      <c r="EI187" s="330"/>
      <c r="EJ187" s="330"/>
      <c r="EK187" s="330"/>
      <c r="EL187" s="330"/>
      <c r="EM187" s="330"/>
      <c r="EN187" s="330"/>
      <c r="EO187" s="330"/>
      <c r="EP187" s="330"/>
      <c r="EQ187" s="330"/>
      <c r="ER187" s="330"/>
      <c r="ES187" s="330"/>
      <c r="ET187" s="330"/>
      <c r="EU187" s="330"/>
      <c r="EV187" s="330"/>
      <c r="EW187" s="330"/>
      <c r="EX187" s="330"/>
      <c r="EY187" s="330"/>
      <c r="EZ187" s="330"/>
      <c r="FA187" s="330"/>
      <c r="FB187" s="330"/>
      <c r="FC187" s="330"/>
      <c r="FD187" s="330"/>
      <c r="FE187" s="330"/>
      <c r="FF187" s="330"/>
      <c r="FG187" s="330"/>
      <c r="FH187" s="330"/>
      <c r="FI187" s="330"/>
      <c r="FJ187" s="330"/>
      <c r="FK187" s="330"/>
      <c r="FL187" s="330"/>
      <c r="FM187" s="330"/>
      <c r="FN187" s="330"/>
      <c r="FO187" s="330"/>
      <c r="FP187" s="330"/>
      <c r="FQ187" s="330"/>
      <c r="FR187" s="330"/>
      <c r="FS187" s="330"/>
      <c r="FT187" s="330"/>
      <c r="FU187" s="330"/>
      <c r="FV187" s="330"/>
      <c r="FW187" s="330"/>
      <c r="FX187" s="330"/>
      <c r="FY187" s="330"/>
      <c r="FZ187" s="330"/>
      <c r="GA187" s="330"/>
      <c r="GB187" s="330"/>
      <c r="GC187" s="330"/>
      <c r="GD187" s="330"/>
      <c r="GE187" s="330"/>
      <c r="GF187" s="330"/>
      <c r="GG187" s="330"/>
      <c r="GH187" s="330"/>
      <c r="GI187" s="330"/>
      <c r="GJ187" s="330"/>
      <c r="GK187" s="330"/>
      <c r="GL187" s="330"/>
      <c r="GM187" s="330"/>
      <c r="GN187" s="330"/>
      <c r="GO187" s="330"/>
      <c r="GP187" s="330"/>
      <c r="GQ187" s="330"/>
      <c r="GR187" s="330"/>
      <c r="GS187" s="330"/>
      <c r="GT187" s="330"/>
      <c r="GU187" s="330"/>
      <c r="GV187" s="330"/>
      <c r="GW187" s="330"/>
      <c r="GX187" s="330"/>
      <c r="GY187" s="330"/>
      <c r="GZ187" s="330"/>
      <c r="HA187" s="330"/>
      <c r="HB187" s="330"/>
      <c r="HC187" s="330"/>
      <c r="HD187" s="330"/>
      <c r="HE187" s="330"/>
      <c r="HF187" s="330"/>
      <c r="HG187" s="330"/>
      <c r="HH187" s="330"/>
      <c r="HI187" s="330"/>
      <c r="HJ187" s="330"/>
      <c r="HK187" s="330"/>
      <c r="HL187" s="330"/>
      <c r="HM187" s="330"/>
      <c r="HN187" s="330"/>
      <c r="HO187" s="330"/>
      <c r="HP187" s="330"/>
      <c r="HQ187" s="330"/>
      <c r="HR187" s="330"/>
      <c r="HS187" s="330"/>
      <c r="HT187" s="330"/>
      <c r="HU187" s="330"/>
      <c r="HV187" s="330"/>
      <c r="HW187" s="330"/>
      <c r="HX187" s="330"/>
      <c r="HY187" s="330"/>
      <c r="HZ187" s="330"/>
      <c r="IA187" s="330"/>
      <c r="IB187" s="330"/>
      <c r="IC187" s="330"/>
      <c r="ID187" s="330"/>
      <c r="IE187" s="330"/>
      <c r="IF187" s="330"/>
      <c r="IG187" s="330"/>
      <c r="IH187" s="330"/>
      <c r="II187" s="330"/>
      <c r="IJ187" s="330"/>
      <c r="IK187" s="330"/>
      <c r="IL187" s="330"/>
      <c r="IM187" s="330"/>
      <c r="IN187" s="330"/>
      <c r="IO187" s="330"/>
      <c r="IP187" s="330"/>
      <c r="IQ187" s="330"/>
      <c r="IR187" s="330"/>
      <c r="IS187" s="330"/>
      <c r="IT187" s="330"/>
      <c r="IU187" s="330"/>
      <c r="IV187" s="330"/>
      <c r="IW187" s="330"/>
    </row>
    <row r="188" customFormat="false" ht="15" hidden="false" customHeight="true" outlineLevel="0" collapsed="false">
      <c r="A188" s="298" t="n">
        <v>4843</v>
      </c>
      <c r="B188" s="298" t="s">
        <v>44</v>
      </c>
      <c r="C188" s="299" t="s">
        <v>760</v>
      </c>
      <c r="D188" s="293" t="s">
        <v>760</v>
      </c>
      <c r="E188" s="288" t="n">
        <f aca="false">IF(I188="regional",IF(R188*0.2975,S188*0.3484),S188*0.1939)</f>
        <v>25013.1</v>
      </c>
      <c r="F188" s="294"/>
      <c r="G188" s="289" t="n">
        <f aca="false">E188+F188</f>
        <v>25013.1</v>
      </c>
      <c r="H188" s="299"/>
      <c r="I188" s="293" t="s">
        <v>718</v>
      </c>
      <c r="J188" s="293"/>
      <c r="K188" s="293"/>
      <c r="L188" s="293"/>
      <c r="M188" s="320"/>
      <c r="N188" s="320"/>
      <c r="O188" s="320"/>
      <c r="P188" s="320"/>
      <c r="Q188" s="320"/>
      <c r="R188" s="320" t="n">
        <v>0</v>
      </c>
      <c r="S188" s="352" t="n">
        <v>129000</v>
      </c>
      <c r="T188" s="318" t="n">
        <f aca="false">IF(I188="regional",IF(R188&gt;0,R188*0.2975,S188*0.3484),S188*0.1939)</f>
        <v>25013.1</v>
      </c>
      <c r="U188" s="320"/>
      <c r="V188" s="320"/>
      <c r="W188" s="320"/>
      <c r="X188" s="320"/>
      <c r="Y188" s="320"/>
      <c r="Z188" s="320"/>
      <c r="AA188" s="320"/>
      <c r="AB188" s="320"/>
      <c r="AC188" s="320"/>
      <c r="AD188" s="320"/>
      <c r="AE188" s="320"/>
      <c r="AF188" s="320"/>
      <c r="AG188" s="320"/>
      <c r="AH188" s="320"/>
      <c r="AI188" s="320"/>
      <c r="AJ188" s="299" t="s">
        <v>715</v>
      </c>
      <c r="AK188" s="299" t="s">
        <v>716</v>
      </c>
      <c r="AL188" s="328" t="s">
        <v>62</v>
      </c>
      <c r="AM188" s="299"/>
      <c r="AN188" s="327" t="s">
        <v>760</v>
      </c>
      <c r="AO188" s="185" t="n">
        <v>26</v>
      </c>
      <c r="AP188" s="357" t="n">
        <v>311</v>
      </c>
      <c r="AQ188" s="319" t="n">
        <f aca="false">AR188+AT188+AU188+AV188+AX188+AY188+AZ188+BB188+BC188+BD188+BF188+BG188+BH188+BJ188+BK188+(BL188+BM188+BN188)/1000+(0.1*BO188)</f>
        <v>91</v>
      </c>
      <c r="AR188" s="185" t="n">
        <v>26</v>
      </c>
      <c r="AS188" s="185" t="n">
        <v>311</v>
      </c>
      <c r="AT188" s="185" t="n">
        <v>65</v>
      </c>
      <c r="AU188" s="185" t="n">
        <v>0</v>
      </c>
      <c r="AV188" s="291" t="n">
        <v>0</v>
      </c>
      <c r="AW188" s="291" t="n">
        <v>0</v>
      </c>
      <c r="AX188" s="291" t="n">
        <v>0</v>
      </c>
      <c r="AY188" s="291" t="n">
        <v>0</v>
      </c>
      <c r="AZ188" s="358" t="n">
        <v>0</v>
      </c>
      <c r="BA188" s="185" t="n">
        <v>35</v>
      </c>
      <c r="BB188" s="358" t="n">
        <v>0</v>
      </c>
      <c r="BC188" s="358" t="n">
        <v>0</v>
      </c>
      <c r="BD188" s="185" t="n">
        <v>0</v>
      </c>
      <c r="BE188" s="185" t="n">
        <v>0</v>
      </c>
      <c r="BF188" s="185" t="n">
        <v>0</v>
      </c>
      <c r="BG188" s="185" t="n">
        <v>0</v>
      </c>
      <c r="BH188" s="185" t="n">
        <v>0</v>
      </c>
      <c r="BI188" s="185" t="n">
        <v>0</v>
      </c>
      <c r="BJ188" s="185" t="n">
        <v>0</v>
      </c>
      <c r="BK188" s="185" t="n">
        <v>0</v>
      </c>
      <c r="BL188" s="185" t="n">
        <v>0</v>
      </c>
      <c r="BM188" s="185" t="n">
        <v>0</v>
      </c>
      <c r="BN188" s="185" t="n">
        <v>0</v>
      </c>
      <c r="BO188" s="185" t="n">
        <v>0</v>
      </c>
      <c r="BP188" s="324"/>
      <c r="BR188" s="290" t="n">
        <f aca="false">AR188*1000/0.072</f>
        <v>361111.111111111</v>
      </c>
      <c r="BS188" s="290" t="n">
        <f aca="false">AT188*1000/0.072</f>
        <v>902777.777777778</v>
      </c>
      <c r="BT188" s="290" t="n">
        <f aca="false">AU188*1000/0.072</f>
        <v>0</v>
      </c>
      <c r="BU188" s="290" t="n">
        <f aca="false">SUM(BR188:BT188)</f>
        <v>1263888.88888889</v>
      </c>
      <c r="BV188" s="290" t="n">
        <f aca="false">AV188*1000/5</f>
        <v>0</v>
      </c>
      <c r="BW188" s="290" t="n">
        <f aca="false">AX188*1000/5</f>
        <v>0</v>
      </c>
      <c r="BX188" s="290" t="n">
        <f aca="false">AY188*1000/5</f>
        <v>0</v>
      </c>
      <c r="BY188" s="290" t="n">
        <f aca="false">SUM(BV188:BX188)</f>
        <v>0</v>
      </c>
      <c r="CA188" s="290" t="n">
        <f aca="false">IF($AM188="n",0,BR188)</f>
        <v>361111.111111111</v>
      </c>
      <c r="CB188" s="290" t="n">
        <f aca="false">IF($AM188="n",0,BS188)</f>
        <v>902777.777777778</v>
      </c>
      <c r="CC188" s="290" t="n">
        <f aca="false">IF($AM188="n",0,BT188)</f>
        <v>0</v>
      </c>
      <c r="CD188" s="290" t="n">
        <f aca="false">SUM(CA188:CC188)</f>
        <v>1263888.88888889</v>
      </c>
      <c r="CE188" s="290" t="n">
        <f aca="false">IF($AM$2="n",0,BV188)</f>
        <v>0</v>
      </c>
      <c r="CF188" s="290" t="n">
        <f aca="false">IF($AM$2="n",0,BW188)</f>
        <v>0</v>
      </c>
      <c r="CG188" s="290" t="n">
        <f aca="false">IF($AM$2="n",0,BX188)</f>
        <v>0</v>
      </c>
      <c r="CH188" s="290" t="n">
        <f aca="false">SUM(CE188:CG188)</f>
        <v>0</v>
      </c>
      <c r="CJ188" s="324"/>
      <c r="CK188" s="324"/>
      <c r="CL188" s="324"/>
      <c r="CM188" s="324"/>
      <c r="CN188" s="324"/>
      <c r="CO188" s="324"/>
      <c r="CP188" s="324"/>
      <c r="CQ188" s="324"/>
      <c r="CR188" s="324"/>
      <c r="CS188" s="324"/>
      <c r="CT188" s="324"/>
      <c r="CU188" s="324"/>
      <c r="CV188" s="324"/>
      <c r="CW188" s="324"/>
      <c r="CX188" s="324"/>
    </row>
    <row r="189" customFormat="false" ht="15" hidden="false" customHeight="true" outlineLevel="0" collapsed="false">
      <c r="A189" s="298" t="n">
        <v>4849</v>
      </c>
      <c r="B189" s="298"/>
      <c r="C189" s="299" t="s">
        <v>761</v>
      </c>
      <c r="D189" s="293" t="s">
        <v>761</v>
      </c>
      <c r="E189" s="288" t="n">
        <f aca="false">IF(I189="regional",IF(R189*0.2975,S189*0.3484),S189*0.1939)</f>
        <v>0</v>
      </c>
      <c r="F189" s="294"/>
      <c r="G189" s="289" t="n">
        <f aca="false">E189+F189</f>
        <v>0</v>
      </c>
      <c r="H189" s="299"/>
      <c r="I189" s="293" t="s">
        <v>718</v>
      </c>
      <c r="J189" s="293"/>
      <c r="K189" s="293"/>
      <c r="L189" s="293"/>
      <c r="M189" s="320"/>
      <c r="N189" s="320"/>
      <c r="O189" s="320"/>
      <c r="P189" s="320"/>
      <c r="Q189" s="320"/>
      <c r="R189" s="352" t="n">
        <v>90000</v>
      </c>
      <c r="S189" s="359" t="n">
        <v>0</v>
      </c>
      <c r="T189" s="318" t="n">
        <f aca="false">IF(I189="regional",IF(R189&gt;0,R189*0.2975,S189*0.3484),S189*0.1939)</f>
        <v>0</v>
      </c>
      <c r="U189" s="320"/>
      <c r="V189" s="320"/>
      <c r="W189" s="320"/>
      <c r="X189" s="320"/>
      <c r="Y189" s="320"/>
      <c r="Z189" s="320"/>
      <c r="AA189" s="320"/>
      <c r="AB189" s="320"/>
      <c r="AC189" s="320"/>
      <c r="AD189" s="320"/>
      <c r="AE189" s="320"/>
      <c r="AF189" s="320"/>
      <c r="AG189" s="320"/>
      <c r="AH189" s="320"/>
      <c r="AI189" s="320"/>
      <c r="AJ189" s="299" t="s">
        <v>715</v>
      </c>
      <c r="AK189" s="299" t="s">
        <v>716</v>
      </c>
      <c r="AL189" s="328" t="s">
        <v>718</v>
      </c>
      <c r="AM189" s="299"/>
      <c r="AN189" s="327" t="s">
        <v>761</v>
      </c>
      <c r="AO189" s="328" t="n">
        <v>0</v>
      </c>
      <c r="AP189" s="329" t="n">
        <v>0</v>
      </c>
      <c r="AQ189" s="319" t="n">
        <f aca="false">AR189+AT189+AU189+AV189+AX189+AY189+AZ189+BB189+BC189+BD189+BF189+BG189+BH189+BJ189+BK189+(BL189+BM189+BN189)/1000+(0.1*BO189)</f>
        <v>74</v>
      </c>
      <c r="AR189" s="185" t="n">
        <v>0</v>
      </c>
      <c r="AS189" s="185" t="n">
        <v>0</v>
      </c>
      <c r="AT189" s="185" t="n">
        <v>74</v>
      </c>
      <c r="AU189" s="185" t="n">
        <v>0</v>
      </c>
      <c r="AV189" s="291" t="n">
        <v>0</v>
      </c>
      <c r="AW189" s="291" t="n">
        <v>0</v>
      </c>
      <c r="AX189" s="291" t="n">
        <v>0</v>
      </c>
      <c r="AY189" s="291" t="n">
        <v>0</v>
      </c>
      <c r="AZ189" s="291" t="n">
        <v>0</v>
      </c>
      <c r="BA189" s="291" t="n">
        <v>0</v>
      </c>
      <c r="BB189" s="291" t="n">
        <v>0</v>
      </c>
      <c r="BC189" s="291" t="n">
        <v>0</v>
      </c>
      <c r="BD189" s="291" t="n">
        <v>0</v>
      </c>
      <c r="BE189" s="291" t="n">
        <v>0</v>
      </c>
      <c r="BF189" s="291" t="n">
        <v>0</v>
      </c>
      <c r="BG189" s="291" t="n">
        <v>0</v>
      </c>
      <c r="BH189" s="291" t="n">
        <v>0</v>
      </c>
      <c r="BI189" s="291" t="n">
        <v>0</v>
      </c>
      <c r="BJ189" s="291" t="n">
        <v>0</v>
      </c>
      <c r="BK189" s="291" t="n">
        <v>0</v>
      </c>
      <c r="BL189" s="291" t="n">
        <v>0</v>
      </c>
      <c r="BM189" s="291" t="n">
        <v>0</v>
      </c>
      <c r="BN189" s="291" t="n">
        <v>0</v>
      </c>
      <c r="BO189" s="291" t="n">
        <v>0</v>
      </c>
      <c r="BP189" s="324"/>
      <c r="BR189" s="290" t="n">
        <f aca="false">AR189*1000/0.072</f>
        <v>0</v>
      </c>
      <c r="BS189" s="290" t="n">
        <f aca="false">AT189*1000/0.072</f>
        <v>1027777.77777778</v>
      </c>
      <c r="BT189" s="290" t="n">
        <f aca="false">AU189*1000/0.072</f>
        <v>0</v>
      </c>
      <c r="BU189" s="290" t="n">
        <f aca="false">SUM(BR189:BT189)</f>
        <v>1027777.77777778</v>
      </c>
      <c r="BV189" s="290" t="n">
        <f aca="false">AV189*1000/5</f>
        <v>0</v>
      </c>
      <c r="BW189" s="290" t="n">
        <f aca="false">AX189*1000/5</f>
        <v>0</v>
      </c>
      <c r="BX189" s="290" t="n">
        <f aca="false">AY189*1000/5</f>
        <v>0</v>
      </c>
      <c r="BY189" s="290" t="n">
        <f aca="false">SUM(BV189:BX189)</f>
        <v>0</v>
      </c>
      <c r="CA189" s="290" t="n">
        <f aca="false">IF($AM189="n",0,BR189)</f>
        <v>0</v>
      </c>
      <c r="CB189" s="290" t="n">
        <f aca="false">IF($AM189="n",0,BS189)</f>
        <v>1027777.77777778</v>
      </c>
      <c r="CC189" s="290" t="n">
        <f aca="false">IF($AM189="n",0,BT189)</f>
        <v>0</v>
      </c>
      <c r="CD189" s="290" t="n">
        <f aca="false">SUM(CA189:CC189)</f>
        <v>1027777.77777778</v>
      </c>
      <c r="CE189" s="290" t="n">
        <f aca="false">IF($AM$2="n",0,BV189)</f>
        <v>0</v>
      </c>
      <c r="CF189" s="290" t="n">
        <f aca="false">IF($AM$2="n",0,BW189)</f>
        <v>0</v>
      </c>
      <c r="CG189" s="290" t="n">
        <f aca="false">IF($AM$2="n",0,BX189)</f>
        <v>0</v>
      </c>
      <c r="CH189" s="290" t="n">
        <f aca="false">SUM(CE189:CG189)</f>
        <v>0</v>
      </c>
      <c r="CJ189" s="324"/>
      <c r="CK189" s="324"/>
      <c r="CL189" s="324"/>
      <c r="CM189" s="324"/>
      <c r="CN189" s="324"/>
      <c r="CO189" s="324"/>
      <c r="CP189" s="324"/>
      <c r="CQ189" s="324"/>
      <c r="CR189" s="324"/>
      <c r="CS189" s="324"/>
      <c r="CT189" s="324"/>
      <c r="CU189" s="324"/>
      <c r="CV189" s="324"/>
      <c r="CW189" s="324"/>
      <c r="CX189" s="324"/>
    </row>
    <row r="190" customFormat="false" ht="15" hidden="false" customHeight="true" outlineLevel="0" collapsed="false">
      <c r="A190" s="291" t="n">
        <v>4835</v>
      </c>
      <c r="B190" s="291" t="s">
        <v>44</v>
      </c>
      <c r="C190" s="292" t="s">
        <v>762</v>
      </c>
      <c r="D190" s="287" t="s">
        <v>670</v>
      </c>
      <c r="E190" s="288" t="n">
        <f aca="false">IF(I190="regional",IF(R190*0.2975,S190*0.3484),S190*0.1939)</f>
        <v>421564</v>
      </c>
      <c r="F190" s="288" t="n">
        <v>558000</v>
      </c>
      <c r="G190" s="289" t="n">
        <f aca="false">E190+F190</f>
        <v>979564</v>
      </c>
      <c r="H190" s="292"/>
      <c r="I190" s="287" t="s">
        <v>48</v>
      </c>
      <c r="J190" s="287" t="s">
        <v>44</v>
      </c>
      <c r="K190" s="287" t="s">
        <v>345</v>
      </c>
      <c r="L190" s="287" t="s">
        <v>44</v>
      </c>
      <c r="M190" s="317" t="n">
        <v>205</v>
      </c>
      <c r="N190" s="317" t="n">
        <v>0.921</v>
      </c>
      <c r="O190" s="317" t="n">
        <v>0.946</v>
      </c>
      <c r="P190" s="317" t="n">
        <v>0.925</v>
      </c>
      <c r="Q190" s="317" t="n">
        <v>0.952</v>
      </c>
      <c r="R190" s="317" t="n">
        <v>127293</v>
      </c>
      <c r="S190" s="317" t="n">
        <v>1210000</v>
      </c>
      <c r="T190" s="318" t="n">
        <f aca="false">IF(I190="regional",IF(R190&gt;0,R190*0.2975,S190*0.3484),S190*0.1939)</f>
        <v>37869.6675</v>
      </c>
      <c r="U190" s="317" t="n">
        <v>763000</v>
      </c>
      <c r="V190" s="317" t="n">
        <v>447000</v>
      </c>
      <c r="W190" s="317" t="n">
        <v>7200</v>
      </c>
      <c r="X190" s="317" t="n">
        <v>595869.6675</v>
      </c>
      <c r="Y190" s="317" t="n">
        <v>37869.6675</v>
      </c>
      <c r="Z190" s="317" t="n">
        <v>558000</v>
      </c>
      <c r="AA190" s="317" t="n">
        <v>652000</v>
      </c>
      <c r="AB190" s="317" t="n">
        <v>0</v>
      </c>
      <c r="AC190" s="317" t="n">
        <v>652000</v>
      </c>
      <c r="AD190" s="317" t="n">
        <v>558000</v>
      </c>
      <c r="AE190" s="317" t="n">
        <v>0</v>
      </c>
      <c r="AF190" s="317" t="n">
        <v>652000</v>
      </c>
      <c r="AG190" s="317" t="n">
        <v>0</v>
      </c>
      <c r="AH190" s="317" t="n">
        <v>1840000</v>
      </c>
      <c r="AI190" s="317" t="n">
        <v>1072000</v>
      </c>
      <c r="AJ190" s="292" t="s">
        <v>715</v>
      </c>
      <c r="AK190" s="292" t="s">
        <v>716</v>
      </c>
      <c r="AL190" s="321" t="s">
        <v>48</v>
      </c>
      <c r="AM190" s="292"/>
      <c r="AN190" s="321" t="s">
        <v>670</v>
      </c>
      <c r="AO190" s="321" t="n">
        <v>595869.6675</v>
      </c>
      <c r="AP190" s="322" t="n">
        <f aca="false">AR190+AT190+AU190+AV190+AX190+AY190+AZ190+BD190+BF190+BG190+BH190+BJ190+BK190+(BL190+BM190+BN190)/1000+(0.1*BO190)</f>
        <v>1447.3493</v>
      </c>
      <c r="AQ190" s="319" t="n">
        <f aca="false">AR190+AT190+AU190+AV190+AX190+AY190+AZ190+BB190+BC190+BD190+BF190+BG190+BH190+BJ190+BK190+(BL190+BM190+BN190)/1000+(0.1*BO190)</f>
        <v>1447.3493</v>
      </c>
      <c r="AR190" s="291" t="n">
        <v>657</v>
      </c>
      <c r="AS190" s="291" t="n">
        <v>1072</v>
      </c>
      <c r="AT190" s="291" t="n">
        <v>576</v>
      </c>
      <c r="AU190" s="291" t="n">
        <v>0</v>
      </c>
      <c r="AV190" s="291" t="n">
        <v>0</v>
      </c>
      <c r="AW190" s="291" t="n">
        <v>0</v>
      </c>
      <c r="AX190" s="291" t="n">
        <v>0</v>
      </c>
      <c r="AY190" s="291" t="n">
        <v>0</v>
      </c>
      <c r="AZ190" s="291" t="n">
        <v>20</v>
      </c>
      <c r="BA190" s="291" t="n">
        <v>119</v>
      </c>
      <c r="BB190" s="291" t="n">
        <v>0</v>
      </c>
      <c r="BC190" s="291" t="n">
        <v>0</v>
      </c>
      <c r="BD190" s="291" t="n">
        <v>72</v>
      </c>
      <c r="BE190" s="291" t="n">
        <v>4</v>
      </c>
      <c r="BF190" s="291" t="n">
        <v>0</v>
      </c>
      <c r="BG190" s="291" t="n">
        <v>0</v>
      </c>
      <c r="BH190" s="291" t="n">
        <v>108</v>
      </c>
      <c r="BI190" s="291" t="n">
        <v>0</v>
      </c>
      <c r="BJ190" s="291" t="n">
        <v>0</v>
      </c>
      <c r="BK190" s="291" t="n">
        <v>0</v>
      </c>
      <c r="BL190" s="291" t="n">
        <v>0</v>
      </c>
      <c r="BM190" s="291" t="n">
        <v>0</v>
      </c>
      <c r="BN190" s="291" t="n">
        <v>0</v>
      </c>
      <c r="BO190" s="291" t="n">
        <v>143.493</v>
      </c>
      <c r="BP190" s="324"/>
      <c r="BR190" s="290" t="n">
        <f aca="false">AR190*1000/0.072</f>
        <v>9125000</v>
      </c>
      <c r="BS190" s="290" t="n">
        <f aca="false">AT190*1000/0.072</f>
        <v>8000000</v>
      </c>
      <c r="BT190" s="290" t="n">
        <f aca="false">AU190*1000/0.072</f>
        <v>0</v>
      </c>
      <c r="BU190" s="290" t="n">
        <f aca="false">SUM(BR190:BT190)</f>
        <v>17125000</v>
      </c>
      <c r="BV190" s="290" t="n">
        <f aca="false">AV190*1000/5</f>
        <v>0</v>
      </c>
      <c r="BW190" s="290" t="n">
        <f aca="false">AX190*1000/5</f>
        <v>0</v>
      </c>
      <c r="BX190" s="290" t="n">
        <f aca="false">AY190*1000/5</f>
        <v>0</v>
      </c>
      <c r="BY190" s="290" t="n">
        <f aca="false">SUM(BV190:BX190)</f>
        <v>0</v>
      </c>
      <c r="CA190" s="290" t="n">
        <f aca="false">IF($AM190="n",0,BR190)</f>
        <v>9125000</v>
      </c>
      <c r="CB190" s="290" t="n">
        <f aca="false">IF($AM190="n",0,BS190)</f>
        <v>8000000</v>
      </c>
      <c r="CC190" s="290" t="n">
        <f aca="false">IF($AM190="n",0,BT190)</f>
        <v>0</v>
      </c>
      <c r="CD190" s="290" t="n">
        <f aca="false">SUM(CA190:CC190)</f>
        <v>17125000</v>
      </c>
      <c r="CE190" s="290" t="n">
        <f aca="false">IF($AM$2="n",0,BV190)</f>
        <v>0</v>
      </c>
      <c r="CF190" s="290" t="n">
        <f aca="false">IF($AM$2="n",0,BW190)</f>
        <v>0</v>
      </c>
      <c r="CG190" s="290" t="n">
        <f aca="false">IF($AM$2="n",0,BX190)</f>
        <v>0</v>
      </c>
      <c r="CH190" s="290" t="n">
        <f aca="false">SUM(CE190:CG190)</f>
        <v>0</v>
      </c>
      <c r="CJ190" s="324"/>
      <c r="CK190" s="324"/>
      <c r="CL190" s="324"/>
      <c r="CM190" s="324"/>
      <c r="CN190" s="324"/>
      <c r="CO190" s="324"/>
      <c r="CP190" s="324"/>
      <c r="CQ190" s="324"/>
      <c r="CR190" s="324"/>
      <c r="CS190" s="324"/>
      <c r="CT190" s="324"/>
      <c r="CU190" s="324"/>
      <c r="CV190" s="324"/>
      <c r="CW190" s="324"/>
      <c r="CX190" s="324"/>
    </row>
    <row r="191" customFormat="false" ht="15" hidden="false" customHeight="true" outlineLevel="0" collapsed="false">
      <c r="A191" s="291" t="n">
        <v>3805</v>
      </c>
      <c r="B191" s="291" t="s">
        <v>44</v>
      </c>
      <c r="C191" s="292" t="s">
        <v>485</v>
      </c>
      <c r="D191" s="287" t="s">
        <v>485</v>
      </c>
      <c r="E191" s="288" t="n">
        <f aca="false">IF(I191="regional",IF(R191*0.2975,S191*0.3484),S191*0.1939)</f>
        <v>263682.3592</v>
      </c>
      <c r="F191" s="288" t="n">
        <v>407721</v>
      </c>
      <c r="G191" s="289" t="n">
        <f aca="false">E191+F191</f>
        <v>671403.3592</v>
      </c>
      <c r="H191" s="292" t="s">
        <v>44</v>
      </c>
      <c r="I191" s="287" t="s">
        <v>48</v>
      </c>
      <c r="J191" s="287" t="s">
        <v>44</v>
      </c>
      <c r="K191" s="287" t="s">
        <v>487</v>
      </c>
      <c r="L191" s="287" t="s">
        <v>44</v>
      </c>
      <c r="M191" s="317" t="n">
        <v>132</v>
      </c>
      <c r="N191" s="317" t="n">
        <v>0.597</v>
      </c>
      <c r="O191" s="317" t="n">
        <v>0.644</v>
      </c>
      <c r="P191" s="317" t="n">
        <v>0.662</v>
      </c>
      <c r="Q191" s="317" t="n">
        <v>0.685</v>
      </c>
      <c r="R191" s="288" t="n">
        <v>970198</v>
      </c>
      <c r="S191" s="317" t="n">
        <v>756838</v>
      </c>
      <c r="T191" s="318" t="n">
        <f aca="false">IF(I191="regional",IF(R191&gt;0,R191*0.2975,S191*0.3484),S191*0.1939)</f>
        <v>288633.905</v>
      </c>
      <c r="U191" s="317" t="n">
        <v>460857</v>
      </c>
      <c r="V191" s="317" t="n">
        <v>295981</v>
      </c>
      <c r="W191" s="317" t="n">
        <v>6518</v>
      </c>
      <c r="X191" s="317" t="n">
        <v>696354.905</v>
      </c>
      <c r="Y191" s="317" t="n">
        <v>288633.905</v>
      </c>
      <c r="Z191" s="317" t="n">
        <v>407721</v>
      </c>
      <c r="AA191" s="317" t="n">
        <v>349117</v>
      </c>
      <c r="AB191" s="317" t="n">
        <v>0</v>
      </c>
      <c r="AC191" s="317" t="n">
        <v>349117</v>
      </c>
      <c r="AD191" s="317" t="n">
        <v>407721</v>
      </c>
      <c r="AE191" s="317" t="n">
        <v>0</v>
      </c>
      <c r="AF191" s="317" t="n">
        <v>349117</v>
      </c>
      <c r="AG191" s="317" t="n">
        <v>0</v>
      </c>
      <c r="AH191" s="317" t="n">
        <v>339000</v>
      </c>
      <c r="AI191" s="317" t="n">
        <v>261000</v>
      </c>
      <c r="AJ191" s="292" t="s">
        <v>707</v>
      </c>
      <c r="AK191" s="292" t="s">
        <v>708</v>
      </c>
      <c r="AL191" s="321" t="s">
        <v>48</v>
      </c>
      <c r="AM191" s="292"/>
      <c r="AN191" s="321" t="s">
        <v>485</v>
      </c>
      <c r="AO191" s="321" t="n">
        <v>696354.905</v>
      </c>
      <c r="AP191" s="322" t="n">
        <f aca="false">AR191+AT191+AU191+AV191+AX191+AY191+AZ191+BD191+BF191+BG191+BH191+BJ191+BK191+(BL191+BM191+BN191)/1000+(0.1*BO191)</f>
        <v>540.451</v>
      </c>
      <c r="AQ191" s="319" t="n">
        <f aca="false">AR191+AT191+AU191+AV191+AX191+AY191+AZ191+BB191+BC191+BD191+BF191+BG191+BH191+BJ191+BK191+(BL191+BM191+BN191)/1000+(0.1*BO191)</f>
        <v>567.451</v>
      </c>
      <c r="AR191" s="351" t="n">
        <v>262</v>
      </c>
      <c r="AS191" s="351" t="n">
        <v>261</v>
      </c>
      <c r="AT191" s="351" t="n">
        <v>85</v>
      </c>
      <c r="AU191" s="351" t="n">
        <v>0</v>
      </c>
      <c r="AV191" s="291" t="n">
        <v>0</v>
      </c>
      <c r="AW191" s="291" t="n">
        <v>0</v>
      </c>
      <c r="AX191" s="291" t="n">
        <v>0</v>
      </c>
      <c r="AY191" s="291" t="n">
        <v>0</v>
      </c>
      <c r="AZ191" s="291" t="n">
        <v>13</v>
      </c>
      <c r="BA191" s="291" t="n">
        <v>9</v>
      </c>
      <c r="BB191" s="291" t="n">
        <v>27</v>
      </c>
      <c r="BC191" s="291" t="n">
        <v>0</v>
      </c>
      <c r="BD191" s="291" t="n">
        <v>33</v>
      </c>
      <c r="BE191" s="291" t="n">
        <v>0</v>
      </c>
      <c r="BF191" s="291" t="n">
        <v>0</v>
      </c>
      <c r="BG191" s="291" t="n">
        <v>0</v>
      </c>
      <c r="BH191" s="291" t="n">
        <v>66</v>
      </c>
      <c r="BI191" s="291" t="n">
        <v>2</v>
      </c>
      <c r="BJ191" s="291" t="n">
        <v>0</v>
      </c>
      <c r="BK191" s="291" t="n">
        <v>0</v>
      </c>
      <c r="BL191" s="291" t="n">
        <v>0</v>
      </c>
      <c r="BM191" s="291" t="n">
        <v>0</v>
      </c>
      <c r="BN191" s="291" t="n">
        <v>0</v>
      </c>
      <c r="BO191" s="291" t="n">
        <v>814.51</v>
      </c>
      <c r="BP191" s="324"/>
      <c r="BR191" s="290" t="n">
        <f aca="false">AR191*1000/0.072</f>
        <v>3638888.88888889</v>
      </c>
      <c r="BS191" s="290" t="n">
        <f aca="false">AT191*1000/0.072</f>
        <v>1180555.55555556</v>
      </c>
      <c r="BT191" s="290" t="n">
        <f aca="false">AU191*1000/0.072</f>
        <v>0</v>
      </c>
      <c r="BU191" s="290" t="n">
        <f aca="false">SUM(BR191:BT191)</f>
        <v>4819444.44444445</v>
      </c>
      <c r="BV191" s="290" t="n">
        <f aca="false">AV191*1000/5</f>
        <v>0</v>
      </c>
      <c r="BW191" s="290" t="n">
        <f aca="false">AX191*1000/5</f>
        <v>0</v>
      </c>
      <c r="BX191" s="290" t="n">
        <f aca="false">AY191*1000/5</f>
        <v>0</v>
      </c>
      <c r="BY191" s="290" t="n">
        <f aca="false">SUM(BV191:BX191)</f>
        <v>0</v>
      </c>
      <c r="CA191" s="290" t="n">
        <f aca="false">IF($AM191="n",0,BR191)</f>
        <v>3638888.88888889</v>
      </c>
      <c r="CB191" s="290" t="n">
        <f aca="false">IF($AM191="n",0,BS191)</f>
        <v>1180555.55555556</v>
      </c>
      <c r="CC191" s="290" t="n">
        <f aca="false">IF($AM191="n",0,BT191)</f>
        <v>0</v>
      </c>
      <c r="CD191" s="290" t="n">
        <f aca="false">SUM(CA191:CC191)</f>
        <v>4819444.44444445</v>
      </c>
      <c r="CE191" s="290" t="n">
        <f aca="false">IF($AM$2="n",0,BV191)</f>
        <v>0</v>
      </c>
      <c r="CF191" s="290" t="n">
        <f aca="false">IF($AM$2="n",0,BW191)</f>
        <v>0</v>
      </c>
      <c r="CG191" s="290" t="n">
        <f aca="false">IF($AM$2="n",0,BX191)</f>
        <v>0</v>
      </c>
      <c r="CH191" s="290" t="n">
        <f aca="false">SUM(CE191:CG191)</f>
        <v>0</v>
      </c>
      <c r="CJ191" s="324"/>
      <c r="CK191" s="324"/>
      <c r="CL191" s="324"/>
      <c r="CM191" s="324"/>
      <c r="CN191" s="324"/>
      <c r="CO191" s="324"/>
      <c r="CP191" s="324"/>
      <c r="CQ191" s="324"/>
      <c r="CR191" s="324"/>
      <c r="CS191" s="324"/>
      <c r="CT191" s="324"/>
      <c r="CU191" s="324"/>
      <c r="CV191" s="324"/>
      <c r="CW191" s="324"/>
      <c r="CX191" s="324"/>
      <c r="CY191" s="330"/>
      <c r="CZ191" s="330"/>
      <c r="DA191" s="330"/>
      <c r="DB191" s="330"/>
      <c r="DC191" s="330"/>
      <c r="DD191" s="330"/>
      <c r="DE191" s="330"/>
      <c r="DF191" s="330"/>
      <c r="DG191" s="330"/>
      <c r="DH191" s="330"/>
      <c r="DI191" s="330"/>
      <c r="DJ191" s="330"/>
      <c r="DK191" s="330"/>
      <c r="DL191" s="330"/>
      <c r="DM191" s="330"/>
      <c r="DN191" s="330"/>
      <c r="DO191" s="330"/>
      <c r="DP191" s="330"/>
      <c r="DQ191" s="330"/>
      <c r="DR191" s="330"/>
      <c r="DS191" s="330"/>
      <c r="DT191" s="330"/>
      <c r="DU191" s="330"/>
      <c r="DV191" s="330"/>
      <c r="DW191" s="330"/>
      <c r="DX191" s="330"/>
      <c r="DY191" s="330"/>
      <c r="DZ191" s="330"/>
      <c r="EA191" s="330"/>
      <c r="EB191" s="330"/>
      <c r="EC191" s="330"/>
      <c r="ED191" s="330"/>
      <c r="EE191" s="330"/>
      <c r="EF191" s="330"/>
      <c r="EG191" s="330"/>
      <c r="EH191" s="330"/>
      <c r="EI191" s="330"/>
      <c r="EJ191" s="330"/>
      <c r="EK191" s="330"/>
      <c r="EL191" s="330"/>
      <c r="EM191" s="330"/>
      <c r="EN191" s="330"/>
      <c r="EO191" s="330"/>
      <c r="EP191" s="330"/>
      <c r="EQ191" s="330"/>
      <c r="ER191" s="330"/>
      <c r="ES191" s="330"/>
      <c r="ET191" s="330"/>
      <c r="EU191" s="330"/>
      <c r="EV191" s="330"/>
      <c r="EW191" s="330"/>
      <c r="EX191" s="330"/>
      <c r="EY191" s="330"/>
      <c r="EZ191" s="330"/>
      <c r="FA191" s="330"/>
      <c r="FB191" s="330"/>
      <c r="FC191" s="330"/>
      <c r="FD191" s="330"/>
      <c r="FE191" s="330"/>
      <c r="FF191" s="330"/>
      <c r="FG191" s="330"/>
      <c r="FH191" s="330"/>
      <c r="FI191" s="330"/>
      <c r="FJ191" s="330"/>
      <c r="FK191" s="330"/>
      <c r="FL191" s="330"/>
      <c r="FM191" s="330"/>
      <c r="FN191" s="330"/>
      <c r="FO191" s="330"/>
      <c r="FP191" s="330"/>
      <c r="FQ191" s="330"/>
      <c r="FR191" s="330"/>
      <c r="FS191" s="330"/>
      <c r="FT191" s="330"/>
      <c r="FU191" s="330"/>
      <c r="FV191" s="330"/>
      <c r="FW191" s="330"/>
      <c r="FX191" s="330"/>
      <c r="FY191" s="330"/>
      <c r="FZ191" s="330"/>
      <c r="GA191" s="330"/>
      <c r="GB191" s="330"/>
      <c r="GC191" s="330"/>
      <c r="GD191" s="330"/>
      <c r="GE191" s="330"/>
      <c r="GF191" s="330"/>
      <c r="GG191" s="330"/>
      <c r="GH191" s="330"/>
      <c r="GI191" s="330"/>
      <c r="GJ191" s="330"/>
      <c r="GK191" s="330"/>
      <c r="GL191" s="330"/>
      <c r="GM191" s="330"/>
      <c r="GN191" s="330"/>
      <c r="GO191" s="330"/>
      <c r="GP191" s="330"/>
      <c r="GQ191" s="330"/>
      <c r="GR191" s="330"/>
      <c r="GS191" s="330"/>
      <c r="GT191" s="330"/>
      <c r="GU191" s="330"/>
      <c r="GV191" s="330"/>
      <c r="GW191" s="330"/>
      <c r="GX191" s="330"/>
      <c r="GY191" s="330"/>
      <c r="GZ191" s="330"/>
      <c r="HA191" s="330"/>
      <c r="HB191" s="330"/>
      <c r="HC191" s="330"/>
      <c r="HD191" s="330"/>
      <c r="HE191" s="330"/>
      <c r="HF191" s="330"/>
      <c r="HG191" s="330"/>
      <c r="HH191" s="330"/>
      <c r="HI191" s="330"/>
      <c r="HJ191" s="330"/>
      <c r="HK191" s="330"/>
      <c r="HL191" s="330"/>
      <c r="HM191" s="330"/>
      <c r="HN191" s="330"/>
      <c r="HO191" s="330"/>
      <c r="HP191" s="330"/>
      <c r="HQ191" s="330"/>
      <c r="HR191" s="330"/>
      <c r="HS191" s="330"/>
      <c r="HT191" s="330"/>
      <c r="HU191" s="330"/>
      <c r="HV191" s="330"/>
      <c r="HW191" s="330"/>
      <c r="HX191" s="330"/>
      <c r="HY191" s="330"/>
      <c r="HZ191" s="330"/>
      <c r="IA191" s="330"/>
      <c r="IB191" s="330"/>
      <c r="IC191" s="330"/>
      <c r="ID191" s="330"/>
      <c r="IE191" s="330"/>
      <c r="IF191" s="330"/>
      <c r="IG191" s="330"/>
      <c r="IH191" s="330"/>
      <c r="II191" s="330"/>
      <c r="IJ191" s="330"/>
      <c r="IK191" s="330"/>
      <c r="IL191" s="330"/>
      <c r="IM191" s="330"/>
      <c r="IN191" s="330"/>
      <c r="IO191" s="330"/>
      <c r="IP191" s="330"/>
      <c r="IQ191" s="330"/>
      <c r="IR191" s="330"/>
      <c r="IS191" s="330"/>
      <c r="IT191" s="330"/>
      <c r="IU191" s="330"/>
      <c r="IV191" s="330"/>
      <c r="IW191" s="330"/>
    </row>
    <row r="192" customFormat="false" ht="15" hidden="false" customHeight="true" outlineLevel="0" collapsed="false">
      <c r="A192" s="291" t="n">
        <v>4836</v>
      </c>
      <c r="B192" s="291"/>
      <c r="C192" s="292" t="s">
        <v>671</v>
      </c>
      <c r="D192" s="287" t="s">
        <v>671</v>
      </c>
      <c r="E192" s="288" t="n">
        <f aca="false">IF(I192="regional",IF(R192*0.2975,S192*0.3484),S192*0.1939)</f>
        <v>787384</v>
      </c>
      <c r="F192" s="288" t="n">
        <v>0</v>
      </c>
      <c r="G192" s="289" t="n">
        <f aca="false">E192+F192</f>
        <v>787384</v>
      </c>
      <c r="H192" s="292"/>
      <c r="I192" s="287" t="s">
        <v>48</v>
      </c>
      <c r="J192" s="287"/>
      <c r="K192" s="287" t="s">
        <v>490</v>
      </c>
      <c r="L192" s="287"/>
      <c r="M192" s="317" t="n">
        <v>205</v>
      </c>
      <c r="N192" s="317" t="n">
        <v>0.932</v>
      </c>
      <c r="O192" s="317" t="n">
        <v>0.969</v>
      </c>
      <c r="P192" s="317" t="n">
        <v>0.925</v>
      </c>
      <c r="Q192" s="317" t="n">
        <v>0.952</v>
      </c>
      <c r="R192" s="288" t="n">
        <v>2881095</v>
      </c>
      <c r="S192" s="317" t="n">
        <v>2260000</v>
      </c>
      <c r="T192" s="318" t="n">
        <f aca="false">IF(I192="regional",IF(R192&gt;0,R192*0.2975,S192*0.3484),S192*0.1939)</f>
        <v>857125.7625</v>
      </c>
      <c r="U192" s="317" t="n">
        <v>1440000</v>
      </c>
      <c r="V192" s="317" t="n">
        <v>820000</v>
      </c>
      <c r="W192" s="317" t="n">
        <v>9143</v>
      </c>
      <c r="X192" s="317" t="n">
        <v>0</v>
      </c>
      <c r="Y192" s="317" t="n">
        <v>0</v>
      </c>
      <c r="Z192" s="317" t="n">
        <v>0</v>
      </c>
      <c r="AA192" s="317" t="n">
        <v>3117125.763</v>
      </c>
      <c r="AB192" s="317" t="n">
        <v>857125.7625</v>
      </c>
      <c r="AC192" s="317" t="n">
        <v>2260000</v>
      </c>
      <c r="AD192" s="317" t="n">
        <v>0</v>
      </c>
      <c r="AE192" s="317" t="n">
        <v>0</v>
      </c>
      <c r="AF192" s="317" t="n">
        <v>0</v>
      </c>
      <c r="AG192" s="317" t="n">
        <v>2260000</v>
      </c>
      <c r="AH192" s="317" t="n">
        <v>0</v>
      </c>
      <c r="AI192" s="317" t="n">
        <v>0</v>
      </c>
      <c r="AJ192" s="292" t="n">
        <v>4</v>
      </c>
      <c r="AK192" s="292" t="s">
        <v>724</v>
      </c>
      <c r="AL192" s="321" t="s">
        <v>48</v>
      </c>
      <c r="AM192" s="292"/>
      <c r="AN192" s="321" t="s">
        <v>671</v>
      </c>
      <c r="AO192" s="321" t="n">
        <v>857125.7625</v>
      </c>
      <c r="AP192" s="322" t="n">
        <f aca="false">AR192+AT192+AU192+AV192+AX192+AY192+AZ192+BD192+BF192+BG192+BH192+BJ192+BK192+(BL192+BM192+BN192)/1000+(0.1*BO192)</f>
        <v>1516</v>
      </c>
      <c r="AQ192" s="319" t="n">
        <f aca="false">AR192+AT192+AU192+AV192+AX192+AY192+AZ192+BB192+BC192+BD192+BF192+BG192+BH192+BJ192+BK192+(BL192+BM192+BN192)/1000+(0.1*BO192)</f>
        <v>1555</v>
      </c>
      <c r="AR192" s="291" t="n">
        <v>120</v>
      </c>
      <c r="AS192" s="291" t="n">
        <v>0</v>
      </c>
      <c r="AT192" s="291" t="n">
        <v>1379</v>
      </c>
      <c r="AU192" s="291" t="n">
        <v>19</v>
      </c>
      <c r="AV192" s="291" t="n">
        <v>0</v>
      </c>
      <c r="AW192" s="291" t="n">
        <v>0</v>
      </c>
      <c r="AX192" s="291" t="n">
        <v>-2</v>
      </c>
      <c r="AY192" s="291" t="n">
        <v>0</v>
      </c>
      <c r="AZ192" s="291" t="n">
        <v>0</v>
      </c>
      <c r="BA192" s="291" t="n">
        <v>0</v>
      </c>
      <c r="BB192" s="291" t="n">
        <v>35</v>
      </c>
      <c r="BC192" s="291" t="n">
        <v>4</v>
      </c>
      <c r="BD192" s="291" t="n">
        <v>0</v>
      </c>
      <c r="BE192" s="291" t="n">
        <v>0</v>
      </c>
      <c r="BF192" s="291" t="n">
        <v>0</v>
      </c>
      <c r="BG192" s="291" t="n">
        <v>0</v>
      </c>
      <c r="BH192" s="291" t="n">
        <v>0</v>
      </c>
      <c r="BI192" s="291" t="n">
        <v>0</v>
      </c>
      <c r="BJ192" s="291" t="n">
        <v>0</v>
      </c>
      <c r="BK192" s="291" t="n">
        <v>0</v>
      </c>
      <c r="BL192" s="291" t="n">
        <v>0</v>
      </c>
      <c r="BM192" s="291" t="n">
        <v>0</v>
      </c>
      <c r="BN192" s="291" t="n">
        <v>0</v>
      </c>
      <c r="BO192" s="291" t="n">
        <v>0</v>
      </c>
      <c r="BR192" s="290" t="n">
        <f aca="false">AR192*1000/0.072</f>
        <v>1666666.66666667</v>
      </c>
      <c r="BS192" s="290" t="n">
        <f aca="false">AT192*1000/0.072</f>
        <v>19152777.7777778</v>
      </c>
      <c r="BT192" s="290" t="n">
        <f aca="false">AU192*1000/0.072</f>
        <v>263888.888888889</v>
      </c>
      <c r="BU192" s="290" t="n">
        <f aca="false">SUM(BR192:BT192)</f>
        <v>21083333.3333333</v>
      </c>
      <c r="BV192" s="290" t="n">
        <f aca="false">AV192*1000/5</f>
        <v>0</v>
      </c>
      <c r="BW192" s="290" t="n">
        <f aca="false">AX192*1000/5</f>
        <v>-400</v>
      </c>
      <c r="BX192" s="290" t="n">
        <f aca="false">AY192*1000/5</f>
        <v>0</v>
      </c>
      <c r="BY192" s="290" t="n">
        <f aca="false">SUM(BV192:BX192)</f>
        <v>-400</v>
      </c>
      <c r="CA192" s="290" t="n">
        <f aca="false">IF($AM192="n",0,BR192)</f>
        <v>1666666.66666667</v>
      </c>
      <c r="CB192" s="290" t="n">
        <f aca="false">IF($AM192="n",0,BS192)</f>
        <v>19152777.7777778</v>
      </c>
      <c r="CC192" s="290" t="n">
        <f aca="false">IF($AM192="n",0,BT192)</f>
        <v>263888.888888889</v>
      </c>
      <c r="CD192" s="290" t="n">
        <f aca="false">SUM(CA192:CC192)</f>
        <v>21083333.3333333</v>
      </c>
      <c r="CE192" s="290" t="n">
        <f aca="false">IF($AM$2="n",0,BV192)</f>
        <v>0</v>
      </c>
      <c r="CF192" s="290" t="n">
        <f aca="false">IF($AM$2="n",0,BW192)</f>
        <v>-400</v>
      </c>
      <c r="CG192" s="290" t="n">
        <f aca="false">IF($AM$2="n",0,BX192)</f>
        <v>0</v>
      </c>
      <c r="CH192" s="290" t="n">
        <f aca="false">SUM(CE192:CG192)</f>
        <v>-400</v>
      </c>
    </row>
    <row r="193" customFormat="false" ht="15" hidden="false" customHeight="true" outlineLevel="0" collapsed="false">
      <c r="A193" s="298" t="n">
        <v>4851</v>
      </c>
      <c r="B193" s="298"/>
      <c r="C193" s="299" t="s">
        <v>763</v>
      </c>
      <c r="D193" s="293" t="s">
        <v>671</v>
      </c>
      <c r="E193" s="288" t="n">
        <f aca="false">IF(I193="regional",IF(R193*0.2975,S193*0.3484),S193*0.1939)</f>
        <v>0</v>
      </c>
      <c r="F193" s="294"/>
      <c r="G193" s="289" t="n">
        <f aca="false">E193+F193</f>
        <v>0</v>
      </c>
      <c r="H193" s="292"/>
      <c r="I193" s="293" t="s">
        <v>48</v>
      </c>
      <c r="J193" s="293"/>
      <c r="K193" s="293"/>
      <c r="L193" s="293"/>
      <c r="M193" s="320"/>
      <c r="N193" s="320"/>
      <c r="O193" s="320"/>
      <c r="P193" s="320"/>
      <c r="Q193" s="320"/>
      <c r="R193" s="294" t="n">
        <v>1500000</v>
      </c>
      <c r="S193" s="320" t="n">
        <v>0</v>
      </c>
      <c r="T193" s="318" t="n">
        <f aca="false">IF(I193="regional",IF(R193&gt;0,R193*0.2975,S193*0.3484),S193*0.1939)</f>
        <v>446250</v>
      </c>
      <c r="U193" s="320"/>
      <c r="V193" s="320"/>
      <c r="W193" s="320"/>
      <c r="X193" s="320"/>
      <c r="Y193" s="320"/>
      <c r="Z193" s="320"/>
      <c r="AA193" s="320"/>
      <c r="AB193" s="320"/>
      <c r="AC193" s="320"/>
      <c r="AD193" s="320"/>
      <c r="AE193" s="320"/>
      <c r="AF193" s="320"/>
      <c r="AG193" s="320"/>
      <c r="AH193" s="320"/>
      <c r="AI193" s="320"/>
      <c r="AJ193" s="292" t="n">
        <v>4</v>
      </c>
      <c r="AK193" s="292" t="s">
        <v>724</v>
      </c>
      <c r="AL193" s="321" t="s">
        <v>718</v>
      </c>
      <c r="AM193" s="292"/>
      <c r="AN193" s="328" t="s">
        <v>764</v>
      </c>
      <c r="AO193" s="328" t="n">
        <v>0</v>
      </c>
      <c r="AP193" s="329" t="n">
        <v>0</v>
      </c>
      <c r="AQ193" s="319" t="n">
        <f aca="false">AR193+AT193+AU193+AV193+AX193+AY193+AZ193+BB193+BC193+BD193+BF193+BG193+BH193+BJ193+BK193+(BL193+BM193+BN193)/1000+(0.1*BO193)</f>
        <v>7</v>
      </c>
      <c r="AR193" s="185" t="n">
        <v>0</v>
      </c>
      <c r="AS193" s="185" t="n">
        <v>0</v>
      </c>
      <c r="AT193" s="185" t="n">
        <v>0</v>
      </c>
      <c r="AU193" s="185" t="n">
        <v>7</v>
      </c>
      <c r="AV193" s="291" t="n">
        <v>0</v>
      </c>
      <c r="AW193" s="291" t="n">
        <v>0</v>
      </c>
      <c r="AX193" s="291" t="n">
        <v>0</v>
      </c>
      <c r="AY193" s="291" t="n">
        <v>0</v>
      </c>
      <c r="AZ193" s="291" t="n">
        <v>0</v>
      </c>
      <c r="BA193" s="291" t="n">
        <v>0</v>
      </c>
      <c r="BB193" s="291" t="n">
        <v>0</v>
      </c>
      <c r="BC193" s="291" t="n">
        <v>0</v>
      </c>
      <c r="BD193" s="291" t="n">
        <v>0</v>
      </c>
      <c r="BE193" s="291" t="n">
        <v>0</v>
      </c>
      <c r="BF193" s="291" t="n">
        <v>0</v>
      </c>
      <c r="BG193" s="291" t="n">
        <v>0</v>
      </c>
      <c r="BH193" s="291" t="n">
        <v>0</v>
      </c>
      <c r="BI193" s="291" t="n">
        <v>0</v>
      </c>
      <c r="BJ193" s="291" t="n">
        <v>0</v>
      </c>
      <c r="BK193" s="291" t="n">
        <v>0</v>
      </c>
      <c r="BL193" s="291" t="n">
        <v>0</v>
      </c>
      <c r="BM193" s="291" t="n">
        <v>0</v>
      </c>
      <c r="BN193" s="291" t="n">
        <v>0</v>
      </c>
      <c r="BO193" s="298" t="n">
        <v>0</v>
      </c>
      <c r="BR193" s="290" t="n">
        <f aca="false">AR193*1000/0.072</f>
        <v>0</v>
      </c>
      <c r="BS193" s="290" t="n">
        <f aca="false">AT193*1000/0.072</f>
        <v>0</v>
      </c>
      <c r="BT193" s="290" t="n">
        <f aca="false">AU193*1000/0.072</f>
        <v>97222.2222222222</v>
      </c>
      <c r="BU193" s="290" t="n">
        <f aca="false">SUM(BR193:BT193)</f>
        <v>97222.2222222222</v>
      </c>
      <c r="BV193" s="290" t="n">
        <f aca="false">AV193*1000/5</f>
        <v>0</v>
      </c>
      <c r="BW193" s="290" t="n">
        <f aca="false">AX193*1000/5</f>
        <v>0</v>
      </c>
      <c r="BX193" s="290" t="n">
        <f aca="false">AY193*1000/5</f>
        <v>0</v>
      </c>
      <c r="BY193" s="290" t="n">
        <f aca="false">SUM(BV193:BX193)</f>
        <v>0</v>
      </c>
      <c r="CA193" s="290" t="n">
        <f aca="false">IF($AM193="n",0,BR193)</f>
        <v>0</v>
      </c>
      <c r="CB193" s="290" t="n">
        <f aca="false">IF($AM193="n",0,BS193)</f>
        <v>0</v>
      </c>
      <c r="CC193" s="290" t="n">
        <f aca="false">IF($AM193="n",0,BT193)</f>
        <v>97222.2222222222</v>
      </c>
      <c r="CD193" s="290" t="n">
        <f aca="false">SUM(CA193:CC193)</f>
        <v>97222.2222222222</v>
      </c>
      <c r="CE193" s="290" t="n">
        <f aca="false">IF($AM$2="n",0,BV193)</f>
        <v>0</v>
      </c>
      <c r="CF193" s="290" t="n">
        <f aca="false">IF($AM$2="n",0,BW193)</f>
        <v>0</v>
      </c>
      <c r="CG193" s="290" t="n">
        <f aca="false">IF($AM$2="n",0,BX193)</f>
        <v>0</v>
      </c>
      <c r="CH193" s="290" t="n">
        <f aca="false">SUM(CE193:CG193)</f>
        <v>0</v>
      </c>
    </row>
    <row r="194" customFormat="false" ht="15" hidden="false" customHeight="true" outlineLevel="0" collapsed="false">
      <c r="A194" s="285" t="n">
        <v>3107</v>
      </c>
      <c r="B194" s="285" t="s">
        <v>44</v>
      </c>
      <c r="C194" s="286" t="s">
        <v>491</v>
      </c>
      <c r="D194" s="287" t="s">
        <v>491</v>
      </c>
      <c r="E194" s="288" t="n">
        <f aca="false">IF(I194="regional",IF(R194*0.2975,S194*0.3484),S194*0.1939)</f>
        <v>418793.8716</v>
      </c>
      <c r="F194" s="288" t="n">
        <v>659993</v>
      </c>
      <c r="G194" s="289" t="n">
        <f aca="false">E194+F194</f>
        <v>1078786.8716</v>
      </c>
      <c r="H194" s="286"/>
      <c r="I194" s="287" t="s">
        <v>48</v>
      </c>
      <c r="J194" s="287" t="s">
        <v>44</v>
      </c>
      <c r="K194" s="287" t="s">
        <v>492</v>
      </c>
      <c r="L194" s="287" t="s">
        <v>44</v>
      </c>
      <c r="M194" s="317" t="n">
        <v>191</v>
      </c>
      <c r="N194" s="317" t="n">
        <v>0.905</v>
      </c>
      <c r="O194" s="317" t="n">
        <v>0.919</v>
      </c>
      <c r="P194" s="317" t="n">
        <v>0.942</v>
      </c>
      <c r="Q194" s="317" t="n">
        <v>0.924</v>
      </c>
      <c r="R194" s="317" t="n">
        <v>1480272</v>
      </c>
      <c r="S194" s="317" t="n">
        <v>1202049</v>
      </c>
      <c r="T194" s="318" t="n">
        <f aca="false">IF(I194="regional",IF(R194&gt;0,R194*0.2975,S194*0.3484),S194*0.1939)</f>
        <v>440380.92</v>
      </c>
      <c r="U194" s="317" t="n">
        <v>823347</v>
      </c>
      <c r="V194" s="317" t="n">
        <v>378702</v>
      </c>
      <c r="W194" s="317" t="n">
        <v>5616</v>
      </c>
      <c r="X194" s="317" t="n">
        <v>1100373.92</v>
      </c>
      <c r="Y194" s="317" t="n">
        <v>440380.92</v>
      </c>
      <c r="Z194" s="317" t="n">
        <v>659993</v>
      </c>
      <c r="AA194" s="317" t="n">
        <v>542056</v>
      </c>
      <c r="AB194" s="317" t="n">
        <v>0</v>
      </c>
      <c r="AC194" s="317" t="n">
        <v>542056</v>
      </c>
      <c r="AD194" s="317" t="n">
        <v>659993</v>
      </c>
      <c r="AE194" s="317" t="n">
        <v>0</v>
      </c>
      <c r="AF194" s="317" t="n">
        <v>542056</v>
      </c>
      <c r="AG194" s="317" t="n">
        <v>0</v>
      </c>
      <c r="AH194" s="317" t="n">
        <v>778000</v>
      </c>
      <c r="AI194" s="317" t="n">
        <v>632000</v>
      </c>
      <c r="AJ194" s="286" t="s">
        <v>715</v>
      </c>
      <c r="AK194" s="286" t="s">
        <v>716</v>
      </c>
      <c r="AL194" s="287" t="s">
        <v>48</v>
      </c>
      <c r="AM194" s="286"/>
      <c r="AN194" s="287" t="s">
        <v>491</v>
      </c>
      <c r="AO194" s="287" t="n">
        <v>1100373.92</v>
      </c>
      <c r="AP194" s="319" t="n">
        <f aca="false">AR194+AT194+AU194+AV194+AX194+AY194+AZ194+BD194+BF194+BG194+BH194+BJ194+BK194+(BL194+BM194+BN194)/1000+(0.1*BO194)</f>
        <v>1174.7111</v>
      </c>
      <c r="AQ194" s="319" t="n">
        <f aca="false">AR194+AT194+AU194+AV194+AX194+AY194+AZ194+BB194+BC194+BD194+BF194+BG194+BH194+BJ194+BK194+(BL194+BM194+BN194)/1000+(0.1*BO194)</f>
        <v>1221.7111</v>
      </c>
      <c r="AR194" s="285" t="n">
        <v>493</v>
      </c>
      <c r="AS194" s="285" t="n">
        <v>632</v>
      </c>
      <c r="AT194" s="285" t="n">
        <v>193</v>
      </c>
      <c r="AU194" s="285" t="n">
        <v>1</v>
      </c>
      <c r="AV194" s="285" t="n">
        <v>0</v>
      </c>
      <c r="AW194" s="285" t="n">
        <v>29</v>
      </c>
      <c r="AX194" s="285" t="n">
        <v>0</v>
      </c>
      <c r="AY194" s="285" t="n">
        <v>0</v>
      </c>
      <c r="AZ194" s="285" t="n">
        <v>15</v>
      </c>
      <c r="BA194" s="285" t="n">
        <v>31</v>
      </c>
      <c r="BB194" s="285" t="n">
        <v>47</v>
      </c>
      <c r="BC194" s="285" t="n">
        <v>0</v>
      </c>
      <c r="BD194" s="285" t="n">
        <v>57</v>
      </c>
      <c r="BE194" s="285" t="n">
        <v>0</v>
      </c>
      <c r="BF194" s="285" t="n">
        <v>0</v>
      </c>
      <c r="BG194" s="285" t="n">
        <v>0</v>
      </c>
      <c r="BH194" s="285" t="n">
        <v>90</v>
      </c>
      <c r="BI194" s="285" t="n">
        <v>0</v>
      </c>
      <c r="BJ194" s="285" t="n">
        <v>0</v>
      </c>
      <c r="BK194" s="285" t="n">
        <v>0</v>
      </c>
      <c r="BL194" s="285" t="n">
        <v>182949</v>
      </c>
      <c r="BM194" s="285" t="n">
        <v>0</v>
      </c>
      <c r="BN194" s="285" t="n">
        <v>0</v>
      </c>
      <c r="BO194" s="285" t="n">
        <v>1427.621</v>
      </c>
      <c r="BR194" s="290" t="n">
        <f aca="false">AR194*1000/0.072</f>
        <v>6847222.22222222</v>
      </c>
      <c r="BS194" s="290" t="n">
        <f aca="false">AT194*1000/0.072</f>
        <v>2680555.55555556</v>
      </c>
      <c r="BT194" s="290" t="n">
        <f aca="false">AU194*1000/0.072</f>
        <v>13888.8888888889</v>
      </c>
      <c r="BU194" s="290" t="n">
        <f aca="false">SUM(BR194:BT194)</f>
        <v>9541666.66666667</v>
      </c>
      <c r="BV194" s="290" t="n">
        <f aca="false">AV194*1000/5</f>
        <v>0</v>
      </c>
      <c r="BW194" s="290" t="n">
        <f aca="false">AX194*1000/5</f>
        <v>0</v>
      </c>
      <c r="BX194" s="290" t="n">
        <f aca="false">AY194*1000/5</f>
        <v>0</v>
      </c>
      <c r="BY194" s="290" t="n">
        <f aca="false">SUM(BV194:BX194)</f>
        <v>0</v>
      </c>
      <c r="CA194" s="290" t="n">
        <f aca="false">IF($AM194="n",0,BR194)</f>
        <v>6847222.22222222</v>
      </c>
      <c r="CB194" s="290" t="n">
        <f aca="false">IF($AM194="n",0,BS194)</f>
        <v>2680555.55555556</v>
      </c>
      <c r="CC194" s="290" t="n">
        <f aca="false">IF($AM194="n",0,BT194)</f>
        <v>13888.8888888889</v>
      </c>
      <c r="CD194" s="290" t="n">
        <f aca="false">SUM(CA194:CC194)</f>
        <v>9541666.66666667</v>
      </c>
      <c r="CE194" s="290" t="n">
        <f aca="false">IF($AM$2="n",0,BV194)</f>
        <v>0</v>
      </c>
      <c r="CF194" s="290" t="n">
        <f aca="false">IF($AM$2="n",0,BW194)</f>
        <v>0</v>
      </c>
      <c r="CG194" s="290" t="n">
        <f aca="false">IF($AM$2="n",0,BX194)</f>
        <v>0</v>
      </c>
      <c r="CH194" s="290" t="n">
        <f aca="false">SUM(CE194:CG194)</f>
        <v>0</v>
      </c>
    </row>
    <row r="195" customFormat="false" ht="15" hidden="false" customHeight="true" outlineLevel="0" collapsed="false">
      <c r="A195" s="285" t="n">
        <v>546</v>
      </c>
      <c r="B195" s="285"/>
      <c r="C195" s="286" t="s">
        <v>493</v>
      </c>
      <c r="D195" s="287" t="s">
        <v>493</v>
      </c>
      <c r="E195" s="288" t="n">
        <f aca="false">IF(I195="regional",IF(R195*0.2975,S195*0.3484),S195*0.1939)</f>
        <v>37244.5059</v>
      </c>
      <c r="F195" s="288" t="n">
        <v>0</v>
      </c>
      <c r="G195" s="289" t="n">
        <f aca="false">E195+F195</f>
        <v>37244.5059</v>
      </c>
      <c r="H195" s="286" t="s">
        <v>49</v>
      </c>
      <c r="I195" s="287" t="s">
        <v>62</v>
      </c>
      <c r="J195" s="287"/>
      <c r="K195" s="287" t="s">
        <v>449</v>
      </c>
      <c r="L195" s="287"/>
      <c r="M195" s="317" t="n">
        <v>24</v>
      </c>
      <c r="N195" s="317" t="n">
        <v>0.964</v>
      </c>
      <c r="O195" s="317" t="n">
        <v>0.964</v>
      </c>
      <c r="P195" s="317" t="n">
        <v>0.959</v>
      </c>
      <c r="Q195" s="317" t="n">
        <v>0.979</v>
      </c>
      <c r="R195" s="317" t="n">
        <v>0</v>
      </c>
      <c r="S195" s="317" t="n">
        <v>192081</v>
      </c>
      <c r="T195" s="318" t="n">
        <f aca="false">IF(I195="regional",IF(R195&gt;0,R195*0.2975,S195*0.3484),S195*0.1939)</f>
        <v>37244.5059</v>
      </c>
      <c r="U195" s="317" t="n">
        <v>124479</v>
      </c>
      <c r="V195" s="317" t="n">
        <v>67602</v>
      </c>
      <c r="W195" s="317" t="n">
        <v>960</v>
      </c>
      <c r="X195" s="317" t="n">
        <v>0</v>
      </c>
      <c r="Y195" s="317" t="n">
        <v>0</v>
      </c>
      <c r="Z195" s="317" t="n">
        <v>0</v>
      </c>
      <c r="AA195" s="317" t="n">
        <v>229325.5059</v>
      </c>
      <c r="AB195" s="317" t="n">
        <v>37244.5059</v>
      </c>
      <c r="AC195" s="317" t="n">
        <v>192081</v>
      </c>
      <c r="AD195" s="317" t="n">
        <v>0</v>
      </c>
      <c r="AE195" s="317" t="n">
        <v>0</v>
      </c>
      <c r="AF195" s="317" t="n">
        <v>0</v>
      </c>
      <c r="AG195" s="317" t="n">
        <v>192081</v>
      </c>
      <c r="AH195" s="317" t="n">
        <v>0</v>
      </c>
      <c r="AI195" s="317" t="n">
        <v>0</v>
      </c>
      <c r="AJ195" s="286" t="s">
        <v>707</v>
      </c>
      <c r="AK195" s="286" t="s">
        <v>714</v>
      </c>
      <c r="AL195" s="287" t="s">
        <v>62</v>
      </c>
      <c r="AM195" s="286" t="s">
        <v>49</v>
      </c>
      <c r="AN195" s="287" t="s">
        <v>493</v>
      </c>
      <c r="AO195" s="287" t="n">
        <v>37244.5059</v>
      </c>
      <c r="AP195" s="319" t="n">
        <f aca="false">AR195+AT195+AU195+AV195+AX195+AY195+AZ195+BD195+BF195+BG195+BH195+BJ195+BK195+(BL195+BM195+BN195)/1000+(0.1*BO195)</f>
        <v>12</v>
      </c>
      <c r="AQ195" s="319" t="n">
        <f aca="false">AR195+AT195+AU195+AV195+AX195+AY195+AZ195+BB195+BC195+BD195+BF195+BG195+BH195+BJ195+BK195+(BL195+BM195+BN195)/1000+(0.1*BO195)</f>
        <v>18</v>
      </c>
      <c r="AR195" s="285" t="n">
        <v>0</v>
      </c>
      <c r="AS195" s="285" t="n">
        <v>0</v>
      </c>
      <c r="AT195" s="285" t="n">
        <v>12</v>
      </c>
      <c r="AU195" s="285" t="n">
        <v>0</v>
      </c>
      <c r="AV195" s="285" t="n">
        <v>0</v>
      </c>
      <c r="AW195" s="285" t="n">
        <v>0</v>
      </c>
      <c r="AX195" s="285" t="n">
        <v>0</v>
      </c>
      <c r="AY195" s="285" t="n">
        <v>0</v>
      </c>
      <c r="AZ195" s="285" t="n">
        <v>0</v>
      </c>
      <c r="BA195" s="285" t="n">
        <v>0</v>
      </c>
      <c r="BB195" s="285" t="n">
        <v>0</v>
      </c>
      <c r="BC195" s="285" t="n">
        <v>6</v>
      </c>
      <c r="BD195" s="285" t="n">
        <v>0</v>
      </c>
      <c r="BE195" s="285" t="n">
        <v>0</v>
      </c>
      <c r="BF195" s="285" t="n">
        <v>0</v>
      </c>
      <c r="BG195" s="285" t="n">
        <v>0</v>
      </c>
      <c r="BH195" s="285" t="n">
        <v>0</v>
      </c>
      <c r="BI195" s="285" t="n">
        <v>0</v>
      </c>
      <c r="BJ195" s="285" t="n">
        <v>0</v>
      </c>
      <c r="BK195" s="285" t="n">
        <v>0</v>
      </c>
      <c r="BL195" s="285" t="n">
        <v>0</v>
      </c>
      <c r="BM195" s="285" t="n">
        <v>0</v>
      </c>
      <c r="BN195" s="285" t="n">
        <v>0</v>
      </c>
      <c r="BO195" s="285" t="n">
        <v>0</v>
      </c>
      <c r="BR195" s="290" t="n">
        <f aca="false">AR195*1000/0.072</f>
        <v>0</v>
      </c>
      <c r="BS195" s="290" t="n">
        <f aca="false">AT195*1000/0.072</f>
        <v>166666.666666667</v>
      </c>
      <c r="BT195" s="290" t="n">
        <f aca="false">AU195*1000/0.072</f>
        <v>0</v>
      </c>
      <c r="BU195" s="290" t="n">
        <f aca="false">SUM(BR195:BT195)</f>
        <v>166666.666666667</v>
      </c>
      <c r="BV195" s="290" t="n">
        <f aca="false">AV195*1000/5</f>
        <v>0</v>
      </c>
      <c r="BW195" s="290" t="n">
        <f aca="false">AX195*1000/5</f>
        <v>0</v>
      </c>
      <c r="BX195" s="290" t="n">
        <f aca="false">AY195*1000/5</f>
        <v>0</v>
      </c>
      <c r="BY195" s="290" t="n">
        <f aca="false">SUM(BV195:BX195)</f>
        <v>0</v>
      </c>
      <c r="CA195" s="290" t="n">
        <f aca="false">IF($AM195="n",0,BR195)</f>
        <v>0</v>
      </c>
      <c r="CB195" s="290" t="n">
        <f aca="false">IF($AM195="n",0,BS195)</f>
        <v>0</v>
      </c>
      <c r="CC195" s="290" t="n">
        <f aca="false">IF($AM195="n",0,BT195)</f>
        <v>0</v>
      </c>
      <c r="CD195" s="290" t="n">
        <f aca="false">SUM(CA195:CC195)</f>
        <v>0</v>
      </c>
      <c r="CE195" s="290" t="n">
        <f aca="false">IF($AM$2="n",0,BV195)</f>
        <v>0</v>
      </c>
      <c r="CF195" s="290" t="n">
        <f aca="false">IF($AM$2="n",0,BW195)</f>
        <v>0</v>
      </c>
      <c r="CG195" s="290" t="n">
        <f aca="false">IF($AM$2="n",0,BX195)</f>
        <v>0</v>
      </c>
      <c r="CH195" s="290" t="n">
        <f aca="false">SUM(CE195:CG195)</f>
        <v>0</v>
      </c>
    </row>
    <row r="196" customFormat="false" ht="15" hidden="false" customHeight="true" outlineLevel="0" collapsed="false">
      <c r="A196" s="285" t="n">
        <v>4837</v>
      </c>
      <c r="B196" s="285"/>
      <c r="C196" s="286" t="s">
        <v>495</v>
      </c>
      <c r="D196" s="287" t="s">
        <v>495</v>
      </c>
      <c r="E196" s="288" t="n">
        <f aca="false">IF(I196="regional",IF(R196*0.2975,S196*0.3484),S196*0.1939)</f>
        <v>242138</v>
      </c>
      <c r="F196" s="288" t="n">
        <v>0</v>
      </c>
      <c r="G196" s="289" t="n">
        <f aca="false">E196+F196</f>
        <v>242138</v>
      </c>
      <c r="H196" s="286"/>
      <c r="I196" s="287" t="s">
        <v>48</v>
      </c>
      <c r="J196" s="287" t="s">
        <v>49</v>
      </c>
      <c r="K196" s="287" t="s">
        <v>497</v>
      </c>
      <c r="L196" s="287"/>
      <c r="M196" s="317" t="n">
        <v>126</v>
      </c>
      <c r="N196" s="317" t="n">
        <v>0.816</v>
      </c>
      <c r="O196" s="317" t="n">
        <v>0.845</v>
      </c>
      <c r="P196" s="317" t="n">
        <v>0.925</v>
      </c>
      <c r="Q196" s="317" t="n">
        <v>0.952</v>
      </c>
      <c r="R196" s="317" t="n">
        <v>809359</v>
      </c>
      <c r="S196" s="317" t="n">
        <v>695000</v>
      </c>
      <c r="T196" s="318" t="n">
        <f aca="false">IF(I196="regional",IF(R196&gt;0,R196*0.2975,S196*0.3484),S196*0.1939)</f>
        <v>240784.3025</v>
      </c>
      <c r="U196" s="317" t="n">
        <v>426400</v>
      </c>
      <c r="V196" s="317" t="n">
        <v>268600</v>
      </c>
      <c r="W196" s="317" t="n">
        <v>3150</v>
      </c>
      <c r="X196" s="317" t="n">
        <v>0</v>
      </c>
      <c r="Y196" s="317" t="n">
        <v>0</v>
      </c>
      <c r="Z196" s="317" t="n">
        <v>0</v>
      </c>
      <c r="AA196" s="317" t="n">
        <v>935784.3025</v>
      </c>
      <c r="AB196" s="317" t="n">
        <v>240784.3025</v>
      </c>
      <c r="AC196" s="317" t="n">
        <v>695000</v>
      </c>
      <c r="AD196" s="317" t="n">
        <v>0</v>
      </c>
      <c r="AE196" s="317" t="n">
        <v>0</v>
      </c>
      <c r="AF196" s="317" t="n">
        <v>0</v>
      </c>
      <c r="AG196" s="317" t="n">
        <v>695000</v>
      </c>
      <c r="AH196" s="317" t="n">
        <v>0</v>
      </c>
      <c r="AI196" s="317" t="n">
        <v>0</v>
      </c>
      <c r="AJ196" s="286" t="s">
        <v>721</v>
      </c>
      <c r="AK196" s="286" t="s">
        <v>108</v>
      </c>
      <c r="AL196" s="287" t="s">
        <v>48</v>
      </c>
      <c r="AM196" s="286"/>
      <c r="AN196" s="287" t="s">
        <v>495</v>
      </c>
      <c r="AO196" s="287" t="n">
        <v>240784.3025</v>
      </c>
      <c r="AP196" s="319" t="n">
        <f aca="false">AR196+AT196+AU196+AV196+AX196+AY196+AZ196+BD196+BF196+BG196+BH196+BJ196+BK196+(BL196+BM196+BN196)/1000+(0.1*BO196)</f>
        <v>498</v>
      </c>
      <c r="AQ196" s="319" t="n">
        <f aca="false">AR196+AT196+AU196+AV196+AX196+AY196+AZ196+BB196+BC196+BD196+BF196+BG196+BH196+BJ196+BK196+(BL196+BM196+BN196)/1000+(0.1*BO196)</f>
        <v>592</v>
      </c>
      <c r="AR196" s="285" t="n">
        <v>243</v>
      </c>
      <c r="AS196" s="285" t="n">
        <v>0</v>
      </c>
      <c r="AT196" s="285" t="n">
        <v>261</v>
      </c>
      <c r="AU196" s="285" t="n">
        <v>9</v>
      </c>
      <c r="AV196" s="285" t="n">
        <v>0</v>
      </c>
      <c r="AW196" s="285" t="n">
        <v>0</v>
      </c>
      <c r="AX196" s="285" t="n">
        <v>-29</v>
      </c>
      <c r="AY196" s="285" t="n">
        <v>0</v>
      </c>
      <c r="AZ196" s="285" t="n">
        <v>0</v>
      </c>
      <c r="BA196" s="285" t="n">
        <v>0</v>
      </c>
      <c r="BB196" s="285" t="n">
        <v>94</v>
      </c>
      <c r="BC196" s="285" t="n">
        <v>0</v>
      </c>
      <c r="BD196" s="285" t="n">
        <v>1</v>
      </c>
      <c r="BE196" s="285" t="n">
        <v>2</v>
      </c>
      <c r="BF196" s="285" t="n">
        <v>0</v>
      </c>
      <c r="BG196" s="285" t="n">
        <v>0</v>
      </c>
      <c r="BH196" s="285" t="n">
        <v>13</v>
      </c>
      <c r="BI196" s="285" t="n">
        <v>0</v>
      </c>
      <c r="BJ196" s="285" t="n">
        <v>0</v>
      </c>
      <c r="BK196" s="285" t="n">
        <v>0</v>
      </c>
      <c r="BL196" s="285" t="n">
        <v>0</v>
      </c>
      <c r="BM196" s="285" t="n">
        <v>0</v>
      </c>
      <c r="BN196" s="285" t="n">
        <v>0</v>
      </c>
      <c r="BO196" s="285" t="n">
        <v>0</v>
      </c>
      <c r="BR196" s="290" t="n">
        <f aca="false">AR196*1000/0.072</f>
        <v>3375000</v>
      </c>
      <c r="BS196" s="290" t="n">
        <f aca="false">AT196*1000/0.072</f>
        <v>3625000</v>
      </c>
      <c r="BT196" s="290" t="n">
        <f aca="false">AU196*1000/0.072</f>
        <v>125000</v>
      </c>
      <c r="BU196" s="290" t="n">
        <f aca="false">SUM(BR196:BT196)</f>
        <v>7125000</v>
      </c>
      <c r="BV196" s="290" t="n">
        <f aca="false">AV196*1000/5</f>
        <v>0</v>
      </c>
      <c r="BW196" s="290" t="n">
        <f aca="false">AX196*1000/5</f>
        <v>-5800</v>
      </c>
      <c r="BX196" s="290" t="n">
        <f aca="false">AY196*1000/5</f>
        <v>0</v>
      </c>
      <c r="BY196" s="290" t="n">
        <f aca="false">SUM(BV196:BX196)</f>
        <v>-5800</v>
      </c>
      <c r="CA196" s="290" t="n">
        <f aca="false">IF($AM196="n",0,BR196)</f>
        <v>3375000</v>
      </c>
      <c r="CB196" s="290" t="n">
        <f aca="false">IF($AM196="n",0,BS196)</f>
        <v>3625000</v>
      </c>
      <c r="CC196" s="290" t="n">
        <f aca="false">IF($AM196="n",0,BT196)</f>
        <v>125000</v>
      </c>
      <c r="CD196" s="290" t="n">
        <f aca="false">SUM(CA196:CC196)</f>
        <v>7125000</v>
      </c>
      <c r="CE196" s="290" t="n">
        <f aca="false">IF($AM$2="n",0,BV196)</f>
        <v>0</v>
      </c>
      <c r="CF196" s="290" t="n">
        <f aca="false">IF($AM$2="n",0,BW196)</f>
        <v>-5800</v>
      </c>
      <c r="CG196" s="290" t="n">
        <f aca="false">IF($AM$2="n",0,BX196)</f>
        <v>0</v>
      </c>
      <c r="CH196" s="290" t="n">
        <f aca="false">SUM(CE196:CG196)</f>
        <v>-5800</v>
      </c>
    </row>
    <row r="197" customFormat="false" ht="15" hidden="false" customHeight="true" outlineLevel="0" collapsed="false">
      <c r="A197" s="285" t="n">
        <v>3625</v>
      </c>
      <c r="B197" s="285" t="s">
        <v>44</v>
      </c>
      <c r="C197" s="286" t="s">
        <v>498</v>
      </c>
      <c r="D197" s="287" t="s">
        <v>498</v>
      </c>
      <c r="E197" s="288" t="n">
        <f aca="false">IF(I197="regional",IF(R197*0.2975,S197*0.3484),S197*0.1939)</f>
        <v>396839.4456</v>
      </c>
      <c r="F197" s="288" t="n">
        <v>0</v>
      </c>
      <c r="G197" s="289" t="n">
        <f aca="false">E197+F197</f>
        <v>396839.4456</v>
      </c>
      <c r="H197" s="286" t="s">
        <v>49</v>
      </c>
      <c r="I197" s="287" t="s">
        <v>48</v>
      </c>
      <c r="J197" s="287" t="s">
        <v>44</v>
      </c>
      <c r="K197" s="287" t="s">
        <v>449</v>
      </c>
      <c r="L197" s="287"/>
      <c r="M197" s="317" t="n">
        <v>139</v>
      </c>
      <c r="N197" s="317" t="n">
        <v>0.838</v>
      </c>
      <c r="O197" s="317" t="n">
        <v>0.837</v>
      </c>
      <c r="P197" s="317" t="n">
        <v>0.822</v>
      </c>
      <c r="Q197" s="317" t="n">
        <v>0.834</v>
      </c>
      <c r="R197" s="317" t="n">
        <v>1384706</v>
      </c>
      <c r="S197" s="317" t="n">
        <v>1139034</v>
      </c>
      <c r="T197" s="318" t="n">
        <f aca="false">IF(I197="regional",IF(R197&gt;0,R197*0.2975,S197*0.3484),S197*0.1939)</f>
        <v>411950.035</v>
      </c>
      <c r="U197" s="317" t="n">
        <v>768798</v>
      </c>
      <c r="V197" s="317" t="n">
        <v>370236</v>
      </c>
      <c r="W197" s="317" t="n">
        <v>5600</v>
      </c>
      <c r="X197" s="317" t="n">
        <v>0</v>
      </c>
      <c r="Y197" s="317" t="n">
        <v>0</v>
      </c>
      <c r="Z197" s="317" t="n">
        <v>0</v>
      </c>
      <c r="AA197" s="317" t="n">
        <v>1550984.035</v>
      </c>
      <c r="AB197" s="317" t="n">
        <v>411950.035</v>
      </c>
      <c r="AC197" s="317" t="n">
        <v>1139034</v>
      </c>
      <c r="AD197" s="317" t="n">
        <v>0</v>
      </c>
      <c r="AE197" s="317" t="n">
        <v>0</v>
      </c>
      <c r="AF197" s="317" t="n">
        <v>1139034</v>
      </c>
      <c r="AG197" s="317" t="n">
        <v>0</v>
      </c>
      <c r="AH197" s="317" t="n">
        <v>792000</v>
      </c>
      <c r="AI197" s="317" t="n">
        <v>646000</v>
      </c>
      <c r="AJ197" s="286" t="s">
        <v>707</v>
      </c>
      <c r="AK197" s="286" t="s">
        <v>714</v>
      </c>
      <c r="AL197" s="287" t="s">
        <v>48</v>
      </c>
      <c r="AM197" s="286" t="s">
        <v>49</v>
      </c>
      <c r="AN197" s="287" t="s">
        <v>498</v>
      </c>
      <c r="AO197" s="287" t="n">
        <v>411950.035</v>
      </c>
      <c r="AP197" s="319" t="n">
        <f aca="false">AR197+AT197+AU197+AV197+AX197+AY197+AZ197+BD197+BF197+BG197+BH197+BJ197+BK197+(BL197+BM197+BN197)/1000+(0.1*BO197)</f>
        <v>866.5815</v>
      </c>
      <c r="AQ197" s="319" t="n">
        <f aca="false">AR197+AT197+AU197+AV197+AX197+AY197+AZ197+BB197+BC197+BD197+BF197+BG197+BH197+BJ197+BK197+(BL197+BM197+BN197)/1000+(0.1*BO197)</f>
        <v>878.5815</v>
      </c>
      <c r="AR197" s="285" t="n">
        <v>502</v>
      </c>
      <c r="AS197" s="285" t="n">
        <v>646</v>
      </c>
      <c r="AT197" s="285" t="n">
        <v>106</v>
      </c>
      <c r="AU197" s="285" t="n">
        <v>0</v>
      </c>
      <c r="AV197" s="285" t="n">
        <v>0</v>
      </c>
      <c r="AW197" s="285" t="n">
        <v>0</v>
      </c>
      <c r="AX197" s="285" t="n">
        <v>0</v>
      </c>
      <c r="AY197" s="285" t="n">
        <v>0</v>
      </c>
      <c r="AZ197" s="285" t="n">
        <v>36</v>
      </c>
      <c r="BA197" s="285" t="n">
        <v>44</v>
      </c>
      <c r="BB197" s="285" t="n">
        <v>12</v>
      </c>
      <c r="BC197" s="285" t="n">
        <v>0</v>
      </c>
      <c r="BD197" s="285" t="n">
        <v>53</v>
      </c>
      <c r="BE197" s="285" t="n">
        <v>0</v>
      </c>
      <c r="BF197" s="285" t="n">
        <v>0</v>
      </c>
      <c r="BG197" s="285" t="n">
        <v>0</v>
      </c>
      <c r="BH197" s="285" t="n">
        <v>89</v>
      </c>
      <c r="BI197" s="285" t="n">
        <v>1</v>
      </c>
      <c r="BJ197" s="285" t="n">
        <v>0</v>
      </c>
      <c r="BK197" s="285" t="n">
        <v>0</v>
      </c>
      <c r="BL197" s="285" t="n">
        <v>0</v>
      </c>
      <c r="BM197" s="285" t="n">
        <v>0</v>
      </c>
      <c r="BN197" s="285" t="n">
        <v>0</v>
      </c>
      <c r="BO197" s="285" t="n">
        <v>805.815</v>
      </c>
      <c r="BR197" s="290" t="n">
        <f aca="false">AR197*1000/0.072</f>
        <v>6972222.22222222</v>
      </c>
      <c r="BS197" s="290" t="n">
        <f aca="false">AT197*1000/0.072</f>
        <v>1472222.22222222</v>
      </c>
      <c r="BT197" s="290" t="n">
        <f aca="false">AU197*1000/0.072</f>
        <v>0</v>
      </c>
      <c r="BU197" s="290" t="n">
        <f aca="false">SUM(BR197:BT197)</f>
        <v>8444444.44444445</v>
      </c>
      <c r="BV197" s="290" t="n">
        <f aca="false">AV197*1000/5</f>
        <v>0</v>
      </c>
      <c r="BW197" s="290" t="n">
        <f aca="false">AX197*1000/5</f>
        <v>0</v>
      </c>
      <c r="BX197" s="290" t="n">
        <f aca="false">AY197*1000/5</f>
        <v>0</v>
      </c>
      <c r="BY197" s="290" t="n">
        <f aca="false">SUM(BV197:BX197)</f>
        <v>0</v>
      </c>
      <c r="CA197" s="290" t="n">
        <f aca="false">IF($AM197="n",0,BR197)</f>
        <v>0</v>
      </c>
      <c r="CB197" s="290" t="n">
        <f aca="false">IF($AM197="n",0,BS197)</f>
        <v>0</v>
      </c>
      <c r="CC197" s="290" t="n">
        <f aca="false">IF($AM197="n",0,BT197)</f>
        <v>0</v>
      </c>
      <c r="CD197" s="290" t="n">
        <f aca="false">SUM(CA197:CC197)</f>
        <v>0</v>
      </c>
      <c r="CE197" s="290" t="n">
        <f aca="false">IF($AM$2="n",0,BV197)</f>
        <v>0</v>
      </c>
      <c r="CF197" s="290" t="n">
        <f aca="false">IF($AM$2="n",0,BW197)</f>
        <v>0</v>
      </c>
      <c r="CG197" s="290" t="n">
        <f aca="false">IF($AM$2="n",0,BX197)</f>
        <v>0</v>
      </c>
      <c r="CH197" s="290" t="n">
        <f aca="false">SUM(CE197:CG197)</f>
        <v>0</v>
      </c>
    </row>
    <row r="198" customFormat="false" ht="15" hidden="false" customHeight="true" outlineLevel="0" collapsed="false">
      <c r="A198" s="285" t="n">
        <v>303</v>
      </c>
      <c r="B198" s="285"/>
      <c r="C198" s="286" t="s">
        <v>500</v>
      </c>
      <c r="D198" s="287" t="s">
        <v>500</v>
      </c>
      <c r="E198" s="288" t="n">
        <f aca="false">IF(I198="regional",IF(R198*0.2975,S198*0.3484),S198*0.1939)</f>
        <v>98889</v>
      </c>
      <c r="F198" s="288" t="n">
        <v>0</v>
      </c>
      <c r="G198" s="289" t="n">
        <f aca="false">E198+F198</f>
        <v>98889</v>
      </c>
      <c r="H198" s="286" t="s">
        <v>49</v>
      </c>
      <c r="I198" s="287" t="s">
        <v>501</v>
      </c>
      <c r="J198" s="287" t="s">
        <v>44</v>
      </c>
      <c r="K198" s="287" t="s">
        <v>187</v>
      </c>
      <c r="L198" s="287"/>
      <c r="M198" s="317" t="n">
        <v>0</v>
      </c>
      <c r="N198" s="317" t="n">
        <v>0</v>
      </c>
      <c r="O198" s="317" t="n">
        <v>0</v>
      </c>
      <c r="P198" s="317" t="n">
        <v>0</v>
      </c>
      <c r="Q198" s="317" t="n">
        <v>0</v>
      </c>
      <c r="R198" s="317" t="n">
        <v>0</v>
      </c>
      <c r="S198" s="317" t="n">
        <v>510000</v>
      </c>
      <c r="T198" s="318" t="n">
        <f aca="false">IF(I198="regional",IF(R198&gt;0,R198*0.2975,S198*0.3484),S198*0.1939)</f>
        <v>98889</v>
      </c>
      <c r="U198" s="317" t="n">
        <v>280181</v>
      </c>
      <c r="V198" s="317" t="n">
        <v>229819</v>
      </c>
      <c r="W198" s="317" t="n">
        <v>0</v>
      </c>
      <c r="X198" s="317" t="n">
        <v>0</v>
      </c>
      <c r="Y198" s="317" t="n">
        <v>0</v>
      </c>
      <c r="Z198" s="317" t="n">
        <v>0</v>
      </c>
      <c r="AA198" s="317" t="n">
        <v>608889</v>
      </c>
      <c r="AB198" s="317" t="n">
        <v>98889</v>
      </c>
      <c r="AC198" s="317" t="n">
        <v>510000</v>
      </c>
      <c r="AD198" s="317" t="n">
        <v>0</v>
      </c>
      <c r="AE198" s="317" t="n">
        <v>0</v>
      </c>
      <c r="AF198" s="317" t="n">
        <v>510000</v>
      </c>
      <c r="AG198" s="317" t="n">
        <v>0</v>
      </c>
      <c r="AH198" s="317" t="n">
        <v>0</v>
      </c>
      <c r="AI198" s="317" t="n">
        <v>0</v>
      </c>
      <c r="AJ198" s="286" t="s">
        <v>707</v>
      </c>
      <c r="AK198" s="286" t="s">
        <v>714</v>
      </c>
      <c r="AL198" s="287" t="s">
        <v>48</v>
      </c>
      <c r="AM198" s="286" t="s">
        <v>49</v>
      </c>
      <c r="AN198" s="287" t="s">
        <v>500</v>
      </c>
      <c r="AO198" s="287" t="n">
        <v>98889</v>
      </c>
      <c r="AP198" s="319" t="n">
        <f aca="false">AR198+AT198+AU198+AV198+AX198+AY198+AZ198+BD198+BF198+BG198+BH198+BJ198+BK198+(BL198+BM198+BN198)/1000+(0.1*BO198)</f>
        <v>0</v>
      </c>
      <c r="AQ198" s="319" t="n">
        <f aca="false">AR198+AT198+AU198+AV198+AX198+AY198+AZ198+BB198+BC198+BD198+BF198+BG198+BH198+BJ198+BK198+(BL198+BM198+BN198)/1000+(0.1*BO198)</f>
        <v>0</v>
      </c>
      <c r="AR198" s="285" t="n">
        <v>0</v>
      </c>
      <c r="AS198" s="285" t="n">
        <v>0</v>
      </c>
      <c r="AT198" s="285" t="n">
        <v>0</v>
      </c>
      <c r="AU198" s="285" t="n">
        <v>0</v>
      </c>
      <c r="AV198" s="285" t="n">
        <v>0</v>
      </c>
      <c r="AW198" s="285" t="n">
        <v>0</v>
      </c>
      <c r="AX198" s="285" t="n">
        <v>0</v>
      </c>
      <c r="AY198" s="285" t="n">
        <v>0</v>
      </c>
      <c r="AZ198" s="285" t="n">
        <v>0</v>
      </c>
      <c r="BA198" s="285" t="n">
        <v>0</v>
      </c>
      <c r="BB198" s="285" t="n">
        <v>0</v>
      </c>
      <c r="BC198" s="285" t="n">
        <v>0</v>
      </c>
      <c r="BD198" s="285" t="n">
        <v>0</v>
      </c>
      <c r="BE198" s="285" t="n">
        <v>0</v>
      </c>
      <c r="BF198" s="285" t="n">
        <v>0</v>
      </c>
      <c r="BG198" s="285" t="n">
        <v>0</v>
      </c>
      <c r="BH198" s="285" t="n">
        <v>0</v>
      </c>
      <c r="BI198" s="285" t="n">
        <v>0</v>
      </c>
      <c r="BJ198" s="285" t="n">
        <v>0</v>
      </c>
      <c r="BK198" s="285" t="n">
        <v>0</v>
      </c>
      <c r="BL198" s="285" t="n">
        <v>0</v>
      </c>
      <c r="BM198" s="285" t="n">
        <v>0</v>
      </c>
      <c r="BN198" s="285" t="n">
        <v>0</v>
      </c>
      <c r="BO198" s="285" t="n">
        <v>0</v>
      </c>
      <c r="BR198" s="290" t="n">
        <f aca="false">AR198*1000/0.072</f>
        <v>0</v>
      </c>
      <c r="BS198" s="290" t="n">
        <f aca="false">AT198*1000/0.072</f>
        <v>0</v>
      </c>
      <c r="BT198" s="290" t="n">
        <f aca="false">AU198*1000/0.072</f>
        <v>0</v>
      </c>
      <c r="BU198" s="290" t="n">
        <f aca="false">SUM(BR198:BT198)</f>
        <v>0</v>
      </c>
      <c r="BV198" s="290" t="n">
        <f aca="false">AV198*1000/5</f>
        <v>0</v>
      </c>
      <c r="BW198" s="290" t="n">
        <f aca="false">AX198*1000/5</f>
        <v>0</v>
      </c>
      <c r="BX198" s="290" t="n">
        <f aca="false">AY198*1000/5</f>
        <v>0</v>
      </c>
      <c r="BY198" s="290" t="n">
        <f aca="false">SUM(BV198:BX198)</f>
        <v>0</v>
      </c>
      <c r="CA198" s="290" t="n">
        <f aca="false">IF($AM198="n",0,BR198)</f>
        <v>0</v>
      </c>
      <c r="CB198" s="290" t="n">
        <f aca="false">IF($AM198="n",0,BS198)</f>
        <v>0</v>
      </c>
      <c r="CC198" s="290" t="n">
        <f aca="false">IF($AM198="n",0,BT198)</f>
        <v>0</v>
      </c>
      <c r="CD198" s="290" t="n">
        <f aca="false">SUM(CA198:CC198)</f>
        <v>0</v>
      </c>
      <c r="CE198" s="290" t="n">
        <f aca="false">IF($AM$2="n",0,BV198)</f>
        <v>0</v>
      </c>
      <c r="CF198" s="290" t="n">
        <f aca="false">IF($AM$2="n",0,BW198)</f>
        <v>0</v>
      </c>
      <c r="CG198" s="290" t="n">
        <f aca="false">IF($AM$2="n",0,BX198)</f>
        <v>0</v>
      </c>
      <c r="CH198" s="290" t="n">
        <f aca="false">SUM(CE198:CG198)</f>
        <v>0</v>
      </c>
    </row>
    <row r="199" customFormat="false" ht="15" hidden="false" customHeight="true" outlineLevel="0" collapsed="false">
      <c r="A199" s="285" t="n">
        <v>3632</v>
      </c>
      <c r="B199" s="285"/>
      <c r="C199" s="286" t="s">
        <v>504</v>
      </c>
      <c r="D199" s="287" t="s">
        <v>504</v>
      </c>
      <c r="E199" s="288" t="n">
        <f aca="false">IF(I199="regional",IF(R199*0.2975,S199*0.3484),S199*0.1939)</f>
        <v>479400.142</v>
      </c>
      <c r="F199" s="288" t="n">
        <v>664161</v>
      </c>
      <c r="G199" s="289" t="n">
        <f aca="false">E199+F199</f>
        <v>1143561.142</v>
      </c>
      <c r="H199" s="286" t="s">
        <v>49</v>
      </c>
      <c r="I199" s="287" t="s">
        <v>48</v>
      </c>
      <c r="J199" s="287" t="s">
        <v>49</v>
      </c>
      <c r="K199" s="287" t="s">
        <v>490</v>
      </c>
      <c r="L199" s="287" t="s">
        <v>44</v>
      </c>
      <c r="M199" s="317" t="n">
        <v>158</v>
      </c>
      <c r="N199" s="317" t="n">
        <v>0.922</v>
      </c>
      <c r="O199" s="317" t="n">
        <v>0.922</v>
      </c>
      <c r="P199" s="317" t="n">
        <v>0.869</v>
      </c>
      <c r="Q199" s="317" t="n">
        <v>0.892</v>
      </c>
      <c r="R199" s="317" t="n">
        <v>1604003</v>
      </c>
      <c r="S199" s="317" t="n">
        <v>1376005</v>
      </c>
      <c r="T199" s="318" t="n">
        <f aca="false">IF(I199="regional",IF(R199&gt;0,R199*0.2975,S199*0.3484),S199*0.1939)</f>
        <v>477190.8925</v>
      </c>
      <c r="U199" s="317" t="n">
        <v>865639</v>
      </c>
      <c r="V199" s="317" t="n">
        <v>510366</v>
      </c>
      <c r="W199" s="317" t="n">
        <v>7200</v>
      </c>
      <c r="X199" s="317" t="n">
        <v>1141351.893</v>
      </c>
      <c r="Y199" s="317" t="n">
        <v>477190.8925</v>
      </c>
      <c r="Z199" s="317" t="n">
        <v>664161</v>
      </c>
      <c r="AA199" s="317" t="n">
        <v>711844</v>
      </c>
      <c r="AB199" s="317" t="n">
        <v>0</v>
      </c>
      <c r="AC199" s="317" t="n">
        <v>711844</v>
      </c>
      <c r="AD199" s="317" t="n">
        <v>0</v>
      </c>
      <c r="AE199" s="317" t="n">
        <v>664161</v>
      </c>
      <c r="AF199" s="317" t="n">
        <v>0</v>
      </c>
      <c r="AG199" s="317" t="n">
        <v>711844</v>
      </c>
      <c r="AH199" s="317" t="n">
        <v>0</v>
      </c>
      <c r="AI199" s="317" t="n">
        <v>0</v>
      </c>
      <c r="AJ199" s="286" t="n">
        <v>4</v>
      </c>
      <c r="AK199" s="286" t="s">
        <v>724</v>
      </c>
      <c r="AL199" s="287" t="s">
        <v>48</v>
      </c>
      <c r="AM199" s="286" t="s">
        <v>49</v>
      </c>
      <c r="AN199" s="287" t="s">
        <v>504</v>
      </c>
      <c r="AO199" s="287" t="n">
        <v>1141351.8925</v>
      </c>
      <c r="AP199" s="319" t="n">
        <f aca="false">AR199+AT199+AU199+AV199+AX199+AY199+AZ199+BD199+BF199+BG199+BH199+BJ199+BK199+(BL199+BM199+BN199)/1000+(0.1*BO199)</f>
        <v>1409.7</v>
      </c>
      <c r="AQ199" s="319" t="n">
        <f aca="false">AR199+AT199+AU199+AV199+AX199+AY199+AZ199+BB199+BC199+BD199+BF199+BG199+BH199+BJ199+BK199+(BL199+BM199+BN199)/1000+(0.1*BO199)</f>
        <v>1429.7</v>
      </c>
      <c r="AR199" s="285" t="n">
        <v>381</v>
      </c>
      <c r="AS199" s="285" t="n">
        <v>0</v>
      </c>
      <c r="AT199" s="285" t="n">
        <v>398</v>
      </c>
      <c r="AU199" s="285" t="n">
        <v>19</v>
      </c>
      <c r="AV199" s="285" t="n">
        <v>203</v>
      </c>
      <c r="AW199" s="285" t="n">
        <v>0</v>
      </c>
      <c r="AX199" s="285" t="n">
        <v>9</v>
      </c>
      <c r="AY199" s="285" t="n">
        <v>4</v>
      </c>
      <c r="AZ199" s="285" t="n">
        <v>28</v>
      </c>
      <c r="BA199" s="285" t="n">
        <v>0</v>
      </c>
      <c r="BB199" s="285" t="n">
        <v>20</v>
      </c>
      <c r="BC199" s="285" t="n">
        <v>0</v>
      </c>
      <c r="BD199" s="285" t="n">
        <v>130</v>
      </c>
      <c r="BE199" s="285" t="n">
        <v>0</v>
      </c>
      <c r="BF199" s="285" t="n">
        <v>0</v>
      </c>
      <c r="BG199" s="285" t="n">
        <v>0</v>
      </c>
      <c r="BH199" s="285" t="n">
        <v>183</v>
      </c>
      <c r="BI199" s="285" t="n">
        <v>0</v>
      </c>
      <c r="BJ199" s="285" t="n">
        <v>0</v>
      </c>
      <c r="BK199" s="285" t="n">
        <v>0</v>
      </c>
      <c r="BL199" s="285" t="n">
        <v>0</v>
      </c>
      <c r="BM199" s="285" t="n">
        <v>0</v>
      </c>
      <c r="BN199" s="285" t="n">
        <v>54700</v>
      </c>
      <c r="BO199" s="285" t="n">
        <v>0</v>
      </c>
      <c r="BR199" s="290" t="n">
        <f aca="false">AR199*1000/0.072</f>
        <v>5291666.66666667</v>
      </c>
      <c r="BS199" s="290" t="n">
        <f aca="false">AT199*1000/0.072</f>
        <v>5527777.77777778</v>
      </c>
      <c r="BT199" s="290" t="n">
        <f aca="false">AU199*1000/0.072</f>
        <v>263888.888888889</v>
      </c>
      <c r="BU199" s="290" t="n">
        <f aca="false">SUM(BR199:BT199)</f>
        <v>11083333.3333333</v>
      </c>
      <c r="BV199" s="290" t="n">
        <f aca="false">AV199*1000/5</f>
        <v>40600</v>
      </c>
      <c r="BW199" s="290" t="n">
        <f aca="false">AX199*1000/5</f>
        <v>1800</v>
      </c>
      <c r="BX199" s="290" t="n">
        <f aca="false">AY199*1000/5</f>
        <v>800</v>
      </c>
      <c r="BY199" s="290" t="n">
        <f aca="false">SUM(BV199:BX199)</f>
        <v>43200</v>
      </c>
      <c r="CA199" s="290" t="n">
        <f aca="false">IF($AM199="n",0,BR199)</f>
        <v>0</v>
      </c>
      <c r="CB199" s="290" t="n">
        <f aca="false">IF($AM199="n",0,BS199)</f>
        <v>0</v>
      </c>
      <c r="CC199" s="290" t="n">
        <f aca="false">IF($AM199="n",0,BT199)</f>
        <v>0</v>
      </c>
      <c r="CD199" s="290" t="n">
        <f aca="false">SUM(CA199:CC199)</f>
        <v>0</v>
      </c>
      <c r="CE199" s="290" t="n">
        <f aca="false">IF($AM$2="n",0,BV199)</f>
        <v>40600</v>
      </c>
      <c r="CF199" s="290" t="n">
        <f aca="false">IF($AM$2="n",0,BW199)</f>
        <v>1800</v>
      </c>
      <c r="CG199" s="290" t="n">
        <f aca="false">IF($AM$2="n",0,BX199)</f>
        <v>800</v>
      </c>
      <c r="CH199" s="290" t="n">
        <f aca="false">SUM(CE199:CG199)</f>
        <v>43200</v>
      </c>
    </row>
    <row r="200" customFormat="false" ht="15" hidden="false" customHeight="true" outlineLevel="0" collapsed="false">
      <c r="A200" s="285" t="n">
        <v>3635</v>
      </c>
      <c r="B200" s="285" t="s">
        <v>44</v>
      </c>
      <c r="C200" s="286" t="s">
        <v>506</v>
      </c>
      <c r="D200" s="287" t="s">
        <v>506</v>
      </c>
      <c r="E200" s="288" t="n">
        <f aca="false">IF(I200="regional",IF(R200*0.2975,S200*0.3484),S200*0.1939)</f>
        <v>236697.0372</v>
      </c>
      <c r="F200" s="288" t="n">
        <v>0</v>
      </c>
      <c r="G200" s="289" t="n">
        <f aca="false">E200+F200</f>
        <v>236697.0372</v>
      </c>
      <c r="H200" s="286" t="s">
        <v>49</v>
      </c>
      <c r="I200" s="287" t="s">
        <v>48</v>
      </c>
      <c r="J200" s="287" t="s">
        <v>44</v>
      </c>
      <c r="K200" s="287" t="s">
        <v>490</v>
      </c>
      <c r="L200" s="287"/>
      <c r="M200" s="317" t="n">
        <v>0</v>
      </c>
      <c r="N200" s="317" t="n">
        <v>0.971</v>
      </c>
      <c r="O200" s="317" t="n">
        <v>0.976</v>
      </c>
      <c r="P200" s="317" t="n">
        <v>0.895</v>
      </c>
      <c r="Q200" s="317" t="n">
        <v>0.824</v>
      </c>
      <c r="R200" s="317" t="n">
        <v>1032173</v>
      </c>
      <c r="S200" s="317" t="n">
        <v>679383</v>
      </c>
      <c r="T200" s="318" t="n">
        <f aca="false">IF(I200="regional",IF(R200&gt;0,R200*0.2975,S200*0.3484),S200*0.1939)</f>
        <v>307071.4675</v>
      </c>
      <c r="U200" s="317" t="n">
        <v>472747</v>
      </c>
      <c r="V200" s="317" t="n">
        <v>206636</v>
      </c>
      <c r="W200" s="317" t="n">
        <v>3600</v>
      </c>
      <c r="X200" s="317" t="n">
        <v>0</v>
      </c>
      <c r="Y200" s="317" t="n">
        <v>0</v>
      </c>
      <c r="Z200" s="317" t="n">
        <v>0</v>
      </c>
      <c r="AA200" s="317" t="n">
        <v>986454.4675</v>
      </c>
      <c r="AB200" s="317" t="n">
        <v>307071.4675</v>
      </c>
      <c r="AC200" s="317" t="n">
        <v>679383</v>
      </c>
      <c r="AD200" s="317" t="n">
        <v>0</v>
      </c>
      <c r="AE200" s="317" t="n">
        <v>0</v>
      </c>
      <c r="AF200" s="317" t="n">
        <v>679383</v>
      </c>
      <c r="AG200" s="317" t="n">
        <v>0</v>
      </c>
      <c r="AH200" s="317" t="n">
        <v>1936000</v>
      </c>
      <c r="AI200" s="317" t="n">
        <v>1972000</v>
      </c>
      <c r="AJ200" s="286" t="n">
        <v>4</v>
      </c>
      <c r="AK200" s="286" t="s">
        <v>724</v>
      </c>
      <c r="AL200" s="287" t="s">
        <v>48</v>
      </c>
      <c r="AM200" s="286" t="s">
        <v>49</v>
      </c>
      <c r="AN200" s="287" t="s">
        <v>506</v>
      </c>
      <c r="AO200" s="287" t="n">
        <v>307071.4675</v>
      </c>
      <c r="AP200" s="319" t="n">
        <f aca="false">AR200+AT200+AU200+AV200+AX200+AY200+AZ200+BD200+BF200+BG200+BH200+BJ200+BK200+(BL200+BM200+BN200)/1000+(0.1*BO200)</f>
        <v>724.9721</v>
      </c>
      <c r="AQ200" s="319" t="n">
        <f aca="false">AR200+AT200+AU200+AV200+AX200+AY200+AZ200+BB200+BC200+BD200+BF200+BG200+BH200+BJ200+BK200+(BL200+BM200+BN200)/1000+(0.1*BO200)</f>
        <v>744.9721</v>
      </c>
      <c r="AR200" s="285" t="n">
        <v>-29</v>
      </c>
      <c r="AS200" s="285" t="n">
        <v>1972</v>
      </c>
      <c r="AT200" s="285" t="n">
        <v>709</v>
      </c>
      <c r="AU200" s="285" t="n">
        <v>1</v>
      </c>
      <c r="AV200" s="285" t="n">
        <v>0</v>
      </c>
      <c r="AW200" s="285" t="n">
        <v>0</v>
      </c>
      <c r="AX200" s="285" t="n">
        <v>0</v>
      </c>
      <c r="AY200" s="285" t="n">
        <v>1</v>
      </c>
      <c r="AZ200" s="285" t="n">
        <v>0</v>
      </c>
      <c r="BA200" s="285" t="n">
        <v>34</v>
      </c>
      <c r="BB200" s="285" t="n">
        <v>20</v>
      </c>
      <c r="BC200" s="285" t="n">
        <v>0</v>
      </c>
      <c r="BD200" s="285" t="n">
        <v>0</v>
      </c>
      <c r="BE200" s="285" t="n">
        <v>0</v>
      </c>
      <c r="BF200" s="285" t="n">
        <v>0</v>
      </c>
      <c r="BG200" s="285" t="n">
        <v>0</v>
      </c>
      <c r="BH200" s="285" t="n">
        <v>0</v>
      </c>
      <c r="BI200" s="285" t="n">
        <v>0</v>
      </c>
      <c r="BJ200" s="285" t="n">
        <v>0</v>
      </c>
      <c r="BK200" s="285" t="n">
        <v>0</v>
      </c>
      <c r="BL200" s="285" t="n">
        <v>0</v>
      </c>
      <c r="BM200" s="285" t="n">
        <v>0</v>
      </c>
      <c r="BN200" s="285" t="n">
        <v>0</v>
      </c>
      <c r="BO200" s="285" t="n">
        <v>429.721</v>
      </c>
      <c r="BR200" s="290" t="n">
        <f aca="false">AR200*1000/0.072</f>
        <v>-402777.777777778</v>
      </c>
      <c r="BS200" s="290" t="n">
        <f aca="false">AT200*1000/0.072</f>
        <v>9847222.22222222</v>
      </c>
      <c r="BT200" s="290" t="n">
        <f aca="false">AU200*1000/0.072</f>
        <v>13888.8888888889</v>
      </c>
      <c r="BU200" s="290" t="n">
        <f aca="false">SUM(BR200:BT200)</f>
        <v>9458333.33333333</v>
      </c>
      <c r="BV200" s="290" t="n">
        <f aca="false">AV200*1000/5</f>
        <v>0</v>
      </c>
      <c r="BW200" s="290" t="n">
        <f aca="false">AX200*1000/5</f>
        <v>0</v>
      </c>
      <c r="BX200" s="290" t="n">
        <f aca="false">AY200*1000/5</f>
        <v>200</v>
      </c>
      <c r="BY200" s="290" t="n">
        <f aca="false">SUM(BV200:BX200)</f>
        <v>200</v>
      </c>
      <c r="CA200" s="290" t="n">
        <f aca="false">IF($AM200="n",0,BR200)</f>
        <v>0</v>
      </c>
      <c r="CB200" s="290" t="n">
        <f aca="false">IF($AM200="n",0,BS200)</f>
        <v>0</v>
      </c>
      <c r="CC200" s="290" t="n">
        <f aca="false">IF($AM200="n",0,BT200)</f>
        <v>0</v>
      </c>
      <c r="CD200" s="290" t="n">
        <f aca="false">SUM(CA200:CC200)</f>
        <v>0</v>
      </c>
      <c r="CE200" s="290" t="n">
        <f aca="false">IF($AM$2="n",0,BV200)</f>
        <v>0</v>
      </c>
      <c r="CF200" s="290" t="n">
        <f aca="false">IF($AM$2="n",0,BW200)</f>
        <v>0</v>
      </c>
      <c r="CG200" s="290" t="n">
        <f aca="false">IF($AM$2="n",0,BX200)</f>
        <v>200</v>
      </c>
      <c r="CH200" s="290" t="n">
        <f aca="false">SUM(CE200:CG200)</f>
        <v>200</v>
      </c>
    </row>
    <row r="201" customFormat="false" ht="15" hidden="false" customHeight="true" outlineLevel="0" collapsed="false">
      <c r="A201" s="285" t="n">
        <v>4674</v>
      </c>
      <c r="B201" s="285" t="s">
        <v>44</v>
      </c>
      <c r="C201" s="286" t="s">
        <v>508</v>
      </c>
      <c r="D201" s="287" t="s">
        <v>508</v>
      </c>
      <c r="E201" s="288" t="n">
        <f aca="false">IF(I201="regional",IF(R201*0.2975,S201*0.3484),S201*0.1939)</f>
        <v>364645.892</v>
      </c>
      <c r="F201" s="288" t="n">
        <v>0</v>
      </c>
      <c r="G201" s="289" t="n">
        <f aca="false">E201+F201</f>
        <v>364645.892</v>
      </c>
      <c r="H201" s="286"/>
      <c r="I201" s="287" t="s">
        <v>48</v>
      </c>
      <c r="J201" s="287" t="s">
        <v>44</v>
      </c>
      <c r="K201" s="287" t="s">
        <v>509</v>
      </c>
      <c r="L201" s="287"/>
      <c r="M201" s="317" t="n">
        <v>122</v>
      </c>
      <c r="N201" s="317" t="n">
        <v>0.93</v>
      </c>
      <c r="O201" s="317" t="n">
        <v>0.933</v>
      </c>
      <c r="P201" s="317" t="n">
        <v>0.94</v>
      </c>
      <c r="Q201" s="317" t="n">
        <v>0.952</v>
      </c>
      <c r="R201" s="317" t="n">
        <v>697704</v>
      </c>
      <c r="S201" s="317" t="n">
        <v>1046630</v>
      </c>
      <c r="T201" s="318" t="n">
        <f aca="false">IF(I201="regional",IF(R201&gt;0,R201*0.2975,S201*0.3484),S201*0.1939)</f>
        <v>207566.94</v>
      </c>
      <c r="U201" s="317" t="n">
        <v>655987</v>
      </c>
      <c r="V201" s="317" t="n">
        <v>390643</v>
      </c>
      <c r="W201" s="317" t="n">
        <v>6000</v>
      </c>
      <c r="X201" s="317" t="n">
        <v>0</v>
      </c>
      <c r="Y201" s="317" t="n">
        <v>0</v>
      </c>
      <c r="Z201" s="317" t="n">
        <v>0</v>
      </c>
      <c r="AA201" s="317" t="n">
        <v>1254196.94</v>
      </c>
      <c r="AB201" s="317" t="n">
        <v>207566.94</v>
      </c>
      <c r="AC201" s="317" t="n">
        <v>1046630</v>
      </c>
      <c r="AD201" s="317" t="n">
        <v>0</v>
      </c>
      <c r="AE201" s="317" t="n">
        <v>0</v>
      </c>
      <c r="AF201" s="317" t="n">
        <v>1046630</v>
      </c>
      <c r="AG201" s="317" t="n">
        <v>0</v>
      </c>
      <c r="AH201" s="317" t="n">
        <v>889000</v>
      </c>
      <c r="AI201" s="317" t="n">
        <v>199000</v>
      </c>
      <c r="AJ201" s="286" t="s">
        <v>715</v>
      </c>
      <c r="AK201" s="286" t="s">
        <v>716</v>
      </c>
      <c r="AL201" s="287" t="s">
        <v>48</v>
      </c>
      <c r="AM201" s="286"/>
      <c r="AN201" s="287" t="s">
        <v>508</v>
      </c>
      <c r="AO201" s="287" t="n">
        <v>207566.94</v>
      </c>
      <c r="AP201" s="319" t="n">
        <f aca="false">AR201+AT201+AU201+AV201+AX201+AY201+AZ201+BD201+BF201+BG201+BH201+BJ201+BK201+(BL201+BM201+BN201)/1000+(0.1*BO201)</f>
        <v>1180.8633</v>
      </c>
      <c r="AQ201" s="319" t="n">
        <f aca="false">AR201+AT201+AU201+AV201+AX201+AY201+AZ201+BB201+BC201+BD201+BF201+BG201+BH201+BJ201+BK201+(BL201+BM201+BN201)/1000+(0.1*BO201)</f>
        <v>1211.8633</v>
      </c>
      <c r="AR201" s="285" t="n">
        <v>764</v>
      </c>
      <c r="AS201" s="285" t="n">
        <v>199</v>
      </c>
      <c r="AT201" s="285" t="n">
        <v>147</v>
      </c>
      <c r="AU201" s="285" t="n">
        <v>29</v>
      </c>
      <c r="AV201" s="285" t="n">
        <v>0</v>
      </c>
      <c r="AW201" s="285" t="n">
        <v>0</v>
      </c>
      <c r="AX201" s="285" t="n">
        <v>2</v>
      </c>
      <c r="AY201" s="285" t="n">
        <v>2</v>
      </c>
      <c r="AZ201" s="285" t="n">
        <v>0</v>
      </c>
      <c r="BA201" s="285" t="n">
        <v>60</v>
      </c>
      <c r="BB201" s="285" t="n">
        <v>40</v>
      </c>
      <c r="BC201" s="285" t="n">
        <v>-9</v>
      </c>
      <c r="BD201" s="285" t="n">
        <v>34</v>
      </c>
      <c r="BE201" s="285" t="n">
        <v>0</v>
      </c>
      <c r="BF201" s="285" t="n">
        <v>0</v>
      </c>
      <c r="BG201" s="285" t="n">
        <v>0</v>
      </c>
      <c r="BH201" s="285" t="n">
        <v>88</v>
      </c>
      <c r="BI201" s="285" t="n">
        <v>0</v>
      </c>
      <c r="BJ201" s="285" t="n">
        <v>0</v>
      </c>
      <c r="BK201" s="285" t="n">
        <v>0</v>
      </c>
      <c r="BL201" s="285" t="n">
        <v>0</v>
      </c>
      <c r="BM201" s="285" t="n">
        <v>0</v>
      </c>
      <c r="BN201" s="285" t="n">
        <v>21165</v>
      </c>
      <c r="BO201" s="285" t="n">
        <v>936.983</v>
      </c>
      <c r="BR201" s="290" t="n">
        <f aca="false">AR201*1000/0.072</f>
        <v>10611111.1111111</v>
      </c>
      <c r="BS201" s="290" t="n">
        <f aca="false">AT201*1000/0.072</f>
        <v>2041666.66666667</v>
      </c>
      <c r="BT201" s="290" t="n">
        <f aca="false">AU201*1000/0.072</f>
        <v>402777.777777778</v>
      </c>
      <c r="BU201" s="290" t="n">
        <f aca="false">SUM(BR201:BT201)</f>
        <v>13055555.5555556</v>
      </c>
      <c r="BV201" s="290" t="n">
        <f aca="false">AV201*1000/5</f>
        <v>0</v>
      </c>
      <c r="BW201" s="290" t="n">
        <f aca="false">AX201*1000/5</f>
        <v>400</v>
      </c>
      <c r="BX201" s="290" t="n">
        <f aca="false">AY201*1000/5</f>
        <v>400</v>
      </c>
      <c r="BY201" s="290" t="n">
        <f aca="false">SUM(BV201:BX201)</f>
        <v>800</v>
      </c>
      <c r="CA201" s="290" t="n">
        <f aca="false">IF($AM201="n",0,BR201)</f>
        <v>10611111.1111111</v>
      </c>
      <c r="CB201" s="290" t="n">
        <f aca="false">IF($AM201="n",0,BS201)</f>
        <v>2041666.66666667</v>
      </c>
      <c r="CC201" s="290" t="n">
        <f aca="false">IF($AM201="n",0,BT201)</f>
        <v>402777.777777778</v>
      </c>
      <c r="CD201" s="290" t="n">
        <f aca="false">SUM(CA201:CC201)</f>
        <v>13055555.5555556</v>
      </c>
      <c r="CE201" s="290" t="n">
        <f aca="false">IF($AM$2="n",0,BV201)</f>
        <v>0</v>
      </c>
      <c r="CF201" s="290" t="n">
        <f aca="false">IF($AM$2="n",0,BW201)</f>
        <v>400</v>
      </c>
      <c r="CG201" s="290" t="n">
        <f aca="false">IF($AM$2="n",0,BX201)</f>
        <v>400</v>
      </c>
      <c r="CH201" s="290" t="n">
        <f aca="false">SUM(CE201:CG201)</f>
        <v>800</v>
      </c>
    </row>
    <row r="202" customFormat="false" ht="15" hidden="false" customHeight="true" outlineLevel="0" collapsed="false">
      <c r="A202" s="285" t="n">
        <v>3725</v>
      </c>
      <c r="B202" s="285" t="s">
        <v>44</v>
      </c>
      <c r="C202" s="286" t="s">
        <v>510</v>
      </c>
      <c r="D202" s="287" t="s">
        <v>510</v>
      </c>
      <c r="E202" s="288" t="n">
        <f aca="false">IF(I202="regional",IF(R202*0.2975,S202*0.3484),S202*0.1939)</f>
        <v>323173.0528</v>
      </c>
      <c r="F202" s="288" t="n">
        <v>0</v>
      </c>
      <c r="G202" s="289" t="n">
        <f aca="false">E202+F202</f>
        <v>323173.0528</v>
      </c>
      <c r="H202" s="286"/>
      <c r="I202" s="287" t="s">
        <v>48</v>
      </c>
      <c r="J202" s="287" t="s">
        <v>44</v>
      </c>
      <c r="K202" s="287" t="s">
        <v>514</v>
      </c>
      <c r="L202" s="287"/>
      <c r="M202" s="317" t="n">
        <v>125</v>
      </c>
      <c r="N202" s="317" t="n">
        <v>0.894</v>
      </c>
      <c r="O202" s="317" t="n">
        <v>0.898</v>
      </c>
      <c r="P202" s="317" t="n">
        <v>0.925</v>
      </c>
      <c r="Q202" s="317" t="n">
        <v>0.952</v>
      </c>
      <c r="R202" s="317" t="n">
        <v>954926</v>
      </c>
      <c r="S202" s="317" t="n">
        <v>927592</v>
      </c>
      <c r="T202" s="318" t="n">
        <f aca="false">IF(I202="regional",IF(R202&gt;0,R202*0.2975,S202*0.3484),S202*0.1939)</f>
        <v>284090.485</v>
      </c>
      <c r="U202" s="317" t="n">
        <v>578056</v>
      </c>
      <c r="V202" s="317" t="n">
        <v>349536</v>
      </c>
      <c r="W202" s="317" t="n">
        <v>5268</v>
      </c>
      <c r="X202" s="317" t="n">
        <v>0</v>
      </c>
      <c r="Y202" s="317" t="n">
        <v>0</v>
      </c>
      <c r="Z202" s="317" t="n">
        <v>0</v>
      </c>
      <c r="AA202" s="317" t="n">
        <v>1211682.485</v>
      </c>
      <c r="AB202" s="317" t="n">
        <v>284090.485</v>
      </c>
      <c r="AC202" s="317" t="n">
        <v>927592</v>
      </c>
      <c r="AD202" s="317" t="n">
        <v>0</v>
      </c>
      <c r="AE202" s="317" t="n">
        <v>0</v>
      </c>
      <c r="AF202" s="317" t="n">
        <v>927592</v>
      </c>
      <c r="AG202" s="317" t="n">
        <v>0</v>
      </c>
      <c r="AH202" s="317" t="n">
        <v>674000</v>
      </c>
      <c r="AI202" s="317" t="n">
        <v>458000</v>
      </c>
      <c r="AJ202" s="286" t="s">
        <v>707</v>
      </c>
      <c r="AK202" s="286" t="s">
        <v>729</v>
      </c>
      <c r="AL202" s="287" t="s">
        <v>48</v>
      </c>
      <c r="AM202" s="286"/>
      <c r="AN202" s="287" t="s">
        <v>510</v>
      </c>
      <c r="AO202" s="287" t="n">
        <v>286002.815</v>
      </c>
      <c r="AP202" s="319" t="n">
        <f aca="false">AR202+AT202+AU202+AV202+AX202+AY202+AZ202+BD202+BF202+BG202+BH202+BJ202+BK202+(BL202+BM202+BN202)/1000+(0.1*BO202)</f>
        <v>164.0957</v>
      </c>
      <c r="AQ202" s="319" t="n">
        <f aca="false">AR202+AT202+AU202+AV202+AX202+AY202+AZ202+BB202+BC202+BD202+BF202+BG202+BH202+BJ202+BK202+(BL202+BM202+BN202)/1000+(0.1*BO202)</f>
        <v>172.0957</v>
      </c>
      <c r="AR202" s="285" t="n">
        <v>41</v>
      </c>
      <c r="AS202" s="285" t="n">
        <v>329</v>
      </c>
      <c r="AT202" s="285" t="n">
        <v>69</v>
      </c>
      <c r="AU202" s="285" t="n">
        <v>0</v>
      </c>
      <c r="AV202" s="285" t="n">
        <v>0</v>
      </c>
      <c r="AW202" s="285" t="n">
        <v>0</v>
      </c>
      <c r="AX202" s="285" t="n">
        <v>0</v>
      </c>
      <c r="AY202" s="285" t="n">
        <v>0</v>
      </c>
      <c r="AZ202" s="285" t="n">
        <v>0</v>
      </c>
      <c r="BA202" s="285" t="n">
        <v>10</v>
      </c>
      <c r="BB202" s="285" t="n">
        <v>8</v>
      </c>
      <c r="BC202" s="285" t="n">
        <v>0</v>
      </c>
      <c r="BD202" s="285" t="n">
        <v>0</v>
      </c>
      <c r="BE202" s="285" t="n">
        <v>0</v>
      </c>
      <c r="BF202" s="285" t="n">
        <v>0</v>
      </c>
      <c r="BG202" s="285" t="n">
        <v>0</v>
      </c>
      <c r="BH202" s="285" t="n">
        <v>0</v>
      </c>
      <c r="BI202" s="285" t="n">
        <v>0</v>
      </c>
      <c r="BJ202" s="285" t="n">
        <v>0</v>
      </c>
      <c r="BK202" s="285" t="n">
        <v>0</v>
      </c>
      <c r="BL202" s="285" t="n">
        <v>0</v>
      </c>
      <c r="BM202" s="285" t="n">
        <v>0</v>
      </c>
      <c r="BN202" s="285" t="n">
        <v>10591</v>
      </c>
      <c r="BO202" s="285" t="n">
        <v>435.047</v>
      </c>
      <c r="BR202" s="290" t="n">
        <f aca="false">AR202*1000/0.072</f>
        <v>569444.444444445</v>
      </c>
      <c r="BS202" s="290" t="n">
        <f aca="false">AT202*1000/0.072</f>
        <v>958333.333333333</v>
      </c>
      <c r="BT202" s="290" t="n">
        <f aca="false">AU202*1000/0.072</f>
        <v>0</v>
      </c>
      <c r="BU202" s="290" t="n">
        <f aca="false">SUM(BR202:BT202)</f>
        <v>1527777.77777778</v>
      </c>
      <c r="BV202" s="290" t="n">
        <f aca="false">AV202*1000/5</f>
        <v>0</v>
      </c>
      <c r="BW202" s="290" t="n">
        <f aca="false">AX202*1000/5</f>
        <v>0</v>
      </c>
      <c r="BX202" s="290" t="n">
        <f aca="false">AY202*1000/5</f>
        <v>0</v>
      </c>
      <c r="BY202" s="290" t="n">
        <f aca="false">SUM(BV202:BX202)</f>
        <v>0</v>
      </c>
      <c r="CA202" s="290" t="n">
        <f aca="false">IF($AM202="n",0,BR202)</f>
        <v>569444.444444445</v>
      </c>
      <c r="CB202" s="290" t="n">
        <f aca="false">IF($AM202="n",0,BS202)</f>
        <v>958333.333333333</v>
      </c>
      <c r="CC202" s="290" t="n">
        <f aca="false">IF($AM202="n",0,BT202)</f>
        <v>0</v>
      </c>
      <c r="CD202" s="290" t="n">
        <f aca="false">SUM(CA202:CC202)</f>
        <v>1527777.77777778</v>
      </c>
      <c r="CE202" s="290" t="n">
        <f aca="false">IF($AM$2="n",0,BV202)</f>
        <v>0</v>
      </c>
      <c r="CF202" s="290" t="n">
        <f aca="false">IF($AM$2="n",0,BW202)</f>
        <v>0</v>
      </c>
      <c r="CG202" s="290" t="n">
        <f aca="false">IF($AM$2="n",0,BX202)</f>
        <v>0</v>
      </c>
      <c r="CH202" s="290" t="n">
        <f aca="false">SUM(CE202:CG202)</f>
        <v>0</v>
      </c>
    </row>
    <row r="203" customFormat="false" ht="15" hidden="false" customHeight="true" outlineLevel="0" collapsed="false">
      <c r="A203" s="285" t="n">
        <v>4772</v>
      </c>
      <c r="B203" s="285" t="s">
        <v>44</v>
      </c>
      <c r="C203" s="286" t="s">
        <v>510</v>
      </c>
      <c r="D203" s="287" t="s">
        <v>510</v>
      </c>
      <c r="E203" s="288" t="n">
        <f aca="false">IF(I203="regional",IF(R203*0.2975,S203*0.3484),S203*0.1939)</f>
        <v>296362.2792</v>
      </c>
      <c r="F203" s="288" t="n">
        <v>0</v>
      </c>
      <c r="G203" s="289" t="n">
        <f aca="false">E203+F203</f>
        <v>296362.2792</v>
      </c>
      <c r="H203" s="286" t="s">
        <v>49</v>
      </c>
      <c r="I203" s="287" t="s">
        <v>48</v>
      </c>
      <c r="J203" s="287" t="s">
        <v>44</v>
      </c>
      <c r="K203" s="287" t="s">
        <v>512</v>
      </c>
      <c r="L203" s="287"/>
      <c r="M203" s="317" t="n">
        <v>83</v>
      </c>
      <c r="N203" s="317" t="n">
        <v>0.84</v>
      </c>
      <c r="O203" s="317" t="n">
        <v>0.879</v>
      </c>
      <c r="P203" s="317" t="n">
        <v>0.878</v>
      </c>
      <c r="Q203" s="317" t="n">
        <v>0.849</v>
      </c>
      <c r="R203" s="317" t="n">
        <v>961354</v>
      </c>
      <c r="S203" s="317" t="n">
        <v>850638</v>
      </c>
      <c r="T203" s="318" t="n">
        <f aca="false">IF(I203="regional",IF(R203&gt;0,R203*0.2975,S203*0.3484),S203*0.1939)</f>
        <v>286002.815</v>
      </c>
      <c r="U203" s="317" t="n">
        <v>639637</v>
      </c>
      <c r="V203" s="317" t="n">
        <v>211001</v>
      </c>
      <c r="W203" s="317" t="n">
        <v>4680</v>
      </c>
      <c r="X203" s="317" t="n">
        <v>0</v>
      </c>
      <c r="Y203" s="317" t="n">
        <v>0</v>
      </c>
      <c r="Z203" s="317" t="n">
        <v>0</v>
      </c>
      <c r="AA203" s="317" t="n">
        <v>1136640.815</v>
      </c>
      <c r="AB203" s="317" t="n">
        <v>286002.815</v>
      </c>
      <c r="AC203" s="317" t="n">
        <v>850638</v>
      </c>
      <c r="AD203" s="317" t="n">
        <v>0</v>
      </c>
      <c r="AE203" s="317" t="n">
        <v>0</v>
      </c>
      <c r="AF203" s="317" t="n">
        <v>850638</v>
      </c>
      <c r="AG203" s="317" t="n">
        <v>0</v>
      </c>
      <c r="AH203" s="317" t="n">
        <v>401000</v>
      </c>
      <c r="AI203" s="317" t="n">
        <v>329000</v>
      </c>
      <c r="AJ203" s="286" t="n">
        <v>4</v>
      </c>
      <c r="AK203" s="286" t="s">
        <v>706</v>
      </c>
      <c r="AL203" s="287" t="s">
        <v>48</v>
      </c>
      <c r="AM203" s="286" t="s">
        <v>49</v>
      </c>
      <c r="AN203" s="287" t="s">
        <v>510</v>
      </c>
      <c r="AO203" s="287" t="n">
        <v>284090.485</v>
      </c>
      <c r="AP203" s="319" t="n">
        <f aca="false">AR203+AT203+AU203+AV203+AX203+AY203+AZ203+BD203+BF203+BG203+BH203+BJ203+BK203+(BL203+BM203+BN203)/1000+(0.1*BO203)</f>
        <v>336.080695</v>
      </c>
      <c r="AQ203" s="319" t="n">
        <f aca="false">AR203+AT203+AU203+AV203+AX203+AY203+AZ203+BB203+BC203+BD203+BF203+BG203+BH203+BJ203+BK203+(BL203+BM203+BN203)/1000+(0.1*BO203)</f>
        <v>368.080695</v>
      </c>
      <c r="AR203" s="285" t="n">
        <v>0</v>
      </c>
      <c r="AS203" s="285" t="n">
        <v>458</v>
      </c>
      <c r="AT203" s="285" t="n">
        <v>299</v>
      </c>
      <c r="AU203" s="285" t="n">
        <v>1</v>
      </c>
      <c r="AV203" s="285" t="n">
        <v>0</v>
      </c>
      <c r="AW203" s="285" t="n">
        <v>37</v>
      </c>
      <c r="AX203" s="285" t="n">
        <v>7</v>
      </c>
      <c r="AY203" s="285" t="n">
        <v>0</v>
      </c>
      <c r="AZ203" s="285" t="n">
        <v>0</v>
      </c>
      <c r="BA203" s="285" t="n">
        <v>75</v>
      </c>
      <c r="BB203" s="285" t="n">
        <v>32</v>
      </c>
      <c r="BC203" s="285" t="n">
        <v>0</v>
      </c>
      <c r="BD203" s="285" t="n">
        <v>0</v>
      </c>
      <c r="BE203" s="285" t="n">
        <v>0</v>
      </c>
      <c r="BF203" s="285" t="n">
        <v>0</v>
      </c>
      <c r="BG203" s="285" t="n">
        <v>0</v>
      </c>
      <c r="BH203" s="285" t="n">
        <v>0</v>
      </c>
      <c r="BI203" s="285" t="n">
        <v>1</v>
      </c>
      <c r="BJ203" s="285" t="n">
        <v>0</v>
      </c>
      <c r="BK203" s="285" t="n">
        <v>0</v>
      </c>
      <c r="BL203" s="285" t="n">
        <v>0</v>
      </c>
      <c r="BM203" s="285" t="n">
        <v>0</v>
      </c>
      <c r="BN203" s="285" t="n">
        <v>0</v>
      </c>
      <c r="BO203" s="285" t="n">
        <v>290.80695</v>
      </c>
      <c r="BR203" s="290" t="n">
        <f aca="false">AR203*1000/0.072</f>
        <v>0</v>
      </c>
      <c r="BS203" s="290" t="n">
        <f aca="false">AT203*1000/0.072</f>
        <v>4152777.77777778</v>
      </c>
      <c r="BT203" s="290" t="n">
        <f aca="false">AU203*1000/0.072</f>
        <v>13888.8888888889</v>
      </c>
      <c r="BU203" s="290" t="n">
        <f aca="false">SUM(BR203:BT203)</f>
        <v>4166666.66666667</v>
      </c>
      <c r="BV203" s="290" t="n">
        <f aca="false">AV203*1000/5</f>
        <v>0</v>
      </c>
      <c r="BW203" s="290" t="n">
        <f aca="false">AX203*1000/5</f>
        <v>1400</v>
      </c>
      <c r="BX203" s="290" t="n">
        <f aca="false">AY203*1000/5</f>
        <v>0</v>
      </c>
      <c r="BY203" s="290" t="n">
        <f aca="false">SUM(BV203:BX203)</f>
        <v>1400</v>
      </c>
      <c r="CA203" s="290" t="n">
        <f aca="false">IF($AM203="n",0,BR203)</f>
        <v>0</v>
      </c>
      <c r="CB203" s="290" t="n">
        <f aca="false">IF($AM203="n",0,BS203)</f>
        <v>0</v>
      </c>
      <c r="CC203" s="290" t="n">
        <f aca="false">IF($AM203="n",0,BT203)</f>
        <v>0</v>
      </c>
      <c r="CD203" s="290" t="n">
        <f aca="false">SUM(CA203:CC203)</f>
        <v>0</v>
      </c>
      <c r="CE203" s="290" t="n">
        <f aca="false">IF($AM$2="n",0,BV203)</f>
        <v>0</v>
      </c>
      <c r="CF203" s="290" t="n">
        <f aca="false">IF($AM$2="n",0,BW203)</f>
        <v>1400</v>
      </c>
      <c r="CG203" s="290" t="n">
        <f aca="false">IF($AM$2="n",0,BX203)</f>
        <v>0</v>
      </c>
      <c r="CH203" s="290" t="n">
        <f aca="false">SUM(CE203:CG203)</f>
        <v>1400</v>
      </c>
    </row>
    <row r="204" customFormat="false" ht="15" hidden="false" customHeight="true" outlineLevel="0" collapsed="false">
      <c r="A204" s="285" t="n">
        <v>4838</v>
      </c>
      <c r="B204" s="285"/>
      <c r="C204" s="286" t="s">
        <v>515</v>
      </c>
      <c r="D204" s="287" t="s">
        <v>515</v>
      </c>
      <c r="E204" s="288" t="n">
        <f aca="false">IF(I204="regional",IF(R204*0.2975,S204*0.3484),S204*0.1939)</f>
        <v>555698</v>
      </c>
      <c r="F204" s="288" t="n">
        <v>0</v>
      </c>
      <c r="G204" s="289" t="n">
        <f aca="false">E204+F204</f>
        <v>555698</v>
      </c>
      <c r="H204" s="286"/>
      <c r="I204" s="287" t="s">
        <v>48</v>
      </c>
      <c r="J204" s="287" t="s">
        <v>49</v>
      </c>
      <c r="K204" s="287" t="s">
        <v>517</v>
      </c>
      <c r="L204" s="287"/>
      <c r="M204" s="317" t="n">
        <v>184</v>
      </c>
      <c r="N204" s="317" t="n">
        <v>0.937</v>
      </c>
      <c r="O204" s="317" t="n">
        <v>0.933</v>
      </c>
      <c r="P204" s="317" t="n">
        <v>0.925</v>
      </c>
      <c r="Q204" s="317" t="n">
        <v>0.952</v>
      </c>
      <c r="R204" s="317" t="n">
        <v>1645706</v>
      </c>
      <c r="S204" s="317" t="n">
        <v>1595000</v>
      </c>
      <c r="T204" s="318" t="n">
        <f aca="false">IF(I204="regional",IF(R204&gt;0,R204*0.2975,S204*0.3484),S204*0.1939)</f>
        <v>489597.535</v>
      </c>
      <c r="U204" s="317" t="n">
        <v>865500</v>
      </c>
      <c r="V204" s="317" t="n">
        <v>729500</v>
      </c>
      <c r="W204" s="317" t="n">
        <v>8730</v>
      </c>
      <c r="X204" s="317" t="n">
        <v>0</v>
      </c>
      <c r="Y204" s="317" t="n">
        <v>0</v>
      </c>
      <c r="Z204" s="317" t="n">
        <v>0</v>
      </c>
      <c r="AA204" s="317" t="n">
        <v>2084597.535</v>
      </c>
      <c r="AB204" s="317" t="n">
        <v>489597.535</v>
      </c>
      <c r="AC204" s="317" t="n">
        <v>1595000</v>
      </c>
      <c r="AD204" s="317" t="n">
        <v>0</v>
      </c>
      <c r="AE204" s="317" t="n">
        <v>0</v>
      </c>
      <c r="AF204" s="317" t="n">
        <v>0</v>
      </c>
      <c r="AG204" s="317" t="n">
        <v>1595000</v>
      </c>
      <c r="AH204" s="317" t="n">
        <v>0</v>
      </c>
      <c r="AI204" s="317" t="n">
        <v>0</v>
      </c>
      <c r="AJ204" s="286" t="n">
        <v>4</v>
      </c>
      <c r="AK204" s="286" t="s">
        <v>722</v>
      </c>
      <c r="AL204" s="287" t="s">
        <v>48</v>
      </c>
      <c r="AM204" s="286"/>
      <c r="AN204" s="287" t="s">
        <v>515</v>
      </c>
      <c r="AO204" s="287" t="n">
        <v>489597.535</v>
      </c>
      <c r="AP204" s="319" t="n">
        <f aca="false">AR204+AT204+AU204+AV204+AX204+AY204+AZ204+BD204+BF204+BG204+BH204+BJ204+BK204+(BL204+BM204+BN204)/1000+(0.1*BO204)</f>
        <v>1360.7485</v>
      </c>
      <c r="AQ204" s="319" t="n">
        <f aca="false">AR204+AT204+AU204+AV204+AX204+AY204+AZ204+BB204+BC204+BD204+BF204+BG204+BH204+BJ204+BK204+(BL204+BM204+BN204)/1000+(0.1*BO204)</f>
        <v>1395.7485</v>
      </c>
      <c r="AR204" s="285" t="n">
        <v>214</v>
      </c>
      <c r="AS204" s="285" t="n">
        <v>0</v>
      </c>
      <c r="AT204" s="285" t="n">
        <v>783</v>
      </c>
      <c r="AU204" s="285" t="n">
        <v>5</v>
      </c>
      <c r="AV204" s="285" t="n">
        <v>0</v>
      </c>
      <c r="AW204" s="285" t="n">
        <v>0</v>
      </c>
      <c r="AX204" s="285" t="n">
        <v>74</v>
      </c>
      <c r="AY204" s="285" t="n">
        <v>0</v>
      </c>
      <c r="AZ204" s="285" t="n">
        <v>162</v>
      </c>
      <c r="BA204" s="285" t="n">
        <v>0</v>
      </c>
      <c r="BB204" s="285" t="n">
        <v>32</v>
      </c>
      <c r="BC204" s="285" t="n">
        <v>3</v>
      </c>
      <c r="BD204" s="285" t="n">
        <v>35</v>
      </c>
      <c r="BE204" s="285" t="n">
        <v>0</v>
      </c>
      <c r="BF204" s="285" t="n">
        <v>0</v>
      </c>
      <c r="BG204" s="285" t="n">
        <v>0</v>
      </c>
      <c r="BH204" s="285" t="n">
        <v>76</v>
      </c>
      <c r="BI204" s="285" t="n">
        <v>0</v>
      </c>
      <c r="BJ204" s="285" t="n">
        <v>0</v>
      </c>
      <c r="BK204" s="285" t="n">
        <v>0</v>
      </c>
      <c r="BL204" s="285" t="n">
        <v>0</v>
      </c>
      <c r="BM204" s="285" t="n">
        <v>0</v>
      </c>
      <c r="BN204" s="285" t="n">
        <v>0</v>
      </c>
      <c r="BO204" s="285" t="n">
        <v>117.485</v>
      </c>
      <c r="BR204" s="290" t="n">
        <f aca="false">AR204*1000/0.072</f>
        <v>2972222.22222222</v>
      </c>
      <c r="BS204" s="290" t="n">
        <f aca="false">AT204*1000/0.072</f>
        <v>10875000</v>
      </c>
      <c r="BT204" s="290" t="n">
        <f aca="false">AU204*1000/0.072</f>
        <v>69444.4444444445</v>
      </c>
      <c r="BU204" s="290" t="n">
        <f aca="false">SUM(BR204:BT204)</f>
        <v>13916666.6666667</v>
      </c>
      <c r="BV204" s="290" t="n">
        <f aca="false">AV204*1000/5</f>
        <v>0</v>
      </c>
      <c r="BW204" s="290" t="n">
        <f aca="false">AX204*1000/5</f>
        <v>14800</v>
      </c>
      <c r="BX204" s="290" t="n">
        <f aca="false">AY204*1000/5</f>
        <v>0</v>
      </c>
      <c r="BY204" s="290" t="n">
        <f aca="false">SUM(BV204:BX204)</f>
        <v>14800</v>
      </c>
      <c r="CA204" s="290" t="n">
        <f aca="false">IF($AM204="n",0,BR204)</f>
        <v>2972222.22222222</v>
      </c>
      <c r="CB204" s="290" t="n">
        <f aca="false">IF($AM204="n",0,BS204)</f>
        <v>10875000</v>
      </c>
      <c r="CC204" s="290" t="n">
        <f aca="false">IF($AM204="n",0,BT204)</f>
        <v>69444.4444444445</v>
      </c>
      <c r="CD204" s="290" t="n">
        <f aca="false">SUM(CA204:CC204)</f>
        <v>13916666.6666667</v>
      </c>
      <c r="CE204" s="290" t="n">
        <f aca="false">IF($AM$2="n",0,BV204)</f>
        <v>0</v>
      </c>
      <c r="CF204" s="290" t="n">
        <f aca="false">IF($AM$2="n",0,BW204)</f>
        <v>14800</v>
      </c>
      <c r="CG204" s="290" t="n">
        <f aca="false">IF($AM$2="n",0,BX204)</f>
        <v>0</v>
      </c>
      <c r="CH204" s="290" t="n">
        <f aca="false">SUM(CE204:CG204)</f>
        <v>14800</v>
      </c>
    </row>
    <row r="205" customFormat="false" ht="15" hidden="false" customHeight="true" outlineLevel="0" collapsed="false">
      <c r="A205" s="285" t="n">
        <v>9550</v>
      </c>
      <c r="B205" s="285"/>
      <c r="C205" s="286" t="s">
        <v>519</v>
      </c>
      <c r="D205" s="287" t="s">
        <v>519</v>
      </c>
      <c r="E205" s="288" t="n">
        <f aca="false">IF(I205="regional",IF(R205*0.2975,S205*0.3484),S205*0.1939)</f>
        <v>406594.2972</v>
      </c>
      <c r="F205" s="288" t="n">
        <v>0</v>
      </c>
      <c r="G205" s="289" t="n">
        <f aca="false">E205+F205</f>
        <v>406594.2972</v>
      </c>
      <c r="H205" s="286"/>
      <c r="I205" s="287" t="s">
        <v>48</v>
      </c>
      <c r="J205" s="287" t="s">
        <v>49</v>
      </c>
      <c r="K205" s="287" t="s">
        <v>102</v>
      </c>
      <c r="L205" s="287"/>
      <c r="M205" s="317" t="n">
        <v>130</v>
      </c>
      <c r="N205" s="317" t="n">
        <v>0.904</v>
      </c>
      <c r="O205" s="317" t="n">
        <v>0.908</v>
      </c>
      <c r="P205" s="317" t="n">
        <v>0.914</v>
      </c>
      <c r="Q205" s="317" t="n">
        <v>0.919</v>
      </c>
      <c r="R205" s="317" t="n">
        <v>1259825</v>
      </c>
      <c r="S205" s="317" t="n">
        <v>1167033</v>
      </c>
      <c r="T205" s="318" t="n">
        <f aca="false">IF(I205="regional",IF(R205&gt;0,R205*0.2975,S205*0.3484),S205*0.1939)</f>
        <v>374797.9375</v>
      </c>
      <c r="U205" s="317" t="n">
        <v>866746</v>
      </c>
      <c r="V205" s="317" t="n">
        <v>300287</v>
      </c>
      <c r="W205" s="317" t="n">
        <v>5683</v>
      </c>
      <c r="X205" s="317" t="n">
        <v>0</v>
      </c>
      <c r="Y205" s="317" t="n">
        <v>0</v>
      </c>
      <c r="Z205" s="317" t="n">
        <v>0</v>
      </c>
      <c r="AA205" s="317" t="n">
        <v>1541830.938</v>
      </c>
      <c r="AB205" s="317" t="n">
        <v>374797.9375</v>
      </c>
      <c r="AC205" s="317" t="n">
        <v>1167033</v>
      </c>
      <c r="AD205" s="317" t="n">
        <v>0</v>
      </c>
      <c r="AE205" s="317" t="n">
        <v>0</v>
      </c>
      <c r="AF205" s="317" t="n">
        <v>0</v>
      </c>
      <c r="AG205" s="317" t="n">
        <v>1167033</v>
      </c>
      <c r="AH205" s="317" t="n">
        <v>0</v>
      </c>
      <c r="AI205" s="317" t="n">
        <v>0</v>
      </c>
      <c r="AJ205" s="286" t="n">
        <v>4</v>
      </c>
      <c r="AK205" s="286" t="s">
        <v>720</v>
      </c>
      <c r="AL205" s="287" t="s">
        <v>48</v>
      </c>
      <c r="AM205" s="286"/>
      <c r="AN205" s="287" t="s">
        <v>519</v>
      </c>
      <c r="AO205" s="287" t="n">
        <v>374797.9375</v>
      </c>
      <c r="AP205" s="319" t="n">
        <f aca="false">AR205+AT205+AU205+AV205+AX205+AY205+AZ205+BD205+BF205+BG205+BH205+BJ205+BK205+(BL205+BM205+BN205)/1000+(0.1*BO205)</f>
        <v>442.3568</v>
      </c>
      <c r="AQ205" s="319" t="n">
        <f aca="false">AR205+AT205+AU205+AV205+AX205+AY205+AZ205+BB205+BC205+BD205+BF205+BG205+BH205+BJ205+BK205+(BL205+BM205+BN205)/1000+(0.1*BO205)</f>
        <v>460.3568</v>
      </c>
      <c r="AR205" s="285" t="n">
        <v>0</v>
      </c>
      <c r="AS205" s="285" t="n">
        <v>0</v>
      </c>
      <c r="AT205" s="285" t="n">
        <v>306</v>
      </c>
      <c r="AU205" s="285" t="n">
        <v>12</v>
      </c>
      <c r="AV205" s="285" t="n">
        <v>0</v>
      </c>
      <c r="AW205" s="285" t="n">
        <v>0</v>
      </c>
      <c r="AX205" s="285" t="n">
        <v>13</v>
      </c>
      <c r="AY205" s="285" t="n">
        <v>4</v>
      </c>
      <c r="AZ205" s="285" t="n">
        <v>0</v>
      </c>
      <c r="BA205" s="285" t="n">
        <v>0</v>
      </c>
      <c r="BB205" s="285" t="n">
        <v>14</v>
      </c>
      <c r="BC205" s="285" t="n">
        <v>4</v>
      </c>
      <c r="BD205" s="285" t="n">
        <v>0</v>
      </c>
      <c r="BE205" s="285" t="n">
        <v>0</v>
      </c>
      <c r="BF205" s="285" t="n">
        <v>0</v>
      </c>
      <c r="BG205" s="285" t="n">
        <v>0</v>
      </c>
      <c r="BH205" s="285" t="n">
        <v>0</v>
      </c>
      <c r="BI205" s="285" t="n">
        <v>0</v>
      </c>
      <c r="BJ205" s="285" t="n">
        <v>0</v>
      </c>
      <c r="BK205" s="285" t="n">
        <v>0</v>
      </c>
      <c r="BL205" s="285" t="n">
        <v>0</v>
      </c>
      <c r="BM205" s="285" t="n">
        <v>0</v>
      </c>
      <c r="BN205" s="285" t="n">
        <v>14200</v>
      </c>
      <c r="BO205" s="285" t="n">
        <v>931.568</v>
      </c>
      <c r="BR205" s="290" t="n">
        <f aca="false">AR205*1000/0.072</f>
        <v>0</v>
      </c>
      <c r="BS205" s="290" t="n">
        <f aca="false">AT205*1000/0.072</f>
        <v>4250000</v>
      </c>
      <c r="BT205" s="290" t="n">
        <f aca="false">AU205*1000/0.072</f>
        <v>166666.666666667</v>
      </c>
      <c r="BU205" s="290" t="n">
        <f aca="false">SUM(BR205:BT205)</f>
        <v>4416666.66666667</v>
      </c>
      <c r="BV205" s="290" t="n">
        <f aca="false">AV205*1000/5</f>
        <v>0</v>
      </c>
      <c r="BW205" s="290" t="n">
        <f aca="false">AX205*1000/5</f>
        <v>2600</v>
      </c>
      <c r="BX205" s="290" t="n">
        <f aca="false">AY205*1000/5</f>
        <v>800</v>
      </c>
      <c r="BY205" s="290" t="n">
        <f aca="false">SUM(BV205:BX205)</f>
        <v>3400</v>
      </c>
      <c r="CA205" s="290" t="n">
        <f aca="false">IF($AM205="n",0,BR205)</f>
        <v>0</v>
      </c>
      <c r="CB205" s="290" t="n">
        <f aca="false">IF($AM205="n",0,BS205)</f>
        <v>4250000</v>
      </c>
      <c r="CC205" s="290" t="n">
        <f aca="false">IF($AM205="n",0,BT205)</f>
        <v>166666.666666667</v>
      </c>
      <c r="CD205" s="290" t="n">
        <f aca="false">SUM(CA205:CC205)</f>
        <v>4416666.66666667</v>
      </c>
      <c r="CE205" s="290" t="n">
        <f aca="false">IF($AM$2="n",0,BV205)</f>
        <v>0</v>
      </c>
      <c r="CF205" s="290" t="n">
        <f aca="false">IF($AM$2="n",0,BW205)</f>
        <v>2600</v>
      </c>
      <c r="CG205" s="290" t="n">
        <f aca="false">IF($AM$2="n",0,BX205)</f>
        <v>800</v>
      </c>
      <c r="CH205" s="290" t="n">
        <f aca="false">SUM(CE205:CG205)</f>
        <v>3400</v>
      </c>
    </row>
    <row r="206" customFormat="false" ht="15" hidden="false" customHeight="true" outlineLevel="0" collapsed="false">
      <c r="A206" s="285" t="n">
        <v>3892</v>
      </c>
      <c r="B206" s="285"/>
      <c r="C206" s="286" t="s">
        <v>521</v>
      </c>
      <c r="D206" s="287" t="s">
        <v>521</v>
      </c>
      <c r="E206" s="288" t="n">
        <f aca="false">IF(I206="regional",IF(R206*0.2975,S206*0.3484),S206*0.1939)</f>
        <v>103073.4432</v>
      </c>
      <c r="F206" s="288" t="n">
        <v>0</v>
      </c>
      <c r="G206" s="289" t="n">
        <f aca="false">E206+F206</f>
        <v>103073.4432</v>
      </c>
      <c r="H206" s="286"/>
      <c r="I206" s="287" t="s">
        <v>48</v>
      </c>
      <c r="J206" s="287" t="s">
        <v>49</v>
      </c>
      <c r="K206" s="287" t="s">
        <v>524</v>
      </c>
      <c r="L206" s="287"/>
      <c r="M206" s="317" t="n">
        <v>32</v>
      </c>
      <c r="N206" s="317" t="n">
        <v>0.888</v>
      </c>
      <c r="O206" s="317" t="n">
        <v>0.915</v>
      </c>
      <c r="P206" s="317" t="n">
        <v>0.914</v>
      </c>
      <c r="Q206" s="317" t="n">
        <v>0.811</v>
      </c>
      <c r="R206" s="317" t="n">
        <v>368196</v>
      </c>
      <c r="S206" s="317" t="n">
        <v>295848</v>
      </c>
      <c r="T206" s="318" t="n">
        <f aca="false">IF(I206="regional",IF(R206&gt;0,R206*0.2975,S206*0.3484),S206*0.1939)</f>
        <v>109538.31</v>
      </c>
      <c r="U206" s="317" t="n">
        <v>252264</v>
      </c>
      <c r="V206" s="317" t="n">
        <v>43584</v>
      </c>
      <c r="W206" s="317" t="n">
        <v>2000</v>
      </c>
      <c r="X206" s="317" t="n">
        <v>0</v>
      </c>
      <c r="Y206" s="317" t="n">
        <v>0</v>
      </c>
      <c r="Z206" s="317" t="n">
        <v>0</v>
      </c>
      <c r="AA206" s="317" t="n">
        <v>405386.31</v>
      </c>
      <c r="AB206" s="317" t="n">
        <v>109538.31</v>
      </c>
      <c r="AC206" s="317" t="n">
        <v>295848</v>
      </c>
      <c r="AD206" s="317" t="n">
        <v>0</v>
      </c>
      <c r="AE206" s="317" t="n">
        <v>0</v>
      </c>
      <c r="AF206" s="317" t="n">
        <v>0</v>
      </c>
      <c r="AG206" s="317" t="n">
        <v>295848</v>
      </c>
      <c r="AH206" s="317" t="n">
        <v>0</v>
      </c>
      <c r="AI206" s="317" t="n">
        <v>0</v>
      </c>
      <c r="AJ206" s="286" t="s">
        <v>721</v>
      </c>
      <c r="AK206" s="286" t="s">
        <v>727</v>
      </c>
      <c r="AL206" s="287" t="s">
        <v>48</v>
      </c>
      <c r="AM206" s="286"/>
      <c r="AN206" s="287" t="s">
        <v>521</v>
      </c>
      <c r="AO206" s="287" t="n">
        <v>109538.31</v>
      </c>
      <c r="AP206" s="319" t="n">
        <f aca="false">AR206+AT206+AU206+AV206+AX206+AY206+AZ206+BD206+BF206+BG206+BH206+BJ206+BK206+(BL206+BM206+BN206)/1000+(0.1*BO206)</f>
        <v>113.6201</v>
      </c>
      <c r="AQ206" s="319" t="n">
        <f aca="false">AR206+AT206+AU206+AV206+AX206+AY206+AZ206+BB206+BC206+BD206+BF206+BG206+BH206+BJ206+BK206+(BL206+BM206+BN206)/1000+(0.1*BO206)</f>
        <v>120.6201</v>
      </c>
      <c r="AR206" s="285" t="n">
        <v>21</v>
      </c>
      <c r="AS206" s="285" t="n">
        <v>0</v>
      </c>
      <c r="AT206" s="285" t="n">
        <v>28</v>
      </c>
      <c r="AU206" s="285" t="n">
        <v>2</v>
      </c>
      <c r="AV206" s="285" t="n">
        <v>0</v>
      </c>
      <c r="AW206" s="285" t="n">
        <v>0</v>
      </c>
      <c r="AX206" s="285" t="n">
        <v>0</v>
      </c>
      <c r="AY206" s="285" t="n">
        <v>0</v>
      </c>
      <c r="AZ206" s="285" t="n">
        <v>0</v>
      </c>
      <c r="BA206" s="285" t="n">
        <v>0</v>
      </c>
      <c r="BB206" s="285" t="n">
        <v>7</v>
      </c>
      <c r="BC206" s="285" t="n">
        <v>0</v>
      </c>
      <c r="BD206" s="285" t="n">
        <v>0</v>
      </c>
      <c r="BE206" s="285" t="n">
        <v>0</v>
      </c>
      <c r="BF206" s="285" t="n">
        <v>0</v>
      </c>
      <c r="BG206" s="285" t="n">
        <v>0</v>
      </c>
      <c r="BH206" s="285" t="n">
        <v>0</v>
      </c>
      <c r="BI206" s="285" t="n">
        <v>0</v>
      </c>
      <c r="BJ206" s="285" t="n">
        <v>0</v>
      </c>
      <c r="BK206" s="285" t="n">
        <v>0</v>
      </c>
      <c r="BL206" s="285" t="n">
        <v>3746</v>
      </c>
      <c r="BM206" s="285" t="n">
        <v>0</v>
      </c>
      <c r="BN206" s="285" t="n">
        <v>49046</v>
      </c>
      <c r="BO206" s="285" t="n">
        <v>98.281</v>
      </c>
      <c r="BR206" s="290" t="n">
        <f aca="false">AR206*1000/0.072</f>
        <v>291666.666666667</v>
      </c>
      <c r="BS206" s="290" t="n">
        <f aca="false">AT206*1000/0.072</f>
        <v>388888.888888889</v>
      </c>
      <c r="BT206" s="290" t="n">
        <f aca="false">AU206*1000/0.072</f>
        <v>27777.7777777778</v>
      </c>
      <c r="BU206" s="290" t="n">
        <f aca="false">SUM(BR206:BT206)</f>
        <v>708333.333333333</v>
      </c>
      <c r="BV206" s="290" t="n">
        <f aca="false">AV206*1000/5</f>
        <v>0</v>
      </c>
      <c r="BW206" s="290" t="n">
        <f aca="false">AX206*1000/5</f>
        <v>0</v>
      </c>
      <c r="BX206" s="290" t="n">
        <f aca="false">AY206*1000/5</f>
        <v>0</v>
      </c>
      <c r="BY206" s="290" t="n">
        <f aca="false">SUM(BV206:BX206)</f>
        <v>0</v>
      </c>
      <c r="CA206" s="290" t="n">
        <f aca="false">IF($AM206="n",0,BR206)</f>
        <v>291666.666666667</v>
      </c>
      <c r="CB206" s="290" t="n">
        <f aca="false">IF($AM206="n",0,BS206)</f>
        <v>388888.888888889</v>
      </c>
      <c r="CC206" s="290" t="n">
        <f aca="false">IF($AM206="n",0,BT206)</f>
        <v>27777.7777777778</v>
      </c>
      <c r="CD206" s="290" t="n">
        <f aca="false">SUM(CA206:CC206)</f>
        <v>708333.333333333</v>
      </c>
      <c r="CE206" s="290" t="n">
        <f aca="false">IF($AM$2="n",0,BV206)</f>
        <v>0</v>
      </c>
      <c r="CF206" s="290" t="n">
        <f aca="false">IF($AM$2="n",0,BW206)</f>
        <v>0</v>
      </c>
      <c r="CG206" s="290" t="n">
        <f aca="false">IF($AM$2="n",0,BX206)</f>
        <v>0</v>
      </c>
      <c r="CH206" s="290" t="n">
        <f aca="false">SUM(CE206:CG206)</f>
        <v>0</v>
      </c>
    </row>
    <row r="207" customFormat="false" ht="15" hidden="false" customHeight="true" outlineLevel="0" collapsed="false">
      <c r="A207" s="285" t="n">
        <v>508</v>
      </c>
      <c r="B207" s="285" t="s">
        <v>44</v>
      </c>
      <c r="C207" s="286" t="s">
        <v>526</v>
      </c>
      <c r="D207" s="287" t="s">
        <v>526</v>
      </c>
      <c r="E207" s="288" t="n">
        <f aca="false">IF(I207="regional",IF(R207*0.2975,S207*0.3484),S207*0.1939)</f>
        <v>341425.7288</v>
      </c>
      <c r="F207" s="288" t="n">
        <v>491081</v>
      </c>
      <c r="G207" s="289" t="n">
        <f aca="false">E207+F207</f>
        <v>832506.7288</v>
      </c>
      <c r="H207" s="286"/>
      <c r="I207" s="287" t="s">
        <v>48</v>
      </c>
      <c r="J207" s="287" t="s">
        <v>44</v>
      </c>
      <c r="K207" s="287" t="s">
        <v>528</v>
      </c>
      <c r="L207" s="287" t="s">
        <v>44</v>
      </c>
      <c r="M207" s="317" t="n">
        <v>99</v>
      </c>
      <c r="N207" s="317" t="n">
        <v>0.888</v>
      </c>
      <c r="O207" s="317" t="n">
        <v>0.901</v>
      </c>
      <c r="P207" s="317" t="n">
        <v>0.912</v>
      </c>
      <c r="Q207" s="317" t="n">
        <v>0.864</v>
      </c>
      <c r="R207" s="317" t="n">
        <v>1185727</v>
      </c>
      <c r="S207" s="317" t="n">
        <v>979982</v>
      </c>
      <c r="T207" s="318" t="n">
        <f aca="false">IF(I207="regional",IF(R207&gt;0,R207*0.2975,S207*0.3484),S207*0.1939)</f>
        <v>352753.7825</v>
      </c>
      <c r="U207" s="317" t="n">
        <v>640797</v>
      </c>
      <c r="V207" s="317" t="n">
        <v>339185</v>
      </c>
      <c r="W207" s="317" t="n">
        <v>5527</v>
      </c>
      <c r="X207" s="317" t="n">
        <v>843834.7825</v>
      </c>
      <c r="Y207" s="317" t="n">
        <v>352753.7825</v>
      </c>
      <c r="Z207" s="317" t="n">
        <v>491081</v>
      </c>
      <c r="AA207" s="317" t="n">
        <v>488901</v>
      </c>
      <c r="AB207" s="317" t="n">
        <v>0</v>
      </c>
      <c r="AC207" s="317" t="n">
        <v>488901</v>
      </c>
      <c r="AD207" s="317" t="n">
        <v>491081</v>
      </c>
      <c r="AE207" s="317" t="n">
        <v>0</v>
      </c>
      <c r="AF207" s="317" t="n">
        <v>488901</v>
      </c>
      <c r="AG207" s="317" t="n">
        <v>0</v>
      </c>
      <c r="AH207" s="317" t="n">
        <v>1362000</v>
      </c>
      <c r="AI207" s="317" t="n">
        <v>1303000</v>
      </c>
      <c r="AJ207" s="286" t="s">
        <v>715</v>
      </c>
      <c r="AK207" s="286" t="s">
        <v>716</v>
      </c>
      <c r="AL207" s="287" t="s">
        <v>48</v>
      </c>
      <c r="AM207" s="286"/>
      <c r="AN207" s="287" t="s">
        <v>526</v>
      </c>
      <c r="AO207" s="287" t="n">
        <v>843834.7825</v>
      </c>
      <c r="AP207" s="319" t="n">
        <f aca="false">AR207+AT207+AU207+AV207+AX207+AY207+AZ207+BD207+BF207+BG207+BH207+BJ207+BK207+(BL207+BM207+BN207)/1000+(0.1*BO207)</f>
        <v>743.0915</v>
      </c>
      <c r="AQ207" s="319" t="n">
        <f aca="false">AR207+AT207+AU207+AV207+AX207+AY207+AZ207+BB207+BC207+BD207+BF207+BG207+BH207+BJ207+BK207+(BL207+BM207+BN207)/1000+(0.1*BO207)</f>
        <v>751.0915</v>
      </c>
      <c r="AR207" s="285" t="n">
        <v>328</v>
      </c>
      <c r="AS207" s="285" t="n">
        <v>1303</v>
      </c>
      <c r="AT207" s="285" t="n">
        <v>109</v>
      </c>
      <c r="AU207" s="285" t="n">
        <v>0</v>
      </c>
      <c r="AV207" s="285" t="n">
        <v>1</v>
      </c>
      <c r="AW207" s="285" t="n">
        <v>22</v>
      </c>
      <c r="AX207" s="285" t="n">
        <v>0</v>
      </c>
      <c r="AY207" s="285" t="n">
        <v>0</v>
      </c>
      <c r="AZ207" s="285" t="n">
        <v>18</v>
      </c>
      <c r="BA207" s="285" t="n">
        <v>36</v>
      </c>
      <c r="BB207" s="285" t="n">
        <v>8</v>
      </c>
      <c r="BC207" s="285" t="n">
        <v>0</v>
      </c>
      <c r="BD207" s="285" t="n">
        <v>45</v>
      </c>
      <c r="BE207" s="285" t="n">
        <v>0</v>
      </c>
      <c r="BF207" s="285" t="n">
        <v>0</v>
      </c>
      <c r="BG207" s="285" t="n">
        <v>0</v>
      </c>
      <c r="BH207" s="285" t="n">
        <v>76</v>
      </c>
      <c r="BI207" s="285" t="n">
        <v>0</v>
      </c>
      <c r="BJ207" s="285" t="n">
        <v>0</v>
      </c>
      <c r="BK207" s="285" t="n">
        <v>0</v>
      </c>
      <c r="BL207" s="285" t="n">
        <v>25000</v>
      </c>
      <c r="BM207" s="285" t="n">
        <v>0</v>
      </c>
      <c r="BN207" s="285" t="n">
        <v>25937</v>
      </c>
      <c r="BO207" s="285" t="n">
        <v>1151.545</v>
      </c>
      <c r="BR207" s="290" t="n">
        <f aca="false">AR207*1000/0.072</f>
        <v>4555555.55555556</v>
      </c>
      <c r="BS207" s="290" t="n">
        <f aca="false">AT207*1000/0.072</f>
        <v>1513888.88888889</v>
      </c>
      <c r="BT207" s="290" t="n">
        <f aca="false">AU207*1000/0.072</f>
        <v>0</v>
      </c>
      <c r="BU207" s="290" t="n">
        <f aca="false">SUM(BR207:BT207)</f>
        <v>6069444.44444445</v>
      </c>
      <c r="BV207" s="290" t="n">
        <f aca="false">AV207*1000/5</f>
        <v>200</v>
      </c>
      <c r="BW207" s="290" t="n">
        <f aca="false">AX207*1000/5</f>
        <v>0</v>
      </c>
      <c r="BX207" s="290" t="n">
        <f aca="false">AY207*1000/5</f>
        <v>0</v>
      </c>
      <c r="BY207" s="290" t="n">
        <f aca="false">SUM(BV207:BX207)</f>
        <v>200</v>
      </c>
      <c r="CA207" s="290" t="n">
        <f aca="false">IF($AM207="n",0,BR207)</f>
        <v>4555555.55555556</v>
      </c>
      <c r="CB207" s="290" t="n">
        <f aca="false">IF($AM207="n",0,BS207)</f>
        <v>1513888.88888889</v>
      </c>
      <c r="CC207" s="290" t="n">
        <f aca="false">IF($AM207="n",0,BT207)</f>
        <v>0</v>
      </c>
      <c r="CD207" s="290" t="n">
        <f aca="false">SUM(CA207:CC207)</f>
        <v>6069444.44444445</v>
      </c>
      <c r="CE207" s="290" t="n">
        <f aca="false">IF($AM$2="n",0,BV207)</f>
        <v>200</v>
      </c>
      <c r="CF207" s="290" t="n">
        <f aca="false">IF($AM$2="n",0,BW207)</f>
        <v>0</v>
      </c>
      <c r="CG207" s="290" t="n">
        <f aca="false">IF($AM$2="n",0,BX207)</f>
        <v>0</v>
      </c>
      <c r="CH207" s="290" t="n">
        <f aca="false">SUM(CE207:CG207)</f>
        <v>200</v>
      </c>
    </row>
    <row r="208" customFormat="false" ht="15" hidden="false" customHeight="true" outlineLevel="0" collapsed="false">
      <c r="A208" s="285" t="n">
        <v>3881</v>
      </c>
      <c r="B208" s="285" t="s">
        <v>44</v>
      </c>
      <c r="C208" s="286" t="s">
        <v>765</v>
      </c>
      <c r="D208" s="287" t="s">
        <v>673</v>
      </c>
      <c r="E208" s="288" t="n">
        <f aca="false">IF(I208="regional",IF(R208*0.2975,S208*0.3484),S208*0.1939)</f>
        <v>337746.9732</v>
      </c>
      <c r="F208" s="288" t="n">
        <v>1130444</v>
      </c>
      <c r="G208" s="289" t="n">
        <f aca="false">E208+F208</f>
        <v>1468190.9732</v>
      </c>
      <c r="H208" s="286" t="s">
        <v>49</v>
      </c>
      <c r="I208" s="287" t="s">
        <v>48</v>
      </c>
      <c r="J208" s="287" t="s">
        <v>44</v>
      </c>
      <c r="K208" s="287" t="s">
        <v>50</v>
      </c>
      <c r="L208" s="287" t="s">
        <v>44</v>
      </c>
      <c r="M208" s="317" t="n">
        <v>155</v>
      </c>
      <c r="N208" s="317" t="n">
        <v>0.34</v>
      </c>
      <c r="O208" s="317" t="n">
        <v>0.503</v>
      </c>
      <c r="P208" s="317" t="n">
        <v>0.466</v>
      </c>
      <c r="Q208" s="317" t="n">
        <v>0.531</v>
      </c>
      <c r="R208" s="317" t="n">
        <v>1198640</v>
      </c>
      <c r="S208" s="317" t="n">
        <v>969423</v>
      </c>
      <c r="T208" s="318" t="n">
        <f aca="false">IF(I208="regional",IF(R208&gt;0,R208*0.2975,S208*0.3484),S208*0.1939)</f>
        <v>356595.4</v>
      </c>
      <c r="U208" s="317" t="n">
        <v>661270</v>
      </c>
      <c r="V208" s="317" t="n">
        <v>308153</v>
      </c>
      <c r="W208" s="317" t="n">
        <v>4808</v>
      </c>
      <c r="X208" s="317" t="n">
        <v>1487039.4</v>
      </c>
      <c r="Y208" s="317" t="n">
        <v>356595.4</v>
      </c>
      <c r="Z208" s="317" t="n">
        <v>1130444</v>
      </c>
      <c r="AA208" s="317" t="n">
        <v>-161021</v>
      </c>
      <c r="AB208" s="317" t="n">
        <v>0</v>
      </c>
      <c r="AC208" s="317" t="n">
        <v>-161021</v>
      </c>
      <c r="AD208" s="317" t="n">
        <v>1130444</v>
      </c>
      <c r="AE208" s="317" t="n">
        <v>0</v>
      </c>
      <c r="AF208" s="317" t="n">
        <v>-161021</v>
      </c>
      <c r="AG208" s="317" t="n">
        <v>0</v>
      </c>
      <c r="AH208" s="317" t="n">
        <v>227000</v>
      </c>
      <c r="AI208" s="317" t="n">
        <v>369000</v>
      </c>
      <c r="AJ208" s="286" t="n">
        <v>4</v>
      </c>
      <c r="AK208" s="286" t="s">
        <v>706</v>
      </c>
      <c r="AL208" s="287" t="s">
        <v>48</v>
      </c>
      <c r="AM208" s="286" t="s">
        <v>49</v>
      </c>
      <c r="AN208" s="287" t="s">
        <v>673</v>
      </c>
      <c r="AO208" s="287" t="n">
        <v>1487039.4</v>
      </c>
      <c r="AP208" s="319" t="n">
        <f aca="false">AR208+AT208+AU208+AV208+AX208+AY208+AZ208+BD208+BF208+BG208+BH208+BJ208+BK208+(BL208+BM208+BN208)/1000+(0.1*BO208)</f>
        <v>759.8498</v>
      </c>
      <c r="AQ208" s="319" t="n">
        <f aca="false">AR208+AT208+AU208+AV208+AX208+AY208+AZ208+BB208+BC208+BD208+BF208+BG208+BH208+BJ208+BK208+(BL208+BM208+BN208)/1000+(0.1*BO208)</f>
        <v>790.8498</v>
      </c>
      <c r="AR208" s="285" t="n">
        <v>366</v>
      </c>
      <c r="AS208" s="285" t="n">
        <v>369</v>
      </c>
      <c r="AT208" s="285" t="n">
        <v>152</v>
      </c>
      <c r="AU208" s="285" t="n">
        <v>4</v>
      </c>
      <c r="AV208" s="285" t="n">
        <v>57</v>
      </c>
      <c r="AW208" s="285" t="n">
        <v>15</v>
      </c>
      <c r="AX208" s="285" t="n">
        <v>1</v>
      </c>
      <c r="AY208" s="285" t="n">
        <v>0</v>
      </c>
      <c r="AZ208" s="285" t="n">
        <v>8</v>
      </c>
      <c r="BA208" s="285" t="n">
        <v>15</v>
      </c>
      <c r="BB208" s="285" t="n">
        <v>31</v>
      </c>
      <c r="BC208" s="285" t="n">
        <v>0</v>
      </c>
      <c r="BD208" s="285" t="n">
        <v>34</v>
      </c>
      <c r="BE208" s="285" t="n">
        <v>0</v>
      </c>
      <c r="BF208" s="285" t="n">
        <v>0</v>
      </c>
      <c r="BG208" s="285" t="n">
        <v>0</v>
      </c>
      <c r="BH208" s="285" t="n">
        <v>61</v>
      </c>
      <c r="BI208" s="285" t="n">
        <v>0</v>
      </c>
      <c r="BJ208" s="285" t="n">
        <v>0</v>
      </c>
      <c r="BK208" s="285" t="n">
        <v>0</v>
      </c>
      <c r="BL208" s="285" t="n">
        <v>0</v>
      </c>
      <c r="BM208" s="285" t="n">
        <v>0</v>
      </c>
      <c r="BN208" s="285" t="n">
        <v>0</v>
      </c>
      <c r="BO208" s="285" t="n">
        <v>768.498</v>
      </c>
      <c r="BR208" s="290" t="n">
        <f aca="false">AR208*1000/0.072</f>
        <v>5083333.33333333</v>
      </c>
      <c r="BS208" s="290" t="n">
        <f aca="false">AT208*1000/0.072</f>
        <v>2111111.11111111</v>
      </c>
      <c r="BT208" s="290" t="n">
        <f aca="false">AU208*1000/0.072</f>
        <v>55555.5555555556</v>
      </c>
      <c r="BU208" s="290" t="n">
        <f aca="false">SUM(BR208:BT208)</f>
        <v>7250000</v>
      </c>
      <c r="BV208" s="290" t="n">
        <f aca="false">AV208*1000/5</f>
        <v>11400</v>
      </c>
      <c r="BW208" s="290" t="n">
        <f aca="false">AX208*1000/5</f>
        <v>200</v>
      </c>
      <c r="BX208" s="290" t="n">
        <f aca="false">AY208*1000/5</f>
        <v>0</v>
      </c>
      <c r="BY208" s="290" t="n">
        <f aca="false">SUM(BV208:BX208)</f>
        <v>11600</v>
      </c>
      <c r="CA208" s="290" t="n">
        <f aca="false">IF($AM208="n",0,BR208)</f>
        <v>0</v>
      </c>
      <c r="CB208" s="290" t="n">
        <f aca="false">IF($AM208="n",0,BS208)</f>
        <v>0</v>
      </c>
      <c r="CC208" s="290" t="n">
        <f aca="false">IF($AM208="n",0,BT208)</f>
        <v>0</v>
      </c>
      <c r="CD208" s="290" t="n">
        <f aca="false">SUM(CA208:CC208)</f>
        <v>0</v>
      </c>
      <c r="CE208" s="290" t="n">
        <f aca="false">IF($AM$2="n",0,BV208)</f>
        <v>11400</v>
      </c>
      <c r="CF208" s="290" t="n">
        <f aca="false">IF($AM$2="n",0,BW208)</f>
        <v>200</v>
      </c>
      <c r="CG208" s="290" t="n">
        <f aca="false">IF($AM$2="n",0,BX208)</f>
        <v>0</v>
      </c>
      <c r="CH208" s="290" t="n">
        <f aca="false">SUM(CE208:CG208)</f>
        <v>11600</v>
      </c>
    </row>
    <row r="209" customFormat="false" ht="15" hidden="false" customHeight="true" outlineLevel="0" collapsed="false">
      <c r="A209" s="285" t="n">
        <v>3762</v>
      </c>
      <c r="B209" s="285"/>
      <c r="C209" s="286" t="s">
        <v>532</v>
      </c>
      <c r="D209" s="287" t="s">
        <v>532</v>
      </c>
      <c r="E209" s="288" t="n">
        <f aca="false">IF(I209="regional",IF(R209*0.2975,S209*0.3484),S209*0.1939)</f>
        <v>79764.2552</v>
      </c>
      <c r="F209" s="288" t="n">
        <v>0</v>
      </c>
      <c r="G209" s="289" t="n">
        <f aca="false">E209+F209</f>
        <v>79764.2552</v>
      </c>
      <c r="H209" s="286"/>
      <c r="I209" s="287" t="s">
        <v>62</v>
      </c>
      <c r="J209" s="287"/>
      <c r="K209" s="287" t="s">
        <v>533</v>
      </c>
      <c r="L209" s="287"/>
      <c r="M209" s="317" t="n">
        <v>39</v>
      </c>
      <c r="N209" s="317" t="n">
        <v>0.942</v>
      </c>
      <c r="O209" s="317" t="n">
        <v>0.945</v>
      </c>
      <c r="P209" s="317" t="n">
        <v>0.97</v>
      </c>
      <c r="Q209" s="317" t="n">
        <v>0.959</v>
      </c>
      <c r="R209" s="317" t="n">
        <v>0</v>
      </c>
      <c r="S209" s="317" t="n">
        <v>411368</v>
      </c>
      <c r="T209" s="318" t="n">
        <f aca="false">IF(I209="regional",IF(R209&gt;0,R209*0.2975,S209*0.3484),S209*0.1939)</f>
        <v>79764.2552</v>
      </c>
      <c r="U209" s="317" t="n">
        <v>321705</v>
      </c>
      <c r="V209" s="317" t="n">
        <v>89663</v>
      </c>
      <c r="W209" s="317" t="n">
        <v>2065</v>
      </c>
      <c r="X209" s="317" t="n">
        <v>0</v>
      </c>
      <c r="Y209" s="317" t="n">
        <v>0</v>
      </c>
      <c r="Z209" s="317" t="n">
        <v>0</v>
      </c>
      <c r="AA209" s="317" t="n">
        <v>491132.2552</v>
      </c>
      <c r="AB209" s="317" t="n">
        <v>79764.2552</v>
      </c>
      <c r="AC209" s="317" t="n">
        <v>411368</v>
      </c>
      <c r="AD209" s="317" t="n">
        <v>0</v>
      </c>
      <c r="AE209" s="317" t="n">
        <v>0</v>
      </c>
      <c r="AF209" s="317" t="n">
        <v>0</v>
      </c>
      <c r="AG209" s="317" t="n">
        <v>411368</v>
      </c>
      <c r="AH209" s="317" t="n">
        <v>0</v>
      </c>
      <c r="AI209" s="317" t="n">
        <v>0</v>
      </c>
      <c r="AJ209" s="286" t="s">
        <v>715</v>
      </c>
      <c r="AK209" s="286" t="s">
        <v>716</v>
      </c>
      <c r="AL209" s="287" t="s">
        <v>62</v>
      </c>
      <c r="AM209" s="286"/>
      <c r="AN209" s="287" t="s">
        <v>532</v>
      </c>
      <c r="AO209" s="287" t="n">
        <v>79764.2552</v>
      </c>
      <c r="AP209" s="319" t="n">
        <f aca="false">AR209+AT209+AU209+AV209+AX209+AY209+AZ209+BD209+BF209+BG209+BH209+BJ209+BK209+(BL209+BM209+BN209)/1000+(0.1*BO209)</f>
        <v>38.8844</v>
      </c>
      <c r="AQ209" s="319" t="n">
        <f aca="false">AR209+AT209+AU209+AV209+AX209+AY209+AZ209+BB209+BC209+BD209+BF209+BG209+BH209+BJ209+BK209+(BL209+BM209+BN209)/1000+(0.1*BO209)</f>
        <v>38.8844</v>
      </c>
      <c r="AR209" s="285" t="n">
        <v>0</v>
      </c>
      <c r="AS209" s="285" t="n">
        <v>0</v>
      </c>
      <c r="AT209" s="285" t="n">
        <v>23</v>
      </c>
      <c r="AU209" s="285" t="n">
        <v>5</v>
      </c>
      <c r="AV209" s="285" t="n">
        <v>0</v>
      </c>
      <c r="AW209" s="285" t="n">
        <v>0</v>
      </c>
      <c r="AX209" s="285" t="n">
        <v>0</v>
      </c>
      <c r="AY209" s="285" t="n">
        <v>0</v>
      </c>
      <c r="AZ209" s="285" t="n">
        <v>0</v>
      </c>
      <c r="BA209" s="285" t="n">
        <v>14</v>
      </c>
      <c r="BB209" s="285" t="n">
        <v>0</v>
      </c>
      <c r="BC209" s="285" t="n">
        <v>0</v>
      </c>
      <c r="BD209" s="285" t="n">
        <v>0</v>
      </c>
      <c r="BE209" s="285" t="n">
        <v>0</v>
      </c>
      <c r="BF209" s="285" t="n">
        <v>0</v>
      </c>
      <c r="BG209" s="285" t="n">
        <v>0</v>
      </c>
      <c r="BH209" s="285" t="n">
        <v>0</v>
      </c>
      <c r="BI209" s="285" t="n">
        <v>0</v>
      </c>
      <c r="BJ209" s="285" t="n">
        <v>0</v>
      </c>
      <c r="BK209" s="285" t="n">
        <v>0</v>
      </c>
      <c r="BL209" s="285" t="n">
        <v>0</v>
      </c>
      <c r="BM209" s="285" t="n">
        <v>0</v>
      </c>
      <c r="BN209" s="285" t="n">
        <v>0</v>
      </c>
      <c r="BO209" s="285" t="n">
        <v>108.844</v>
      </c>
      <c r="BR209" s="290" t="n">
        <f aca="false">AR209*1000/0.072</f>
        <v>0</v>
      </c>
      <c r="BS209" s="290" t="n">
        <f aca="false">AT209*1000/0.072</f>
        <v>319444.444444445</v>
      </c>
      <c r="BT209" s="290" t="n">
        <f aca="false">AU209*1000/0.072</f>
        <v>69444.4444444445</v>
      </c>
      <c r="BU209" s="290" t="n">
        <f aca="false">SUM(BR209:BT209)</f>
        <v>388888.888888889</v>
      </c>
      <c r="BV209" s="290" t="n">
        <f aca="false">AV209*1000/5</f>
        <v>0</v>
      </c>
      <c r="BW209" s="290" t="n">
        <f aca="false">AX209*1000/5</f>
        <v>0</v>
      </c>
      <c r="BX209" s="290" t="n">
        <f aca="false">AY209*1000/5</f>
        <v>0</v>
      </c>
      <c r="BY209" s="290" t="n">
        <f aca="false">SUM(BV209:BX209)</f>
        <v>0</v>
      </c>
      <c r="CA209" s="290" t="n">
        <f aca="false">IF($AM209="n",0,BR209)</f>
        <v>0</v>
      </c>
      <c r="CB209" s="290" t="n">
        <f aca="false">IF($AM209="n",0,BS209)</f>
        <v>319444.444444445</v>
      </c>
      <c r="CC209" s="290" t="n">
        <f aca="false">IF($AM209="n",0,BT209)</f>
        <v>69444.4444444445</v>
      </c>
      <c r="CD209" s="290" t="n">
        <f aca="false">SUM(CA209:CC209)</f>
        <v>388888.888888889</v>
      </c>
      <c r="CE209" s="290" t="n">
        <f aca="false">IF($AM$2="n",0,BV209)</f>
        <v>0</v>
      </c>
      <c r="CF209" s="290" t="n">
        <f aca="false">IF($AM$2="n",0,BW209)</f>
        <v>0</v>
      </c>
      <c r="CG209" s="290" t="n">
        <f aca="false">IF($AM$2="n",0,BX209)</f>
        <v>0</v>
      </c>
      <c r="CH209" s="290" t="n">
        <f aca="false">SUM(CE209:CG209)</f>
        <v>0</v>
      </c>
    </row>
    <row r="210" customFormat="false" ht="15" hidden="false" customHeight="true" outlineLevel="0" collapsed="false">
      <c r="A210" s="285" t="n">
        <v>9570</v>
      </c>
      <c r="B210" s="285"/>
      <c r="C210" s="286" t="s">
        <v>534</v>
      </c>
      <c r="D210" s="287" t="s">
        <v>534</v>
      </c>
      <c r="E210" s="288" t="n">
        <f aca="false">IF(I210="regional",IF(R210*0.2975,S210*0.3484),S210*0.1939)</f>
        <v>316232.228</v>
      </c>
      <c r="F210" s="288" t="n">
        <v>0</v>
      </c>
      <c r="G210" s="289" t="n">
        <f aca="false">E210+F210</f>
        <v>316232.228</v>
      </c>
      <c r="H210" s="286"/>
      <c r="I210" s="287" t="s">
        <v>48</v>
      </c>
      <c r="J210" s="287" t="s">
        <v>49</v>
      </c>
      <c r="K210" s="287" t="s">
        <v>102</v>
      </c>
      <c r="L210" s="287"/>
      <c r="M210" s="317" t="n">
        <v>116</v>
      </c>
      <c r="N210" s="317" t="n">
        <v>0.879</v>
      </c>
      <c r="O210" s="317" t="n">
        <v>0.908</v>
      </c>
      <c r="P210" s="317" t="n">
        <v>0.858</v>
      </c>
      <c r="Q210" s="317" t="n">
        <v>0.828</v>
      </c>
      <c r="R210" s="317" t="n">
        <v>1209833</v>
      </c>
      <c r="S210" s="317" t="n">
        <v>907670</v>
      </c>
      <c r="T210" s="318" t="n">
        <f aca="false">IF(I210="regional",IF(R210&gt;0,R210*0.2975,S210*0.3484),S210*0.1939)</f>
        <v>359925.3175</v>
      </c>
      <c r="U210" s="317" t="n">
        <v>370057</v>
      </c>
      <c r="V210" s="317" t="n">
        <v>537613</v>
      </c>
      <c r="W210" s="317" t="n">
        <v>3957</v>
      </c>
      <c r="X210" s="317" t="n">
        <v>0</v>
      </c>
      <c r="Y210" s="317" t="n">
        <v>0</v>
      </c>
      <c r="Z210" s="317" t="n">
        <v>0</v>
      </c>
      <c r="AA210" s="317" t="n">
        <v>1267595.318</v>
      </c>
      <c r="AB210" s="317" t="n">
        <v>359925.3175</v>
      </c>
      <c r="AC210" s="317" t="n">
        <v>907670</v>
      </c>
      <c r="AD210" s="317" t="n">
        <v>0</v>
      </c>
      <c r="AE210" s="317" t="n">
        <v>0</v>
      </c>
      <c r="AF210" s="317" t="n">
        <v>0</v>
      </c>
      <c r="AG210" s="317" t="n">
        <v>907670</v>
      </c>
      <c r="AH210" s="317" t="n">
        <v>0</v>
      </c>
      <c r="AI210" s="317" t="n">
        <v>0</v>
      </c>
      <c r="AJ210" s="286" t="n">
        <v>4</v>
      </c>
      <c r="AK210" s="286" t="s">
        <v>720</v>
      </c>
      <c r="AL210" s="287" t="s">
        <v>48</v>
      </c>
      <c r="AM210" s="286"/>
      <c r="AN210" s="287" t="s">
        <v>534</v>
      </c>
      <c r="AO210" s="287" t="n">
        <v>359925.3175</v>
      </c>
      <c r="AP210" s="319" t="n">
        <f aca="false">AR210+AT210+AU210+AV210+AX210+AY210+AZ210+BD210+BF210+BG210+BH210+BJ210+BK210+(BL210+BM210+BN210)/1000+(0.1*BO210)</f>
        <v>316.9153</v>
      </c>
      <c r="AQ210" s="319" t="n">
        <f aca="false">AR210+AT210+AU210+AV210+AX210+AY210+AZ210+BB210+BC210+BD210+BF210+BG210+BH210+BJ210+BK210+(BL210+BM210+BN210)/1000+(0.1*BO210)</f>
        <v>323.9153</v>
      </c>
      <c r="AR210" s="285" t="n">
        <v>0</v>
      </c>
      <c r="AS210" s="285" t="n">
        <v>0</v>
      </c>
      <c r="AT210" s="285" t="n">
        <v>181</v>
      </c>
      <c r="AU210" s="285" t="n">
        <v>44</v>
      </c>
      <c r="AV210" s="285" t="n">
        <v>0</v>
      </c>
      <c r="AW210" s="285" t="n">
        <v>0</v>
      </c>
      <c r="AX210" s="285" t="n">
        <v>11</v>
      </c>
      <c r="AY210" s="285" t="n">
        <v>13</v>
      </c>
      <c r="AZ210" s="285" t="n">
        <v>0</v>
      </c>
      <c r="BA210" s="285" t="n">
        <v>0</v>
      </c>
      <c r="BB210" s="285" t="n">
        <v>51</v>
      </c>
      <c r="BC210" s="285" t="n">
        <v>-44</v>
      </c>
      <c r="BD210" s="285" t="n">
        <v>0</v>
      </c>
      <c r="BE210" s="285" t="n">
        <v>0</v>
      </c>
      <c r="BF210" s="285" t="n">
        <v>0</v>
      </c>
      <c r="BG210" s="285" t="n">
        <v>0</v>
      </c>
      <c r="BH210" s="285" t="n">
        <v>0</v>
      </c>
      <c r="BI210" s="285" t="n">
        <v>0</v>
      </c>
      <c r="BJ210" s="285" t="n">
        <v>0</v>
      </c>
      <c r="BK210" s="285" t="n">
        <v>0</v>
      </c>
      <c r="BL210" s="285" t="n">
        <v>0</v>
      </c>
      <c r="BM210" s="285" t="n">
        <v>0</v>
      </c>
      <c r="BN210" s="285" t="n">
        <v>0</v>
      </c>
      <c r="BO210" s="285" t="n">
        <v>679.153</v>
      </c>
      <c r="BR210" s="290" t="n">
        <f aca="false">AR210*1000/0.072</f>
        <v>0</v>
      </c>
      <c r="BS210" s="290" t="n">
        <f aca="false">AT210*1000/0.072</f>
        <v>2513888.88888889</v>
      </c>
      <c r="BT210" s="290" t="n">
        <f aca="false">AU210*1000/0.072</f>
        <v>611111.111111111</v>
      </c>
      <c r="BU210" s="290" t="n">
        <f aca="false">SUM(BR210:BT210)</f>
        <v>3125000</v>
      </c>
      <c r="BV210" s="290" t="n">
        <f aca="false">AV210*1000/5</f>
        <v>0</v>
      </c>
      <c r="BW210" s="290" t="n">
        <f aca="false">AX210*1000/5</f>
        <v>2200</v>
      </c>
      <c r="BX210" s="290" t="n">
        <f aca="false">AY210*1000/5</f>
        <v>2600</v>
      </c>
      <c r="BY210" s="290" t="n">
        <f aca="false">SUM(BV210:BX210)</f>
        <v>4800</v>
      </c>
      <c r="CA210" s="290" t="n">
        <f aca="false">IF($AM210="n",0,BR210)</f>
        <v>0</v>
      </c>
      <c r="CB210" s="290" t="n">
        <f aca="false">IF($AM210="n",0,BS210)</f>
        <v>2513888.88888889</v>
      </c>
      <c r="CC210" s="290" t="n">
        <f aca="false">IF($AM210="n",0,BT210)</f>
        <v>611111.111111111</v>
      </c>
      <c r="CD210" s="290" t="n">
        <f aca="false">SUM(CA210:CC210)</f>
        <v>3125000</v>
      </c>
      <c r="CE210" s="290" t="n">
        <f aca="false">IF($AM$2="n",0,BV210)</f>
        <v>0</v>
      </c>
      <c r="CF210" s="290" t="n">
        <f aca="false">IF($AM$2="n",0,BW210)</f>
        <v>2200</v>
      </c>
      <c r="CG210" s="290" t="n">
        <f aca="false">IF($AM$2="n",0,BX210)</f>
        <v>2600</v>
      </c>
      <c r="CH210" s="290" t="n">
        <f aca="false">SUM(CE210:CG210)</f>
        <v>4800</v>
      </c>
    </row>
    <row r="211" customFormat="false" ht="15" hidden="false" customHeight="true" outlineLevel="0" collapsed="false">
      <c r="A211" s="285" t="n">
        <v>2550</v>
      </c>
      <c r="B211" s="285" t="s">
        <v>44</v>
      </c>
      <c r="C211" s="286" t="s">
        <v>536</v>
      </c>
      <c r="D211" s="287" t="s">
        <v>536</v>
      </c>
      <c r="E211" s="288" t="n">
        <f aca="false">IF(I211="regional",IF(R211*0.2975,S211*0.3484),S211*0.1939)</f>
        <v>308545.8272</v>
      </c>
      <c r="F211" s="288" t="n">
        <v>516572</v>
      </c>
      <c r="G211" s="289" t="n">
        <f aca="false">E211+F211</f>
        <v>825117.8272</v>
      </c>
      <c r="H211" s="286"/>
      <c r="I211" s="287" t="s">
        <v>48</v>
      </c>
      <c r="J211" s="287" t="s">
        <v>44</v>
      </c>
      <c r="K211" s="287" t="s">
        <v>160</v>
      </c>
      <c r="L211" s="287" t="s">
        <v>44</v>
      </c>
      <c r="M211" s="317" t="n">
        <v>140</v>
      </c>
      <c r="N211" s="317" t="n">
        <v>0.739</v>
      </c>
      <c r="O211" s="317" t="n">
        <v>0.778</v>
      </c>
      <c r="P211" s="317" t="n">
        <v>0.76</v>
      </c>
      <c r="Q211" s="317" t="n">
        <v>0.757</v>
      </c>
      <c r="R211" s="317" t="n">
        <v>193720</v>
      </c>
      <c r="S211" s="317" t="n">
        <v>885608</v>
      </c>
      <c r="T211" s="318" t="n">
        <f aca="false">IF(I211="regional",IF(R211&gt;0,R211*0.2975,S211*0.3484),S211*0.1939)</f>
        <v>57631.7</v>
      </c>
      <c r="U211" s="317" t="n">
        <v>575730</v>
      </c>
      <c r="V211" s="317" t="n">
        <v>309878</v>
      </c>
      <c r="W211" s="317" t="n">
        <v>4750</v>
      </c>
      <c r="X211" s="317" t="n">
        <v>574203.7</v>
      </c>
      <c r="Y211" s="317" t="n">
        <v>57631.7</v>
      </c>
      <c r="Z211" s="317" t="n">
        <v>516572</v>
      </c>
      <c r="AA211" s="317" t="n">
        <v>369036</v>
      </c>
      <c r="AB211" s="317" t="n">
        <v>0</v>
      </c>
      <c r="AC211" s="317" t="n">
        <v>369036</v>
      </c>
      <c r="AD211" s="317" t="n">
        <v>516572</v>
      </c>
      <c r="AE211" s="317" t="n">
        <v>0</v>
      </c>
      <c r="AF211" s="317" t="n">
        <v>369036</v>
      </c>
      <c r="AG211" s="317" t="n">
        <v>0</v>
      </c>
      <c r="AH211" s="317" t="n">
        <v>677000</v>
      </c>
      <c r="AI211" s="317" t="n">
        <v>587000</v>
      </c>
      <c r="AJ211" s="286" t="s">
        <v>707</v>
      </c>
      <c r="AK211" s="286" t="s">
        <v>708</v>
      </c>
      <c r="AL211" s="287" t="s">
        <v>48</v>
      </c>
      <c r="AM211" s="286"/>
      <c r="AN211" s="287" t="s">
        <v>536</v>
      </c>
      <c r="AO211" s="287" t="n">
        <v>574203.7</v>
      </c>
      <c r="AP211" s="319" t="n">
        <f aca="false">AR211+AT211+AU211+AV211+AX211+AY211+AZ211+BD211+BF211+BG211+BH211+BJ211+BK211+(BL211+BM211+BN211)/1000+(0.1*BO211)</f>
        <v>831.4037</v>
      </c>
      <c r="AQ211" s="319" t="n">
        <f aca="false">AR211+AT211+AU211+AV211+AX211+AY211+AZ211+BB211+BC211+BD211+BF211+BG211+BH211+BJ211+BK211+(BL211+BM211+BN211)/1000+(0.1*BO211)</f>
        <v>873.4037</v>
      </c>
      <c r="AR211" s="285" t="n">
        <v>412</v>
      </c>
      <c r="AS211" s="285" t="n">
        <v>587</v>
      </c>
      <c r="AT211" s="285" t="n">
        <v>224</v>
      </c>
      <c r="AU211" s="285" t="n">
        <v>0</v>
      </c>
      <c r="AV211" s="285" t="n">
        <v>0</v>
      </c>
      <c r="AW211" s="285" t="n">
        <v>0</v>
      </c>
      <c r="AX211" s="285" t="n">
        <v>0</v>
      </c>
      <c r="AY211" s="285" t="n">
        <v>0</v>
      </c>
      <c r="AZ211" s="285" t="n">
        <v>23</v>
      </c>
      <c r="BA211" s="285" t="n">
        <v>12</v>
      </c>
      <c r="BB211" s="285" t="n">
        <v>42</v>
      </c>
      <c r="BC211" s="285" t="n">
        <v>0</v>
      </c>
      <c r="BD211" s="285" t="n">
        <v>42</v>
      </c>
      <c r="BE211" s="285" t="n">
        <v>0</v>
      </c>
      <c r="BF211" s="285" t="n">
        <v>0</v>
      </c>
      <c r="BG211" s="285" t="n">
        <v>0</v>
      </c>
      <c r="BH211" s="285" t="n">
        <v>49</v>
      </c>
      <c r="BI211" s="285" t="n">
        <v>1</v>
      </c>
      <c r="BJ211" s="285" t="n">
        <v>0</v>
      </c>
      <c r="BK211" s="285" t="n">
        <v>0</v>
      </c>
      <c r="BL211" s="285" t="n">
        <v>0</v>
      </c>
      <c r="BM211" s="285" t="n">
        <v>0</v>
      </c>
      <c r="BN211" s="285" t="n">
        <v>0</v>
      </c>
      <c r="BO211" s="285" t="n">
        <v>814.037</v>
      </c>
      <c r="BR211" s="290" t="n">
        <f aca="false">AR211*1000/0.072</f>
        <v>5722222.22222222</v>
      </c>
      <c r="BS211" s="290" t="n">
        <f aca="false">AT211*1000/0.072</f>
        <v>3111111.11111111</v>
      </c>
      <c r="BT211" s="290" t="n">
        <f aca="false">AU211*1000/0.072</f>
        <v>0</v>
      </c>
      <c r="BU211" s="290" t="n">
        <f aca="false">SUM(BR211:BT211)</f>
        <v>8833333.33333333</v>
      </c>
      <c r="BV211" s="290" t="n">
        <f aca="false">AV211*1000/5</f>
        <v>0</v>
      </c>
      <c r="BW211" s="290" t="n">
        <f aca="false">AX211*1000/5</f>
        <v>0</v>
      </c>
      <c r="BX211" s="290" t="n">
        <f aca="false">AY211*1000/5</f>
        <v>0</v>
      </c>
      <c r="BY211" s="290" t="n">
        <f aca="false">SUM(BV211:BX211)</f>
        <v>0</v>
      </c>
      <c r="CA211" s="290" t="n">
        <f aca="false">IF($AM211="n",0,BR211)</f>
        <v>5722222.22222222</v>
      </c>
      <c r="CB211" s="290" t="n">
        <f aca="false">IF($AM211="n",0,BS211)</f>
        <v>3111111.11111111</v>
      </c>
      <c r="CC211" s="290" t="n">
        <f aca="false">IF($AM211="n",0,BT211)</f>
        <v>0</v>
      </c>
      <c r="CD211" s="290" t="n">
        <f aca="false">SUM(CA211:CC211)</f>
        <v>8833333.33333333</v>
      </c>
      <c r="CE211" s="290" t="n">
        <f aca="false">IF($AM$2="n",0,BV211)</f>
        <v>0</v>
      </c>
      <c r="CF211" s="290" t="n">
        <f aca="false">IF($AM$2="n",0,BW211)</f>
        <v>0</v>
      </c>
      <c r="CG211" s="290" t="n">
        <f aca="false">IF($AM$2="n",0,BX211)</f>
        <v>0</v>
      </c>
      <c r="CH211" s="290" t="n">
        <f aca="false">SUM(CE211:CG211)</f>
        <v>0</v>
      </c>
    </row>
    <row r="212" customFormat="false" ht="15" hidden="false" customHeight="true" outlineLevel="0" collapsed="false">
      <c r="A212" s="285" t="n">
        <v>9600</v>
      </c>
      <c r="B212" s="285"/>
      <c r="C212" s="286" t="s">
        <v>537</v>
      </c>
      <c r="D212" s="287" t="s">
        <v>537</v>
      </c>
      <c r="E212" s="288" t="n">
        <f aca="false">IF(I212="regional",IF(R212*0.2975,S212*0.3484),S212*0.1939)</f>
        <v>436731.9424</v>
      </c>
      <c r="F212" s="288" t="n">
        <v>0</v>
      </c>
      <c r="G212" s="289" t="n">
        <f aca="false">E212+F212</f>
        <v>436731.9424</v>
      </c>
      <c r="H212" s="286"/>
      <c r="I212" s="287" t="s">
        <v>48</v>
      </c>
      <c r="J212" s="287" t="s">
        <v>49</v>
      </c>
      <c r="K212" s="287" t="s">
        <v>539</v>
      </c>
      <c r="L212" s="287"/>
      <c r="M212" s="317" t="n">
        <v>149</v>
      </c>
      <c r="N212" s="317" t="n">
        <v>0.844</v>
      </c>
      <c r="O212" s="317" t="n">
        <v>0.854</v>
      </c>
      <c r="P212" s="317" t="n">
        <v>0.82</v>
      </c>
      <c r="Q212" s="317" t="n">
        <v>0.775</v>
      </c>
      <c r="R212" s="317" t="n">
        <v>1402976</v>
      </c>
      <c r="S212" s="317" t="n">
        <v>1253536</v>
      </c>
      <c r="T212" s="318" t="n">
        <f aca="false">IF(I212="regional",IF(R212&gt;0,R212*0.2975,S212*0.3484),S212*0.1939)</f>
        <v>417385.36</v>
      </c>
      <c r="U212" s="317" t="n">
        <v>924045</v>
      </c>
      <c r="V212" s="317" t="n">
        <v>329491</v>
      </c>
      <c r="W212" s="317" t="n">
        <v>7800</v>
      </c>
      <c r="X212" s="317" t="n">
        <v>0</v>
      </c>
      <c r="Y212" s="317" t="n">
        <v>0</v>
      </c>
      <c r="Z212" s="317" t="n">
        <v>0</v>
      </c>
      <c r="AA212" s="317" t="n">
        <v>1670921.36</v>
      </c>
      <c r="AB212" s="317" t="n">
        <v>417385.36</v>
      </c>
      <c r="AC212" s="317" t="n">
        <v>1253536</v>
      </c>
      <c r="AD212" s="317" t="n">
        <v>0</v>
      </c>
      <c r="AE212" s="317" t="n">
        <v>0</v>
      </c>
      <c r="AF212" s="317" t="n">
        <v>0</v>
      </c>
      <c r="AG212" s="317" t="n">
        <v>1253536</v>
      </c>
      <c r="AH212" s="317" t="n">
        <v>0</v>
      </c>
      <c r="AI212" s="317" t="n">
        <v>0</v>
      </c>
      <c r="AJ212" s="286" t="n">
        <v>4</v>
      </c>
      <c r="AK212" s="286" t="s">
        <v>711</v>
      </c>
      <c r="AL212" s="287" t="s">
        <v>48</v>
      </c>
      <c r="AM212" s="286"/>
      <c r="AN212" s="287" t="s">
        <v>537</v>
      </c>
      <c r="AO212" s="287" t="n">
        <v>417385.36</v>
      </c>
      <c r="AP212" s="319" t="n">
        <f aca="false">AR212+AT212+AU212+AV212+AX212+AY212+AZ212+BD212+BF212+BG212+BH212+BJ212+BK212+(BL212+BM212+BN212)/1000+(0.1*BO212)</f>
        <v>813.4755</v>
      </c>
      <c r="AQ212" s="319" t="n">
        <f aca="false">AR212+AT212+AU212+AV212+AX212+AY212+AZ212+BB212+BC212+BD212+BF212+BG212+BH212+BJ212+BK212+(BL212+BM212+BN212)/1000+(0.1*BO212)</f>
        <v>978.4755</v>
      </c>
      <c r="AR212" s="285" t="n">
        <v>0</v>
      </c>
      <c r="AS212" s="285" t="n">
        <v>0</v>
      </c>
      <c r="AT212" s="285" t="n">
        <v>123</v>
      </c>
      <c r="AU212" s="285" t="n">
        <v>21</v>
      </c>
      <c r="AV212" s="285" t="n">
        <v>0</v>
      </c>
      <c r="AW212" s="285" t="n">
        <v>0</v>
      </c>
      <c r="AX212" s="285" t="n">
        <v>10</v>
      </c>
      <c r="AY212" s="285" t="n">
        <v>18</v>
      </c>
      <c r="AZ212" s="285" t="n">
        <v>0</v>
      </c>
      <c r="BA212" s="285" t="n">
        <v>0</v>
      </c>
      <c r="BB212" s="285" t="n">
        <v>161</v>
      </c>
      <c r="BC212" s="285" t="n">
        <v>4</v>
      </c>
      <c r="BD212" s="285" t="n">
        <v>0</v>
      </c>
      <c r="BE212" s="285" t="n">
        <v>0</v>
      </c>
      <c r="BF212" s="285" t="n">
        <v>0</v>
      </c>
      <c r="BG212" s="285" t="n">
        <v>0</v>
      </c>
      <c r="BH212" s="285" t="n">
        <v>0</v>
      </c>
      <c r="BI212" s="285" t="n">
        <v>0</v>
      </c>
      <c r="BJ212" s="285" t="n">
        <v>0</v>
      </c>
      <c r="BK212" s="285" t="n">
        <v>0</v>
      </c>
      <c r="BL212" s="285" t="n">
        <v>567938</v>
      </c>
      <c r="BM212" s="285" t="n">
        <v>0</v>
      </c>
      <c r="BN212" s="285" t="n">
        <v>0</v>
      </c>
      <c r="BO212" s="285" t="n">
        <v>735.375</v>
      </c>
      <c r="BR212" s="290" t="n">
        <f aca="false">AR212*1000/0.072</f>
        <v>0</v>
      </c>
      <c r="BS212" s="290" t="n">
        <f aca="false">AT212*1000/0.072</f>
        <v>1708333.33333333</v>
      </c>
      <c r="BT212" s="290" t="n">
        <f aca="false">AU212*1000/0.072</f>
        <v>291666.666666667</v>
      </c>
      <c r="BU212" s="290" t="n">
        <f aca="false">SUM(BR212:BT212)</f>
        <v>2000000</v>
      </c>
      <c r="BV212" s="290" t="n">
        <f aca="false">AV212*1000/5</f>
        <v>0</v>
      </c>
      <c r="BW212" s="290" t="n">
        <f aca="false">AX212*1000/5</f>
        <v>2000</v>
      </c>
      <c r="BX212" s="290" t="n">
        <f aca="false">AY212*1000/5</f>
        <v>3600</v>
      </c>
      <c r="BY212" s="290" t="n">
        <f aca="false">SUM(BV212:BX212)</f>
        <v>5600</v>
      </c>
      <c r="CA212" s="290" t="n">
        <f aca="false">IF($AM212="n",0,BR212)</f>
        <v>0</v>
      </c>
      <c r="CB212" s="290" t="n">
        <f aca="false">IF($AM212="n",0,BS212)</f>
        <v>1708333.33333333</v>
      </c>
      <c r="CC212" s="290" t="n">
        <f aca="false">IF($AM212="n",0,BT212)</f>
        <v>291666.666666667</v>
      </c>
      <c r="CD212" s="290" t="n">
        <f aca="false">SUM(CA212:CC212)</f>
        <v>2000000</v>
      </c>
      <c r="CE212" s="290" t="n">
        <f aca="false">IF($AM$2="n",0,BV212)</f>
        <v>0</v>
      </c>
      <c r="CF212" s="290" t="n">
        <f aca="false">IF($AM$2="n",0,BW212)</f>
        <v>2000</v>
      </c>
      <c r="CG212" s="290" t="n">
        <f aca="false">IF($AM$2="n",0,BX212)</f>
        <v>3600</v>
      </c>
      <c r="CH212" s="290" t="n">
        <f aca="false">SUM(CE212:CG212)</f>
        <v>5600</v>
      </c>
    </row>
    <row r="213" customFormat="false" ht="15" hidden="false" customHeight="true" outlineLevel="0" collapsed="false">
      <c r="A213" s="285" t="n">
        <v>3911</v>
      </c>
      <c r="B213" s="285"/>
      <c r="C213" s="286" t="s">
        <v>540</v>
      </c>
      <c r="D213" s="287" t="s">
        <v>540</v>
      </c>
      <c r="E213" s="288" t="n">
        <f aca="false">IF(I213="regional",IF(R213*0.2975,S213*0.3484),S213*0.1939)</f>
        <v>20941.3939</v>
      </c>
      <c r="F213" s="288" t="n">
        <v>0</v>
      </c>
      <c r="G213" s="289" t="n">
        <f aca="false">E213+F213</f>
        <v>20941.3939</v>
      </c>
      <c r="H213" s="286"/>
      <c r="I213" s="287" t="s">
        <v>62</v>
      </c>
      <c r="J213" s="287"/>
      <c r="K213" s="287" t="s">
        <v>170</v>
      </c>
      <c r="L213" s="287"/>
      <c r="M213" s="317" t="n">
        <v>0</v>
      </c>
      <c r="N213" s="317" t="n">
        <v>1</v>
      </c>
      <c r="O213" s="317" t="n">
        <v>1</v>
      </c>
      <c r="P213" s="317" t="n">
        <v>0</v>
      </c>
      <c r="Q213" s="317" t="n">
        <v>0</v>
      </c>
      <c r="R213" s="317" t="n">
        <v>0</v>
      </c>
      <c r="S213" s="317" t="n">
        <v>108001</v>
      </c>
      <c r="T213" s="318" t="n">
        <f aca="false">IF(I213="regional",IF(R213&gt;0,R213*0.2975,S213*0.3484),S213*0.1939)</f>
        <v>20941.3939</v>
      </c>
      <c r="U213" s="317" t="n">
        <v>98083</v>
      </c>
      <c r="V213" s="317" t="n">
        <v>9918</v>
      </c>
      <c r="W213" s="317" t="n">
        <v>1600</v>
      </c>
      <c r="X213" s="317" t="n">
        <v>0</v>
      </c>
      <c r="Y213" s="317" t="n">
        <v>0</v>
      </c>
      <c r="Z213" s="317" t="n">
        <v>0</v>
      </c>
      <c r="AA213" s="317" t="n">
        <v>128942.3939</v>
      </c>
      <c r="AB213" s="317" t="n">
        <v>20941.3939</v>
      </c>
      <c r="AC213" s="317" t="n">
        <v>108001</v>
      </c>
      <c r="AD213" s="317" t="n">
        <v>0</v>
      </c>
      <c r="AE213" s="317" t="n">
        <v>0</v>
      </c>
      <c r="AF213" s="317" t="n">
        <v>0</v>
      </c>
      <c r="AG213" s="317" t="n">
        <v>108001</v>
      </c>
      <c r="AH213" s="317" t="n">
        <v>0</v>
      </c>
      <c r="AI213" s="317" t="n">
        <v>0</v>
      </c>
      <c r="AJ213" s="286" t="n">
        <v>4</v>
      </c>
      <c r="AK213" s="286" t="s">
        <v>720</v>
      </c>
      <c r="AL213" s="287" t="s">
        <v>62</v>
      </c>
      <c r="AM213" s="286"/>
      <c r="AN213" s="287" t="s">
        <v>540</v>
      </c>
      <c r="AO213" s="287" t="n">
        <v>20941.3939</v>
      </c>
      <c r="AP213" s="319" t="n">
        <f aca="false">AR213+AT213+AU213+AV213+AX213+AY213+AZ213+BD213+BF213+BG213+BH213+BJ213+BK213+(BL213+BM213+BN213)/1000+(0.1*BO213)</f>
        <v>11.205508</v>
      </c>
      <c r="AQ213" s="319" t="n">
        <f aca="false">AR213+AT213+AU213+AV213+AX213+AY213+AZ213+BB213+BC213+BD213+BF213+BG213+BH213+BJ213+BK213+(BL213+BM213+BN213)/1000+(0.1*BO213)</f>
        <v>11.205508</v>
      </c>
      <c r="AR213" s="285" t="n">
        <v>0</v>
      </c>
      <c r="AS213" s="285" t="n">
        <v>0</v>
      </c>
      <c r="AT213" s="285" t="n">
        <v>8</v>
      </c>
      <c r="AU213" s="285" t="n">
        <v>0</v>
      </c>
      <c r="AV213" s="285" t="n">
        <v>0</v>
      </c>
      <c r="AW213" s="285" t="n">
        <v>0</v>
      </c>
      <c r="AX213" s="285" t="n">
        <v>0</v>
      </c>
      <c r="AY213" s="285" t="n">
        <v>2</v>
      </c>
      <c r="AZ213" s="285" t="n">
        <v>0</v>
      </c>
      <c r="BA213" s="285" t="n">
        <v>0</v>
      </c>
      <c r="BB213" s="285" t="n">
        <v>0</v>
      </c>
      <c r="BC213" s="285" t="n">
        <v>0</v>
      </c>
      <c r="BD213" s="285" t="n">
        <v>0</v>
      </c>
      <c r="BE213" s="285" t="n">
        <v>0</v>
      </c>
      <c r="BF213" s="285" t="n">
        <v>0</v>
      </c>
      <c r="BG213" s="285" t="n">
        <v>0</v>
      </c>
      <c r="BH213" s="285" t="n">
        <v>0</v>
      </c>
      <c r="BI213" s="285" t="n">
        <v>0</v>
      </c>
      <c r="BJ213" s="285" t="n">
        <v>0</v>
      </c>
      <c r="BK213" s="285" t="n">
        <v>0</v>
      </c>
      <c r="BL213" s="285" t="n">
        <v>0</v>
      </c>
      <c r="BM213" s="285" t="n">
        <v>0</v>
      </c>
      <c r="BN213" s="285" t="n">
        <v>0</v>
      </c>
      <c r="BO213" s="285" t="n">
        <v>12.05508</v>
      </c>
      <c r="BP213" s="324"/>
      <c r="BR213" s="290" t="n">
        <f aca="false">AR213*1000/0.072</f>
        <v>0</v>
      </c>
      <c r="BS213" s="290" t="n">
        <f aca="false">AT213*1000/0.072</f>
        <v>111111.111111111</v>
      </c>
      <c r="BT213" s="290" t="n">
        <f aca="false">AU213*1000/0.072</f>
        <v>0</v>
      </c>
      <c r="BU213" s="290" t="n">
        <f aca="false">SUM(BR213:BT213)</f>
        <v>111111.111111111</v>
      </c>
      <c r="BV213" s="290" t="n">
        <f aca="false">AV213*1000/5</f>
        <v>0</v>
      </c>
      <c r="BW213" s="290" t="n">
        <f aca="false">AX213*1000/5</f>
        <v>0</v>
      </c>
      <c r="BX213" s="290" t="n">
        <f aca="false">AY213*1000/5</f>
        <v>400</v>
      </c>
      <c r="BY213" s="290" t="n">
        <f aca="false">SUM(BV213:BX213)</f>
        <v>400</v>
      </c>
      <c r="CA213" s="290" t="n">
        <f aca="false">IF($AM213="n",0,BR213)</f>
        <v>0</v>
      </c>
      <c r="CB213" s="290" t="n">
        <f aca="false">IF($AM213="n",0,BS213)</f>
        <v>111111.111111111</v>
      </c>
      <c r="CC213" s="290" t="n">
        <f aca="false">IF($AM213="n",0,BT213)</f>
        <v>0</v>
      </c>
      <c r="CD213" s="290" t="n">
        <f aca="false">SUM(CA213:CC213)</f>
        <v>111111.111111111</v>
      </c>
      <c r="CE213" s="290" t="n">
        <f aca="false">IF($AM$2="n",0,BV213)</f>
        <v>0</v>
      </c>
      <c r="CF213" s="290" t="n">
        <f aca="false">IF($AM$2="n",0,BW213)</f>
        <v>0</v>
      </c>
      <c r="CG213" s="290" t="n">
        <f aca="false">IF($AM$2="n",0,BX213)</f>
        <v>400</v>
      </c>
      <c r="CH213" s="290" t="n">
        <f aca="false">SUM(CE213:CG213)</f>
        <v>400</v>
      </c>
      <c r="CJ213" s="324"/>
      <c r="CK213" s="324"/>
      <c r="CL213" s="324"/>
      <c r="CM213" s="324"/>
      <c r="CN213" s="324"/>
      <c r="CO213" s="324"/>
      <c r="CP213" s="324"/>
      <c r="CQ213" s="324"/>
      <c r="CR213" s="324"/>
      <c r="CS213" s="324"/>
      <c r="CT213" s="324"/>
      <c r="CU213" s="324"/>
      <c r="CV213" s="324"/>
      <c r="CW213" s="324"/>
      <c r="CX213" s="324"/>
      <c r="CY213" s="324"/>
      <c r="CZ213" s="324"/>
      <c r="DA213" s="324"/>
      <c r="DB213" s="324"/>
      <c r="DC213" s="324"/>
      <c r="DD213" s="324"/>
      <c r="DE213" s="324"/>
      <c r="DF213" s="324"/>
      <c r="DG213" s="324"/>
      <c r="DH213" s="324"/>
      <c r="DI213" s="324"/>
      <c r="DJ213" s="324"/>
      <c r="DK213" s="324"/>
      <c r="DL213" s="324"/>
      <c r="DM213" s="324"/>
      <c r="DN213" s="324"/>
      <c r="DO213" s="324"/>
      <c r="DP213" s="324"/>
      <c r="DQ213" s="324"/>
      <c r="DR213" s="324"/>
      <c r="DS213" s="324"/>
      <c r="DT213" s="324"/>
      <c r="DU213" s="324"/>
      <c r="DV213" s="324"/>
      <c r="DW213" s="324"/>
      <c r="DX213" s="324"/>
      <c r="DY213" s="324"/>
      <c r="DZ213" s="324"/>
      <c r="EA213" s="324"/>
      <c r="EB213" s="324"/>
      <c r="EC213" s="324"/>
      <c r="ED213" s="324"/>
      <c r="EE213" s="324"/>
      <c r="EF213" s="324"/>
      <c r="EG213" s="324"/>
      <c r="EH213" s="324"/>
      <c r="EI213" s="324"/>
      <c r="EJ213" s="324"/>
      <c r="EK213" s="324"/>
      <c r="EL213" s="324"/>
      <c r="EM213" s="324"/>
      <c r="EN213" s="324"/>
      <c r="EO213" s="324"/>
      <c r="EP213" s="324"/>
      <c r="EQ213" s="324"/>
      <c r="ER213" s="324"/>
      <c r="ES213" s="324"/>
      <c r="ET213" s="324"/>
      <c r="EU213" s="324"/>
      <c r="EV213" s="324"/>
      <c r="EW213" s="324"/>
      <c r="EX213" s="324"/>
      <c r="EY213" s="324"/>
      <c r="EZ213" s="324"/>
      <c r="FA213" s="324"/>
      <c r="FB213" s="324"/>
      <c r="FC213" s="324"/>
      <c r="FD213" s="324"/>
      <c r="FE213" s="324"/>
      <c r="FF213" s="324"/>
      <c r="FG213" s="324"/>
      <c r="FH213" s="324"/>
      <c r="FI213" s="324"/>
      <c r="FJ213" s="324"/>
      <c r="FK213" s="324"/>
      <c r="FL213" s="324"/>
      <c r="FM213" s="324"/>
      <c r="FN213" s="324"/>
      <c r="FO213" s="324"/>
      <c r="FP213" s="324"/>
      <c r="FQ213" s="324"/>
      <c r="FR213" s="324"/>
      <c r="FS213" s="324"/>
      <c r="FT213" s="324"/>
      <c r="FU213" s="324"/>
      <c r="FV213" s="324"/>
      <c r="FW213" s="324"/>
      <c r="FX213" s="324"/>
      <c r="FY213" s="324"/>
      <c r="FZ213" s="324"/>
      <c r="GA213" s="324"/>
      <c r="GB213" s="324"/>
      <c r="GC213" s="324"/>
      <c r="GD213" s="324"/>
      <c r="GE213" s="324"/>
      <c r="GF213" s="324"/>
      <c r="GG213" s="324"/>
      <c r="GH213" s="324"/>
      <c r="GI213" s="324"/>
      <c r="GJ213" s="324"/>
      <c r="GK213" s="324"/>
      <c r="GL213" s="324"/>
      <c r="GM213" s="324"/>
      <c r="GN213" s="324"/>
      <c r="GO213" s="324"/>
      <c r="GP213" s="324"/>
      <c r="GQ213" s="324"/>
      <c r="GR213" s="324"/>
      <c r="GS213" s="324"/>
      <c r="GT213" s="324"/>
      <c r="GU213" s="324"/>
      <c r="GV213" s="324"/>
      <c r="GW213" s="324"/>
      <c r="GX213" s="324"/>
      <c r="GY213" s="324"/>
      <c r="GZ213" s="324"/>
      <c r="HA213" s="324"/>
      <c r="HB213" s="324"/>
      <c r="HC213" s="324"/>
      <c r="HD213" s="324"/>
      <c r="HE213" s="324"/>
      <c r="HF213" s="324"/>
      <c r="HG213" s="324"/>
      <c r="HH213" s="324"/>
      <c r="HI213" s="324"/>
      <c r="HJ213" s="324"/>
      <c r="HK213" s="324"/>
      <c r="HL213" s="324"/>
      <c r="HM213" s="324"/>
      <c r="HN213" s="324"/>
      <c r="HO213" s="324"/>
      <c r="HP213" s="324"/>
      <c r="HQ213" s="324"/>
      <c r="HR213" s="324"/>
      <c r="HS213" s="324"/>
      <c r="HT213" s="324"/>
      <c r="HU213" s="324"/>
      <c r="HV213" s="324"/>
      <c r="HW213" s="324"/>
      <c r="HX213" s="324"/>
      <c r="HY213" s="324"/>
      <c r="HZ213" s="324"/>
      <c r="IA213" s="324"/>
      <c r="IB213" s="324"/>
      <c r="IC213" s="324"/>
      <c r="ID213" s="324"/>
      <c r="IE213" s="324"/>
      <c r="IF213" s="324"/>
      <c r="IG213" s="324"/>
      <c r="IH213" s="324"/>
      <c r="II213" s="324"/>
      <c r="IJ213" s="324"/>
      <c r="IK213" s="324"/>
      <c r="IL213" s="324"/>
      <c r="IM213" s="324"/>
      <c r="IN213" s="324"/>
      <c r="IO213" s="324"/>
      <c r="IP213" s="324"/>
      <c r="IQ213" s="324"/>
      <c r="IR213" s="324"/>
      <c r="IS213" s="324"/>
      <c r="IT213" s="324"/>
      <c r="IU213" s="324"/>
      <c r="IV213" s="324"/>
      <c r="IW213" s="324"/>
    </row>
    <row r="214" customFormat="false" ht="15" hidden="false" customHeight="true" outlineLevel="0" collapsed="false">
      <c r="A214" s="285" t="n">
        <v>9620</v>
      </c>
      <c r="B214" s="285"/>
      <c r="C214" s="286" t="s">
        <v>542</v>
      </c>
      <c r="D214" s="287" t="s">
        <v>542</v>
      </c>
      <c r="E214" s="288" t="n">
        <f aca="false">IF(I214="regional",IF(R214*0.2975,S214*0.3484),S214*0.1939)</f>
        <v>64564.822</v>
      </c>
      <c r="F214" s="288" t="n">
        <v>0</v>
      </c>
      <c r="G214" s="289" t="n">
        <f aca="false">E214+F214</f>
        <v>64564.822</v>
      </c>
      <c r="H214" s="286"/>
      <c r="I214" s="287" t="s">
        <v>62</v>
      </c>
      <c r="J214" s="287"/>
      <c r="K214" s="287" t="s">
        <v>229</v>
      </c>
      <c r="L214" s="287"/>
      <c r="M214" s="317" t="n">
        <v>14</v>
      </c>
      <c r="N214" s="317" t="n">
        <v>0.911</v>
      </c>
      <c r="O214" s="317" t="n">
        <v>0.911</v>
      </c>
      <c r="P214" s="317" t="n">
        <v>0.88</v>
      </c>
      <c r="Q214" s="317" t="n">
        <v>0.957</v>
      </c>
      <c r="R214" s="317" t="n">
        <v>0</v>
      </c>
      <c r="S214" s="317" t="n">
        <v>332980</v>
      </c>
      <c r="T214" s="318" t="n">
        <f aca="false">IF(I214="regional",IF(R214&gt;0,R214*0.2975,S214*0.3484),S214*0.1939)</f>
        <v>64564.822</v>
      </c>
      <c r="U214" s="317" t="n">
        <v>281831</v>
      </c>
      <c r="V214" s="317" t="n">
        <v>51149</v>
      </c>
      <c r="W214" s="317" t="n">
        <v>1700</v>
      </c>
      <c r="X214" s="317" t="n">
        <v>0</v>
      </c>
      <c r="Y214" s="317" t="n">
        <v>0</v>
      </c>
      <c r="Z214" s="317" t="n">
        <v>0</v>
      </c>
      <c r="AA214" s="317" t="n">
        <v>397544.822</v>
      </c>
      <c r="AB214" s="317" t="n">
        <v>64564.822</v>
      </c>
      <c r="AC214" s="317" t="n">
        <v>332980</v>
      </c>
      <c r="AD214" s="317" t="n">
        <v>0</v>
      </c>
      <c r="AE214" s="317" t="n">
        <v>0</v>
      </c>
      <c r="AF214" s="317" t="n">
        <v>0</v>
      </c>
      <c r="AG214" s="317" t="n">
        <v>332980</v>
      </c>
      <c r="AH214" s="317" t="n">
        <v>0</v>
      </c>
      <c r="AI214" s="317" t="n">
        <v>0</v>
      </c>
      <c r="AJ214" s="286" t="s">
        <v>707</v>
      </c>
      <c r="AK214" s="286" t="s">
        <v>714</v>
      </c>
      <c r="AL214" s="287" t="s">
        <v>62</v>
      </c>
      <c r="AM214" s="286"/>
      <c r="AN214" s="287" t="s">
        <v>542</v>
      </c>
      <c r="AO214" s="287" t="n">
        <v>64564.822</v>
      </c>
      <c r="AP214" s="319" t="n">
        <f aca="false">AR214+AT214+AU214+AV214+AX214+AY214+AZ214+BD214+BF214+BG214+BH214+BJ214+BK214+(BL214+BM214+BN214)/1000+(0.1*BO214)</f>
        <v>1.3516</v>
      </c>
      <c r="AQ214" s="319" t="n">
        <f aca="false">AR214+AT214+AU214+AV214+AX214+AY214+AZ214+BB214+BC214+BD214+BF214+BG214+BH214+BJ214+BK214+(BL214+BM214+BN214)/1000+(0.1*BO214)</f>
        <v>10.3516</v>
      </c>
      <c r="AR214" s="285" t="n">
        <v>0</v>
      </c>
      <c r="AS214" s="285" t="n">
        <v>0</v>
      </c>
      <c r="AT214" s="285" t="n">
        <v>1</v>
      </c>
      <c r="AU214" s="285" t="n">
        <v>0</v>
      </c>
      <c r="AV214" s="285" t="n">
        <v>0</v>
      </c>
      <c r="AW214" s="285" t="n">
        <v>0</v>
      </c>
      <c r="AX214" s="285" t="n">
        <v>0</v>
      </c>
      <c r="AY214" s="285" t="n">
        <v>0</v>
      </c>
      <c r="AZ214" s="285" t="n">
        <v>0</v>
      </c>
      <c r="BA214" s="285" t="n">
        <v>0</v>
      </c>
      <c r="BB214" s="285" t="n">
        <v>9</v>
      </c>
      <c r="BC214" s="285" t="n">
        <v>0</v>
      </c>
      <c r="BD214" s="285" t="n">
        <v>0</v>
      </c>
      <c r="BE214" s="285" t="n">
        <v>0</v>
      </c>
      <c r="BF214" s="285" t="n">
        <v>0</v>
      </c>
      <c r="BG214" s="285" t="n">
        <v>0</v>
      </c>
      <c r="BH214" s="285" t="n">
        <v>0</v>
      </c>
      <c r="BI214" s="285" t="n">
        <v>0</v>
      </c>
      <c r="BJ214" s="285" t="n">
        <v>0</v>
      </c>
      <c r="BK214" s="285" t="n">
        <v>0</v>
      </c>
      <c r="BL214" s="285" t="n">
        <v>0</v>
      </c>
      <c r="BM214" s="285" t="n">
        <v>0</v>
      </c>
      <c r="BN214" s="285" t="n">
        <v>0</v>
      </c>
      <c r="BO214" s="285" t="n">
        <v>3.516</v>
      </c>
      <c r="BP214" s="324"/>
      <c r="BR214" s="290" t="n">
        <f aca="false">AR214*1000/0.072</f>
        <v>0</v>
      </c>
      <c r="BS214" s="290" t="n">
        <f aca="false">AT214*1000/0.072</f>
        <v>13888.8888888889</v>
      </c>
      <c r="BT214" s="290" t="n">
        <f aca="false">AU214*1000/0.072</f>
        <v>0</v>
      </c>
      <c r="BU214" s="290" t="n">
        <f aca="false">SUM(BR214:BT214)</f>
        <v>13888.8888888889</v>
      </c>
      <c r="BV214" s="290" t="n">
        <f aca="false">AV214*1000/5</f>
        <v>0</v>
      </c>
      <c r="BW214" s="290" t="n">
        <f aca="false">AX214*1000/5</f>
        <v>0</v>
      </c>
      <c r="BX214" s="290" t="n">
        <f aca="false">AY214*1000/5</f>
        <v>0</v>
      </c>
      <c r="BY214" s="290" t="n">
        <f aca="false">SUM(BV214:BX214)</f>
        <v>0</v>
      </c>
      <c r="CA214" s="290" t="n">
        <f aca="false">IF($AM214="n",0,BR214)</f>
        <v>0</v>
      </c>
      <c r="CB214" s="290" t="n">
        <f aca="false">IF($AM214="n",0,BS214)</f>
        <v>13888.8888888889</v>
      </c>
      <c r="CC214" s="290" t="n">
        <f aca="false">IF($AM214="n",0,BT214)</f>
        <v>0</v>
      </c>
      <c r="CD214" s="290" t="n">
        <f aca="false">SUM(CA214:CC214)</f>
        <v>13888.8888888889</v>
      </c>
      <c r="CE214" s="290" t="n">
        <f aca="false">IF($AM$2="n",0,BV214)</f>
        <v>0</v>
      </c>
      <c r="CF214" s="290" t="n">
        <f aca="false">IF($AM$2="n",0,BW214)</f>
        <v>0</v>
      </c>
      <c r="CG214" s="290" t="n">
        <f aca="false">IF($AM$2="n",0,BX214)</f>
        <v>0</v>
      </c>
      <c r="CH214" s="290" t="n">
        <f aca="false">SUM(CE214:CG214)</f>
        <v>0</v>
      </c>
      <c r="CJ214" s="324"/>
      <c r="CK214" s="324"/>
      <c r="CL214" s="324"/>
      <c r="CM214" s="324"/>
      <c r="CN214" s="324"/>
      <c r="CO214" s="324"/>
      <c r="CP214" s="324"/>
      <c r="CQ214" s="324"/>
      <c r="CR214" s="324"/>
      <c r="CS214" s="324"/>
      <c r="CT214" s="324"/>
      <c r="CU214" s="324"/>
      <c r="CV214" s="324"/>
      <c r="CW214" s="324"/>
      <c r="CX214" s="324"/>
      <c r="CY214" s="324"/>
      <c r="CZ214" s="324"/>
      <c r="DA214" s="324"/>
      <c r="DB214" s="324"/>
      <c r="DC214" s="324"/>
      <c r="DD214" s="324"/>
      <c r="DE214" s="324"/>
      <c r="DF214" s="324"/>
      <c r="DG214" s="324"/>
      <c r="DH214" s="324"/>
      <c r="DI214" s="324"/>
      <c r="DJ214" s="324"/>
      <c r="DK214" s="324"/>
      <c r="DL214" s="324"/>
      <c r="DM214" s="324"/>
      <c r="DN214" s="324"/>
      <c r="DO214" s="324"/>
      <c r="DP214" s="324"/>
      <c r="DQ214" s="324"/>
      <c r="DR214" s="324"/>
      <c r="DS214" s="324"/>
      <c r="DT214" s="324"/>
      <c r="DU214" s="324"/>
      <c r="DV214" s="324"/>
      <c r="DW214" s="324"/>
      <c r="DX214" s="324"/>
      <c r="DY214" s="324"/>
      <c r="DZ214" s="324"/>
      <c r="EA214" s="324"/>
      <c r="EB214" s="324"/>
      <c r="EC214" s="324"/>
      <c r="ED214" s="324"/>
      <c r="EE214" s="324"/>
      <c r="EF214" s="324"/>
      <c r="EG214" s="324"/>
      <c r="EH214" s="324"/>
      <c r="EI214" s="324"/>
      <c r="EJ214" s="324"/>
      <c r="EK214" s="324"/>
      <c r="EL214" s="324"/>
      <c r="EM214" s="324"/>
      <c r="EN214" s="324"/>
      <c r="EO214" s="324"/>
      <c r="EP214" s="324"/>
      <c r="EQ214" s="324"/>
      <c r="ER214" s="324"/>
      <c r="ES214" s="324"/>
      <c r="ET214" s="324"/>
      <c r="EU214" s="324"/>
      <c r="EV214" s="324"/>
      <c r="EW214" s="324"/>
      <c r="EX214" s="324"/>
      <c r="EY214" s="324"/>
      <c r="EZ214" s="324"/>
      <c r="FA214" s="324"/>
      <c r="FB214" s="324"/>
      <c r="FC214" s="324"/>
      <c r="FD214" s="324"/>
      <c r="FE214" s="324"/>
      <c r="FF214" s="324"/>
      <c r="FG214" s="324"/>
      <c r="FH214" s="324"/>
      <c r="FI214" s="324"/>
      <c r="FJ214" s="324"/>
      <c r="FK214" s="324"/>
      <c r="FL214" s="324"/>
      <c r="FM214" s="324"/>
      <c r="FN214" s="324"/>
      <c r="FO214" s="324"/>
      <c r="FP214" s="324"/>
      <c r="FQ214" s="324"/>
      <c r="FR214" s="324"/>
      <c r="FS214" s="324"/>
      <c r="FT214" s="324"/>
      <c r="FU214" s="324"/>
      <c r="FV214" s="324"/>
      <c r="FW214" s="324"/>
      <c r="FX214" s="324"/>
      <c r="FY214" s="324"/>
      <c r="FZ214" s="324"/>
      <c r="GA214" s="324"/>
      <c r="GB214" s="324"/>
      <c r="GC214" s="324"/>
      <c r="GD214" s="324"/>
      <c r="GE214" s="324"/>
      <c r="GF214" s="324"/>
      <c r="GG214" s="324"/>
      <c r="GH214" s="324"/>
      <c r="GI214" s="324"/>
      <c r="GJ214" s="324"/>
      <c r="GK214" s="324"/>
      <c r="GL214" s="324"/>
      <c r="GM214" s="324"/>
      <c r="GN214" s="324"/>
      <c r="GO214" s="324"/>
      <c r="GP214" s="324"/>
      <c r="GQ214" s="324"/>
      <c r="GR214" s="324"/>
      <c r="GS214" s="324"/>
      <c r="GT214" s="324"/>
      <c r="GU214" s="324"/>
      <c r="GV214" s="324"/>
      <c r="GW214" s="324"/>
      <c r="GX214" s="324"/>
      <c r="GY214" s="324"/>
      <c r="GZ214" s="324"/>
      <c r="HA214" s="324"/>
      <c r="HB214" s="324"/>
      <c r="HC214" s="324"/>
      <c r="HD214" s="324"/>
      <c r="HE214" s="324"/>
      <c r="HF214" s="324"/>
      <c r="HG214" s="324"/>
      <c r="HH214" s="324"/>
      <c r="HI214" s="324"/>
      <c r="HJ214" s="324"/>
      <c r="HK214" s="324"/>
      <c r="HL214" s="324"/>
      <c r="HM214" s="324"/>
      <c r="HN214" s="324"/>
      <c r="HO214" s="324"/>
      <c r="HP214" s="324"/>
      <c r="HQ214" s="324"/>
      <c r="HR214" s="324"/>
      <c r="HS214" s="324"/>
      <c r="HT214" s="324"/>
      <c r="HU214" s="324"/>
      <c r="HV214" s="324"/>
      <c r="HW214" s="324"/>
      <c r="HX214" s="324"/>
      <c r="HY214" s="324"/>
      <c r="HZ214" s="324"/>
      <c r="IA214" s="324"/>
      <c r="IB214" s="324"/>
      <c r="IC214" s="324"/>
      <c r="ID214" s="324"/>
      <c r="IE214" s="324"/>
      <c r="IF214" s="324"/>
      <c r="IG214" s="324"/>
      <c r="IH214" s="324"/>
      <c r="II214" s="324"/>
      <c r="IJ214" s="324"/>
      <c r="IK214" s="324"/>
      <c r="IL214" s="324"/>
      <c r="IM214" s="324"/>
      <c r="IN214" s="324"/>
      <c r="IO214" s="324"/>
      <c r="IP214" s="324"/>
      <c r="IQ214" s="324"/>
      <c r="IR214" s="324"/>
      <c r="IS214" s="324"/>
      <c r="IT214" s="324"/>
      <c r="IU214" s="324"/>
      <c r="IV214" s="324"/>
      <c r="IW214" s="324"/>
    </row>
    <row r="215" customFormat="false" ht="15" hidden="false" customHeight="true" outlineLevel="0" collapsed="false">
      <c r="A215" s="298" t="n">
        <v>4602</v>
      </c>
      <c r="B215" s="298"/>
      <c r="C215" s="299" t="s">
        <v>766</v>
      </c>
      <c r="D215" s="293" t="s">
        <v>766</v>
      </c>
      <c r="E215" s="288" t="n">
        <f aca="false">IF(I215="regional",IF(R215*0.2975,S215*0.3484),S215*0.1939)</f>
        <v>0</v>
      </c>
      <c r="F215" s="294"/>
      <c r="G215" s="289" t="n">
        <f aca="false">E215+F215</f>
        <v>0</v>
      </c>
      <c r="H215" s="292" t="s">
        <v>49</v>
      </c>
      <c r="I215" s="293" t="s">
        <v>48</v>
      </c>
      <c r="J215" s="293"/>
      <c r="K215" s="293"/>
      <c r="L215" s="293"/>
      <c r="M215" s="320"/>
      <c r="N215" s="320"/>
      <c r="O215" s="320"/>
      <c r="P215" s="320"/>
      <c r="Q215" s="320"/>
      <c r="R215" s="320"/>
      <c r="S215" s="320"/>
      <c r="T215" s="318" t="n">
        <f aca="false">IF(I215="regional",IF(R215&gt;0,R215*0.2975,S215*0.3484),S215*0.1939)</f>
        <v>0</v>
      </c>
      <c r="U215" s="320"/>
      <c r="V215" s="320"/>
      <c r="W215" s="320"/>
      <c r="X215" s="320"/>
      <c r="Y215" s="320"/>
      <c r="Z215" s="320"/>
      <c r="AA215" s="320"/>
      <c r="AB215" s="320"/>
      <c r="AC215" s="320"/>
      <c r="AD215" s="320"/>
      <c r="AE215" s="320"/>
      <c r="AF215" s="320"/>
      <c r="AG215" s="320"/>
      <c r="AH215" s="320"/>
      <c r="AI215" s="320"/>
      <c r="AJ215" s="292" t="s">
        <v>707</v>
      </c>
      <c r="AK215" s="292" t="s">
        <v>708</v>
      </c>
      <c r="AL215" s="321" t="s">
        <v>62</v>
      </c>
      <c r="AM215" s="292" t="s">
        <v>49</v>
      </c>
      <c r="AN215" s="328" t="s">
        <v>766</v>
      </c>
      <c r="AO215" s="328" t="n">
        <v>98889</v>
      </c>
      <c r="AP215" s="322" t="n">
        <f aca="false">AR215+AT215+AU215+AV215+AX215+AY215+AZ215+BD215+BF215+BG215+BH215+BJ215+BK215+(BL215+BM215+BN215)/1000+(0.1*BO215)</f>
        <v>28</v>
      </c>
      <c r="AQ215" s="319" t="n">
        <f aca="false">AR215+AT215+AU215+AV215+AX215+AY215+AZ215+BB215+BC215+BD215+BF215+BG215+BH215+BJ215+BK215+(BL215+BM215+BN215)/1000+(0.1*BO215)</f>
        <v>51</v>
      </c>
      <c r="AR215" s="291" t="n">
        <v>0</v>
      </c>
      <c r="AS215" s="291" t="n">
        <v>0</v>
      </c>
      <c r="AT215" s="291" t="n">
        <v>28</v>
      </c>
      <c r="AU215" s="291" t="n">
        <v>0</v>
      </c>
      <c r="AV215" s="291" t="n">
        <v>0</v>
      </c>
      <c r="AW215" s="291" t="n">
        <v>0</v>
      </c>
      <c r="AX215" s="291" t="n">
        <v>0</v>
      </c>
      <c r="AY215" s="291" t="n">
        <v>0</v>
      </c>
      <c r="AZ215" s="291" t="n">
        <v>0</v>
      </c>
      <c r="BA215" s="291" t="n">
        <v>23</v>
      </c>
      <c r="BB215" s="291" t="n">
        <v>23</v>
      </c>
      <c r="BC215" s="291" t="n">
        <v>0</v>
      </c>
      <c r="BD215" s="291" t="n">
        <v>0</v>
      </c>
      <c r="BE215" s="291" t="n">
        <v>0</v>
      </c>
      <c r="BF215" s="291" t="n">
        <v>0</v>
      </c>
      <c r="BG215" s="291" t="n">
        <v>0</v>
      </c>
      <c r="BH215" s="291" t="n">
        <v>0</v>
      </c>
      <c r="BI215" s="291" t="n">
        <v>0</v>
      </c>
      <c r="BJ215" s="291" t="n">
        <v>0</v>
      </c>
      <c r="BK215" s="291" t="n">
        <v>0</v>
      </c>
      <c r="BL215" s="291" t="n">
        <v>0</v>
      </c>
      <c r="BM215" s="291" t="n">
        <v>0</v>
      </c>
      <c r="BN215" s="291" t="n">
        <v>0</v>
      </c>
      <c r="BO215" s="291" t="n">
        <v>0</v>
      </c>
      <c r="BR215" s="290" t="n">
        <f aca="false">AR215*1000/0.072</f>
        <v>0</v>
      </c>
      <c r="BS215" s="290" t="n">
        <f aca="false">AT215*1000/0.072</f>
        <v>388888.888888889</v>
      </c>
      <c r="BT215" s="290" t="n">
        <f aca="false">AU215*1000/0.072</f>
        <v>0</v>
      </c>
      <c r="BU215" s="290" t="n">
        <f aca="false">SUM(BR215:BT215)</f>
        <v>388888.888888889</v>
      </c>
      <c r="BV215" s="290" t="n">
        <f aca="false">AV215*1000/5</f>
        <v>0</v>
      </c>
      <c r="BW215" s="290" t="n">
        <f aca="false">AX215*1000/5</f>
        <v>0</v>
      </c>
      <c r="BX215" s="290" t="n">
        <f aca="false">AY215*1000/5</f>
        <v>0</v>
      </c>
      <c r="BY215" s="290" t="n">
        <f aca="false">SUM(BV215:BX215)</f>
        <v>0</v>
      </c>
      <c r="CA215" s="290" t="n">
        <f aca="false">IF($AM215="n",0,BR215)</f>
        <v>0</v>
      </c>
      <c r="CB215" s="290" t="n">
        <f aca="false">IF($AM215="n",0,BS215)</f>
        <v>0</v>
      </c>
      <c r="CC215" s="290" t="n">
        <f aca="false">IF($AM215="n",0,BT215)</f>
        <v>0</v>
      </c>
      <c r="CD215" s="290" t="n">
        <f aca="false">SUM(CA215:CC215)</f>
        <v>0</v>
      </c>
      <c r="CE215" s="290" t="n">
        <f aca="false">IF($AM$2="n",0,BV215)</f>
        <v>0</v>
      </c>
      <c r="CF215" s="290" t="n">
        <f aca="false">IF($AM$2="n",0,BW215)</f>
        <v>0</v>
      </c>
      <c r="CG215" s="290" t="n">
        <f aca="false">IF($AM$2="n",0,BX215)</f>
        <v>0</v>
      </c>
      <c r="CH215" s="290" t="n">
        <f aca="false">SUM(CE215:CG215)</f>
        <v>0</v>
      </c>
    </row>
    <row r="216" customFormat="false" ht="15" hidden="false" customHeight="true" outlineLevel="0" collapsed="false">
      <c r="A216" s="291" t="n">
        <v>2307</v>
      </c>
      <c r="B216" s="291" t="s">
        <v>44</v>
      </c>
      <c r="C216" s="292" t="s">
        <v>543</v>
      </c>
      <c r="D216" s="287" t="s">
        <v>543</v>
      </c>
      <c r="E216" s="288" t="n">
        <f aca="false">IF(I216="regional",IF(R216*0.2975,S216*0.3484),S216*0.1939)</f>
        <v>298114.3828</v>
      </c>
      <c r="F216" s="288" t="n">
        <v>0</v>
      </c>
      <c r="G216" s="289" t="n">
        <f aca="false">E216+F216</f>
        <v>298114.3828</v>
      </c>
      <c r="H216" s="292"/>
      <c r="I216" s="287" t="s">
        <v>48</v>
      </c>
      <c r="J216" s="287" t="s">
        <v>44</v>
      </c>
      <c r="K216" s="287" t="s">
        <v>170</v>
      </c>
      <c r="L216" s="287"/>
      <c r="M216" s="317" t="n">
        <v>75</v>
      </c>
      <c r="N216" s="317" t="n">
        <v>0.879</v>
      </c>
      <c r="O216" s="317" t="n">
        <v>0.939</v>
      </c>
      <c r="P216" s="317" t="n">
        <v>0.845</v>
      </c>
      <c r="Q216" s="317" t="n">
        <v>0.821</v>
      </c>
      <c r="R216" s="317" t="n">
        <v>984155</v>
      </c>
      <c r="S216" s="317" t="n">
        <v>855667</v>
      </c>
      <c r="T216" s="318" t="n">
        <f aca="false">IF(I216="regional",IF(R216&gt;0,R216*0.2975,S216*0.3484),S216*0.1939)</f>
        <v>292786.1125</v>
      </c>
      <c r="U216" s="317" t="n">
        <v>568373</v>
      </c>
      <c r="V216" s="317" t="n">
        <v>287294</v>
      </c>
      <c r="W216" s="317" t="n">
        <v>3000</v>
      </c>
      <c r="X216" s="317" t="n">
        <v>0</v>
      </c>
      <c r="Y216" s="317" t="n">
        <v>0</v>
      </c>
      <c r="Z216" s="317" t="n">
        <v>0</v>
      </c>
      <c r="AA216" s="317" t="n">
        <v>1148453.113</v>
      </c>
      <c r="AB216" s="317" t="n">
        <v>292786.1125</v>
      </c>
      <c r="AC216" s="317" t="n">
        <v>855667</v>
      </c>
      <c r="AD216" s="317" t="n">
        <v>0</v>
      </c>
      <c r="AE216" s="317" t="n">
        <v>0</v>
      </c>
      <c r="AF216" s="317" t="n">
        <v>855667</v>
      </c>
      <c r="AG216" s="317" t="n">
        <v>0</v>
      </c>
      <c r="AH216" s="317" t="n">
        <v>185000</v>
      </c>
      <c r="AI216" s="317" t="n">
        <v>174000</v>
      </c>
      <c r="AJ216" s="292" t="n">
        <v>4</v>
      </c>
      <c r="AK216" s="292" t="s">
        <v>720</v>
      </c>
      <c r="AL216" s="321" t="s">
        <v>128</v>
      </c>
      <c r="AM216" s="292"/>
      <c r="AN216" s="321" t="s">
        <v>767</v>
      </c>
      <c r="AO216" s="321" t="n">
        <v>0</v>
      </c>
      <c r="AP216" s="322" t="n">
        <f aca="false">AR216+AT216+AU216+AV216+AX216+AY216+AZ216+BD216+BF216+BG216+BH216+BJ216+BK216+(BL216+BM216+BN216)/1000+(0.1*BO216)</f>
        <v>135.4122</v>
      </c>
      <c r="AQ216" s="319" t="n">
        <f aca="false">AR216+AT216+AU216+AV216+AX216+AY216+AZ216+BB216+BC216+BD216+BF216+BG216+BH216+BJ216+BK216+(BL216+BM216+BN216)/1000+(0.1*BO216)</f>
        <v>137.4122</v>
      </c>
      <c r="AR216" s="291" t="n">
        <v>38</v>
      </c>
      <c r="AS216" s="291" t="n">
        <v>174</v>
      </c>
      <c r="AT216" s="291" t="n">
        <v>62</v>
      </c>
      <c r="AU216" s="291" t="n">
        <v>15</v>
      </c>
      <c r="AV216" s="291" t="n">
        <v>0</v>
      </c>
      <c r="AW216" s="291" t="n">
        <v>0</v>
      </c>
      <c r="AX216" s="291" t="n">
        <v>0</v>
      </c>
      <c r="AY216" s="291" t="n">
        <v>0</v>
      </c>
      <c r="AZ216" s="291" t="n">
        <v>0</v>
      </c>
      <c r="BA216" s="291" t="n">
        <v>14</v>
      </c>
      <c r="BB216" s="291" t="n">
        <v>2</v>
      </c>
      <c r="BC216" s="291" t="n">
        <v>0</v>
      </c>
      <c r="BD216" s="291" t="n">
        <v>0</v>
      </c>
      <c r="BE216" s="291" t="n">
        <v>0</v>
      </c>
      <c r="BF216" s="291" t="n">
        <v>0</v>
      </c>
      <c r="BG216" s="291" t="n">
        <v>0</v>
      </c>
      <c r="BH216" s="291" t="n">
        <v>0</v>
      </c>
      <c r="BI216" s="291" t="n">
        <v>0</v>
      </c>
      <c r="BJ216" s="291" t="n">
        <v>0</v>
      </c>
      <c r="BK216" s="291" t="n">
        <v>0</v>
      </c>
      <c r="BL216" s="291" t="n">
        <v>0</v>
      </c>
      <c r="BM216" s="291" t="n">
        <v>0</v>
      </c>
      <c r="BN216" s="291" t="n">
        <v>0</v>
      </c>
      <c r="BO216" s="291" t="n">
        <v>204.122</v>
      </c>
      <c r="BR216" s="290" t="n">
        <f aca="false">AR216*1000/0.072</f>
        <v>527777.777777778</v>
      </c>
      <c r="BS216" s="290" t="n">
        <f aca="false">AT216*1000/0.072</f>
        <v>861111.111111111</v>
      </c>
      <c r="BT216" s="290" t="n">
        <f aca="false">AU216*1000/0.072</f>
        <v>208333.333333333</v>
      </c>
      <c r="BU216" s="290" t="n">
        <f aca="false">SUM(BR216:BT216)</f>
        <v>1597222.22222222</v>
      </c>
      <c r="BV216" s="290" t="n">
        <f aca="false">AV216*1000/5</f>
        <v>0</v>
      </c>
      <c r="BW216" s="290" t="n">
        <f aca="false">AX216*1000/5</f>
        <v>0</v>
      </c>
      <c r="BX216" s="290" t="n">
        <f aca="false">AY216*1000/5</f>
        <v>0</v>
      </c>
      <c r="BY216" s="290" t="n">
        <f aca="false">SUM(BV216:BX216)</f>
        <v>0</v>
      </c>
      <c r="CA216" s="290" t="n">
        <f aca="false">IF($AM216="n",0,BR216)</f>
        <v>527777.777777778</v>
      </c>
      <c r="CB216" s="290" t="n">
        <f aca="false">IF($AM216="n",0,BS216)</f>
        <v>861111.111111111</v>
      </c>
      <c r="CC216" s="290" t="n">
        <f aca="false">IF($AM216="n",0,BT216)</f>
        <v>208333.333333333</v>
      </c>
      <c r="CD216" s="290" t="n">
        <f aca="false">SUM(CA216:CC216)</f>
        <v>1597222.22222222</v>
      </c>
      <c r="CE216" s="290" t="n">
        <f aca="false">IF($AM$2="n",0,BV216)</f>
        <v>0</v>
      </c>
      <c r="CF216" s="290" t="n">
        <f aca="false">IF($AM$2="n",0,BW216)</f>
        <v>0</v>
      </c>
      <c r="CG216" s="290" t="n">
        <f aca="false">IF($AM$2="n",0,BX216)</f>
        <v>0</v>
      </c>
      <c r="CH216" s="290" t="n">
        <f aca="false">SUM(CE216:CG216)</f>
        <v>0</v>
      </c>
    </row>
    <row r="217" customFormat="false" ht="15" hidden="false" customHeight="true" outlineLevel="0" collapsed="false">
      <c r="A217" s="285" t="n">
        <v>2311</v>
      </c>
      <c r="B217" s="285"/>
      <c r="C217" s="286" t="s">
        <v>544</v>
      </c>
      <c r="D217" s="287" t="s">
        <v>544</v>
      </c>
      <c r="E217" s="288" t="n">
        <f aca="false">IF(I217="regional",IF(R217*0.2975,S217*0.3484),S217*0.1939)</f>
        <v>16481.5</v>
      </c>
      <c r="F217" s="288" t="n">
        <v>0</v>
      </c>
      <c r="G217" s="289" t="n">
        <f aca="false">E217+F217</f>
        <v>16481.5</v>
      </c>
      <c r="H217" s="286"/>
      <c r="I217" s="287" t="s">
        <v>62</v>
      </c>
      <c r="J217" s="287" t="s">
        <v>49</v>
      </c>
      <c r="K217" s="287" t="s">
        <v>170</v>
      </c>
      <c r="L217" s="287"/>
      <c r="M217" s="317" t="n">
        <v>0</v>
      </c>
      <c r="N217" s="317" t="n">
        <v>1</v>
      </c>
      <c r="O217" s="317" t="n">
        <v>1</v>
      </c>
      <c r="P217" s="317" t="n">
        <v>1</v>
      </c>
      <c r="Q217" s="317" t="n">
        <v>1</v>
      </c>
      <c r="R217" s="317" t="n">
        <v>0</v>
      </c>
      <c r="S217" s="317" t="n">
        <v>85000</v>
      </c>
      <c r="T217" s="318" t="n">
        <f aca="false">IF(I217="regional",IF(R217&gt;0,R217*0.2975,S217*0.3484),S217*0.1939)</f>
        <v>16481.5</v>
      </c>
      <c r="U217" s="317" t="n">
        <v>86676</v>
      </c>
      <c r="V217" s="317" t="n">
        <v>-1676</v>
      </c>
      <c r="W217" s="317" t="n">
        <v>952</v>
      </c>
      <c r="X217" s="317" t="n">
        <v>0</v>
      </c>
      <c r="Y217" s="317" t="n">
        <v>0</v>
      </c>
      <c r="Z217" s="317" t="n">
        <v>0</v>
      </c>
      <c r="AA217" s="317" t="n">
        <v>101481.5</v>
      </c>
      <c r="AB217" s="317" t="n">
        <v>16481.5</v>
      </c>
      <c r="AC217" s="317" t="n">
        <v>85000</v>
      </c>
      <c r="AD217" s="317" t="n">
        <v>0</v>
      </c>
      <c r="AE217" s="317" t="n">
        <v>0</v>
      </c>
      <c r="AF217" s="317" t="n">
        <v>0</v>
      </c>
      <c r="AG217" s="317" t="n">
        <v>85000</v>
      </c>
      <c r="AH217" s="317" t="n">
        <v>0</v>
      </c>
      <c r="AI217" s="317" t="n">
        <v>0</v>
      </c>
      <c r="AJ217" s="286" t="n">
        <v>4</v>
      </c>
      <c r="AK217" s="286" t="s">
        <v>720</v>
      </c>
      <c r="AL217" s="287" t="s">
        <v>62</v>
      </c>
      <c r="AM217" s="286"/>
      <c r="AN217" s="287" t="s">
        <v>544</v>
      </c>
      <c r="AO217" s="287" t="n">
        <v>16481.5</v>
      </c>
      <c r="AP217" s="319" t="n">
        <f aca="false">AR217+AT217+AU217+AV217+AX217+AY217+AZ217+BD217+BF217+BG217+BH217+BJ217+BK217+(BL217+BM217+BN217)/1000+(0.1*BO217)</f>
        <v>8.266164</v>
      </c>
      <c r="AQ217" s="319" t="n">
        <f aca="false">AR217+AT217+AU217+AV217+AX217+AY217+AZ217+BB217+BC217+BD217+BF217+BG217+BH217+BJ217+BK217+(BL217+BM217+BN217)/1000+(0.1*BO217)</f>
        <v>8.266164</v>
      </c>
      <c r="AR217" s="285" t="n">
        <v>0</v>
      </c>
      <c r="AS217" s="285" t="n">
        <v>0</v>
      </c>
      <c r="AT217" s="285" t="n">
        <v>0</v>
      </c>
      <c r="AU217" s="285" t="n">
        <v>5</v>
      </c>
      <c r="AV217" s="285" t="n">
        <v>0</v>
      </c>
      <c r="AW217" s="285" t="n">
        <v>0</v>
      </c>
      <c r="AX217" s="285" t="n">
        <v>2</v>
      </c>
      <c r="AY217" s="285" t="n">
        <v>0</v>
      </c>
      <c r="AZ217" s="285" t="n">
        <v>0</v>
      </c>
      <c r="BA217" s="285" t="n">
        <v>0</v>
      </c>
      <c r="BB217" s="285" t="n">
        <v>0</v>
      </c>
      <c r="BC217" s="285" t="n">
        <v>0</v>
      </c>
      <c r="BD217" s="285" t="n">
        <v>0</v>
      </c>
      <c r="BE217" s="285" t="n">
        <v>0</v>
      </c>
      <c r="BF217" s="285" t="n">
        <v>0</v>
      </c>
      <c r="BG217" s="285" t="n">
        <v>0</v>
      </c>
      <c r="BH217" s="285" t="n">
        <v>0</v>
      </c>
      <c r="BI217" s="285" t="n">
        <v>0</v>
      </c>
      <c r="BJ217" s="285" t="n">
        <v>0</v>
      </c>
      <c r="BK217" s="285" t="n">
        <v>0</v>
      </c>
      <c r="BL217" s="285" t="n">
        <v>0</v>
      </c>
      <c r="BM217" s="285" t="n">
        <v>0</v>
      </c>
      <c r="BN217" s="285" t="n">
        <v>0</v>
      </c>
      <c r="BO217" s="285" t="n">
        <v>12.66164</v>
      </c>
      <c r="BR217" s="290" t="n">
        <f aca="false">AR217*1000/0.072</f>
        <v>0</v>
      </c>
      <c r="BS217" s="290" t="n">
        <f aca="false">AT217*1000/0.072</f>
        <v>0</v>
      </c>
      <c r="BT217" s="290" t="n">
        <f aca="false">AU217*1000/0.072</f>
        <v>69444.4444444445</v>
      </c>
      <c r="BU217" s="290" t="n">
        <f aca="false">SUM(BR217:BT217)</f>
        <v>69444.4444444445</v>
      </c>
      <c r="BV217" s="290" t="n">
        <f aca="false">AV217*1000/5</f>
        <v>0</v>
      </c>
      <c r="BW217" s="290" t="n">
        <f aca="false">AX217*1000/5</f>
        <v>400</v>
      </c>
      <c r="BX217" s="290" t="n">
        <f aca="false">AY217*1000/5</f>
        <v>0</v>
      </c>
      <c r="BY217" s="290" t="n">
        <f aca="false">SUM(BV217:BX217)</f>
        <v>400</v>
      </c>
      <c r="CA217" s="290" t="n">
        <f aca="false">IF($AM217="n",0,BR217)</f>
        <v>0</v>
      </c>
      <c r="CB217" s="290" t="n">
        <f aca="false">IF($AM217="n",0,BS217)</f>
        <v>0</v>
      </c>
      <c r="CC217" s="290" t="n">
        <f aca="false">IF($AM217="n",0,BT217)</f>
        <v>69444.4444444445</v>
      </c>
      <c r="CD217" s="290" t="n">
        <f aca="false">SUM(CA217:CC217)</f>
        <v>69444.4444444445</v>
      </c>
      <c r="CE217" s="290" t="n">
        <f aca="false">IF($AM$2="n",0,BV217)</f>
        <v>0</v>
      </c>
      <c r="CF217" s="290" t="n">
        <f aca="false">IF($AM$2="n",0,BW217)</f>
        <v>400</v>
      </c>
      <c r="CG217" s="290" t="n">
        <f aca="false">IF($AM$2="n",0,BX217)</f>
        <v>0</v>
      </c>
      <c r="CH217" s="290" t="n">
        <f aca="false">SUM(CE217:CG217)</f>
        <v>400</v>
      </c>
    </row>
    <row r="218" customFormat="false" ht="15" hidden="false" customHeight="true" outlineLevel="0" collapsed="false">
      <c r="A218" s="285" t="n">
        <v>3633</v>
      </c>
      <c r="B218" s="285" t="s">
        <v>44</v>
      </c>
      <c r="C218" s="286" t="s">
        <v>545</v>
      </c>
      <c r="D218" s="287" t="s">
        <v>545</v>
      </c>
      <c r="E218" s="288" t="n">
        <f aca="false">IF(I218="regional",IF(R218*0.2975,S218*0.3484),S218*0.1939)</f>
        <v>20670.9204</v>
      </c>
      <c r="F218" s="288" t="n">
        <v>0</v>
      </c>
      <c r="G218" s="289" t="n">
        <f aca="false">E218+F218</f>
        <v>20670.9204</v>
      </c>
      <c r="H218" s="286" t="s">
        <v>49</v>
      </c>
      <c r="I218" s="287" t="s">
        <v>48</v>
      </c>
      <c r="J218" s="287" t="s">
        <v>44</v>
      </c>
      <c r="K218" s="287"/>
      <c r="L218" s="287"/>
      <c r="M218" s="317" t="n">
        <v>54</v>
      </c>
      <c r="N218" s="317" t="n">
        <v>0.921</v>
      </c>
      <c r="O218" s="317" t="n">
        <v>0.948</v>
      </c>
      <c r="P218" s="317" t="n">
        <v>0.959</v>
      </c>
      <c r="Q218" s="317" t="n">
        <v>0.824</v>
      </c>
      <c r="R218" s="317" t="n">
        <v>60273</v>
      </c>
      <c r="S218" s="317" t="n">
        <v>59331</v>
      </c>
      <c r="T218" s="318" t="n">
        <f aca="false">IF(I218="regional",IF(R218&gt;0,R218*0.2975,S218*0.3484),S218*0.1939)</f>
        <v>17931.2175</v>
      </c>
      <c r="U218" s="317" t="n">
        <v>0</v>
      </c>
      <c r="V218" s="317" t="n">
        <v>59331</v>
      </c>
      <c r="W218" s="317" t="n">
        <v>0</v>
      </c>
      <c r="X218" s="317" t="n">
        <v>0</v>
      </c>
      <c r="Y218" s="317" t="n">
        <v>0</v>
      </c>
      <c r="Z218" s="317" t="n">
        <v>0</v>
      </c>
      <c r="AA218" s="317" t="n">
        <v>77262.2175</v>
      </c>
      <c r="AB218" s="317" t="n">
        <v>17931.2175</v>
      </c>
      <c r="AC218" s="317" t="n">
        <v>59331</v>
      </c>
      <c r="AD218" s="317" t="n">
        <v>0</v>
      </c>
      <c r="AE218" s="317" t="n">
        <v>0</v>
      </c>
      <c r="AF218" s="317" t="n">
        <v>59331</v>
      </c>
      <c r="AG218" s="317" t="n">
        <v>0</v>
      </c>
      <c r="AH218" s="317" t="n">
        <v>172000</v>
      </c>
      <c r="AI218" s="317" t="n">
        <v>112000</v>
      </c>
      <c r="AJ218" s="286" t="s">
        <v>721</v>
      </c>
      <c r="AK218" s="286" t="s">
        <v>727</v>
      </c>
      <c r="AL218" s="287" t="s">
        <v>48</v>
      </c>
      <c r="AM218" s="286" t="s">
        <v>49</v>
      </c>
      <c r="AN218" s="287" t="s">
        <v>545</v>
      </c>
      <c r="AO218" s="287" t="n">
        <v>17931.2175</v>
      </c>
      <c r="AP218" s="319" t="n">
        <f aca="false">AR218+AT218+AU218+AV218+AX218+AY218+AZ218+BD218+BF218+BG218+BH218+BJ218+BK218+(BL218+BM218+BN218)/1000+(0.1*BO218)</f>
        <v>154</v>
      </c>
      <c r="AQ218" s="319" t="n">
        <f aca="false">AR218+AT218+AU218+AV218+AX218+AY218+AZ218+BB218+BC218+BD218+BF218+BG218+BH218+BJ218+BK218+(BL218+BM218+BN218)/1000+(0.1*BO218)</f>
        <v>154</v>
      </c>
      <c r="AR218" s="285" t="n">
        <v>147</v>
      </c>
      <c r="AS218" s="285" t="n">
        <v>112</v>
      </c>
      <c r="AT218" s="285" t="n">
        <v>6</v>
      </c>
      <c r="AU218" s="285" t="n">
        <v>0</v>
      </c>
      <c r="AV218" s="285" t="n">
        <v>0</v>
      </c>
      <c r="AW218" s="285" t="n">
        <v>0</v>
      </c>
      <c r="AX218" s="285" t="n">
        <v>0</v>
      </c>
      <c r="AY218" s="285" t="n">
        <v>0</v>
      </c>
      <c r="AZ218" s="285" t="n">
        <v>0</v>
      </c>
      <c r="BA218" s="285" t="n">
        <v>23</v>
      </c>
      <c r="BB218" s="285" t="n">
        <v>0</v>
      </c>
      <c r="BC218" s="285" t="n">
        <v>0</v>
      </c>
      <c r="BD218" s="285" t="n">
        <v>1</v>
      </c>
      <c r="BE218" s="285" t="n">
        <v>0</v>
      </c>
      <c r="BF218" s="285" t="n">
        <v>0</v>
      </c>
      <c r="BG218" s="285" t="n">
        <v>0</v>
      </c>
      <c r="BH218" s="285" t="n">
        <v>0</v>
      </c>
      <c r="BI218" s="285" t="n">
        <v>0</v>
      </c>
      <c r="BJ218" s="285" t="n">
        <v>0</v>
      </c>
      <c r="BK218" s="285" t="n">
        <v>0</v>
      </c>
      <c r="BL218" s="285" t="n">
        <v>0</v>
      </c>
      <c r="BM218" s="285" t="n">
        <v>0</v>
      </c>
      <c r="BN218" s="285" t="n">
        <v>0</v>
      </c>
      <c r="BO218" s="285" t="n">
        <v>0</v>
      </c>
      <c r="BR218" s="290" t="n">
        <f aca="false">AR218*1000/0.072</f>
        <v>2041666.66666667</v>
      </c>
      <c r="BS218" s="290" t="n">
        <f aca="false">AT218*1000/0.072</f>
        <v>83333.3333333333</v>
      </c>
      <c r="BT218" s="290" t="n">
        <f aca="false">AU218*1000/0.072</f>
        <v>0</v>
      </c>
      <c r="BU218" s="290" t="n">
        <f aca="false">SUM(BR218:BT218)</f>
        <v>2125000</v>
      </c>
      <c r="BV218" s="290" t="n">
        <f aca="false">AV218*1000/5</f>
        <v>0</v>
      </c>
      <c r="BW218" s="290" t="n">
        <f aca="false">AX218*1000/5</f>
        <v>0</v>
      </c>
      <c r="BX218" s="290" t="n">
        <f aca="false">AY218*1000/5</f>
        <v>0</v>
      </c>
      <c r="BY218" s="290" t="n">
        <f aca="false">SUM(BV218:BX218)</f>
        <v>0</v>
      </c>
      <c r="CA218" s="290" t="n">
        <f aca="false">IF($AM218="n",0,BR218)</f>
        <v>0</v>
      </c>
      <c r="CB218" s="290" t="n">
        <f aca="false">IF($AM218="n",0,BS218)</f>
        <v>0</v>
      </c>
      <c r="CC218" s="290" t="n">
        <f aca="false">IF($AM218="n",0,BT218)</f>
        <v>0</v>
      </c>
      <c r="CD218" s="290" t="n">
        <f aca="false">SUM(CA218:CC218)</f>
        <v>0</v>
      </c>
      <c r="CE218" s="290" t="n">
        <f aca="false">IF($AM$2="n",0,BV218)</f>
        <v>0</v>
      </c>
      <c r="CF218" s="290" t="n">
        <f aca="false">IF($AM$2="n",0,BW218)</f>
        <v>0</v>
      </c>
      <c r="CG218" s="290" t="n">
        <f aca="false">IF($AM$2="n",0,BX218)</f>
        <v>0</v>
      </c>
      <c r="CH218" s="290" t="n">
        <f aca="false">SUM(CE218:CG218)</f>
        <v>0</v>
      </c>
    </row>
    <row r="219" customFormat="false" ht="15" hidden="false" customHeight="true" outlineLevel="0" collapsed="false">
      <c r="A219" s="285" t="n">
        <v>4839</v>
      </c>
      <c r="B219" s="285" t="s">
        <v>44</v>
      </c>
      <c r="C219" s="286" t="s">
        <v>546</v>
      </c>
      <c r="D219" s="287" t="s">
        <v>546</v>
      </c>
      <c r="E219" s="288" t="n">
        <f aca="false">IF(I219="regional",IF(R219*0.2975,S219*0.3484),S219*0.1939)</f>
        <v>459888</v>
      </c>
      <c r="F219" s="288" t="n">
        <v>0</v>
      </c>
      <c r="G219" s="289" t="n">
        <f aca="false">E219+F219</f>
        <v>459888</v>
      </c>
      <c r="H219" s="286"/>
      <c r="I219" s="287" t="s">
        <v>48</v>
      </c>
      <c r="J219" s="287" t="s">
        <v>44</v>
      </c>
      <c r="K219" s="287" t="s">
        <v>449</v>
      </c>
      <c r="L219" s="287"/>
      <c r="M219" s="317" t="n">
        <v>184</v>
      </c>
      <c r="N219" s="317" t="n">
        <v>0.906</v>
      </c>
      <c r="O219" s="317" t="n">
        <v>0.917</v>
      </c>
      <c r="P219" s="317" t="n">
        <v>0.925</v>
      </c>
      <c r="Q219" s="317" t="n">
        <v>0.952</v>
      </c>
      <c r="R219" s="317" t="n">
        <v>1207554</v>
      </c>
      <c r="S219" s="317" t="n">
        <v>1320000</v>
      </c>
      <c r="T219" s="318" t="n">
        <f aca="false">IF(I219="regional",IF(R219&gt;0,R219*0.2975,S219*0.3484),S219*0.1939)</f>
        <v>359247.315</v>
      </c>
      <c r="U219" s="317" t="n">
        <v>791000</v>
      </c>
      <c r="V219" s="317" t="n">
        <v>529000</v>
      </c>
      <c r="W219" s="317" t="n">
        <v>7000</v>
      </c>
      <c r="X219" s="317" t="n">
        <v>0</v>
      </c>
      <c r="Y219" s="317" t="n">
        <v>0</v>
      </c>
      <c r="Z219" s="317" t="n">
        <v>0</v>
      </c>
      <c r="AA219" s="317" t="n">
        <v>1679247.315</v>
      </c>
      <c r="AB219" s="317" t="n">
        <v>359247.315</v>
      </c>
      <c r="AC219" s="317" t="n">
        <v>1320000</v>
      </c>
      <c r="AD219" s="317" t="n">
        <v>0</v>
      </c>
      <c r="AE219" s="317" t="n">
        <v>0</v>
      </c>
      <c r="AF219" s="317" t="n">
        <v>1320000</v>
      </c>
      <c r="AG219" s="317" t="n">
        <v>0</v>
      </c>
      <c r="AH219" s="317" t="n">
        <v>1212000</v>
      </c>
      <c r="AI219" s="317" t="n">
        <v>1001000</v>
      </c>
      <c r="AJ219" s="286" t="s">
        <v>707</v>
      </c>
      <c r="AK219" s="286" t="s">
        <v>714</v>
      </c>
      <c r="AL219" s="287" t="s">
        <v>48</v>
      </c>
      <c r="AM219" s="286"/>
      <c r="AN219" s="287" t="s">
        <v>546</v>
      </c>
      <c r="AO219" s="287" t="n">
        <v>359247.315</v>
      </c>
      <c r="AP219" s="319" t="n">
        <f aca="false">AR219+AT219+AU219+AV219+AX219+AY219+AZ219+BD219+BF219+BG219+BH219+BJ219+BK219+(BL219+BM219+BN219)/1000+(0.1*BO219)</f>
        <v>571</v>
      </c>
      <c r="AQ219" s="319" t="n">
        <f aca="false">AR219+AT219+AU219+AV219+AX219+AY219+AZ219+BB219+BC219+BD219+BF219+BG219+BH219+BJ219+BK219+(BL219+BM219+BN219)/1000+(0.1*BO219)</f>
        <v>613</v>
      </c>
      <c r="AR219" s="285" t="n">
        <v>0</v>
      </c>
      <c r="AS219" s="285" t="n">
        <v>1001</v>
      </c>
      <c r="AT219" s="285" t="n">
        <v>570</v>
      </c>
      <c r="AU219" s="285" t="n">
        <v>1</v>
      </c>
      <c r="AV219" s="285" t="n">
        <v>0</v>
      </c>
      <c r="AW219" s="285" t="n">
        <v>0</v>
      </c>
      <c r="AX219" s="285" t="n">
        <v>0</v>
      </c>
      <c r="AY219" s="285" t="n">
        <v>0</v>
      </c>
      <c r="AZ219" s="285" t="n">
        <v>0</v>
      </c>
      <c r="BA219" s="285" t="n">
        <v>87</v>
      </c>
      <c r="BB219" s="285" t="n">
        <v>37</v>
      </c>
      <c r="BC219" s="285" t="n">
        <v>5</v>
      </c>
      <c r="BD219" s="285" t="n">
        <v>0</v>
      </c>
      <c r="BE219" s="285" t="n">
        <v>1</v>
      </c>
      <c r="BF219" s="285" t="n">
        <v>0</v>
      </c>
      <c r="BG219" s="285" t="n">
        <v>0</v>
      </c>
      <c r="BH219" s="285" t="n">
        <v>0</v>
      </c>
      <c r="BI219" s="285" t="n">
        <v>0</v>
      </c>
      <c r="BJ219" s="285" t="n">
        <v>0</v>
      </c>
      <c r="BK219" s="285" t="n">
        <v>0</v>
      </c>
      <c r="BL219" s="285" t="n">
        <v>0</v>
      </c>
      <c r="BM219" s="285" t="n">
        <v>0</v>
      </c>
      <c r="BN219" s="285" t="n">
        <v>0</v>
      </c>
      <c r="BO219" s="285" t="n">
        <v>0</v>
      </c>
      <c r="BR219" s="290" t="n">
        <f aca="false">AR219*1000/0.072</f>
        <v>0</v>
      </c>
      <c r="BS219" s="290" t="n">
        <f aca="false">AT219*1000/0.072</f>
        <v>7916666.66666667</v>
      </c>
      <c r="BT219" s="290" t="n">
        <f aca="false">AU219*1000/0.072</f>
        <v>13888.8888888889</v>
      </c>
      <c r="BU219" s="290" t="n">
        <f aca="false">SUM(BR219:BT219)</f>
        <v>7930555.55555556</v>
      </c>
      <c r="BV219" s="290" t="n">
        <f aca="false">AV219*1000/5</f>
        <v>0</v>
      </c>
      <c r="BW219" s="290" t="n">
        <f aca="false">AX219*1000/5</f>
        <v>0</v>
      </c>
      <c r="BX219" s="290" t="n">
        <f aca="false">AY219*1000/5</f>
        <v>0</v>
      </c>
      <c r="BY219" s="290" t="n">
        <f aca="false">SUM(BV219:BX219)</f>
        <v>0</v>
      </c>
      <c r="CA219" s="290" t="n">
        <f aca="false">IF($AM219="n",0,BR219)</f>
        <v>0</v>
      </c>
      <c r="CB219" s="290" t="n">
        <f aca="false">IF($AM219="n",0,BS219)</f>
        <v>7916666.66666667</v>
      </c>
      <c r="CC219" s="290" t="n">
        <f aca="false">IF($AM219="n",0,BT219)</f>
        <v>13888.8888888889</v>
      </c>
      <c r="CD219" s="290" t="n">
        <f aca="false">SUM(CA219:CC219)</f>
        <v>7930555.55555556</v>
      </c>
      <c r="CE219" s="290" t="n">
        <f aca="false">IF($AM$2="n",0,BV219)</f>
        <v>0</v>
      </c>
      <c r="CF219" s="290" t="n">
        <f aca="false">IF($AM$2="n",0,BW219)</f>
        <v>0</v>
      </c>
      <c r="CG219" s="290" t="n">
        <f aca="false">IF($AM$2="n",0,BX219)</f>
        <v>0</v>
      </c>
      <c r="CH219" s="290" t="n">
        <f aca="false">SUM(CE219:CG219)</f>
        <v>0</v>
      </c>
    </row>
    <row r="220" customFormat="false" ht="15" hidden="false" customHeight="true" outlineLevel="0" collapsed="false">
      <c r="A220" s="285" t="n">
        <v>4840</v>
      </c>
      <c r="B220" s="285" t="s">
        <v>44</v>
      </c>
      <c r="C220" s="286" t="s">
        <v>548</v>
      </c>
      <c r="D220" s="287" t="s">
        <v>548</v>
      </c>
      <c r="E220" s="288" t="n">
        <f aca="false">IF(I220="regional",IF(R220*0.2975,S220*0.3484),S220*0.1939)</f>
        <v>444210</v>
      </c>
      <c r="F220" s="288" t="n">
        <v>0</v>
      </c>
      <c r="G220" s="289" t="n">
        <f aca="false">E220+F220</f>
        <v>444210</v>
      </c>
      <c r="H220" s="286" t="s">
        <v>49</v>
      </c>
      <c r="I220" s="287" t="s">
        <v>48</v>
      </c>
      <c r="J220" s="287" t="s">
        <v>44</v>
      </c>
      <c r="K220" s="287" t="s">
        <v>277</v>
      </c>
      <c r="L220" s="287"/>
      <c r="M220" s="317" t="n">
        <v>182</v>
      </c>
      <c r="N220" s="317" t="n">
        <v>0.942</v>
      </c>
      <c r="O220" s="317" t="n">
        <v>0.957</v>
      </c>
      <c r="P220" s="317" t="n">
        <v>0.925</v>
      </c>
      <c r="Q220" s="317" t="n">
        <v>0.952</v>
      </c>
      <c r="R220" s="317" t="n">
        <v>844738</v>
      </c>
      <c r="S220" s="317" t="n">
        <v>1275000</v>
      </c>
      <c r="T220" s="318" t="n">
        <f aca="false">IF(I220="regional",IF(R220&gt;0,R220*0.2975,S220*0.3484),S220*0.1939)</f>
        <v>251309.555</v>
      </c>
      <c r="U220" s="317" t="n">
        <v>844738</v>
      </c>
      <c r="V220" s="317" t="n">
        <v>430262</v>
      </c>
      <c r="W220" s="317" t="n">
        <v>6787</v>
      </c>
      <c r="X220" s="317" t="n">
        <v>0</v>
      </c>
      <c r="Y220" s="317" t="n">
        <v>0</v>
      </c>
      <c r="Z220" s="317" t="n">
        <v>0</v>
      </c>
      <c r="AA220" s="317" t="n">
        <v>1526309.555</v>
      </c>
      <c r="AB220" s="317" t="n">
        <v>251309.555</v>
      </c>
      <c r="AC220" s="317" t="n">
        <v>1275000</v>
      </c>
      <c r="AD220" s="317" t="n">
        <v>0</v>
      </c>
      <c r="AE220" s="317" t="n">
        <v>0</v>
      </c>
      <c r="AF220" s="317" t="n">
        <v>1275000</v>
      </c>
      <c r="AG220" s="317" t="n">
        <v>0</v>
      </c>
      <c r="AH220" s="317" t="n">
        <v>1027000</v>
      </c>
      <c r="AI220" s="317" t="n">
        <v>1026000</v>
      </c>
      <c r="AJ220" s="286" t="s">
        <v>707</v>
      </c>
      <c r="AK220" s="286" t="s">
        <v>712</v>
      </c>
      <c r="AL220" s="287" t="s">
        <v>48</v>
      </c>
      <c r="AM220" s="286" t="s">
        <v>49</v>
      </c>
      <c r="AN220" s="287" t="s">
        <v>548</v>
      </c>
      <c r="AO220" s="287" t="n">
        <v>251309.555</v>
      </c>
      <c r="AP220" s="319" t="n">
        <f aca="false">AR220+AT220+AU220+AV220+AX220+AY220+AZ220+BD220+BF220+BG220+BH220+BJ220+BK220+(BL220+BM220+BN220)/1000+(0.1*BO220)</f>
        <v>1114.2902</v>
      </c>
      <c r="AQ220" s="319" t="n">
        <f aca="false">AR220+AT220+AU220+AV220+AX220+AY220+AZ220+BB220+BC220+BD220+BF220+BG220+BH220+BJ220+BK220+(BL220+BM220+BN220)/1000+(0.1*BO220)</f>
        <v>1139.2902</v>
      </c>
      <c r="AR220" s="285" t="n">
        <v>421</v>
      </c>
      <c r="AS220" s="285" t="n">
        <v>1026</v>
      </c>
      <c r="AT220" s="285" t="n">
        <v>238</v>
      </c>
      <c r="AU220" s="285" t="n">
        <v>0</v>
      </c>
      <c r="AV220" s="285" t="n">
        <v>0</v>
      </c>
      <c r="AW220" s="285" t="n">
        <v>0</v>
      </c>
      <c r="AX220" s="285" t="n">
        <v>0</v>
      </c>
      <c r="AY220" s="285" t="n">
        <v>0</v>
      </c>
      <c r="AZ220" s="285" t="n">
        <v>0</v>
      </c>
      <c r="BA220" s="285" t="n">
        <v>199</v>
      </c>
      <c r="BB220" s="285" t="n">
        <v>25</v>
      </c>
      <c r="BC220" s="285" t="n">
        <v>0</v>
      </c>
      <c r="BD220" s="285" t="n">
        <v>0</v>
      </c>
      <c r="BE220" s="285" t="n">
        <v>0</v>
      </c>
      <c r="BF220" s="285" t="n">
        <v>0</v>
      </c>
      <c r="BG220" s="285" t="n">
        <v>0</v>
      </c>
      <c r="BH220" s="285" t="n">
        <v>90</v>
      </c>
      <c r="BI220" s="285" t="n">
        <v>0</v>
      </c>
      <c r="BJ220" s="285" t="n">
        <v>0</v>
      </c>
      <c r="BK220" s="285" t="n">
        <v>0</v>
      </c>
      <c r="BL220" s="285" t="n">
        <v>0</v>
      </c>
      <c r="BM220" s="285" t="n">
        <v>360068</v>
      </c>
      <c r="BN220" s="285" t="n">
        <v>0</v>
      </c>
      <c r="BO220" s="285" t="n">
        <v>52.222</v>
      </c>
      <c r="BR220" s="290" t="n">
        <f aca="false">AR220*1000/0.072</f>
        <v>5847222.22222222</v>
      </c>
      <c r="BS220" s="290" t="n">
        <f aca="false">AT220*1000/0.072</f>
        <v>3305555.55555556</v>
      </c>
      <c r="BT220" s="290" t="n">
        <f aca="false">AU220*1000/0.072</f>
        <v>0</v>
      </c>
      <c r="BU220" s="290" t="n">
        <f aca="false">SUM(BR220:BT220)</f>
        <v>9152777.77777778</v>
      </c>
      <c r="BV220" s="290" t="n">
        <f aca="false">AV220*1000/5</f>
        <v>0</v>
      </c>
      <c r="BW220" s="290" t="n">
        <f aca="false">AX220*1000/5</f>
        <v>0</v>
      </c>
      <c r="BX220" s="290" t="n">
        <f aca="false">AY220*1000/5</f>
        <v>0</v>
      </c>
      <c r="BY220" s="290" t="n">
        <f aca="false">SUM(BV220:BX220)</f>
        <v>0</v>
      </c>
      <c r="CA220" s="290" t="n">
        <f aca="false">IF($AM220="n",0,BR220)</f>
        <v>0</v>
      </c>
      <c r="CB220" s="290" t="n">
        <f aca="false">IF($AM220="n",0,BS220)</f>
        <v>0</v>
      </c>
      <c r="CC220" s="290" t="n">
        <f aca="false">IF($AM220="n",0,BT220)</f>
        <v>0</v>
      </c>
      <c r="CD220" s="290" t="n">
        <f aca="false">SUM(CA220:CC220)</f>
        <v>0</v>
      </c>
      <c r="CE220" s="290" t="n">
        <f aca="false">IF($AM$2="n",0,BV220)</f>
        <v>0</v>
      </c>
      <c r="CF220" s="290" t="n">
        <f aca="false">IF($AM$2="n",0,BW220)</f>
        <v>0</v>
      </c>
      <c r="CG220" s="290" t="n">
        <f aca="false">IF($AM$2="n",0,BX220)</f>
        <v>0</v>
      </c>
      <c r="CH220" s="290" t="n">
        <f aca="false">SUM(CE220:CG220)</f>
        <v>0</v>
      </c>
    </row>
    <row r="221" customFormat="false" ht="15" hidden="false" customHeight="true" outlineLevel="0" collapsed="false">
      <c r="A221" s="285" t="n">
        <v>2105</v>
      </c>
      <c r="B221" s="285" t="s">
        <v>44</v>
      </c>
      <c r="C221" s="286" t="s">
        <v>550</v>
      </c>
      <c r="D221" s="287" t="s">
        <v>550</v>
      </c>
      <c r="E221" s="288" t="n">
        <f aca="false">IF(I221="regional",IF(R221*0.2975,S221*0.3484),S221*0.1939)</f>
        <v>377846.4196</v>
      </c>
      <c r="F221" s="288" t="n">
        <v>541854</v>
      </c>
      <c r="G221" s="289" t="n">
        <f aca="false">E221+F221</f>
        <v>919700.4196</v>
      </c>
      <c r="H221" s="286"/>
      <c r="I221" s="287" t="s">
        <v>48</v>
      </c>
      <c r="J221" s="287" t="s">
        <v>44</v>
      </c>
      <c r="K221" s="287" t="s">
        <v>552</v>
      </c>
      <c r="L221" s="287" t="s">
        <v>49</v>
      </c>
      <c r="M221" s="317" t="n">
        <v>144</v>
      </c>
      <c r="N221" s="317" t="n">
        <v>0.773</v>
      </c>
      <c r="O221" s="317" t="n">
        <v>0.858</v>
      </c>
      <c r="P221" s="317" t="n">
        <v>0.826</v>
      </c>
      <c r="Q221" s="317" t="n">
        <v>0.731</v>
      </c>
      <c r="R221" s="317" t="n">
        <v>1321540</v>
      </c>
      <c r="S221" s="317" t="n">
        <v>1084519</v>
      </c>
      <c r="T221" s="318" t="n">
        <f aca="false">IF(I221="regional",IF(R221&gt;0,R221*0.2975,S221*0.3484),S221*0.1939)</f>
        <v>393158.15</v>
      </c>
      <c r="U221" s="317" t="n">
        <v>662313</v>
      </c>
      <c r="V221" s="317" t="n">
        <v>422206</v>
      </c>
      <c r="W221" s="317" t="n">
        <v>5000</v>
      </c>
      <c r="X221" s="317" t="n">
        <v>541854</v>
      </c>
      <c r="Y221" s="317" t="n">
        <v>0</v>
      </c>
      <c r="Z221" s="317" t="n">
        <v>541854</v>
      </c>
      <c r="AA221" s="317" t="n">
        <v>935823.15</v>
      </c>
      <c r="AB221" s="317" t="n">
        <v>393158.15</v>
      </c>
      <c r="AC221" s="317" t="n">
        <v>542665</v>
      </c>
      <c r="AD221" s="317" t="n">
        <v>541854</v>
      </c>
      <c r="AE221" s="317" t="n">
        <v>0</v>
      </c>
      <c r="AF221" s="317" t="n">
        <v>542665</v>
      </c>
      <c r="AG221" s="317" t="n">
        <v>0</v>
      </c>
      <c r="AH221" s="317" t="n">
        <v>905000</v>
      </c>
      <c r="AI221" s="317" t="n">
        <v>876000</v>
      </c>
      <c r="AJ221" s="286" t="s">
        <v>707</v>
      </c>
      <c r="AK221" s="286" t="s">
        <v>729</v>
      </c>
      <c r="AL221" s="287" t="s">
        <v>48</v>
      </c>
      <c r="AM221" s="286"/>
      <c r="AN221" s="287" t="s">
        <v>550</v>
      </c>
      <c r="AO221" s="287" t="n">
        <v>935012.15</v>
      </c>
      <c r="AP221" s="319" t="n">
        <f aca="false">AR221+AT221+AU221+AV221+AX221+AY221+AZ221+BD221+BF221+BG221+BH221+BJ221+BK221+(BL221+BM221+BN221)/1000+(0.1*BO221)</f>
        <v>653.1191</v>
      </c>
      <c r="AQ221" s="319" t="n">
        <f aca="false">AR221+AT221+AU221+AV221+AX221+AY221+AZ221+BB221+BC221+BD221+BF221+BG221+BH221+BJ221+BK221+(BL221+BM221+BN221)/1000+(0.1*BO221)</f>
        <v>677.1191</v>
      </c>
      <c r="AR221" s="285" t="n">
        <v>278</v>
      </c>
      <c r="AS221" s="285" t="n">
        <v>876</v>
      </c>
      <c r="AT221" s="285" t="n">
        <v>127</v>
      </c>
      <c r="AU221" s="285" t="n">
        <v>1</v>
      </c>
      <c r="AV221" s="285" t="n">
        <v>0</v>
      </c>
      <c r="AW221" s="285" t="n">
        <v>0</v>
      </c>
      <c r="AX221" s="285" t="n">
        <v>0</v>
      </c>
      <c r="AY221" s="285" t="n">
        <v>0</v>
      </c>
      <c r="AZ221" s="285" t="n">
        <v>5</v>
      </c>
      <c r="BA221" s="285" t="n">
        <v>12</v>
      </c>
      <c r="BB221" s="285" t="n">
        <v>20</v>
      </c>
      <c r="BC221" s="285" t="n">
        <v>4</v>
      </c>
      <c r="BD221" s="285" t="n">
        <v>39</v>
      </c>
      <c r="BE221" s="285" t="n">
        <v>0</v>
      </c>
      <c r="BF221" s="285" t="n">
        <v>0</v>
      </c>
      <c r="BG221" s="285" t="n">
        <v>0</v>
      </c>
      <c r="BH221" s="285" t="n">
        <v>68</v>
      </c>
      <c r="BI221" s="285" t="n">
        <v>0</v>
      </c>
      <c r="BJ221" s="285" t="n">
        <v>0</v>
      </c>
      <c r="BK221" s="285" t="n">
        <v>0</v>
      </c>
      <c r="BL221" s="285" t="n">
        <v>0</v>
      </c>
      <c r="BM221" s="285" t="n">
        <v>36100</v>
      </c>
      <c r="BN221" s="285" t="n">
        <v>51262</v>
      </c>
      <c r="BO221" s="285" t="n">
        <v>477.571</v>
      </c>
      <c r="BR221" s="290" t="n">
        <f aca="false">AR221*1000/0.072</f>
        <v>3861111.11111111</v>
      </c>
      <c r="BS221" s="290" t="n">
        <f aca="false">AT221*1000/0.072</f>
        <v>1763888.88888889</v>
      </c>
      <c r="BT221" s="290" t="n">
        <f aca="false">AU221*1000/0.072</f>
        <v>13888.8888888889</v>
      </c>
      <c r="BU221" s="290" t="n">
        <f aca="false">SUM(BR221:BT221)</f>
        <v>5638888.88888889</v>
      </c>
      <c r="BV221" s="290" t="n">
        <f aca="false">AV221*1000/5</f>
        <v>0</v>
      </c>
      <c r="BW221" s="290" t="n">
        <f aca="false">AX221*1000/5</f>
        <v>0</v>
      </c>
      <c r="BX221" s="290" t="n">
        <f aca="false">AY221*1000/5</f>
        <v>0</v>
      </c>
      <c r="BY221" s="290" t="n">
        <f aca="false">SUM(BV221:BX221)</f>
        <v>0</v>
      </c>
      <c r="CA221" s="290" t="n">
        <f aca="false">IF($AM221="n",0,BR221)</f>
        <v>3861111.11111111</v>
      </c>
      <c r="CB221" s="290" t="n">
        <f aca="false">IF($AM221="n",0,BS221)</f>
        <v>1763888.88888889</v>
      </c>
      <c r="CC221" s="290" t="n">
        <f aca="false">IF($AM221="n",0,BT221)</f>
        <v>13888.8888888889</v>
      </c>
      <c r="CD221" s="290" t="n">
        <f aca="false">SUM(CA221:CC221)</f>
        <v>5638888.88888889</v>
      </c>
      <c r="CE221" s="290" t="n">
        <f aca="false">IF($AM$2="n",0,BV221)</f>
        <v>0</v>
      </c>
      <c r="CF221" s="290" t="n">
        <f aca="false">IF($AM$2="n",0,BW221)</f>
        <v>0</v>
      </c>
      <c r="CG221" s="290" t="n">
        <f aca="false">IF($AM$2="n",0,BX221)</f>
        <v>0</v>
      </c>
      <c r="CH221" s="290" t="n">
        <f aca="false">SUM(CE221:CG221)</f>
        <v>0</v>
      </c>
    </row>
    <row r="222" customFormat="false" ht="15" hidden="false" customHeight="true" outlineLevel="0" collapsed="false">
      <c r="A222" s="285" t="n">
        <v>3920</v>
      </c>
      <c r="B222" s="285" t="s">
        <v>44</v>
      </c>
      <c r="C222" s="286" t="s">
        <v>553</v>
      </c>
      <c r="D222" s="287" t="s">
        <v>553</v>
      </c>
      <c r="E222" s="288" t="n">
        <f aca="false">IF(I222="regional",IF(R222*0.2975,S222*0.3484),S222*0.1939)</f>
        <v>328044.73</v>
      </c>
      <c r="F222" s="288" t="n">
        <v>0</v>
      </c>
      <c r="G222" s="289" t="n">
        <f aca="false">E222+F222</f>
        <v>328044.73</v>
      </c>
      <c r="H222" s="286"/>
      <c r="I222" s="287" t="s">
        <v>48</v>
      </c>
      <c r="J222" s="287" t="s">
        <v>44</v>
      </c>
      <c r="K222" s="287" t="s">
        <v>554</v>
      </c>
      <c r="L222" s="287"/>
      <c r="M222" s="317" t="n">
        <v>120</v>
      </c>
      <c r="N222" s="317" t="n">
        <v>0.922</v>
      </c>
      <c r="O222" s="317" t="n">
        <v>0.925</v>
      </c>
      <c r="P222" s="317" t="n">
        <v>0.894</v>
      </c>
      <c r="Q222" s="317" t="n">
        <v>0.877</v>
      </c>
      <c r="R222" s="317" t="n">
        <v>1072563</v>
      </c>
      <c r="S222" s="317" t="n">
        <v>941575</v>
      </c>
      <c r="T222" s="318" t="n">
        <f aca="false">IF(I222="regional",IF(R222&gt;0,R222*0.2975,S222*0.3484),S222*0.1939)</f>
        <v>319087.4925</v>
      </c>
      <c r="U222" s="317" t="n">
        <v>654711</v>
      </c>
      <c r="V222" s="317" t="n">
        <v>286864</v>
      </c>
      <c r="W222" s="317" t="n">
        <v>4852</v>
      </c>
      <c r="X222" s="317" t="n">
        <v>0</v>
      </c>
      <c r="Y222" s="317" t="n">
        <v>0</v>
      </c>
      <c r="Z222" s="317" t="n">
        <v>0</v>
      </c>
      <c r="AA222" s="317" t="n">
        <v>1260662.493</v>
      </c>
      <c r="AB222" s="317" t="n">
        <v>319087.4925</v>
      </c>
      <c r="AC222" s="317" t="n">
        <v>941575</v>
      </c>
      <c r="AD222" s="317" t="n">
        <v>0</v>
      </c>
      <c r="AE222" s="317" t="n">
        <v>0</v>
      </c>
      <c r="AF222" s="317" t="n">
        <v>941575</v>
      </c>
      <c r="AG222" s="317" t="n">
        <v>0</v>
      </c>
      <c r="AH222" s="317" t="n">
        <v>772000</v>
      </c>
      <c r="AI222" s="317" t="n">
        <v>695000</v>
      </c>
      <c r="AJ222" s="286" t="s">
        <v>707</v>
      </c>
      <c r="AK222" s="286" t="s">
        <v>729</v>
      </c>
      <c r="AL222" s="287" t="s">
        <v>48</v>
      </c>
      <c r="AM222" s="286"/>
      <c r="AN222" s="287" t="s">
        <v>553</v>
      </c>
      <c r="AO222" s="287" t="n">
        <v>319087.4925</v>
      </c>
      <c r="AP222" s="319" t="n">
        <f aca="false">AR222+AT222+AU222+AV222+AX222+AY222+AZ222+BD222+BF222+BG222+BH222+BJ222+BK222+(BL222+BM222+BN222)/1000+(0.1*BO222)</f>
        <v>235.591392</v>
      </c>
      <c r="AQ222" s="319" t="n">
        <f aca="false">AR222+AT222+AU222+AV222+AX222+AY222+AZ222+BB222+BC222+BD222+BF222+BG222+BH222+BJ222+BK222+(BL222+BM222+BN222)/1000+(0.1*BO222)</f>
        <v>282.591392</v>
      </c>
      <c r="AR222" s="285" t="n">
        <v>94</v>
      </c>
      <c r="AS222" s="285" t="n">
        <v>695</v>
      </c>
      <c r="AT222" s="285" t="n">
        <v>104</v>
      </c>
      <c r="AU222" s="285" t="n">
        <v>1</v>
      </c>
      <c r="AV222" s="285" t="n">
        <v>0</v>
      </c>
      <c r="AW222" s="285" t="n">
        <v>0</v>
      </c>
      <c r="AX222" s="285" t="n">
        <v>0</v>
      </c>
      <c r="AY222" s="285" t="n">
        <v>0</v>
      </c>
      <c r="AZ222" s="285" t="n">
        <v>0</v>
      </c>
      <c r="BA222" s="285" t="n">
        <v>12</v>
      </c>
      <c r="BB222" s="285" t="n">
        <v>47</v>
      </c>
      <c r="BC222" s="285" t="n">
        <v>0</v>
      </c>
      <c r="BD222" s="285" t="n">
        <v>0</v>
      </c>
      <c r="BE222" s="285" t="n">
        <v>0</v>
      </c>
      <c r="BF222" s="285" t="n">
        <v>0</v>
      </c>
      <c r="BG222" s="285" t="n">
        <v>0</v>
      </c>
      <c r="BH222" s="285" t="n">
        <v>0</v>
      </c>
      <c r="BI222" s="285" t="n">
        <v>0</v>
      </c>
      <c r="BJ222" s="285" t="n">
        <v>0</v>
      </c>
      <c r="BK222" s="285" t="n">
        <v>0</v>
      </c>
      <c r="BL222" s="285" t="n">
        <v>0</v>
      </c>
      <c r="BM222" s="285" t="n">
        <v>0</v>
      </c>
      <c r="BN222" s="285" t="n">
        <v>2039</v>
      </c>
      <c r="BO222" s="285" t="n">
        <v>345.52392</v>
      </c>
      <c r="BR222" s="290" t="n">
        <f aca="false">AR222*1000/0.072</f>
        <v>1305555.55555556</v>
      </c>
      <c r="BS222" s="290" t="n">
        <f aca="false">AT222*1000/0.072</f>
        <v>1444444.44444444</v>
      </c>
      <c r="BT222" s="290" t="n">
        <f aca="false">AU222*1000/0.072</f>
        <v>13888.8888888889</v>
      </c>
      <c r="BU222" s="290" t="n">
        <f aca="false">SUM(BR222:BT222)</f>
        <v>2763888.88888889</v>
      </c>
      <c r="BV222" s="290" t="n">
        <f aca="false">AV222*1000/5</f>
        <v>0</v>
      </c>
      <c r="BW222" s="290" t="n">
        <f aca="false">AX222*1000/5</f>
        <v>0</v>
      </c>
      <c r="BX222" s="290" t="n">
        <f aca="false">AY222*1000/5</f>
        <v>0</v>
      </c>
      <c r="BY222" s="290" t="n">
        <f aca="false">SUM(BV222:BX222)</f>
        <v>0</v>
      </c>
      <c r="CA222" s="290" t="n">
        <f aca="false">IF($AM222="n",0,BR222)</f>
        <v>1305555.55555556</v>
      </c>
      <c r="CB222" s="290" t="n">
        <f aca="false">IF($AM222="n",0,BS222)</f>
        <v>1444444.44444444</v>
      </c>
      <c r="CC222" s="290" t="n">
        <f aca="false">IF($AM222="n",0,BT222)</f>
        <v>13888.8888888889</v>
      </c>
      <c r="CD222" s="290" t="n">
        <f aca="false">SUM(CA222:CC222)</f>
        <v>2763888.88888889</v>
      </c>
      <c r="CE222" s="290" t="n">
        <f aca="false">IF($AM$2="n",0,BV222)</f>
        <v>0</v>
      </c>
      <c r="CF222" s="290" t="n">
        <f aca="false">IF($AM$2="n",0,BW222)</f>
        <v>0</v>
      </c>
      <c r="CG222" s="290" t="n">
        <f aca="false">IF($AM$2="n",0,BX222)</f>
        <v>0</v>
      </c>
      <c r="CH222" s="290" t="n">
        <f aca="false">SUM(CE222:CG222)</f>
        <v>0</v>
      </c>
    </row>
    <row r="223" customFormat="false" ht="15" hidden="false" customHeight="true" outlineLevel="0" collapsed="false">
      <c r="A223" s="285" t="n">
        <v>9896</v>
      </c>
      <c r="B223" s="285"/>
      <c r="C223" s="286" t="s">
        <v>555</v>
      </c>
      <c r="D223" s="287" t="s">
        <v>555</v>
      </c>
      <c r="E223" s="288" t="n">
        <f aca="false">IF(I223="regional",IF(R223*0.2975,S223*0.3484),S223*0.1939)</f>
        <v>308443.0492</v>
      </c>
      <c r="F223" s="288" t="n">
        <v>0</v>
      </c>
      <c r="G223" s="289" t="n">
        <f aca="false">E223+F223</f>
        <v>308443.0492</v>
      </c>
      <c r="H223" s="286"/>
      <c r="I223" s="287" t="s">
        <v>48</v>
      </c>
      <c r="J223" s="287"/>
      <c r="K223" s="287" t="s">
        <v>449</v>
      </c>
      <c r="L223" s="287"/>
      <c r="M223" s="317" t="n">
        <v>139</v>
      </c>
      <c r="N223" s="317" t="n">
        <v>0.794</v>
      </c>
      <c r="O223" s="317" t="n">
        <v>0.793</v>
      </c>
      <c r="P223" s="317" t="n">
        <v>0.841</v>
      </c>
      <c r="Q223" s="317" t="n">
        <v>0.847</v>
      </c>
      <c r="R223" s="317" t="n">
        <v>1062497</v>
      </c>
      <c r="S223" s="317" t="n">
        <v>885313</v>
      </c>
      <c r="T223" s="318" t="n">
        <f aca="false">IF(I223="regional",IF(R223&gt;0,R223*0.2975,S223*0.3484),S223*0.1939)</f>
        <v>316092.8575</v>
      </c>
      <c r="U223" s="317" t="n">
        <v>595468</v>
      </c>
      <c r="V223" s="317" t="n">
        <v>289845</v>
      </c>
      <c r="W223" s="317" t="n">
        <v>4458</v>
      </c>
      <c r="X223" s="317" t="n">
        <v>0</v>
      </c>
      <c r="Y223" s="317" t="n">
        <v>0</v>
      </c>
      <c r="Z223" s="317" t="n">
        <v>0</v>
      </c>
      <c r="AA223" s="317" t="n">
        <v>1201405.858</v>
      </c>
      <c r="AB223" s="317" t="n">
        <v>316092.8575</v>
      </c>
      <c r="AC223" s="317" t="n">
        <v>885313</v>
      </c>
      <c r="AD223" s="317" t="n">
        <v>0</v>
      </c>
      <c r="AE223" s="317" t="n">
        <v>0</v>
      </c>
      <c r="AF223" s="317" t="n">
        <v>0</v>
      </c>
      <c r="AG223" s="317" t="n">
        <v>885313</v>
      </c>
      <c r="AH223" s="317" t="n">
        <v>0</v>
      </c>
      <c r="AI223" s="317" t="n">
        <v>0</v>
      </c>
      <c r="AJ223" s="286" t="s">
        <v>707</v>
      </c>
      <c r="AK223" s="286" t="s">
        <v>714</v>
      </c>
      <c r="AL223" s="287" t="s">
        <v>48</v>
      </c>
      <c r="AM223" s="286"/>
      <c r="AN223" s="287" t="s">
        <v>555</v>
      </c>
      <c r="AO223" s="287" t="n">
        <v>316092.8575</v>
      </c>
      <c r="AP223" s="319" t="n">
        <f aca="false">AR223+AT223+AU223+AV223+AX223+AY223+AZ223+BD223+BF223+BG223+BH223+BJ223+BK223+(BL223+BM223+BN223)/1000+(0.1*BO223)</f>
        <v>366.0912</v>
      </c>
      <c r="AQ223" s="319" t="n">
        <f aca="false">AR223+AT223+AU223+AV223+AX223+AY223+AZ223+BB223+BC223+BD223+BF223+BG223+BH223+BJ223+BK223+(BL223+BM223+BN223)/1000+(0.1*BO223)</f>
        <v>465.0912</v>
      </c>
      <c r="AR223" s="285" t="n">
        <v>0</v>
      </c>
      <c r="AS223" s="285" t="n">
        <v>0</v>
      </c>
      <c r="AT223" s="285" t="n">
        <v>273</v>
      </c>
      <c r="AU223" s="285" t="n">
        <v>3</v>
      </c>
      <c r="AV223" s="285" t="n">
        <v>0</v>
      </c>
      <c r="AW223" s="285" t="n">
        <v>0</v>
      </c>
      <c r="AX223" s="285" t="n">
        <v>1</v>
      </c>
      <c r="AY223" s="285" t="n">
        <v>0</v>
      </c>
      <c r="AZ223" s="285" t="n">
        <v>0</v>
      </c>
      <c r="BA223" s="285" t="n">
        <v>0</v>
      </c>
      <c r="BB223" s="285" t="n">
        <v>24</v>
      </c>
      <c r="BC223" s="285" t="n">
        <v>75</v>
      </c>
      <c r="BD223" s="285" t="n">
        <v>0</v>
      </c>
      <c r="BE223" s="285" t="n">
        <v>0</v>
      </c>
      <c r="BF223" s="285" t="n">
        <v>0</v>
      </c>
      <c r="BG223" s="285" t="n">
        <v>0</v>
      </c>
      <c r="BH223" s="285" t="n">
        <v>0</v>
      </c>
      <c r="BI223" s="285" t="n">
        <v>0</v>
      </c>
      <c r="BJ223" s="285" t="n">
        <v>0</v>
      </c>
      <c r="BK223" s="285" t="n">
        <v>0</v>
      </c>
      <c r="BL223" s="285" t="n">
        <v>7900</v>
      </c>
      <c r="BM223" s="285" t="n">
        <v>0</v>
      </c>
      <c r="BN223" s="285" t="n">
        <v>0</v>
      </c>
      <c r="BO223" s="285" t="n">
        <v>811.912</v>
      </c>
      <c r="BR223" s="290" t="n">
        <f aca="false">AR223*1000/0.072</f>
        <v>0</v>
      </c>
      <c r="BS223" s="290" t="n">
        <f aca="false">AT223*1000/0.072</f>
        <v>3791666.66666667</v>
      </c>
      <c r="BT223" s="290" t="n">
        <f aca="false">AU223*1000/0.072</f>
        <v>41666.6666666667</v>
      </c>
      <c r="BU223" s="290" t="n">
        <f aca="false">SUM(BR223:BT223)</f>
        <v>3833333.33333333</v>
      </c>
      <c r="BV223" s="290" t="n">
        <f aca="false">AV223*1000/5</f>
        <v>0</v>
      </c>
      <c r="BW223" s="290" t="n">
        <f aca="false">AX223*1000/5</f>
        <v>200</v>
      </c>
      <c r="BX223" s="290" t="n">
        <f aca="false">AY223*1000/5</f>
        <v>0</v>
      </c>
      <c r="BY223" s="290" t="n">
        <f aca="false">SUM(BV223:BX223)</f>
        <v>200</v>
      </c>
      <c r="CA223" s="290" t="n">
        <f aca="false">IF($AM223="n",0,BR223)</f>
        <v>0</v>
      </c>
      <c r="CB223" s="290" t="n">
        <f aca="false">IF($AM223="n",0,BS223)</f>
        <v>3791666.66666667</v>
      </c>
      <c r="CC223" s="290" t="n">
        <f aca="false">IF($AM223="n",0,BT223)</f>
        <v>41666.6666666667</v>
      </c>
      <c r="CD223" s="290" t="n">
        <f aca="false">SUM(CA223:CC223)</f>
        <v>3833333.33333333</v>
      </c>
      <c r="CE223" s="290" t="n">
        <f aca="false">IF($AM$2="n",0,BV223)</f>
        <v>0</v>
      </c>
      <c r="CF223" s="290" t="n">
        <f aca="false">IF($AM$2="n",0,BW223)</f>
        <v>200</v>
      </c>
      <c r="CG223" s="290" t="n">
        <f aca="false">IF($AM$2="n",0,BX223)</f>
        <v>0</v>
      </c>
      <c r="CH223" s="290" t="n">
        <f aca="false">SUM(CE223:CG223)</f>
        <v>200</v>
      </c>
    </row>
    <row r="224" customFormat="false" ht="15" hidden="false" customHeight="true" outlineLevel="0" collapsed="false">
      <c r="A224" s="285" t="n">
        <v>3951</v>
      </c>
      <c r="B224" s="285"/>
      <c r="C224" s="292" t="s">
        <v>557</v>
      </c>
      <c r="D224" s="287" t="s">
        <v>557</v>
      </c>
      <c r="E224" s="288" t="n">
        <f aca="false">IF(I224="regional",IF(R224*0.2975,S224*0.3484),S224*0.1939)</f>
        <v>85255.9188</v>
      </c>
      <c r="F224" s="288" t="n">
        <v>235391</v>
      </c>
      <c r="G224" s="289" t="n">
        <f aca="false">E224+F224</f>
        <v>320646.9188</v>
      </c>
      <c r="H224" s="286" t="s">
        <v>49</v>
      </c>
      <c r="I224" s="287" t="s">
        <v>48</v>
      </c>
      <c r="J224" s="287" t="s">
        <v>49</v>
      </c>
      <c r="K224" s="287" t="s">
        <v>560</v>
      </c>
      <c r="L224" s="287" t="s">
        <v>44</v>
      </c>
      <c r="M224" s="317" t="n">
        <v>98</v>
      </c>
      <c r="N224" s="317" t="n">
        <v>0.823</v>
      </c>
      <c r="O224" s="317" t="n">
        <v>0.835</v>
      </c>
      <c r="P224" s="317" t="n">
        <v>0.851</v>
      </c>
      <c r="Q224" s="317" t="n">
        <v>0.758</v>
      </c>
      <c r="R224" s="317" t="n">
        <v>259829</v>
      </c>
      <c r="S224" s="317" t="n">
        <v>244707</v>
      </c>
      <c r="T224" s="318" t="n">
        <f aca="false">IF(I224="regional",IF(R224&gt;0,R224*0.2975,S224*0.3484),S224*0.1939)</f>
        <v>77299.1275</v>
      </c>
      <c r="U224" s="317" t="n">
        <v>214110</v>
      </c>
      <c r="V224" s="317" t="n">
        <v>30597</v>
      </c>
      <c r="W224" s="317" t="n">
        <v>943</v>
      </c>
      <c r="X224" s="317" t="n">
        <v>312690.1275</v>
      </c>
      <c r="Y224" s="317" t="n">
        <v>77299.1275</v>
      </c>
      <c r="Z224" s="317" t="n">
        <v>235391</v>
      </c>
      <c r="AA224" s="317" t="n">
        <v>9316</v>
      </c>
      <c r="AB224" s="317" t="n">
        <v>0</v>
      </c>
      <c r="AC224" s="317" t="n">
        <v>9316</v>
      </c>
      <c r="AD224" s="317" t="n">
        <v>0</v>
      </c>
      <c r="AE224" s="317" t="n">
        <v>235391</v>
      </c>
      <c r="AF224" s="317" t="n">
        <v>0</v>
      </c>
      <c r="AG224" s="317" t="n">
        <v>9316</v>
      </c>
      <c r="AH224" s="317" t="n">
        <v>0</v>
      </c>
      <c r="AI224" s="317" t="n">
        <v>0</v>
      </c>
      <c r="AJ224" s="286" t="n">
        <v>4</v>
      </c>
      <c r="AK224" s="286" t="s">
        <v>713</v>
      </c>
      <c r="AL224" s="287" t="s">
        <v>48</v>
      </c>
      <c r="AM224" s="286" t="s">
        <v>49</v>
      </c>
      <c r="AN224" s="287" t="s">
        <v>557</v>
      </c>
      <c r="AO224" s="287" t="n">
        <v>312690.1275</v>
      </c>
      <c r="AP224" s="319" t="n">
        <f aca="false">AR224+AT224+AU224+AV224+AX224+AY224+AZ224+BD224+BF224+BG224+BH224+BJ224+BK224+(BL224+BM224+BN224)/1000+(0.1*BO224)</f>
        <v>588.9377</v>
      </c>
      <c r="AQ224" s="319" t="n">
        <f aca="false">AR224+AT224+AU224+AV224+AX224+AY224+AZ224+BB224+BC224+BD224+BF224+BG224+BH224+BJ224+BK224+(BL224+BM224+BN224)/1000+(0.1*BO224)</f>
        <v>601.9377</v>
      </c>
      <c r="AR224" s="285" t="n">
        <v>115</v>
      </c>
      <c r="AS224" s="285" t="n">
        <v>0</v>
      </c>
      <c r="AT224" s="285" t="n">
        <v>67</v>
      </c>
      <c r="AU224" s="285" t="n">
        <v>7</v>
      </c>
      <c r="AV224" s="285" t="n">
        <v>64</v>
      </c>
      <c r="AW224" s="285" t="n">
        <v>24</v>
      </c>
      <c r="AX224" s="285" t="n">
        <v>2</v>
      </c>
      <c r="AY224" s="285" t="n">
        <v>0</v>
      </c>
      <c r="AZ224" s="285" t="n">
        <v>32</v>
      </c>
      <c r="BA224" s="285" t="n">
        <v>5</v>
      </c>
      <c r="BB224" s="285" t="n">
        <v>12</v>
      </c>
      <c r="BC224" s="285" t="n">
        <v>1</v>
      </c>
      <c r="BD224" s="285" t="n">
        <v>108</v>
      </c>
      <c r="BE224" s="285" t="n">
        <v>0</v>
      </c>
      <c r="BF224" s="285" t="n">
        <v>0</v>
      </c>
      <c r="BG224" s="285" t="n">
        <v>0</v>
      </c>
      <c r="BH224" s="285" t="n">
        <v>35</v>
      </c>
      <c r="BI224" s="285" t="n">
        <v>0</v>
      </c>
      <c r="BJ224" s="285" t="n">
        <v>0</v>
      </c>
      <c r="BK224" s="285" t="n">
        <v>0</v>
      </c>
      <c r="BL224" s="285" t="n">
        <v>135688</v>
      </c>
      <c r="BM224" s="285" t="n">
        <v>0</v>
      </c>
      <c r="BN224" s="285" t="n">
        <v>0</v>
      </c>
      <c r="BO224" s="285" t="n">
        <v>232.497</v>
      </c>
      <c r="BR224" s="290" t="n">
        <f aca="false">AR224*1000/0.072</f>
        <v>1597222.22222222</v>
      </c>
      <c r="BS224" s="290" t="n">
        <f aca="false">AT224*1000/0.072</f>
        <v>930555.555555556</v>
      </c>
      <c r="BT224" s="290" t="n">
        <f aca="false">AU224*1000/0.072</f>
        <v>97222.2222222222</v>
      </c>
      <c r="BU224" s="290" t="n">
        <f aca="false">SUM(BR224:BT224)</f>
        <v>2625000</v>
      </c>
      <c r="BV224" s="290" t="n">
        <f aca="false">AV224*1000/5</f>
        <v>12800</v>
      </c>
      <c r="BW224" s="290" t="n">
        <f aca="false">AX224*1000/5</f>
        <v>400</v>
      </c>
      <c r="BX224" s="290" t="n">
        <f aca="false">AY224*1000/5</f>
        <v>0</v>
      </c>
      <c r="BY224" s="290" t="n">
        <f aca="false">SUM(BV224:BX224)</f>
        <v>13200</v>
      </c>
      <c r="CA224" s="290" t="n">
        <f aca="false">IF($AM224="n",0,BR224)</f>
        <v>0</v>
      </c>
      <c r="CB224" s="290" t="n">
        <f aca="false">IF($AM224="n",0,BS224)</f>
        <v>0</v>
      </c>
      <c r="CC224" s="290" t="n">
        <f aca="false">IF($AM224="n",0,BT224)</f>
        <v>0</v>
      </c>
      <c r="CD224" s="290" t="n">
        <f aca="false">SUM(CA224:CC224)</f>
        <v>0</v>
      </c>
      <c r="CE224" s="290" t="n">
        <f aca="false">IF($AM$2="n",0,BV224)</f>
        <v>12800</v>
      </c>
      <c r="CF224" s="290" t="n">
        <f aca="false">IF($AM$2="n",0,BW224)</f>
        <v>400</v>
      </c>
      <c r="CG224" s="290" t="n">
        <f aca="false">IF($AM$2="n",0,BX224)</f>
        <v>0</v>
      </c>
      <c r="CH224" s="290" t="n">
        <f aca="false">SUM(CE224:CG224)</f>
        <v>13200</v>
      </c>
    </row>
    <row r="225" customFormat="false" ht="15" hidden="false" customHeight="true" outlineLevel="0" collapsed="false">
      <c r="A225" s="285" t="n">
        <v>9690</v>
      </c>
      <c r="B225" s="285"/>
      <c r="C225" s="286" t="s">
        <v>561</v>
      </c>
      <c r="D225" s="287" t="s">
        <v>561</v>
      </c>
      <c r="E225" s="288" t="n">
        <f aca="false">IF(I225="regional",IF(R225*0.2975,S225*0.3484),S225*0.1939)</f>
        <v>391186.6556</v>
      </c>
      <c r="F225" s="288" t="n">
        <v>0</v>
      </c>
      <c r="G225" s="289" t="n">
        <f aca="false">E225+F225</f>
        <v>391186.6556</v>
      </c>
      <c r="H225" s="286"/>
      <c r="I225" s="287" t="s">
        <v>48</v>
      </c>
      <c r="J225" s="287" t="s">
        <v>49</v>
      </c>
      <c r="K225" s="287" t="s">
        <v>229</v>
      </c>
      <c r="L225" s="287"/>
      <c r="M225" s="317" t="n">
        <v>0</v>
      </c>
      <c r="N225" s="317" t="n">
        <v>0.907</v>
      </c>
      <c r="O225" s="317" t="n">
        <v>0.924</v>
      </c>
      <c r="P225" s="317" t="n">
        <v>0.925</v>
      </c>
      <c r="Q225" s="317" t="n">
        <v>0.93</v>
      </c>
      <c r="R225" s="317" t="n">
        <v>1379609</v>
      </c>
      <c r="S225" s="317" t="n">
        <v>1122809</v>
      </c>
      <c r="T225" s="318" t="n">
        <f aca="false">IF(I225="regional",IF(R225&gt;0,R225*0.2975,S225*0.3484),S225*0.1939)</f>
        <v>410433.6775</v>
      </c>
      <c r="U225" s="317" t="n">
        <v>748269</v>
      </c>
      <c r="V225" s="317" t="n">
        <v>374540</v>
      </c>
      <c r="W225" s="317" t="n">
        <v>7000</v>
      </c>
      <c r="X225" s="317" t="n">
        <v>0</v>
      </c>
      <c r="Y225" s="317" t="n">
        <v>0</v>
      </c>
      <c r="Z225" s="317" t="n">
        <v>0</v>
      </c>
      <c r="AA225" s="317" t="n">
        <v>1533242.678</v>
      </c>
      <c r="AB225" s="317" t="n">
        <v>410433.6775</v>
      </c>
      <c r="AC225" s="317" t="n">
        <v>1122809</v>
      </c>
      <c r="AD225" s="317" t="n">
        <v>0</v>
      </c>
      <c r="AE225" s="317" t="n">
        <v>0</v>
      </c>
      <c r="AF225" s="317" t="n">
        <v>0</v>
      </c>
      <c r="AG225" s="317" t="n">
        <v>1122809</v>
      </c>
      <c r="AH225" s="317" t="n">
        <v>0</v>
      </c>
      <c r="AI225" s="317" t="n">
        <v>0</v>
      </c>
      <c r="AJ225" s="286" t="s">
        <v>707</v>
      </c>
      <c r="AK225" s="286" t="s">
        <v>714</v>
      </c>
      <c r="AL225" s="287" t="s">
        <v>48</v>
      </c>
      <c r="AM225" s="286"/>
      <c r="AN225" s="287" t="s">
        <v>561</v>
      </c>
      <c r="AO225" s="287" t="n">
        <v>410433.6775</v>
      </c>
      <c r="AP225" s="319" t="n">
        <f aca="false">AR225+AT225+AU225+AV225+AX225+AY225+AZ225+BD225+BF225+BG225+BH225+BJ225+BK225+(BL225+BM225+BN225)/1000+(0.1*BO225)</f>
        <v>245.4697</v>
      </c>
      <c r="AQ225" s="319" t="n">
        <f aca="false">AR225+AT225+AU225+AV225+AX225+AY225+AZ225+BB225+BC225+BD225+BF225+BG225+BH225+BJ225+BK225+(BL225+BM225+BN225)/1000+(0.1*BO225)</f>
        <v>445.4697</v>
      </c>
      <c r="AR225" s="285" t="n">
        <v>0</v>
      </c>
      <c r="AS225" s="285" t="n">
        <v>0</v>
      </c>
      <c r="AT225" s="285" t="n">
        <v>234</v>
      </c>
      <c r="AU225" s="285" t="n">
        <v>1</v>
      </c>
      <c r="AV225" s="285" t="n">
        <v>0</v>
      </c>
      <c r="AW225" s="285" t="n">
        <v>0</v>
      </c>
      <c r="AX225" s="285" t="n">
        <v>0</v>
      </c>
      <c r="AY225" s="285" t="n">
        <v>0</v>
      </c>
      <c r="AZ225" s="285" t="n">
        <v>0</v>
      </c>
      <c r="BA225" s="285" t="n">
        <v>0</v>
      </c>
      <c r="BB225" s="285" t="n">
        <v>200</v>
      </c>
      <c r="BC225" s="285" t="n">
        <v>0</v>
      </c>
      <c r="BD225" s="285" t="n">
        <v>0</v>
      </c>
      <c r="BE225" s="285" t="n">
        <v>0</v>
      </c>
      <c r="BF225" s="285" t="n">
        <v>0</v>
      </c>
      <c r="BG225" s="285" t="n">
        <v>0</v>
      </c>
      <c r="BH225" s="285" t="n">
        <v>0</v>
      </c>
      <c r="BI225" s="285" t="n">
        <v>0</v>
      </c>
      <c r="BJ225" s="285" t="n">
        <v>0</v>
      </c>
      <c r="BK225" s="285" t="n">
        <v>0</v>
      </c>
      <c r="BL225" s="285" t="n">
        <v>0</v>
      </c>
      <c r="BM225" s="285" t="n">
        <v>0</v>
      </c>
      <c r="BN225" s="285" t="n">
        <v>10000</v>
      </c>
      <c r="BO225" s="285" t="n">
        <v>4.697</v>
      </c>
      <c r="BR225" s="290" t="n">
        <f aca="false">AR225*1000/0.072</f>
        <v>0</v>
      </c>
      <c r="BS225" s="290" t="n">
        <f aca="false">AT225*1000/0.072</f>
        <v>3250000</v>
      </c>
      <c r="BT225" s="290" t="n">
        <f aca="false">AU225*1000/0.072</f>
        <v>13888.8888888889</v>
      </c>
      <c r="BU225" s="290" t="n">
        <f aca="false">SUM(BR225:BT225)</f>
        <v>3263888.88888889</v>
      </c>
      <c r="BV225" s="290" t="n">
        <f aca="false">AV225*1000/5</f>
        <v>0</v>
      </c>
      <c r="BW225" s="290" t="n">
        <f aca="false">AX225*1000/5</f>
        <v>0</v>
      </c>
      <c r="BX225" s="290" t="n">
        <f aca="false">AY225*1000/5</f>
        <v>0</v>
      </c>
      <c r="BY225" s="290" t="n">
        <f aca="false">SUM(BV225:BX225)</f>
        <v>0</v>
      </c>
      <c r="CA225" s="290" t="n">
        <f aca="false">IF($AM225="n",0,BR225)</f>
        <v>0</v>
      </c>
      <c r="CB225" s="290" t="n">
        <f aca="false">IF($AM225="n",0,BS225)</f>
        <v>3250000</v>
      </c>
      <c r="CC225" s="290" t="n">
        <f aca="false">IF($AM225="n",0,BT225)</f>
        <v>13888.8888888889</v>
      </c>
      <c r="CD225" s="290" t="n">
        <f aca="false">SUM(CA225:CC225)</f>
        <v>3263888.88888889</v>
      </c>
      <c r="CE225" s="290" t="n">
        <f aca="false">IF($AM$2="n",0,BV225)</f>
        <v>0</v>
      </c>
      <c r="CF225" s="290" t="n">
        <f aca="false">IF($AM$2="n",0,BW225)</f>
        <v>0</v>
      </c>
      <c r="CG225" s="290" t="n">
        <f aca="false">IF($AM$2="n",0,BX225)</f>
        <v>0</v>
      </c>
      <c r="CH225" s="290" t="n">
        <f aca="false">SUM(CE225:CG225)</f>
        <v>0</v>
      </c>
    </row>
    <row r="226" customFormat="false" ht="15" hidden="false" customHeight="true" outlineLevel="0" collapsed="false">
      <c r="A226" s="285" t="n">
        <v>9711</v>
      </c>
      <c r="B226" s="285"/>
      <c r="C226" s="286" t="s">
        <v>563</v>
      </c>
      <c r="D226" s="287" t="s">
        <v>563</v>
      </c>
      <c r="E226" s="288" t="n">
        <f aca="false">IF(I226="regional",IF(R226*0.2975,S226*0.3484),S226*0.1939)</f>
        <v>29188.3487</v>
      </c>
      <c r="F226" s="288" t="n">
        <v>0</v>
      </c>
      <c r="G226" s="289" t="n">
        <f aca="false">E226+F226</f>
        <v>29188.3487</v>
      </c>
      <c r="H226" s="286" t="s">
        <v>49</v>
      </c>
      <c r="I226" s="287" t="s">
        <v>62</v>
      </c>
      <c r="J226" s="287"/>
      <c r="K226" s="287" t="s">
        <v>565</v>
      </c>
      <c r="L226" s="287"/>
      <c r="M226" s="317" t="n">
        <v>15</v>
      </c>
      <c r="N226" s="317" t="n">
        <v>0.933</v>
      </c>
      <c r="O226" s="317" t="n">
        <v>0.933</v>
      </c>
      <c r="P226" s="317" t="n">
        <v>0.915</v>
      </c>
      <c r="Q226" s="317" t="n">
        <v>0.978</v>
      </c>
      <c r="R226" s="317" t="n">
        <v>0</v>
      </c>
      <c r="S226" s="317" t="n">
        <v>150533</v>
      </c>
      <c r="T226" s="318" t="n">
        <f aca="false">IF(I226="regional",IF(R226&gt;0,R226*0.2975,S226*0.3484),S226*0.1939)</f>
        <v>29188.3487</v>
      </c>
      <c r="U226" s="317" t="n">
        <v>104359</v>
      </c>
      <c r="V226" s="317" t="n">
        <v>46174</v>
      </c>
      <c r="W226" s="317" t="n">
        <v>750</v>
      </c>
      <c r="X226" s="317" t="n">
        <v>0</v>
      </c>
      <c r="Y226" s="317" t="n">
        <v>0</v>
      </c>
      <c r="Z226" s="317" t="n">
        <v>0</v>
      </c>
      <c r="AA226" s="317" t="n">
        <v>179721.3487</v>
      </c>
      <c r="AB226" s="317" t="n">
        <v>29188.3487</v>
      </c>
      <c r="AC226" s="317" t="n">
        <v>150533</v>
      </c>
      <c r="AD226" s="317" t="n">
        <v>0</v>
      </c>
      <c r="AE226" s="317" t="n">
        <v>0</v>
      </c>
      <c r="AF226" s="317" t="n">
        <v>0</v>
      </c>
      <c r="AG226" s="317" t="n">
        <v>150533</v>
      </c>
      <c r="AH226" s="317" t="n">
        <v>0</v>
      </c>
      <c r="AI226" s="317" t="n">
        <v>0</v>
      </c>
      <c r="AJ226" s="286" t="n">
        <v>4</v>
      </c>
      <c r="AK226" s="286" t="s">
        <v>720</v>
      </c>
      <c r="AL226" s="287" t="s">
        <v>62</v>
      </c>
      <c r="AM226" s="286" t="s">
        <v>49</v>
      </c>
      <c r="AN226" s="287" t="s">
        <v>563</v>
      </c>
      <c r="AO226" s="287" t="n">
        <v>29188.3487</v>
      </c>
      <c r="AP226" s="319" t="n">
        <f aca="false">AR226+AT226+AU226+AV226+AX226+AY226+AZ226+BD226+BF226+BG226+BH226+BJ226+BK226+(BL226+BM226+BN226)/1000+(0.1*BO226)</f>
        <v>14.6807</v>
      </c>
      <c r="AQ226" s="319" t="n">
        <f aca="false">AR226+AT226+AU226+AV226+AX226+AY226+AZ226+BB226+BC226+BD226+BF226+BG226+BH226+BJ226+BK226+(BL226+BM226+BN226)/1000+(0.1*BO226)</f>
        <v>14.6807</v>
      </c>
      <c r="AR226" s="285" t="n">
        <v>0</v>
      </c>
      <c r="AS226" s="285" t="n">
        <v>0</v>
      </c>
      <c r="AT226" s="285" t="n">
        <v>7</v>
      </c>
      <c r="AU226" s="285" t="n">
        <v>1</v>
      </c>
      <c r="AV226" s="285" t="n">
        <v>0</v>
      </c>
      <c r="AW226" s="285" t="n">
        <v>0</v>
      </c>
      <c r="AX226" s="285" t="n">
        <v>0</v>
      </c>
      <c r="AY226" s="285" t="n">
        <v>0</v>
      </c>
      <c r="AZ226" s="285" t="n">
        <v>0</v>
      </c>
      <c r="BA226" s="285" t="n">
        <v>0</v>
      </c>
      <c r="BB226" s="285" t="n">
        <v>0</v>
      </c>
      <c r="BC226" s="285" t="n">
        <v>0</v>
      </c>
      <c r="BD226" s="285" t="n">
        <v>0</v>
      </c>
      <c r="BE226" s="285" t="n">
        <v>0</v>
      </c>
      <c r="BF226" s="285" t="n">
        <v>0</v>
      </c>
      <c r="BG226" s="285" t="n">
        <v>0</v>
      </c>
      <c r="BH226" s="285" t="n">
        <v>0</v>
      </c>
      <c r="BI226" s="285" t="n">
        <v>0</v>
      </c>
      <c r="BJ226" s="285" t="n">
        <v>0</v>
      </c>
      <c r="BK226" s="285" t="n">
        <v>0</v>
      </c>
      <c r="BL226" s="285" t="n">
        <v>0</v>
      </c>
      <c r="BM226" s="285" t="n">
        <v>0</v>
      </c>
      <c r="BN226" s="285" t="n">
        <v>0</v>
      </c>
      <c r="BO226" s="285" t="n">
        <v>66.807</v>
      </c>
      <c r="BR226" s="290" t="n">
        <f aca="false">AR226*1000/0.072</f>
        <v>0</v>
      </c>
      <c r="BS226" s="290" t="n">
        <f aca="false">AT226*1000/0.072</f>
        <v>97222.2222222222</v>
      </c>
      <c r="BT226" s="290" t="n">
        <f aca="false">AU226*1000/0.072</f>
        <v>13888.8888888889</v>
      </c>
      <c r="BU226" s="290" t="n">
        <f aca="false">SUM(BR226:BT226)</f>
        <v>111111.111111111</v>
      </c>
      <c r="BV226" s="290" t="n">
        <f aca="false">AV226*1000/5</f>
        <v>0</v>
      </c>
      <c r="BW226" s="290" t="n">
        <f aca="false">AX226*1000/5</f>
        <v>0</v>
      </c>
      <c r="BX226" s="290" t="n">
        <f aca="false">AY226*1000/5</f>
        <v>0</v>
      </c>
      <c r="BY226" s="290" t="n">
        <f aca="false">SUM(BV226:BX226)</f>
        <v>0</v>
      </c>
      <c r="CA226" s="290" t="n">
        <f aca="false">IF($AM226="n",0,BR226)</f>
        <v>0</v>
      </c>
      <c r="CB226" s="290" t="n">
        <f aca="false">IF($AM226="n",0,BS226)</f>
        <v>0</v>
      </c>
      <c r="CC226" s="290" t="n">
        <f aca="false">IF($AM226="n",0,BT226)</f>
        <v>0</v>
      </c>
      <c r="CD226" s="290" t="n">
        <f aca="false">SUM(CA226:CC226)</f>
        <v>0</v>
      </c>
      <c r="CE226" s="290" t="n">
        <f aca="false">IF($AM$2="n",0,BV226)</f>
        <v>0</v>
      </c>
      <c r="CF226" s="290" t="n">
        <f aca="false">IF($AM$2="n",0,BW226)</f>
        <v>0</v>
      </c>
      <c r="CG226" s="290" t="n">
        <f aca="false">IF($AM$2="n",0,BX226)</f>
        <v>0</v>
      </c>
      <c r="CH226" s="290" t="n">
        <f aca="false">SUM(CE226:CG226)</f>
        <v>0</v>
      </c>
    </row>
    <row r="227" customFormat="false" ht="15" hidden="false" customHeight="true" outlineLevel="0" collapsed="false">
      <c r="A227" s="285" t="n">
        <v>2520</v>
      </c>
      <c r="B227" s="285" t="s">
        <v>44</v>
      </c>
      <c r="C227" s="286" t="s">
        <v>566</v>
      </c>
      <c r="D227" s="287" t="s">
        <v>566</v>
      </c>
      <c r="E227" s="288" t="n">
        <f aca="false">IF(I227="regional",IF(R227*0.2975,S227*0.3484),S227*0.1939)</f>
        <v>245864.8348</v>
      </c>
      <c r="F227" s="288" t="n">
        <v>0</v>
      </c>
      <c r="G227" s="289" t="n">
        <f aca="false">E227+F227</f>
        <v>245864.8348</v>
      </c>
      <c r="H227" s="286"/>
      <c r="I227" s="287" t="s">
        <v>48</v>
      </c>
      <c r="J227" s="287" t="s">
        <v>49</v>
      </c>
      <c r="K227" s="287" t="s">
        <v>568</v>
      </c>
      <c r="L227" s="287"/>
      <c r="M227" s="317" t="n">
        <v>90</v>
      </c>
      <c r="N227" s="317" t="n">
        <v>0.877</v>
      </c>
      <c r="O227" s="317" t="n">
        <v>0.894</v>
      </c>
      <c r="P227" s="317" t="n">
        <v>0.848</v>
      </c>
      <c r="Q227" s="317" t="n">
        <v>0.801</v>
      </c>
      <c r="R227" s="317" t="n">
        <v>830190</v>
      </c>
      <c r="S227" s="317" t="n">
        <v>705697</v>
      </c>
      <c r="T227" s="318" t="n">
        <f aca="false">IF(I227="regional",IF(R227&gt;0,R227*0.2975,S227*0.3484),S227*0.1939)</f>
        <v>246981.525</v>
      </c>
      <c r="U227" s="317" t="n">
        <v>478449</v>
      </c>
      <c r="V227" s="317" t="n">
        <v>227248</v>
      </c>
      <c r="W227" s="317" t="n">
        <v>3585</v>
      </c>
      <c r="X227" s="317" t="n">
        <v>0</v>
      </c>
      <c r="Y227" s="317" t="n">
        <v>0</v>
      </c>
      <c r="Z227" s="317" t="n">
        <v>0</v>
      </c>
      <c r="AA227" s="317" t="n">
        <v>952678.525</v>
      </c>
      <c r="AB227" s="317" t="n">
        <v>246981.525</v>
      </c>
      <c r="AC227" s="317" t="n">
        <v>705697</v>
      </c>
      <c r="AD227" s="317" t="n">
        <v>0</v>
      </c>
      <c r="AE227" s="317" t="n">
        <v>0</v>
      </c>
      <c r="AF227" s="317" t="n">
        <v>0</v>
      </c>
      <c r="AG227" s="317" t="n">
        <v>705697</v>
      </c>
      <c r="AH227" s="317" t="n">
        <v>0</v>
      </c>
      <c r="AI227" s="317" t="n">
        <v>0</v>
      </c>
      <c r="AJ227" s="286" t="s">
        <v>707</v>
      </c>
      <c r="AK227" s="286" t="s">
        <v>729</v>
      </c>
      <c r="AL227" s="287" t="s">
        <v>48</v>
      </c>
      <c r="AM227" s="286"/>
      <c r="AN227" s="287" t="s">
        <v>566</v>
      </c>
      <c r="AO227" s="287" t="n">
        <v>513036.9575</v>
      </c>
      <c r="AP227" s="319" t="n">
        <f aca="false">AR227+AT227+AU227+AV227+AX227+AY227+AZ227+BD227+BF227+BG227+BH227+BJ227+BK227+(BL227+BM227+BN227)/1000+(0.1*BO227)</f>
        <v>382.4887</v>
      </c>
      <c r="AQ227" s="319" t="n">
        <f aca="false">AR227+AT227+AU227+AV227+AX227+AY227+AZ227+BB227+BC227+BD227+BF227+BG227+BH227+BJ227+BK227+(BL227+BM227+BN227)/1000+(0.1*BO227)</f>
        <v>403.4887</v>
      </c>
      <c r="AR227" s="285" t="n">
        <v>203</v>
      </c>
      <c r="AS227" s="285" t="n">
        <v>185</v>
      </c>
      <c r="AT227" s="285" t="n">
        <v>82</v>
      </c>
      <c r="AU227" s="285" t="n">
        <v>3</v>
      </c>
      <c r="AV227" s="285" t="n">
        <v>9</v>
      </c>
      <c r="AW227" s="285" t="n">
        <v>7</v>
      </c>
      <c r="AX227" s="285" t="n">
        <v>1</v>
      </c>
      <c r="AY227" s="285" t="n">
        <v>1</v>
      </c>
      <c r="AZ227" s="285" t="n">
        <v>2</v>
      </c>
      <c r="BA227" s="285" t="n">
        <v>7</v>
      </c>
      <c r="BB227" s="285" t="n">
        <v>21</v>
      </c>
      <c r="BC227" s="285" t="n">
        <v>0</v>
      </c>
      <c r="BD227" s="285" t="n">
        <v>25</v>
      </c>
      <c r="BE227" s="285" t="n">
        <v>0</v>
      </c>
      <c r="BF227" s="285" t="n">
        <v>0</v>
      </c>
      <c r="BG227" s="285" t="n">
        <v>0</v>
      </c>
      <c r="BH227" s="285" t="n">
        <v>39</v>
      </c>
      <c r="BI227" s="285" t="n">
        <v>0</v>
      </c>
      <c r="BJ227" s="285" t="n">
        <v>0</v>
      </c>
      <c r="BK227" s="285" t="n">
        <v>0</v>
      </c>
      <c r="BL227" s="285" t="n">
        <v>0</v>
      </c>
      <c r="BM227" s="285" t="n">
        <v>0</v>
      </c>
      <c r="BN227" s="285" t="n">
        <v>9737</v>
      </c>
      <c r="BO227" s="285" t="n">
        <v>77.517</v>
      </c>
      <c r="BR227" s="290" t="n">
        <f aca="false">AR227*1000/0.072</f>
        <v>2819444.44444444</v>
      </c>
      <c r="BS227" s="290" t="n">
        <f aca="false">AT227*1000/0.072</f>
        <v>1138888.88888889</v>
      </c>
      <c r="BT227" s="290" t="n">
        <f aca="false">AU227*1000/0.072</f>
        <v>41666.6666666667</v>
      </c>
      <c r="BU227" s="290" t="n">
        <f aca="false">SUM(BR227:BT227)</f>
        <v>4000000</v>
      </c>
      <c r="BV227" s="290" t="n">
        <f aca="false">AV227*1000/5</f>
        <v>1800</v>
      </c>
      <c r="BW227" s="290" t="n">
        <f aca="false">AX227*1000/5</f>
        <v>200</v>
      </c>
      <c r="BX227" s="290" t="n">
        <f aca="false">AY227*1000/5</f>
        <v>200</v>
      </c>
      <c r="BY227" s="290" t="n">
        <f aca="false">SUM(BV227:BX227)</f>
        <v>2200</v>
      </c>
      <c r="CA227" s="290" t="n">
        <f aca="false">IF($AM227="n",0,BR227)</f>
        <v>2819444.44444444</v>
      </c>
      <c r="CB227" s="290" t="n">
        <f aca="false">IF($AM227="n",0,BS227)</f>
        <v>1138888.88888889</v>
      </c>
      <c r="CC227" s="290" t="n">
        <f aca="false">IF($AM227="n",0,BT227)</f>
        <v>41666.6666666667</v>
      </c>
      <c r="CD227" s="290" t="n">
        <f aca="false">SUM(CA227:CC227)</f>
        <v>4000000</v>
      </c>
      <c r="CE227" s="290" t="n">
        <f aca="false">IF($AM$2="n",0,BV227)</f>
        <v>1800</v>
      </c>
      <c r="CF227" s="290" t="n">
        <f aca="false">IF($AM$2="n",0,BW227)</f>
        <v>200</v>
      </c>
      <c r="CG227" s="290" t="n">
        <f aca="false">IF($AM$2="n",0,BX227)</f>
        <v>200</v>
      </c>
      <c r="CH227" s="290" t="n">
        <f aca="false">SUM(CE227:CG227)</f>
        <v>2200</v>
      </c>
    </row>
    <row r="228" customFormat="false" ht="15" hidden="false" customHeight="true" outlineLevel="0" collapsed="false">
      <c r="A228" s="285" t="n">
        <v>4116</v>
      </c>
      <c r="B228" s="285"/>
      <c r="C228" s="286" t="s">
        <v>566</v>
      </c>
      <c r="D228" s="287" t="s">
        <v>566</v>
      </c>
      <c r="E228" s="288" t="n">
        <f aca="false">IF(I228="regional",IF(R228*0.2975,S228*0.3484),S228*0.1939)</f>
        <v>197358.8448</v>
      </c>
      <c r="F228" s="288" t="n">
        <v>315718</v>
      </c>
      <c r="G228" s="289" t="n">
        <f aca="false">E228+F228</f>
        <v>513076.8448</v>
      </c>
      <c r="H228" s="286"/>
      <c r="I228" s="287" t="s">
        <v>48</v>
      </c>
      <c r="J228" s="287" t="s">
        <v>44</v>
      </c>
      <c r="K228" s="287" t="s">
        <v>568</v>
      </c>
      <c r="L228" s="287" t="s">
        <v>44</v>
      </c>
      <c r="M228" s="317" t="n">
        <v>69</v>
      </c>
      <c r="N228" s="317" t="n">
        <v>0.653</v>
      </c>
      <c r="O228" s="317" t="n">
        <v>0.784</v>
      </c>
      <c r="P228" s="317" t="n">
        <v>0.748</v>
      </c>
      <c r="Q228" s="317" t="n">
        <v>0.858</v>
      </c>
      <c r="R228" s="317" t="n">
        <v>663257</v>
      </c>
      <c r="S228" s="317" t="n">
        <v>566472</v>
      </c>
      <c r="T228" s="318" t="n">
        <f aca="false">IF(I228="regional",IF(R228&gt;0,R228*0.2975,S228*0.3484),S228*0.1939)</f>
        <v>197318.9575</v>
      </c>
      <c r="U228" s="317" t="n">
        <v>412761</v>
      </c>
      <c r="V228" s="317" t="n">
        <v>153711</v>
      </c>
      <c r="W228" s="317" t="n">
        <v>1927</v>
      </c>
      <c r="X228" s="317" t="n">
        <v>513036.9575</v>
      </c>
      <c r="Y228" s="317" t="n">
        <v>197318.9575</v>
      </c>
      <c r="Z228" s="317" t="n">
        <v>315718</v>
      </c>
      <c r="AA228" s="317" t="n">
        <v>250754</v>
      </c>
      <c r="AB228" s="317" t="n">
        <v>0</v>
      </c>
      <c r="AC228" s="317" t="n">
        <v>250754</v>
      </c>
      <c r="AD228" s="317" t="n">
        <v>315718</v>
      </c>
      <c r="AE228" s="317" t="n">
        <v>0</v>
      </c>
      <c r="AF228" s="317" t="n">
        <v>250754</v>
      </c>
      <c r="AG228" s="317" t="n">
        <v>0</v>
      </c>
      <c r="AH228" s="317" t="n">
        <v>138000</v>
      </c>
      <c r="AI228" s="317" t="n">
        <v>185000</v>
      </c>
      <c r="AJ228" s="286" t="s">
        <v>707</v>
      </c>
      <c r="AK228" s="286" t="s">
        <v>714</v>
      </c>
      <c r="AL228" s="287" t="s">
        <v>48</v>
      </c>
      <c r="AM228" s="286"/>
      <c r="AN228" s="287" t="s">
        <v>566</v>
      </c>
      <c r="AO228" s="287" t="n">
        <v>246981.525</v>
      </c>
      <c r="AP228" s="319" t="n">
        <f aca="false">AR228+AT228+AU228+AV228+AX228+AY228+AZ228+BD228+BF228+BG228+BH228+BJ228+BK228+(BL228+BM228+BN228)/1000+(0.1*BO228)</f>
        <v>131.3694</v>
      </c>
      <c r="AQ228" s="319" t="n">
        <f aca="false">AR228+AT228+AU228+AV228+AX228+AY228+AZ228+BB228+BC228+BD228+BF228+BG228+BH228+BJ228+BK228+(BL228+BM228+BN228)/1000+(0.1*BO228)</f>
        <v>131.3694</v>
      </c>
      <c r="AR228" s="285" t="n">
        <v>31</v>
      </c>
      <c r="AS228" s="285" t="n">
        <v>0</v>
      </c>
      <c r="AT228" s="285" t="n">
        <v>50</v>
      </c>
      <c r="AU228" s="285" t="n">
        <v>2</v>
      </c>
      <c r="AV228" s="285" t="n">
        <v>0</v>
      </c>
      <c r="AW228" s="285" t="n">
        <v>0</v>
      </c>
      <c r="AX228" s="285" t="n">
        <v>1</v>
      </c>
      <c r="AY228" s="285" t="n">
        <v>0</v>
      </c>
      <c r="AZ228" s="285" t="n">
        <v>0</v>
      </c>
      <c r="BA228" s="285" t="n">
        <v>0</v>
      </c>
      <c r="BB228" s="285" t="n">
        <v>0</v>
      </c>
      <c r="BC228" s="285" t="n">
        <v>0</v>
      </c>
      <c r="BD228" s="285" t="n">
        <v>0</v>
      </c>
      <c r="BE228" s="285" t="n">
        <v>0</v>
      </c>
      <c r="BF228" s="285" t="n">
        <v>0</v>
      </c>
      <c r="BG228" s="285" t="n">
        <v>0</v>
      </c>
      <c r="BH228" s="285" t="n">
        <v>0</v>
      </c>
      <c r="BI228" s="285" t="n">
        <v>0</v>
      </c>
      <c r="BJ228" s="285" t="n">
        <v>0</v>
      </c>
      <c r="BK228" s="285" t="n">
        <v>0</v>
      </c>
      <c r="BL228" s="285" t="n">
        <v>2661</v>
      </c>
      <c r="BM228" s="285" t="n">
        <v>0</v>
      </c>
      <c r="BN228" s="285" t="n">
        <v>6769</v>
      </c>
      <c r="BO228" s="285" t="n">
        <v>379.394</v>
      </c>
      <c r="BR228" s="290" t="n">
        <f aca="false">AR228*1000/0.072</f>
        <v>430555.555555556</v>
      </c>
      <c r="BS228" s="290" t="n">
        <f aca="false">AT228*1000/0.072</f>
        <v>694444.444444445</v>
      </c>
      <c r="BT228" s="290" t="n">
        <f aca="false">AU228*1000/0.072</f>
        <v>27777.7777777778</v>
      </c>
      <c r="BU228" s="290" t="n">
        <f aca="false">SUM(BR228:BT228)</f>
        <v>1152777.77777778</v>
      </c>
      <c r="BV228" s="290" t="n">
        <f aca="false">AV228*1000/5</f>
        <v>0</v>
      </c>
      <c r="BW228" s="290" t="n">
        <f aca="false">AX228*1000/5</f>
        <v>200</v>
      </c>
      <c r="BX228" s="290" t="n">
        <f aca="false">AY228*1000/5</f>
        <v>0</v>
      </c>
      <c r="BY228" s="290" t="n">
        <f aca="false">SUM(BV228:BX228)</f>
        <v>200</v>
      </c>
      <c r="CA228" s="290" t="n">
        <f aca="false">IF($AM228="n",0,BR228)</f>
        <v>430555.555555556</v>
      </c>
      <c r="CB228" s="290" t="n">
        <f aca="false">IF($AM228="n",0,BS228)</f>
        <v>694444.444444445</v>
      </c>
      <c r="CC228" s="290" t="n">
        <f aca="false">IF($AM228="n",0,BT228)</f>
        <v>27777.7777777778</v>
      </c>
      <c r="CD228" s="290" t="n">
        <f aca="false">SUM(CA228:CC228)</f>
        <v>1152777.77777778</v>
      </c>
      <c r="CE228" s="290" t="n">
        <f aca="false">IF($AM$2="n",0,BV228)</f>
        <v>0</v>
      </c>
      <c r="CF228" s="290" t="n">
        <f aca="false">IF($AM$2="n",0,BW228)</f>
        <v>200</v>
      </c>
      <c r="CG228" s="290" t="n">
        <f aca="false">IF($AM$2="n",0,BX228)</f>
        <v>0</v>
      </c>
      <c r="CH228" s="290" t="n">
        <f aca="false">SUM(CE228:CG228)</f>
        <v>200</v>
      </c>
    </row>
    <row r="229" customFormat="false" ht="15" hidden="false" customHeight="true" outlineLevel="0" collapsed="false">
      <c r="A229" s="285" t="n">
        <v>9710</v>
      </c>
      <c r="B229" s="285"/>
      <c r="C229" s="286" t="s">
        <v>569</v>
      </c>
      <c r="D229" s="287" t="s">
        <v>569</v>
      </c>
      <c r="E229" s="288" t="n">
        <f aca="false">IF(I229="regional",IF(R229*0.2975,S229*0.3484),S229*0.1939)</f>
        <v>328138.1012</v>
      </c>
      <c r="F229" s="288" t="n">
        <v>0</v>
      </c>
      <c r="G229" s="289" t="n">
        <f aca="false">E229+F229</f>
        <v>328138.1012</v>
      </c>
      <c r="H229" s="286" t="s">
        <v>49</v>
      </c>
      <c r="I229" s="287" t="s">
        <v>48</v>
      </c>
      <c r="J229" s="287"/>
      <c r="K229" s="287" t="s">
        <v>565</v>
      </c>
      <c r="L229" s="287"/>
      <c r="M229" s="317" t="n">
        <v>115</v>
      </c>
      <c r="N229" s="317" t="n">
        <v>0.922</v>
      </c>
      <c r="O229" s="317" t="n">
        <v>0.926</v>
      </c>
      <c r="P229" s="317" t="n">
        <v>0.893</v>
      </c>
      <c r="Q229" s="317" t="n">
        <v>0.861</v>
      </c>
      <c r="R229" s="317" t="n">
        <v>640283</v>
      </c>
      <c r="S229" s="317" t="n">
        <v>941843</v>
      </c>
      <c r="T229" s="318" t="n">
        <f aca="false">IF(I229="regional",IF(R229&gt;0,R229*0.2975,S229*0.3484),S229*0.1939)</f>
        <v>190484.1925</v>
      </c>
      <c r="U229" s="317" t="n">
        <v>622508</v>
      </c>
      <c r="V229" s="317" t="n">
        <v>319335</v>
      </c>
      <c r="W229" s="317" t="n">
        <v>4681</v>
      </c>
      <c r="X229" s="317" t="n">
        <v>0</v>
      </c>
      <c r="Y229" s="317" t="n">
        <v>0</v>
      </c>
      <c r="Z229" s="317" t="n">
        <v>0</v>
      </c>
      <c r="AA229" s="317" t="n">
        <v>1132327.193</v>
      </c>
      <c r="AB229" s="317" t="n">
        <v>190484.1925</v>
      </c>
      <c r="AC229" s="317" t="n">
        <v>941843</v>
      </c>
      <c r="AD229" s="317" t="n">
        <v>0</v>
      </c>
      <c r="AE229" s="317" t="n">
        <v>0</v>
      </c>
      <c r="AF229" s="317" t="n">
        <v>0</v>
      </c>
      <c r="AG229" s="317" t="n">
        <v>941843</v>
      </c>
      <c r="AH229" s="317" t="n">
        <v>0</v>
      </c>
      <c r="AI229" s="317" t="n">
        <v>0</v>
      </c>
      <c r="AJ229" s="286" t="n">
        <v>4</v>
      </c>
      <c r="AK229" s="286" t="s">
        <v>720</v>
      </c>
      <c r="AL229" s="287" t="s">
        <v>48</v>
      </c>
      <c r="AM229" s="286" t="s">
        <v>49</v>
      </c>
      <c r="AN229" s="287" t="s">
        <v>569</v>
      </c>
      <c r="AO229" s="287" t="n">
        <v>190484.1925</v>
      </c>
      <c r="AP229" s="319" t="n">
        <f aca="false">AR229+AT229+AU229+AV229+AX229+AY229+AZ229+BD229+BF229+BG229+BH229+BJ229+BK229+(BL229+BM229+BN229)/1000+(0.1*BO229)</f>
        <v>296.0524</v>
      </c>
      <c r="AQ229" s="319" t="n">
        <f aca="false">AR229+AT229+AU229+AV229+AX229+AY229+AZ229+BB229+BC229+BD229+BF229+BG229+BH229+BJ229+BK229+(BL229+BM229+BN229)/1000+(0.1*BO229)</f>
        <v>314.0524</v>
      </c>
      <c r="AR229" s="285" t="n">
        <v>0</v>
      </c>
      <c r="AS229" s="285" t="n">
        <v>0</v>
      </c>
      <c r="AT229" s="285" t="n">
        <v>225</v>
      </c>
      <c r="AU229" s="285" t="n">
        <v>3</v>
      </c>
      <c r="AV229" s="285" t="n">
        <v>0</v>
      </c>
      <c r="AW229" s="285" t="n">
        <v>0</v>
      </c>
      <c r="AX229" s="285" t="n">
        <v>9</v>
      </c>
      <c r="AY229" s="285" t="n">
        <v>0</v>
      </c>
      <c r="AZ229" s="285" t="n">
        <v>0</v>
      </c>
      <c r="BA229" s="285" t="n">
        <v>0</v>
      </c>
      <c r="BB229" s="285" t="n">
        <v>18</v>
      </c>
      <c r="BC229" s="285" t="n">
        <v>0</v>
      </c>
      <c r="BD229" s="285" t="n">
        <v>0</v>
      </c>
      <c r="BE229" s="285" t="n">
        <v>0</v>
      </c>
      <c r="BF229" s="285" t="n">
        <v>0</v>
      </c>
      <c r="BG229" s="285" t="n">
        <v>0</v>
      </c>
      <c r="BH229" s="285" t="n">
        <v>0</v>
      </c>
      <c r="BI229" s="285" t="n">
        <v>0</v>
      </c>
      <c r="BJ229" s="285" t="n">
        <v>0</v>
      </c>
      <c r="BK229" s="285" t="n">
        <v>0</v>
      </c>
      <c r="BL229" s="285" t="n">
        <v>0</v>
      </c>
      <c r="BM229" s="285" t="n">
        <v>0</v>
      </c>
      <c r="BN229" s="285" t="n">
        <v>0</v>
      </c>
      <c r="BO229" s="285" t="n">
        <v>590.524</v>
      </c>
      <c r="BR229" s="290" t="n">
        <f aca="false">AR229*1000/0.072</f>
        <v>0</v>
      </c>
      <c r="BS229" s="290" t="n">
        <f aca="false">AT229*1000/0.072</f>
        <v>3125000</v>
      </c>
      <c r="BT229" s="290" t="n">
        <f aca="false">AU229*1000/0.072</f>
        <v>41666.6666666667</v>
      </c>
      <c r="BU229" s="290" t="n">
        <f aca="false">SUM(BR229:BT229)</f>
        <v>3166666.66666667</v>
      </c>
      <c r="BV229" s="290" t="n">
        <f aca="false">AV229*1000/5</f>
        <v>0</v>
      </c>
      <c r="BW229" s="290" t="n">
        <f aca="false">AX229*1000/5</f>
        <v>1800</v>
      </c>
      <c r="BX229" s="290" t="n">
        <f aca="false">AY229*1000/5</f>
        <v>0</v>
      </c>
      <c r="BY229" s="290" t="n">
        <f aca="false">SUM(BV229:BX229)</f>
        <v>1800</v>
      </c>
      <c r="CA229" s="290" t="n">
        <f aca="false">IF($AM229="n",0,BR229)</f>
        <v>0</v>
      </c>
      <c r="CB229" s="290" t="n">
        <f aca="false">IF($AM229="n",0,BS229)</f>
        <v>0</v>
      </c>
      <c r="CC229" s="290" t="n">
        <f aca="false">IF($AM229="n",0,BT229)</f>
        <v>0</v>
      </c>
      <c r="CD229" s="290" t="n">
        <f aca="false">SUM(CA229:CC229)</f>
        <v>0</v>
      </c>
      <c r="CE229" s="290" t="n">
        <f aca="false">IF($AM$2="n",0,BV229)</f>
        <v>0</v>
      </c>
      <c r="CF229" s="290" t="n">
        <f aca="false">IF($AM$2="n",0,BW229)</f>
        <v>1800</v>
      </c>
      <c r="CG229" s="290" t="n">
        <f aca="false">IF($AM$2="n",0,BX229)</f>
        <v>0</v>
      </c>
      <c r="CH229" s="290" t="n">
        <f aca="false">SUM(CE229:CG229)</f>
        <v>1800</v>
      </c>
    </row>
    <row r="230" customFormat="false" ht="15" hidden="false" customHeight="true" outlineLevel="0" collapsed="false">
      <c r="A230" s="285" t="n">
        <v>9750</v>
      </c>
      <c r="B230" s="285"/>
      <c r="C230" s="286" t="s">
        <v>571</v>
      </c>
      <c r="D230" s="287" t="s">
        <v>571</v>
      </c>
      <c r="E230" s="288" t="n">
        <f aca="false">IF(I230="regional",IF(R230*0.2975,S230*0.3484),S230*0.1939)</f>
        <v>262539.2588</v>
      </c>
      <c r="F230" s="288" t="n">
        <v>0</v>
      </c>
      <c r="G230" s="289" t="n">
        <f aca="false">E230+F230</f>
        <v>262539.2588</v>
      </c>
      <c r="H230" s="286"/>
      <c r="I230" s="287" t="s">
        <v>48</v>
      </c>
      <c r="J230" s="287" t="s">
        <v>49</v>
      </c>
      <c r="K230" s="287" t="s">
        <v>102</v>
      </c>
      <c r="L230" s="287"/>
      <c r="M230" s="317" t="n">
        <v>87</v>
      </c>
      <c r="N230" s="317" t="n">
        <v>0.801</v>
      </c>
      <c r="O230" s="317" t="n">
        <v>0.801</v>
      </c>
      <c r="P230" s="317" t="n">
        <v>0.727</v>
      </c>
      <c r="Q230" s="317" t="n">
        <v>0.877</v>
      </c>
      <c r="R230" s="317" t="n">
        <v>848939</v>
      </c>
      <c r="S230" s="317" t="n">
        <v>753557</v>
      </c>
      <c r="T230" s="318" t="n">
        <f aca="false">IF(I230="regional",IF(R230&gt;0,R230*0.2975,S230*0.3484),S230*0.1939)</f>
        <v>252559.3525</v>
      </c>
      <c r="U230" s="317" t="n">
        <v>479418</v>
      </c>
      <c r="V230" s="317" t="n">
        <v>274139</v>
      </c>
      <c r="W230" s="317" t="n">
        <v>4365</v>
      </c>
      <c r="X230" s="317" t="n">
        <v>0</v>
      </c>
      <c r="Y230" s="317" t="n">
        <v>0</v>
      </c>
      <c r="Z230" s="317" t="n">
        <v>0</v>
      </c>
      <c r="AA230" s="317" t="n">
        <v>1006116.353</v>
      </c>
      <c r="AB230" s="317" t="n">
        <v>252559.3525</v>
      </c>
      <c r="AC230" s="317" t="n">
        <v>753557</v>
      </c>
      <c r="AD230" s="317" t="n">
        <v>0</v>
      </c>
      <c r="AE230" s="317" t="n">
        <v>0</v>
      </c>
      <c r="AF230" s="317" t="n">
        <v>0</v>
      </c>
      <c r="AG230" s="317" t="n">
        <v>753557</v>
      </c>
      <c r="AH230" s="317" t="n">
        <v>0</v>
      </c>
      <c r="AI230" s="317" t="n">
        <v>0</v>
      </c>
      <c r="AJ230" s="286" t="n">
        <v>4</v>
      </c>
      <c r="AK230" s="286" t="s">
        <v>720</v>
      </c>
      <c r="AL230" s="287" t="s">
        <v>48</v>
      </c>
      <c r="AM230" s="286"/>
      <c r="AN230" s="287" t="s">
        <v>571</v>
      </c>
      <c r="AO230" s="287" t="n">
        <v>252559.3525</v>
      </c>
      <c r="AP230" s="319" t="n">
        <f aca="false">AR230+AT230+AU230+AV230+AX230+AY230+AZ230+BD230+BF230+BG230+BH230+BJ230+BK230+(BL230+BM230+BN230)/1000+(0.1*BO230)</f>
        <v>138.017</v>
      </c>
      <c r="AQ230" s="319" t="n">
        <f aca="false">AR230+AT230+AU230+AV230+AX230+AY230+AZ230+BB230+BC230+BD230+BF230+BG230+BH230+BJ230+BK230+(BL230+BM230+BN230)/1000+(0.1*BO230)</f>
        <v>142.017</v>
      </c>
      <c r="AR230" s="302" t="n">
        <v>0</v>
      </c>
      <c r="AS230" s="302" t="n">
        <v>0</v>
      </c>
      <c r="AT230" s="302" t="n">
        <v>81</v>
      </c>
      <c r="AU230" s="302" t="n">
        <v>11</v>
      </c>
      <c r="AV230" s="302" t="n">
        <v>0</v>
      </c>
      <c r="AW230" s="302" t="n">
        <v>0</v>
      </c>
      <c r="AX230" s="302" t="n">
        <v>8</v>
      </c>
      <c r="AY230" s="302" t="n">
        <v>6</v>
      </c>
      <c r="AZ230" s="302" t="n">
        <v>0</v>
      </c>
      <c r="BA230" s="302" t="n">
        <v>0</v>
      </c>
      <c r="BB230" s="302" t="n">
        <v>2</v>
      </c>
      <c r="BC230" s="302" t="n">
        <v>2</v>
      </c>
      <c r="BD230" s="285" t="n">
        <v>0</v>
      </c>
      <c r="BE230" s="285" t="n">
        <v>0</v>
      </c>
      <c r="BF230" s="285" t="n">
        <v>0</v>
      </c>
      <c r="BG230" s="285" t="n">
        <v>0</v>
      </c>
      <c r="BH230" s="285" t="n">
        <v>0</v>
      </c>
      <c r="BI230" s="285" t="n">
        <v>0</v>
      </c>
      <c r="BJ230" s="285" t="n">
        <v>0</v>
      </c>
      <c r="BK230" s="285" t="n">
        <v>0</v>
      </c>
      <c r="BL230" s="302" t="n">
        <v>32017</v>
      </c>
      <c r="BM230" s="302" t="n">
        <v>0</v>
      </c>
      <c r="BN230" s="302" t="n">
        <v>0</v>
      </c>
      <c r="BO230" s="285" t="n">
        <v>0</v>
      </c>
      <c r="BP230" s="324"/>
      <c r="BR230" s="290" t="n">
        <f aca="false">AR230*1000/0.072</f>
        <v>0</v>
      </c>
      <c r="BS230" s="290" t="n">
        <f aca="false">AT230*1000/0.072</f>
        <v>1125000</v>
      </c>
      <c r="BT230" s="290" t="n">
        <f aca="false">AU230*1000/0.072</f>
        <v>152777.777777778</v>
      </c>
      <c r="BU230" s="290" t="n">
        <f aca="false">SUM(BR230:BT230)</f>
        <v>1277777.77777778</v>
      </c>
      <c r="BV230" s="290" t="n">
        <f aca="false">AV230*1000/5</f>
        <v>0</v>
      </c>
      <c r="BW230" s="290" t="n">
        <f aca="false">AX230*1000/5</f>
        <v>1600</v>
      </c>
      <c r="BX230" s="290" t="n">
        <f aca="false">AY230*1000/5</f>
        <v>1200</v>
      </c>
      <c r="BY230" s="290" t="n">
        <f aca="false">SUM(BV230:BX230)</f>
        <v>2800</v>
      </c>
      <c r="CA230" s="290" t="n">
        <f aca="false">IF($AM230="n",0,BR230)</f>
        <v>0</v>
      </c>
      <c r="CB230" s="290" t="n">
        <f aca="false">IF($AM230="n",0,BS230)</f>
        <v>1125000</v>
      </c>
      <c r="CC230" s="290" t="n">
        <f aca="false">IF($AM230="n",0,BT230)</f>
        <v>152777.777777778</v>
      </c>
      <c r="CD230" s="290" t="n">
        <f aca="false">SUM(CA230:CC230)</f>
        <v>1277777.77777778</v>
      </c>
      <c r="CE230" s="290" t="n">
        <f aca="false">IF($AM$2="n",0,BV230)</f>
        <v>0</v>
      </c>
      <c r="CF230" s="290" t="n">
        <f aca="false">IF($AM$2="n",0,BW230)</f>
        <v>1600</v>
      </c>
      <c r="CG230" s="290" t="n">
        <f aca="false">IF($AM$2="n",0,BX230)</f>
        <v>1200</v>
      </c>
      <c r="CH230" s="290" t="n">
        <f aca="false">SUM(CE230:CG230)</f>
        <v>2800</v>
      </c>
      <c r="CJ230" s="324"/>
      <c r="CK230" s="324"/>
      <c r="CL230" s="324"/>
      <c r="CM230" s="324"/>
      <c r="CN230" s="324"/>
      <c r="CO230" s="324"/>
      <c r="CP230" s="324"/>
      <c r="CQ230" s="324"/>
      <c r="CR230" s="324"/>
      <c r="CS230" s="324"/>
      <c r="CT230" s="324"/>
      <c r="CU230" s="324"/>
      <c r="CV230" s="324"/>
      <c r="CW230" s="324"/>
      <c r="CX230" s="324"/>
      <c r="CY230" s="324"/>
      <c r="CZ230" s="324"/>
      <c r="DA230" s="324"/>
      <c r="DB230" s="324"/>
      <c r="DC230" s="324"/>
      <c r="DD230" s="324"/>
      <c r="DE230" s="324"/>
      <c r="DF230" s="324"/>
      <c r="DG230" s="324"/>
      <c r="DH230" s="324"/>
      <c r="DI230" s="324"/>
      <c r="DJ230" s="324"/>
      <c r="DK230" s="324"/>
      <c r="DL230" s="324"/>
      <c r="DM230" s="324"/>
      <c r="DN230" s="324"/>
      <c r="DO230" s="324"/>
      <c r="DP230" s="324"/>
      <c r="DQ230" s="324"/>
      <c r="DR230" s="324"/>
      <c r="DS230" s="324"/>
      <c r="DT230" s="324"/>
      <c r="DU230" s="324"/>
      <c r="DV230" s="324"/>
      <c r="DW230" s="324"/>
      <c r="DX230" s="324"/>
      <c r="DY230" s="324"/>
      <c r="DZ230" s="324"/>
      <c r="EA230" s="324"/>
      <c r="EB230" s="324"/>
      <c r="EC230" s="324"/>
      <c r="ED230" s="324"/>
      <c r="EE230" s="324"/>
      <c r="EF230" s="324"/>
      <c r="EG230" s="324"/>
      <c r="EH230" s="324"/>
      <c r="EI230" s="324"/>
      <c r="EJ230" s="324"/>
      <c r="EK230" s="324"/>
      <c r="EL230" s="324"/>
      <c r="EM230" s="324"/>
      <c r="EN230" s="324"/>
      <c r="EO230" s="324"/>
      <c r="EP230" s="324"/>
      <c r="EQ230" s="324"/>
      <c r="ER230" s="324"/>
      <c r="ES230" s="324"/>
      <c r="ET230" s="324"/>
      <c r="EU230" s="324"/>
      <c r="EV230" s="324"/>
      <c r="EW230" s="324"/>
      <c r="EX230" s="324"/>
      <c r="EY230" s="324"/>
      <c r="EZ230" s="324"/>
      <c r="FA230" s="324"/>
      <c r="FB230" s="324"/>
      <c r="FC230" s="324"/>
      <c r="FD230" s="324"/>
      <c r="FE230" s="324"/>
      <c r="FF230" s="324"/>
      <c r="FG230" s="324"/>
      <c r="FH230" s="324"/>
      <c r="FI230" s="324"/>
      <c r="FJ230" s="324"/>
      <c r="FK230" s="324"/>
      <c r="FL230" s="324"/>
      <c r="FM230" s="324"/>
      <c r="FN230" s="324"/>
      <c r="FO230" s="324"/>
      <c r="FP230" s="324"/>
      <c r="FQ230" s="324"/>
      <c r="FR230" s="324"/>
      <c r="FS230" s="324"/>
      <c r="FT230" s="324"/>
      <c r="FU230" s="324"/>
      <c r="FV230" s="324"/>
      <c r="FW230" s="324"/>
      <c r="FX230" s="324"/>
      <c r="FY230" s="324"/>
      <c r="FZ230" s="330"/>
      <c r="GA230" s="330"/>
      <c r="GB230" s="330"/>
      <c r="GC230" s="330"/>
      <c r="GD230" s="330"/>
      <c r="GE230" s="330"/>
      <c r="GF230" s="330"/>
      <c r="GG230" s="330"/>
      <c r="GH230" s="330"/>
      <c r="GI230" s="330"/>
      <c r="GJ230" s="330"/>
      <c r="GK230" s="330"/>
      <c r="GL230" s="330"/>
      <c r="GM230" s="330"/>
      <c r="GN230" s="330"/>
      <c r="GO230" s="330"/>
      <c r="GP230" s="330"/>
      <c r="GQ230" s="330"/>
      <c r="GR230" s="330"/>
      <c r="GS230" s="330"/>
      <c r="GT230" s="330"/>
      <c r="GU230" s="330"/>
      <c r="GV230" s="330"/>
      <c r="GW230" s="330"/>
      <c r="GX230" s="330"/>
      <c r="GY230" s="330"/>
      <c r="GZ230" s="330"/>
      <c r="HA230" s="330"/>
      <c r="HB230" s="330"/>
      <c r="HC230" s="330"/>
      <c r="HD230" s="330"/>
      <c r="HE230" s="330"/>
      <c r="HF230" s="330"/>
      <c r="HG230" s="330"/>
      <c r="HH230" s="330"/>
      <c r="HI230" s="330"/>
      <c r="HJ230" s="330"/>
      <c r="HK230" s="330"/>
      <c r="HL230" s="330"/>
      <c r="HM230" s="330"/>
      <c r="HN230" s="330"/>
      <c r="HO230" s="330"/>
      <c r="HP230" s="330"/>
      <c r="HQ230" s="330"/>
      <c r="HR230" s="330"/>
      <c r="HS230" s="330"/>
      <c r="HT230" s="330"/>
      <c r="HU230" s="330"/>
      <c r="HV230" s="330"/>
      <c r="HW230" s="330"/>
      <c r="HX230" s="330"/>
      <c r="HY230" s="330"/>
      <c r="HZ230" s="330"/>
      <c r="IA230" s="330"/>
      <c r="IB230" s="330"/>
      <c r="IC230" s="330"/>
      <c r="ID230" s="330"/>
      <c r="IE230" s="330"/>
      <c r="IF230" s="330"/>
      <c r="IG230" s="330"/>
      <c r="IH230" s="330"/>
      <c r="II230" s="330"/>
      <c r="IJ230" s="330"/>
      <c r="IK230" s="330"/>
      <c r="IL230" s="330"/>
      <c r="IM230" s="330"/>
      <c r="IN230" s="330"/>
      <c r="IO230" s="330"/>
      <c r="IP230" s="330"/>
      <c r="IQ230" s="330"/>
      <c r="IR230" s="330"/>
      <c r="IS230" s="330"/>
      <c r="IT230" s="330"/>
      <c r="IU230" s="330"/>
      <c r="IV230" s="330"/>
      <c r="IW230" s="330"/>
    </row>
    <row r="231" customFormat="false" ht="15" hidden="false" customHeight="true" outlineLevel="0" collapsed="false">
      <c r="A231" s="285" t="n">
        <v>1511</v>
      </c>
      <c r="B231" s="285" t="s">
        <v>44</v>
      </c>
      <c r="C231" s="286" t="s">
        <v>572</v>
      </c>
      <c r="D231" s="287" t="s">
        <v>572</v>
      </c>
      <c r="E231" s="288" t="n">
        <f aca="false">IF(I231="regional",IF(R231*0.2975,S231*0.3484),S231*0.1939)</f>
        <v>228462.9516</v>
      </c>
      <c r="F231" s="288" t="n">
        <v>0</v>
      </c>
      <c r="G231" s="289" t="n">
        <f aca="false">E231+F231</f>
        <v>228462.9516</v>
      </c>
      <c r="H231" s="286"/>
      <c r="I231" s="287" t="s">
        <v>48</v>
      </c>
      <c r="J231" s="287" t="s">
        <v>44</v>
      </c>
      <c r="K231" s="287" t="s">
        <v>574</v>
      </c>
      <c r="L231" s="287"/>
      <c r="M231" s="317" t="n">
        <v>102</v>
      </c>
      <c r="N231" s="317" t="n">
        <v>0.886</v>
      </c>
      <c r="O231" s="317" t="n">
        <v>0.915</v>
      </c>
      <c r="P231" s="317" t="n">
        <v>0.919</v>
      </c>
      <c r="Q231" s="317" t="n">
        <v>0.876</v>
      </c>
      <c r="R231" s="317" t="n">
        <v>743306</v>
      </c>
      <c r="S231" s="317" t="n">
        <v>655749</v>
      </c>
      <c r="T231" s="318" t="n">
        <f aca="false">IF(I231="regional",IF(R231&gt;0,R231*0.2975,S231*0.3484),S231*0.1939)</f>
        <v>221133.535</v>
      </c>
      <c r="U231" s="317" t="n">
        <v>389781</v>
      </c>
      <c r="V231" s="317" t="n">
        <v>265968</v>
      </c>
      <c r="W231" s="317" t="n">
        <v>3741</v>
      </c>
      <c r="X231" s="317" t="n">
        <v>0</v>
      </c>
      <c r="Y231" s="317" t="n">
        <v>0</v>
      </c>
      <c r="Z231" s="317" t="n">
        <v>0</v>
      </c>
      <c r="AA231" s="317" t="n">
        <v>876882.535</v>
      </c>
      <c r="AB231" s="317" t="n">
        <v>221133.535</v>
      </c>
      <c r="AC231" s="317" t="n">
        <v>655749</v>
      </c>
      <c r="AD231" s="317" t="n">
        <v>0</v>
      </c>
      <c r="AE231" s="317" t="n">
        <v>0</v>
      </c>
      <c r="AF231" s="317" t="n">
        <v>655749</v>
      </c>
      <c r="AG231" s="317" t="n">
        <v>0</v>
      </c>
      <c r="AH231" s="317" t="n">
        <v>1008000</v>
      </c>
      <c r="AI231" s="317" t="n">
        <v>895000</v>
      </c>
      <c r="AJ231" s="286" t="s">
        <v>707</v>
      </c>
      <c r="AK231" s="286" t="s">
        <v>708</v>
      </c>
      <c r="AL231" s="287" t="s">
        <v>48</v>
      </c>
      <c r="AM231" s="286"/>
      <c r="AN231" s="287" t="s">
        <v>572</v>
      </c>
      <c r="AO231" s="287" t="n">
        <v>221133.535</v>
      </c>
      <c r="AP231" s="319" t="n">
        <f aca="false">AR231+AT231+AU231+AV231+AX231+AY231+AZ231+BD231+BF231+BG231+BH231+BJ231+BK231+(BL231+BM231+BN231)/1000+(0.1*BO231)</f>
        <v>204.7604</v>
      </c>
      <c r="AQ231" s="319" t="n">
        <f aca="false">AR231+AT231+AU231+AV231+AX231+AY231+AZ231+BB231+BC231+BD231+BF231+BG231+BH231+BJ231+BK231+(BL231+BM231+BN231)/1000+(0.1*BO231)</f>
        <v>236.7604</v>
      </c>
      <c r="AR231" s="285" t="n">
        <v>78</v>
      </c>
      <c r="AS231" s="285" t="n">
        <v>895</v>
      </c>
      <c r="AT231" s="285" t="n">
        <v>60</v>
      </c>
      <c r="AU231" s="285" t="n">
        <v>9</v>
      </c>
      <c r="AV231" s="285" t="n">
        <v>0</v>
      </c>
      <c r="AW231" s="285" t="n">
        <v>0</v>
      </c>
      <c r="AX231" s="285" t="n">
        <v>0</v>
      </c>
      <c r="AY231" s="285" t="n">
        <v>0</v>
      </c>
      <c r="AZ231" s="285" t="n">
        <v>0</v>
      </c>
      <c r="BA231" s="285" t="n">
        <v>13</v>
      </c>
      <c r="BB231" s="285" t="n">
        <v>32</v>
      </c>
      <c r="BC231" s="285" t="n">
        <v>0</v>
      </c>
      <c r="BD231" s="285" t="n">
        <v>0</v>
      </c>
      <c r="BE231" s="285" t="n">
        <v>0</v>
      </c>
      <c r="BF231" s="285" t="n">
        <v>0</v>
      </c>
      <c r="BG231" s="285" t="n">
        <v>0</v>
      </c>
      <c r="BH231" s="285" t="n">
        <v>0</v>
      </c>
      <c r="BI231" s="285" t="n">
        <v>0</v>
      </c>
      <c r="BJ231" s="285" t="n">
        <v>0</v>
      </c>
      <c r="BK231" s="285" t="n">
        <v>0</v>
      </c>
      <c r="BL231" s="285" t="n">
        <v>8500</v>
      </c>
      <c r="BM231" s="285" t="n">
        <v>0</v>
      </c>
      <c r="BN231" s="285" t="n">
        <v>3597</v>
      </c>
      <c r="BO231" s="285" t="n">
        <v>456.634</v>
      </c>
      <c r="BR231" s="290" t="n">
        <f aca="false">AR231*1000/0.072</f>
        <v>1083333.33333333</v>
      </c>
      <c r="BS231" s="290" t="n">
        <f aca="false">AT231*1000/0.072</f>
        <v>833333.333333333</v>
      </c>
      <c r="BT231" s="290" t="n">
        <f aca="false">AU231*1000/0.072</f>
        <v>125000</v>
      </c>
      <c r="BU231" s="290" t="n">
        <f aca="false">SUM(BR231:BT231)</f>
        <v>2041666.66666667</v>
      </c>
      <c r="BV231" s="290" t="n">
        <f aca="false">AV231*1000/5</f>
        <v>0</v>
      </c>
      <c r="BW231" s="290" t="n">
        <f aca="false">AX231*1000/5</f>
        <v>0</v>
      </c>
      <c r="BX231" s="290" t="n">
        <f aca="false">AY231*1000/5</f>
        <v>0</v>
      </c>
      <c r="BY231" s="290" t="n">
        <f aca="false">SUM(BV231:BX231)</f>
        <v>0</v>
      </c>
      <c r="CA231" s="290" t="n">
        <f aca="false">IF($AM231="n",0,BR231)</f>
        <v>1083333.33333333</v>
      </c>
      <c r="CB231" s="290" t="n">
        <f aca="false">IF($AM231="n",0,BS231)</f>
        <v>833333.333333333</v>
      </c>
      <c r="CC231" s="290" t="n">
        <f aca="false">IF($AM231="n",0,BT231)</f>
        <v>125000</v>
      </c>
      <c r="CD231" s="290" t="n">
        <f aca="false">SUM(CA231:CC231)</f>
        <v>2041666.66666667</v>
      </c>
      <c r="CE231" s="290" t="n">
        <f aca="false">IF($AM$2="n",0,BV231)</f>
        <v>0</v>
      </c>
      <c r="CF231" s="290" t="n">
        <f aca="false">IF($AM$2="n",0,BW231)</f>
        <v>0</v>
      </c>
      <c r="CG231" s="290" t="n">
        <f aca="false">IF($AM$2="n",0,BX231)</f>
        <v>0</v>
      </c>
      <c r="CH231" s="290" t="n">
        <f aca="false">SUM(CE231:CG231)</f>
        <v>0</v>
      </c>
    </row>
    <row r="232" customFormat="false" ht="15" hidden="false" customHeight="true" outlineLevel="0" collapsed="false">
      <c r="A232" s="298" t="n">
        <v>4775</v>
      </c>
      <c r="B232" s="298"/>
      <c r="C232" s="299" t="s">
        <v>575</v>
      </c>
      <c r="D232" s="287" t="s">
        <v>575</v>
      </c>
      <c r="E232" s="288" t="n">
        <f aca="false">IF(I232="regional",IF(R232*0.2975,S232*0.3484),S232*0.1939)</f>
        <v>0</v>
      </c>
      <c r="F232" s="288" t="n">
        <v>0</v>
      </c>
      <c r="G232" s="289" t="n">
        <f aca="false">E232+F232</f>
        <v>0</v>
      </c>
      <c r="H232" s="292" t="s">
        <v>49</v>
      </c>
      <c r="I232" s="293" t="s">
        <v>48</v>
      </c>
      <c r="J232" s="287"/>
      <c r="K232" s="287" t="s">
        <v>43</v>
      </c>
      <c r="L232" s="287"/>
      <c r="M232" s="317" t="n">
        <v>0</v>
      </c>
      <c r="N232" s="317" t="n">
        <v>0</v>
      </c>
      <c r="O232" s="317" t="n">
        <v>0</v>
      </c>
      <c r="P232" s="317" t="n">
        <v>0</v>
      </c>
      <c r="Q232" s="317" t="n">
        <v>0</v>
      </c>
      <c r="R232" s="320" t="n">
        <v>560732</v>
      </c>
      <c r="S232" s="317" t="n">
        <v>0</v>
      </c>
      <c r="T232" s="318" t="n">
        <f aca="false">IF(I232="regional",IF(R232&gt;0,R232*0.2975,S232*0.3484),S232*0.1939)</f>
        <v>166817.77</v>
      </c>
      <c r="U232" s="317" t="n">
        <v>0</v>
      </c>
      <c r="V232" s="317" t="n">
        <v>0</v>
      </c>
      <c r="W232" s="317" t="n">
        <v>0</v>
      </c>
      <c r="X232" s="317" t="n">
        <v>0</v>
      </c>
      <c r="Y232" s="317" t="n">
        <v>0</v>
      </c>
      <c r="Z232" s="317" t="n">
        <v>0</v>
      </c>
      <c r="AA232" s="317" t="n">
        <v>0</v>
      </c>
      <c r="AB232" s="317" t="n">
        <v>0</v>
      </c>
      <c r="AC232" s="317" t="n">
        <v>0</v>
      </c>
      <c r="AD232" s="317" t="n">
        <v>0</v>
      </c>
      <c r="AE232" s="317" t="n">
        <v>0</v>
      </c>
      <c r="AF232" s="317" t="n">
        <v>0</v>
      </c>
      <c r="AG232" s="317" t="n">
        <v>0</v>
      </c>
      <c r="AH232" s="317" t="n">
        <v>0</v>
      </c>
      <c r="AI232" s="317" t="n">
        <v>0</v>
      </c>
      <c r="AJ232" s="292" t="s">
        <v>707</v>
      </c>
      <c r="AK232" s="292" t="s">
        <v>712</v>
      </c>
      <c r="AL232" s="328" t="s">
        <v>48</v>
      </c>
      <c r="AM232" s="292" t="s">
        <v>49</v>
      </c>
      <c r="AN232" s="327" t="s">
        <v>575</v>
      </c>
      <c r="AO232" s="328" t="n">
        <v>0</v>
      </c>
      <c r="AP232" s="329" t="n">
        <v>0</v>
      </c>
      <c r="AQ232" s="319" t="n">
        <f aca="false">AR232+AT232+AU232+AV232+AX232+AY232+AZ232+BB232+BC232+BD232+BF232+BG232+BH232+BJ232+BK232+(BL232+BM232+BN232)/1000+(0.1*BO232)</f>
        <v>134.3887</v>
      </c>
      <c r="AR232" s="185" t="n">
        <v>0</v>
      </c>
      <c r="AS232" s="185" t="n">
        <v>0</v>
      </c>
      <c r="AT232" s="185" t="n">
        <v>110</v>
      </c>
      <c r="AU232" s="185" t="n">
        <v>4</v>
      </c>
      <c r="AV232" s="185" t="n">
        <v>0</v>
      </c>
      <c r="AW232" s="185" t="n">
        <v>0</v>
      </c>
      <c r="AX232" s="185" t="n">
        <v>3</v>
      </c>
      <c r="AY232" s="185" t="n">
        <v>1</v>
      </c>
      <c r="AZ232" s="185" t="n">
        <v>0</v>
      </c>
      <c r="BA232" s="185" t="n">
        <v>61</v>
      </c>
      <c r="BB232" s="185" t="n">
        <v>6</v>
      </c>
      <c r="BC232" s="185" t="n">
        <v>0</v>
      </c>
      <c r="BD232" s="185" t="n">
        <v>0</v>
      </c>
      <c r="BE232" s="185" t="n">
        <v>0</v>
      </c>
      <c r="BF232" s="185" t="n">
        <v>0</v>
      </c>
      <c r="BG232" s="185" t="n">
        <v>0</v>
      </c>
      <c r="BH232" s="185" t="n">
        <v>0</v>
      </c>
      <c r="BI232" s="185" t="n">
        <v>0</v>
      </c>
      <c r="BJ232" s="185" t="n">
        <v>0</v>
      </c>
      <c r="BK232" s="185" t="n">
        <v>0</v>
      </c>
      <c r="BL232" s="334" t="n">
        <v>0</v>
      </c>
      <c r="BM232" s="334" t="n">
        <v>0</v>
      </c>
      <c r="BN232" s="334" t="n">
        <v>9000</v>
      </c>
      <c r="BO232" s="291" t="n">
        <v>13.887</v>
      </c>
      <c r="BR232" s="290" t="n">
        <f aca="false">AR232*1000/0.072</f>
        <v>0</v>
      </c>
      <c r="BS232" s="290" t="n">
        <f aca="false">AT232*1000/0.072</f>
        <v>1527777.77777778</v>
      </c>
      <c r="BT232" s="290" t="n">
        <f aca="false">AU232*1000/0.072</f>
        <v>55555.5555555556</v>
      </c>
      <c r="BU232" s="290" t="n">
        <f aca="false">SUM(BR232:BT232)</f>
        <v>1583333.33333333</v>
      </c>
      <c r="BV232" s="290" t="n">
        <f aca="false">AV232*1000/5</f>
        <v>0</v>
      </c>
      <c r="BW232" s="290" t="n">
        <f aca="false">AX232*1000/5</f>
        <v>600</v>
      </c>
      <c r="BX232" s="290" t="n">
        <f aca="false">AY232*1000/5</f>
        <v>200</v>
      </c>
      <c r="BY232" s="290" t="n">
        <f aca="false">SUM(BV232:BX232)</f>
        <v>800</v>
      </c>
      <c r="CA232" s="290" t="n">
        <f aca="false">IF($AM232="n",0,BR232)</f>
        <v>0</v>
      </c>
      <c r="CB232" s="290" t="n">
        <f aca="false">IF($AM232="n",0,BS232)</f>
        <v>0</v>
      </c>
      <c r="CC232" s="290" t="n">
        <f aca="false">IF($AM232="n",0,BT232)</f>
        <v>0</v>
      </c>
      <c r="CD232" s="290" t="n">
        <f aca="false">SUM(CA232:CC232)</f>
        <v>0</v>
      </c>
      <c r="CE232" s="290" t="n">
        <f aca="false">IF($AM$2="n",0,BV232)</f>
        <v>0</v>
      </c>
      <c r="CF232" s="290" t="n">
        <f aca="false">IF($AM$2="n",0,BW232)</f>
        <v>600</v>
      </c>
      <c r="CG232" s="290" t="n">
        <f aca="false">IF($AM$2="n",0,BX232)</f>
        <v>200</v>
      </c>
      <c r="CH232" s="290" t="n">
        <f aca="false">SUM(CE232:CG232)</f>
        <v>800</v>
      </c>
    </row>
    <row r="233" customFormat="false" ht="15" hidden="false" customHeight="true" outlineLevel="0" collapsed="false">
      <c r="A233" s="285" t="n">
        <v>4316</v>
      </c>
      <c r="B233" s="285"/>
      <c r="C233" s="286" t="s">
        <v>576</v>
      </c>
      <c r="D233" s="287" t="s">
        <v>576</v>
      </c>
      <c r="E233" s="288" t="n">
        <f aca="false">IF(I233="regional",IF(R233*0.2975,S233*0.3484),S233*0.1939)</f>
        <v>95345.0897</v>
      </c>
      <c r="F233" s="288" t="n">
        <v>0</v>
      </c>
      <c r="G233" s="289" t="n">
        <f aca="false">E233+F233</f>
        <v>95345.0897</v>
      </c>
      <c r="H233" s="286" t="s">
        <v>49</v>
      </c>
      <c r="I233" s="287" t="s">
        <v>62</v>
      </c>
      <c r="J233" s="287"/>
      <c r="K233" s="287" t="s">
        <v>170</v>
      </c>
      <c r="L233" s="287"/>
      <c r="M233" s="317" t="n">
        <v>26</v>
      </c>
      <c r="N233" s="317" t="n">
        <v>0.979</v>
      </c>
      <c r="O233" s="317" t="n">
        <v>0.988</v>
      </c>
      <c r="P233" s="317" t="n">
        <v>1</v>
      </c>
      <c r="Q233" s="317" t="n">
        <v>0.964</v>
      </c>
      <c r="R233" s="317" t="n">
        <v>0</v>
      </c>
      <c r="S233" s="317" t="n">
        <v>491723</v>
      </c>
      <c r="T233" s="318" t="n">
        <f aca="false">IF(I233="regional",IF(R233&gt;0,R233*0.2975,S233*0.3484),S233*0.1939)</f>
        <v>95345.0897</v>
      </c>
      <c r="U233" s="317" t="n">
        <v>356418</v>
      </c>
      <c r="V233" s="317" t="n">
        <v>135305</v>
      </c>
      <c r="W233" s="317" t="n">
        <v>1626</v>
      </c>
      <c r="X233" s="317" t="n">
        <v>0</v>
      </c>
      <c r="Y233" s="317" t="n">
        <v>0</v>
      </c>
      <c r="Z233" s="317" t="n">
        <v>0</v>
      </c>
      <c r="AA233" s="317" t="n">
        <v>587068.0897</v>
      </c>
      <c r="AB233" s="317" t="n">
        <v>95345.0897</v>
      </c>
      <c r="AC233" s="317" t="n">
        <v>491723</v>
      </c>
      <c r="AD233" s="317" t="n">
        <v>0</v>
      </c>
      <c r="AE233" s="317" t="n">
        <v>0</v>
      </c>
      <c r="AF233" s="317" t="n">
        <v>0</v>
      </c>
      <c r="AG233" s="317" t="n">
        <v>491723</v>
      </c>
      <c r="AH233" s="317" t="n">
        <v>0</v>
      </c>
      <c r="AI233" s="317" t="n">
        <v>0</v>
      </c>
      <c r="AJ233" s="286" t="n">
        <v>4</v>
      </c>
      <c r="AK233" s="286" t="s">
        <v>720</v>
      </c>
      <c r="AL233" s="287" t="s">
        <v>62</v>
      </c>
      <c r="AM233" s="286" t="s">
        <v>49</v>
      </c>
      <c r="AN233" s="287" t="s">
        <v>576</v>
      </c>
      <c r="AO233" s="287" t="n">
        <v>95345.0897</v>
      </c>
      <c r="AP233" s="319" t="n">
        <f aca="false">AR233+AT233+AU233+AV233+AX233+AY233+AZ233+BD233+BF233+BG233+BH233+BJ233+BK233+(BL233+BM233+BN233)/1000+(0.1*BO233)</f>
        <v>25</v>
      </c>
      <c r="AQ233" s="319" t="n">
        <f aca="false">AR233+AT233+AU233+AV233+AX233+AY233+AZ233+BB233+BC233+BD233+BF233+BG233+BH233+BJ233+BK233+(BL233+BM233+BN233)/1000+(0.1*BO233)</f>
        <v>25</v>
      </c>
      <c r="AR233" s="285" t="n">
        <v>0</v>
      </c>
      <c r="AS233" s="285" t="n">
        <v>0</v>
      </c>
      <c r="AT233" s="285" t="n">
        <v>24</v>
      </c>
      <c r="AU233" s="285" t="n">
        <v>0</v>
      </c>
      <c r="AV233" s="285" t="n">
        <v>0</v>
      </c>
      <c r="AW233" s="285" t="n">
        <v>0</v>
      </c>
      <c r="AX233" s="285" t="n">
        <v>0</v>
      </c>
      <c r="AY233" s="285" t="n">
        <v>1</v>
      </c>
      <c r="AZ233" s="285" t="n">
        <v>0</v>
      </c>
      <c r="BA233" s="285" t="n">
        <v>8</v>
      </c>
      <c r="BB233" s="285" t="n">
        <v>0</v>
      </c>
      <c r="BC233" s="285" t="n">
        <v>0</v>
      </c>
      <c r="BD233" s="285" t="n">
        <v>0</v>
      </c>
      <c r="BE233" s="285" t="n">
        <v>0</v>
      </c>
      <c r="BF233" s="285" t="n">
        <v>0</v>
      </c>
      <c r="BG233" s="285" t="n">
        <v>0</v>
      </c>
      <c r="BH233" s="285" t="n">
        <v>0</v>
      </c>
      <c r="BI233" s="285" t="n">
        <v>0</v>
      </c>
      <c r="BJ233" s="285" t="n">
        <v>0</v>
      </c>
      <c r="BK233" s="285" t="n">
        <v>0</v>
      </c>
      <c r="BL233" s="285" t="n">
        <v>0</v>
      </c>
      <c r="BM233" s="285" t="n">
        <v>0</v>
      </c>
      <c r="BN233" s="285" t="n">
        <v>0</v>
      </c>
      <c r="BO233" s="285" t="n">
        <v>0</v>
      </c>
      <c r="BR233" s="290" t="n">
        <f aca="false">AR233*1000/0.072</f>
        <v>0</v>
      </c>
      <c r="BS233" s="290" t="n">
        <f aca="false">AT233*1000/0.072</f>
        <v>333333.333333333</v>
      </c>
      <c r="BT233" s="290" t="n">
        <f aca="false">AU233*1000/0.072</f>
        <v>0</v>
      </c>
      <c r="BU233" s="290" t="n">
        <f aca="false">SUM(BR233:BT233)</f>
        <v>333333.333333333</v>
      </c>
      <c r="BV233" s="290" t="n">
        <f aca="false">AV233*1000/5</f>
        <v>0</v>
      </c>
      <c r="BW233" s="290" t="n">
        <f aca="false">AX233*1000/5</f>
        <v>0</v>
      </c>
      <c r="BX233" s="290" t="n">
        <f aca="false">AY233*1000/5</f>
        <v>200</v>
      </c>
      <c r="BY233" s="290" t="n">
        <f aca="false">SUM(BV233:BX233)</f>
        <v>200</v>
      </c>
      <c r="CA233" s="290" t="n">
        <f aca="false">IF($AM233="n",0,BR233)</f>
        <v>0</v>
      </c>
      <c r="CB233" s="290" t="n">
        <f aca="false">IF($AM233="n",0,BS233)</f>
        <v>0</v>
      </c>
      <c r="CC233" s="290" t="n">
        <f aca="false">IF($AM233="n",0,BT233)</f>
        <v>0</v>
      </c>
      <c r="CD233" s="290" t="n">
        <f aca="false">SUM(CA233:CC233)</f>
        <v>0</v>
      </c>
      <c r="CE233" s="290" t="n">
        <f aca="false">IF($AM$2="n",0,BV233)</f>
        <v>0</v>
      </c>
      <c r="CF233" s="290" t="n">
        <f aca="false">IF($AM$2="n",0,BW233)</f>
        <v>0</v>
      </c>
      <c r="CG233" s="290" t="n">
        <f aca="false">IF($AM$2="n",0,BX233)</f>
        <v>200</v>
      </c>
      <c r="CH233" s="290" t="n">
        <f aca="false">SUM(CE233:CG233)</f>
        <v>200</v>
      </c>
    </row>
    <row r="234" customFormat="false" ht="15" hidden="false" customHeight="true" outlineLevel="0" collapsed="false">
      <c r="A234" s="285" t="n">
        <v>9270</v>
      </c>
      <c r="B234" s="285" t="s">
        <v>44</v>
      </c>
      <c r="C234" s="286" t="s">
        <v>578</v>
      </c>
      <c r="D234" s="287" t="s">
        <v>578</v>
      </c>
      <c r="E234" s="288" t="n">
        <f aca="false">IF(I234="regional",IF(R234*0.2975,S234*0.3484),S234*0.1939)</f>
        <v>274441.9964</v>
      </c>
      <c r="F234" s="288" t="n">
        <v>0</v>
      </c>
      <c r="G234" s="289" t="n">
        <f aca="false">E234+F234</f>
        <v>274441.9964</v>
      </c>
      <c r="H234" s="286"/>
      <c r="I234" s="287" t="s">
        <v>48</v>
      </c>
      <c r="J234" s="287" t="s">
        <v>44</v>
      </c>
      <c r="K234" s="287" t="s">
        <v>579</v>
      </c>
      <c r="L234" s="287"/>
      <c r="M234" s="317" t="n">
        <v>115</v>
      </c>
      <c r="N234" s="317" t="n">
        <v>0.832</v>
      </c>
      <c r="O234" s="317" t="n">
        <v>0.832</v>
      </c>
      <c r="P234" s="317" t="n">
        <v>0.813</v>
      </c>
      <c r="Q234" s="317" t="n">
        <v>0.768</v>
      </c>
      <c r="R234" s="317" t="n">
        <v>922805</v>
      </c>
      <c r="S234" s="317" t="n">
        <v>787721</v>
      </c>
      <c r="T234" s="318" t="n">
        <f aca="false">IF(I234="regional",IF(R234&gt;0,R234*0.2975,S234*0.3484),S234*0.1939)</f>
        <v>274534.4875</v>
      </c>
      <c r="U234" s="317" t="n">
        <v>506639</v>
      </c>
      <c r="V234" s="317" t="n">
        <v>281082</v>
      </c>
      <c r="W234" s="317" t="n">
        <v>4060</v>
      </c>
      <c r="X234" s="317" t="n">
        <v>0</v>
      </c>
      <c r="Y234" s="317" t="n">
        <v>0</v>
      </c>
      <c r="Z234" s="317" t="n">
        <v>0</v>
      </c>
      <c r="AA234" s="317" t="n">
        <v>1062255.488</v>
      </c>
      <c r="AB234" s="317" t="n">
        <v>274534.4875</v>
      </c>
      <c r="AC234" s="317" t="n">
        <v>787721</v>
      </c>
      <c r="AD234" s="317" t="n">
        <v>0</v>
      </c>
      <c r="AE234" s="317" t="n">
        <v>0</v>
      </c>
      <c r="AF234" s="317" t="n">
        <v>787721</v>
      </c>
      <c r="AG234" s="317" t="n">
        <v>0</v>
      </c>
      <c r="AH234" s="317" t="n">
        <v>688000</v>
      </c>
      <c r="AI234" s="317" t="n">
        <v>314000</v>
      </c>
      <c r="AJ234" s="286" t="s">
        <v>707</v>
      </c>
      <c r="AK234" s="286" t="s">
        <v>712</v>
      </c>
      <c r="AL234" s="287" t="s">
        <v>48</v>
      </c>
      <c r="AM234" s="286"/>
      <c r="AN234" s="287" t="s">
        <v>578</v>
      </c>
      <c r="AO234" s="287" t="n">
        <v>274534.4875</v>
      </c>
      <c r="AP234" s="319" t="n">
        <f aca="false">AR234+AT234+AU234+AV234+AX234+AY234+AZ234+BD234+BF234+BG234+BH234+BJ234+BK234+(BL234+BM234+BN234)/1000+(0.1*BO234)</f>
        <v>406.767</v>
      </c>
      <c r="AQ234" s="319" t="n">
        <f aca="false">AR234+AT234+AU234+AV234+AX234+AY234+AZ234+BB234+BC234+BD234+BF234+BG234+BH234+BJ234+BK234+(BL234+BM234+BN234)/1000+(0.1*BO234)</f>
        <v>429.767</v>
      </c>
      <c r="AR234" s="285" t="n">
        <v>4</v>
      </c>
      <c r="AS234" s="285" t="n">
        <v>314</v>
      </c>
      <c r="AT234" s="285" t="n">
        <v>240</v>
      </c>
      <c r="AU234" s="285" t="n">
        <v>66</v>
      </c>
      <c r="AV234" s="285" t="n">
        <v>0</v>
      </c>
      <c r="AW234" s="285" t="n">
        <v>0</v>
      </c>
      <c r="AX234" s="285" t="n">
        <v>2</v>
      </c>
      <c r="AY234" s="285" t="n">
        <v>0</v>
      </c>
      <c r="AZ234" s="285" t="n">
        <v>0</v>
      </c>
      <c r="BA234" s="285" t="n">
        <v>0</v>
      </c>
      <c r="BB234" s="285" t="n">
        <v>23</v>
      </c>
      <c r="BC234" s="285" t="n">
        <v>0</v>
      </c>
      <c r="BD234" s="285" t="n">
        <v>21</v>
      </c>
      <c r="BE234" s="285" t="n">
        <v>0</v>
      </c>
      <c r="BF234" s="285" t="n">
        <v>0</v>
      </c>
      <c r="BG234" s="285" t="n">
        <v>0</v>
      </c>
      <c r="BH234" s="285" t="n">
        <v>0</v>
      </c>
      <c r="BI234" s="285" t="n">
        <v>0</v>
      </c>
      <c r="BJ234" s="285" t="n">
        <v>0</v>
      </c>
      <c r="BK234" s="285" t="n">
        <v>0</v>
      </c>
      <c r="BL234" s="285" t="n">
        <v>0</v>
      </c>
      <c r="BM234" s="285" t="n">
        <v>0</v>
      </c>
      <c r="BN234" s="285" t="n">
        <v>4735</v>
      </c>
      <c r="BO234" s="285" t="n">
        <v>690.32</v>
      </c>
      <c r="BR234" s="290" t="n">
        <f aca="false">AR234*1000/0.072</f>
        <v>55555.5555555556</v>
      </c>
      <c r="BS234" s="290" t="n">
        <f aca="false">AT234*1000/0.072</f>
        <v>3333333.33333333</v>
      </c>
      <c r="BT234" s="290" t="n">
        <f aca="false">AU234*1000/0.072</f>
        <v>916666.666666667</v>
      </c>
      <c r="BU234" s="290" t="n">
        <f aca="false">SUM(BR234:BT234)</f>
        <v>4305555.55555556</v>
      </c>
      <c r="BV234" s="290" t="n">
        <f aca="false">AV234*1000/5</f>
        <v>0</v>
      </c>
      <c r="BW234" s="290" t="n">
        <f aca="false">AX234*1000/5</f>
        <v>400</v>
      </c>
      <c r="BX234" s="290" t="n">
        <f aca="false">AY234*1000/5</f>
        <v>0</v>
      </c>
      <c r="BY234" s="290" t="n">
        <f aca="false">SUM(BV234:BX234)</f>
        <v>400</v>
      </c>
      <c r="CA234" s="290" t="n">
        <f aca="false">IF($AM234="n",0,BR234)</f>
        <v>55555.5555555556</v>
      </c>
      <c r="CB234" s="290" t="n">
        <f aca="false">IF($AM234="n",0,BS234)</f>
        <v>3333333.33333333</v>
      </c>
      <c r="CC234" s="290" t="n">
        <f aca="false">IF($AM234="n",0,BT234)</f>
        <v>916666.666666667</v>
      </c>
      <c r="CD234" s="290" t="n">
        <f aca="false">SUM(CA234:CC234)</f>
        <v>4305555.55555556</v>
      </c>
      <c r="CE234" s="290" t="n">
        <f aca="false">IF($AM$2="n",0,BV234)</f>
        <v>0</v>
      </c>
      <c r="CF234" s="290" t="n">
        <f aca="false">IF($AM$2="n",0,BW234)</f>
        <v>400</v>
      </c>
      <c r="CG234" s="290" t="n">
        <f aca="false">IF($AM$2="n",0,BX234)</f>
        <v>0</v>
      </c>
      <c r="CH234" s="290" t="n">
        <f aca="false">SUM(CE234:CG234)</f>
        <v>400</v>
      </c>
    </row>
    <row r="235" customFormat="false" ht="15" hidden="false" customHeight="true" outlineLevel="0" collapsed="false">
      <c r="A235" s="285" t="n">
        <v>1582</v>
      </c>
      <c r="B235" s="285"/>
      <c r="C235" s="286" t="s">
        <v>580</v>
      </c>
      <c r="D235" s="287" t="s">
        <v>580</v>
      </c>
      <c r="E235" s="288" t="n">
        <f aca="false">IF(I235="regional",IF(R235*0.2975,S235*0.3484),S235*0.1939)</f>
        <v>23199.7472</v>
      </c>
      <c r="F235" s="288" t="n">
        <v>0</v>
      </c>
      <c r="G235" s="289" t="n">
        <f aca="false">E235+F235</f>
        <v>23199.7472</v>
      </c>
      <c r="H235" s="286"/>
      <c r="I235" s="287" t="s">
        <v>62</v>
      </c>
      <c r="J235" s="287"/>
      <c r="K235" s="287" t="s">
        <v>170</v>
      </c>
      <c r="L235" s="287"/>
      <c r="M235" s="317" t="n">
        <v>4</v>
      </c>
      <c r="N235" s="317" t="n">
        <v>0.986</v>
      </c>
      <c r="O235" s="317" t="n">
        <v>0.986</v>
      </c>
      <c r="P235" s="317" t="n">
        <v>0.986</v>
      </c>
      <c r="Q235" s="317" t="n">
        <v>0.962</v>
      </c>
      <c r="R235" s="317" t="n">
        <v>0</v>
      </c>
      <c r="S235" s="317" t="n">
        <v>119648</v>
      </c>
      <c r="T235" s="318" t="n">
        <f aca="false">IF(I235="regional",IF(R235&gt;0,R235*0.2975,S235*0.3484),S235*0.1939)</f>
        <v>23199.7472</v>
      </c>
      <c r="U235" s="317" t="n">
        <v>109388</v>
      </c>
      <c r="V235" s="317" t="n">
        <v>10260</v>
      </c>
      <c r="W235" s="317" t="n">
        <v>600</v>
      </c>
      <c r="X235" s="317" t="n">
        <v>0</v>
      </c>
      <c r="Y235" s="317" t="n">
        <v>0</v>
      </c>
      <c r="Z235" s="317" t="n">
        <v>0</v>
      </c>
      <c r="AA235" s="317" t="n">
        <v>142847.7472</v>
      </c>
      <c r="AB235" s="317" t="n">
        <v>23199.7472</v>
      </c>
      <c r="AC235" s="317" t="n">
        <v>119648</v>
      </c>
      <c r="AD235" s="317" t="n">
        <v>0</v>
      </c>
      <c r="AE235" s="317" t="n">
        <v>0</v>
      </c>
      <c r="AF235" s="317" t="n">
        <v>0</v>
      </c>
      <c r="AG235" s="317" t="n">
        <v>119648</v>
      </c>
      <c r="AH235" s="317" t="n">
        <v>0</v>
      </c>
      <c r="AI235" s="317" t="n">
        <v>0</v>
      </c>
      <c r="AJ235" s="286" t="n">
        <v>4</v>
      </c>
      <c r="AK235" s="286" t="s">
        <v>720</v>
      </c>
      <c r="AL235" s="287" t="s">
        <v>62</v>
      </c>
      <c r="AM235" s="286"/>
      <c r="AN235" s="287" t="s">
        <v>580</v>
      </c>
      <c r="AO235" s="287" t="n">
        <v>23199.7472</v>
      </c>
      <c r="AP235" s="319" t="n">
        <f aca="false">AR235+AT235+AU235+AV235+AX235+AY235+AZ235+BD235+BF235+BG235+BH235+BJ235+BK235+(BL235+BM235+BN235)/1000+(0.1*BO235)</f>
        <v>8.4447</v>
      </c>
      <c r="AQ235" s="319" t="n">
        <f aca="false">AR235+AT235+AU235+AV235+AX235+AY235+AZ235+BB235+BC235+BD235+BF235+BG235+BH235+BJ235+BK235+(BL235+BM235+BN235)/1000+(0.1*BO235)</f>
        <v>8.4447</v>
      </c>
      <c r="AR235" s="285" t="n">
        <v>0</v>
      </c>
      <c r="AS235" s="285" t="n">
        <v>0</v>
      </c>
      <c r="AT235" s="285" t="n">
        <v>6</v>
      </c>
      <c r="AU235" s="285" t="n">
        <v>0</v>
      </c>
      <c r="AV235" s="285" t="n">
        <v>0</v>
      </c>
      <c r="AW235" s="285" t="n">
        <v>0</v>
      </c>
      <c r="AX235" s="285" t="n">
        <v>0</v>
      </c>
      <c r="AY235" s="285" t="n">
        <v>1</v>
      </c>
      <c r="AZ235" s="285" t="n">
        <v>0</v>
      </c>
      <c r="BA235" s="285" t="n">
        <v>0</v>
      </c>
      <c r="BB235" s="285" t="n">
        <v>0</v>
      </c>
      <c r="BC235" s="285" t="n">
        <v>0</v>
      </c>
      <c r="BD235" s="285" t="n">
        <v>0</v>
      </c>
      <c r="BE235" s="285" t="n">
        <v>0</v>
      </c>
      <c r="BF235" s="285" t="n">
        <v>0</v>
      </c>
      <c r="BG235" s="285" t="n">
        <v>0</v>
      </c>
      <c r="BH235" s="285" t="n">
        <v>0</v>
      </c>
      <c r="BI235" s="285" t="n">
        <v>0</v>
      </c>
      <c r="BJ235" s="285" t="n">
        <v>0</v>
      </c>
      <c r="BK235" s="285" t="n">
        <v>0</v>
      </c>
      <c r="BL235" s="285" t="n">
        <v>0</v>
      </c>
      <c r="BM235" s="285" t="n">
        <v>0</v>
      </c>
      <c r="BN235" s="285" t="n">
        <v>0</v>
      </c>
      <c r="BO235" s="285" t="n">
        <v>14.447</v>
      </c>
      <c r="BR235" s="290" t="n">
        <f aca="false">AR235*1000/0.072</f>
        <v>0</v>
      </c>
      <c r="BS235" s="290" t="n">
        <f aca="false">AT235*1000/0.072</f>
        <v>83333.3333333333</v>
      </c>
      <c r="BT235" s="290" t="n">
        <f aca="false">AU235*1000/0.072</f>
        <v>0</v>
      </c>
      <c r="BU235" s="290" t="n">
        <f aca="false">SUM(BR235:BT235)</f>
        <v>83333.3333333333</v>
      </c>
      <c r="BV235" s="290" t="n">
        <f aca="false">AV235*1000/5</f>
        <v>0</v>
      </c>
      <c r="BW235" s="290" t="n">
        <f aca="false">AX235*1000/5</f>
        <v>0</v>
      </c>
      <c r="BX235" s="290" t="n">
        <f aca="false">AY235*1000/5</f>
        <v>200</v>
      </c>
      <c r="BY235" s="290" t="n">
        <f aca="false">SUM(BV235:BX235)</f>
        <v>200</v>
      </c>
      <c r="CA235" s="290" t="n">
        <f aca="false">IF($AM235="n",0,BR235)</f>
        <v>0</v>
      </c>
      <c r="CB235" s="290" t="n">
        <f aca="false">IF($AM235="n",0,BS235)</f>
        <v>83333.3333333333</v>
      </c>
      <c r="CC235" s="290" t="n">
        <f aca="false">IF($AM235="n",0,BT235)</f>
        <v>0</v>
      </c>
      <c r="CD235" s="290" t="n">
        <f aca="false">SUM(CA235:CC235)</f>
        <v>83333.3333333333</v>
      </c>
      <c r="CE235" s="290" t="n">
        <f aca="false">IF($AM$2="n",0,BV235)</f>
        <v>0</v>
      </c>
      <c r="CF235" s="290" t="n">
        <f aca="false">IF($AM$2="n",0,BW235)</f>
        <v>0</v>
      </c>
      <c r="CG235" s="290" t="n">
        <f aca="false">IF($AM$2="n",0,BX235)</f>
        <v>200</v>
      </c>
      <c r="CH235" s="290" t="n">
        <f aca="false">SUM(CE235:CG235)</f>
        <v>200</v>
      </c>
    </row>
    <row r="236" customFormat="false" ht="15" hidden="false" customHeight="true" outlineLevel="0" collapsed="false">
      <c r="A236" s="285" t="n">
        <v>4841</v>
      </c>
      <c r="B236" s="285"/>
      <c r="C236" s="286" t="s">
        <v>582</v>
      </c>
      <c r="D236" s="287" t="s">
        <v>582</v>
      </c>
      <c r="E236" s="288" t="n">
        <f aca="false">IF(I236="regional",IF(R236*0.2975,S236*0.3484),S236*0.1939)</f>
        <v>336206</v>
      </c>
      <c r="F236" s="288" t="n">
        <v>0</v>
      </c>
      <c r="G236" s="289" t="n">
        <f aca="false">E236+F236</f>
        <v>336206</v>
      </c>
      <c r="H236" s="286" t="s">
        <v>49</v>
      </c>
      <c r="I236" s="287" t="s">
        <v>48</v>
      </c>
      <c r="J236" s="287" t="s">
        <v>49</v>
      </c>
      <c r="K236" s="287" t="s">
        <v>490</v>
      </c>
      <c r="L236" s="287"/>
      <c r="M236" s="317" t="n">
        <v>106</v>
      </c>
      <c r="N236" s="317" t="n">
        <v>0.809</v>
      </c>
      <c r="O236" s="317" t="n">
        <v>0.836</v>
      </c>
      <c r="P236" s="317" t="n">
        <v>0.925</v>
      </c>
      <c r="Q236" s="317" t="n">
        <v>0.952</v>
      </c>
      <c r="R236" s="317" t="n">
        <v>771000</v>
      </c>
      <c r="S236" s="317" t="n">
        <v>965000</v>
      </c>
      <c r="T236" s="318" t="n">
        <f aca="false">IF(I236="regional",IF(R236&gt;0,R236*0.2975,S236*0.3484),S236*0.1939)</f>
        <v>229372.5</v>
      </c>
      <c r="U236" s="317" t="n">
        <v>771000</v>
      </c>
      <c r="V236" s="317" t="n">
        <v>194000</v>
      </c>
      <c r="W236" s="317" t="n">
        <v>5043</v>
      </c>
      <c r="X236" s="317" t="n">
        <v>0</v>
      </c>
      <c r="Y236" s="317" t="n">
        <v>0</v>
      </c>
      <c r="Z236" s="317" t="n">
        <v>0</v>
      </c>
      <c r="AA236" s="317" t="n">
        <v>1194372.5</v>
      </c>
      <c r="AB236" s="317" t="n">
        <v>229372.5</v>
      </c>
      <c r="AC236" s="317" t="n">
        <v>965000</v>
      </c>
      <c r="AD236" s="317" t="n">
        <v>0</v>
      </c>
      <c r="AE236" s="317" t="n">
        <v>0</v>
      </c>
      <c r="AF236" s="317" t="n">
        <v>0</v>
      </c>
      <c r="AG236" s="317" t="n">
        <v>965000</v>
      </c>
      <c r="AH236" s="317" t="n">
        <v>0</v>
      </c>
      <c r="AI236" s="317" t="n">
        <v>0</v>
      </c>
      <c r="AJ236" s="286" t="n">
        <v>4</v>
      </c>
      <c r="AK236" s="286" t="s">
        <v>724</v>
      </c>
      <c r="AL236" s="287" t="s">
        <v>48</v>
      </c>
      <c r="AM236" s="286" t="s">
        <v>49</v>
      </c>
      <c r="AN236" s="287" t="s">
        <v>582</v>
      </c>
      <c r="AO236" s="287" t="n">
        <v>229372.5</v>
      </c>
      <c r="AP236" s="319" t="n">
        <f aca="false">AR236+AT236+AU236+AV236+AX236+AY236+AZ236+BD236+BF236+BG236+BH236+BJ236+BK236+(BL236+BM236+BN236)/1000+(0.1*BO236)</f>
        <v>348.138</v>
      </c>
      <c r="AQ236" s="319" t="n">
        <f aca="false">AR236+AT236+AU236+AV236+AX236+AY236+AZ236+BB236+BC236+BD236+BF236+BG236+BH236+BJ236+BK236+(BL236+BM236+BN236)/1000+(0.1*BO236)</f>
        <v>360.138</v>
      </c>
      <c r="AR236" s="285" t="n">
        <v>0</v>
      </c>
      <c r="AS236" s="285" t="n">
        <v>0</v>
      </c>
      <c r="AT236" s="285" t="n">
        <v>191</v>
      </c>
      <c r="AU236" s="285" t="n">
        <v>13</v>
      </c>
      <c r="AV236" s="285" t="n">
        <v>0</v>
      </c>
      <c r="AW236" s="285" t="n">
        <v>0</v>
      </c>
      <c r="AX236" s="285" t="n">
        <v>33</v>
      </c>
      <c r="AY236" s="285" t="n">
        <v>0</v>
      </c>
      <c r="AZ236" s="285" t="n">
        <v>0</v>
      </c>
      <c r="BA236" s="285" t="n">
        <v>62</v>
      </c>
      <c r="BB236" s="285" t="n">
        <v>12</v>
      </c>
      <c r="BC236" s="285" t="n">
        <v>0</v>
      </c>
      <c r="BD236" s="285" t="n">
        <v>0</v>
      </c>
      <c r="BE236" s="285" t="n">
        <v>1</v>
      </c>
      <c r="BF236" s="285" t="n">
        <v>0</v>
      </c>
      <c r="BG236" s="285" t="n">
        <v>0</v>
      </c>
      <c r="BH236" s="285" t="n">
        <v>0</v>
      </c>
      <c r="BI236" s="285" t="n">
        <v>0</v>
      </c>
      <c r="BJ236" s="285" t="n">
        <v>0</v>
      </c>
      <c r="BK236" s="285" t="n">
        <v>0</v>
      </c>
      <c r="BL236" s="285" t="n">
        <v>111138</v>
      </c>
      <c r="BM236" s="285" t="n">
        <v>0</v>
      </c>
      <c r="BN236" s="285" t="n">
        <v>0</v>
      </c>
      <c r="BO236" s="285" t="n">
        <v>0</v>
      </c>
      <c r="BR236" s="290" t="n">
        <f aca="false">AR236*1000/0.072</f>
        <v>0</v>
      </c>
      <c r="BS236" s="290" t="n">
        <f aca="false">AT236*1000/0.072</f>
        <v>2652777.77777778</v>
      </c>
      <c r="BT236" s="290" t="n">
        <f aca="false">AU236*1000/0.072</f>
        <v>180555.555555556</v>
      </c>
      <c r="BU236" s="290" t="n">
        <f aca="false">SUM(BR236:BT236)</f>
        <v>2833333.33333333</v>
      </c>
      <c r="BV236" s="290" t="n">
        <f aca="false">AV236*1000/5</f>
        <v>0</v>
      </c>
      <c r="BW236" s="290" t="n">
        <f aca="false">AX236*1000/5</f>
        <v>6600</v>
      </c>
      <c r="BX236" s="290" t="n">
        <f aca="false">AY236*1000/5</f>
        <v>0</v>
      </c>
      <c r="BY236" s="290" t="n">
        <f aca="false">SUM(BV236:BX236)</f>
        <v>6600</v>
      </c>
      <c r="CA236" s="290" t="n">
        <f aca="false">IF($AM236="n",0,BR236)</f>
        <v>0</v>
      </c>
      <c r="CB236" s="290" t="n">
        <f aca="false">IF($AM236="n",0,BS236)</f>
        <v>0</v>
      </c>
      <c r="CC236" s="290" t="n">
        <f aca="false">IF($AM236="n",0,BT236)</f>
        <v>0</v>
      </c>
      <c r="CD236" s="290" t="n">
        <f aca="false">SUM(CA236:CC236)</f>
        <v>0</v>
      </c>
      <c r="CE236" s="290" t="n">
        <f aca="false">IF($AM$2="n",0,BV236)</f>
        <v>0</v>
      </c>
      <c r="CF236" s="290" t="n">
        <f aca="false">IF($AM$2="n",0,BW236)</f>
        <v>6600</v>
      </c>
      <c r="CG236" s="290" t="n">
        <f aca="false">IF($AM$2="n",0,BX236)</f>
        <v>0</v>
      </c>
      <c r="CH236" s="290" t="n">
        <f aca="false">SUM(CE236:CG236)</f>
        <v>6600</v>
      </c>
    </row>
    <row r="237" customFormat="false" ht="15" hidden="false" customHeight="true" outlineLevel="0" collapsed="false">
      <c r="A237" s="285" t="n">
        <v>9774</v>
      </c>
      <c r="B237" s="285"/>
      <c r="C237" s="286" t="s">
        <v>584</v>
      </c>
      <c r="D237" s="287" t="s">
        <v>584</v>
      </c>
      <c r="E237" s="288" t="n">
        <f aca="false">IF(I237="regional",IF(R237*0.2975,S237*0.3484),S237*0.1939)</f>
        <v>9753.5578</v>
      </c>
      <c r="F237" s="288" t="n">
        <v>0</v>
      </c>
      <c r="G237" s="289" t="n">
        <f aca="false">E237+F237</f>
        <v>9753.5578</v>
      </c>
      <c r="H237" s="286" t="s">
        <v>44</v>
      </c>
      <c r="I237" s="287" t="s">
        <v>62</v>
      </c>
      <c r="J237" s="287"/>
      <c r="K237" s="287" t="s">
        <v>585</v>
      </c>
      <c r="L237" s="287"/>
      <c r="M237" s="317" t="n">
        <v>8</v>
      </c>
      <c r="N237" s="317" t="n">
        <v>0.811</v>
      </c>
      <c r="O237" s="317" t="n">
        <v>0.811</v>
      </c>
      <c r="P237" s="317" t="n">
        <v>0.953</v>
      </c>
      <c r="Q237" s="317" t="n">
        <v>0.912</v>
      </c>
      <c r="R237" s="317" t="n">
        <v>0</v>
      </c>
      <c r="S237" s="317" t="n">
        <v>50302</v>
      </c>
      <c r="T237" s="318" t="n">
        <f aca="false">IF(I237="regional",IF(R237&gt;0,R237*0.2975,S237*0.3484),S237*0.1939)</f>
        <v>9753.5578</v>
      </c>
      <c r="U237" s="317" t="n">
        <v>21500</v>
      </c>
      <c r="V237" s="317" t="n">
        <v>28802</v>
      </c>
      <c r="W237" s="317" t="n">
        <v>250</v>
      </c>
      <c r="X237" s="317" t="n">
        <v>0</v>
      </c>
      <c r="Y237" s="317" t="n">
        <v>0</v>
      </c>
      <c r="Z237" s="317" t="n">
        <v>0</v>
      </c>
      <c r="AA237" s="317" t="n">
        <v>60055.5578</v>
      </c>
      <c r="AB237" s="317" t="n">
        <v>9753.5578</v>
      </c>
      <c r="AC237" s="317" t="n">
        <v>50302</v>
      </c>
      <c r="AD237" s="317" t="n">
        <v>0</v>
      </c>
      <c r="AE237" s="317" t="n">
        <v>0</v>
      </c>
      <c r="AF237" s="317" t="n">
        <v>0</v>
      </c>
      <c r="AG237" s="317" t="n">
        <v>50302</v>
      </c>
      <c r="AH237" s="317" t="n">
        <v>0</v>
      </c>
      <c r="AI237" s="317" t="n">
        <v>0</v>
      </c>
      <c r="AJ237" s="286" t="n">
        <v>4</v>
      </c>
      <c r="AK237" s="286" t="s">
        <v>720</v>
      </c>
      <c r="AL237" s="287" t="s">
        <v>62</v>
      </c>
      <c r="AM237" s="286"/>
      <c r="AN237" s="287" t="s">
        <v>584</v>
      </c>
      <c r="AO237" s="287" t="n">
        <v>9753.5578</v>
      </c>
      <c r="AP237" s="319" t="n">
        <f aca="false">AR237+AT237+AU237+AV237+AX237+AY237+AZ237+BD237+BF237+BG237+BH237+BJ237+BK237+(BL237+BM237+BN237)/1000+(0.1*BO237)</f>
        <v>0</v>
      </c>
      <c r="AQ237" s="319" t="n">
        <f aca="false">AR237+AT237+AU237+AV237+AX237+AY237+AZ237+BB237+BC237+BD237+BF237+BG237+BH237+BJ237+BK237+(BL237+BM237+BN237)/1000+(0.1*BO237)</f>
        <v>0</v>
      </c>
      <c r="AR237" s="285" t="n">
        <v>0</v>
      </c>
      <c r="AS237" s="285" t="n">
        <v>0</v>
      </c>
      <c r="AT237" s="285" t="n">
        <v>0</v>
      </c>
      <c r="AU237" s="285" t="n">
        <v>0</v>
      </c>
      <c r="AV237" s="285" t="n">
        <v>0</v>
      </c>
      <c r="AW237" s="285" t="n">
        <v>0</v>
      </c>
      <c r="AX237" s="285" t="n">
        <v>0</v>
      </c>
      <c r="AY237" s="285" t="n">
        <v>0</v>
      </c>
      <c r="AZ237" s="285" t="n">
        <v>0</v>
      </c>
      <c r="BA237" s="285" t="n">
        <v>0</v>
      </c>
      <c r="BB237" s="285" t="n">
        <v>0</v>
      </c>
      <c r="BC237" s="285" t="n">
        <v>0</v>
      </c>
      <c r="BD237" s="285" t="n">
        <v>0</v>
      </c>
      <c r="BE237" s="285" t="n">
        <v>0</v>
      </c>
      <c r="BF237" s="285" t="n">
        <v>0</v>
      </c>
      <c r="BG237" s="285" t="n">
        <v>0</v>
      </c>
      <c r="BH237" s="285" t="n">
        <v>0</v>
      </c>
      <c r="BI237" s="285" t="n">
        <v>0</v>
      </c>
      <c r="BJ237" s="285" t="n">
        <v>0</v>
      </c>
      <c r="BK237" s="285" t="n">
        <v>0</v>
      </c>
      <c r="BL237" s="285" t="n">
        <v>0</v>
      </c>
      <c r="BM237" s="285" t="n">
        <v>0</v>
      </c>
      <c r="BN237" s="285" t="n">
        <v>0</v>
      </c>
      <c r="BO237" s="285" t="n">
        <v>0</v>
      </c>
      <c r="BR237" s="290" t="n">
        <f aca="false">AR237*1000/0.072</f>
        <v>0</v>
      </c>
      <c r="BS237" s="290" t="n">
        <f aca="false">AT237*1000/0.072</f>
        <v>0</v>
      </c>
      <c r="BT237" s="290" t="n">
        <f aca="false">AU237*1000/0.072</f>
        <v>0</v>
      </c>
      <c r="BU237" s="290" t="n">
        <f aca="false">SUM(BR237:BT237)</f>
        <v>0</v>
      </c>
      <c r="BV237" s="290" t="n">
        <f aca="false">AV237*1000/5</f>
        <v>0</v>
      </c>
      <c r="BW237" s="290" t="n">
        <f aca="false">AX237*1000/5</f>
        <v>0</v>
      </c>
      <c r="BX237" s="290" t="n">
        <f aca="false">AY237*1000/5</f>
        <v>0</v>
      </c>
      <c r="BY237" s="290" t="n">
        <f aca="false">SUM(BV237:BX237)</f>
        <v>0</v>
      </c>
      <c r="CA237" s="290" t="n">
        <f aca="false">IF($AM237="n",0,BR237)</f>
        <v>0</v>
      </c>
      <c r="CB237" s="290" t="n">
        <f aca="false">IF($AM237="n",0,BS237)</f>
        <v>0</v>
      </c>
      <c r="CC237" s="290" t="n">
        <f aca="false">IF($AM237="n",0,BT237)</f>
        <v>0</v>
      </c>
      <c r="CD237" s="290" t="n">
        <f aca="false">SUM(CA237:CC237)</f>
        <v>0</v>
      </c>
      <c r="CE237" s="290" t="n">
        <f aca="false">IF($AM$2="n",0,BV237)</f>
        <v>0</v>
      </c>
      <c r="CF237" s="290" t="n">
        <f aca="false">IF($AM$2="n",0,BW237)</f>
        <v>0</v>
      </c>
      <c r="CG237" s="290" t="n">
        <f aca="false">IF($AM$2="n",0,BX237)</f>
        <v>0</v>
      </c>
      <c r="CH237" s="290" t="n">
        <f aca="false">SUM(CE237:CG237)</f>
        <v>0</v>
      </c>
    </row>
    <row r="238" customFormat="false" ht="15" hidden="false" customHeight="true" outlineLevel="0" collapsed="false">
      <c r="A238" s="285" t="n">
        <v>9773</v>
      </c>
      <c r="B238" s="285"/>
      <c r="C238" s="286" t="s">
        <v>586</v>
      </c>
      <c r="D238" s="287" t="s">
        <v>586</v>
      </c>
      <c r="E238" s="288" t="n">
        <f aca="false">IF(I238="regional",IF(R238*0.2975,S238*0.3484),S238*0.1939)</f>
        <v>415536.68</v>
      </c>
      <c r="F238" s="288" t="n">
        <v>0</v>
      </c>
      <c r="G238" s="289" t="n">
        <f aca="false">E238+F238</f>
        <v>415536.68</v>
      </c>
      <c r="H238" s="286"/>
      <c r="I238" s="287" t="s">
        <v>48</v>
      </c>
      <c r="J238" s="287" t="s">
        <v>49</v>
      </c>
      <c r="K238" s="287" t="s">
        <v>585</v>
      </c>
      <c r="L238" s="287"/>
      <c r="M238" s="317" t="n">
        <v>134</v>
      </c>
      <c r="N238" s="317" t="n">
        <v>0.704</v>
      </c>
      <c r="O238" s="317" t="n">
        <v>0.693</v>
      </c>
      <c r="P238" s="317" t="n">
        <v>0.563</v>
      </c>
      <c r="Q238" s="317" t="n">
        <v>0.626</v>
      </c>
      <c r="R238" s="317" t="n">
        <v>1288538</v>
      </c>
      <c r="S238" s="317" t="n">
        <v>1192700</v>
      </c>
      <c r="T238" s="318" t="n">
        <f aca="false">IF(I238="regional",IF(R238&gt;0,R238*0.2975,S238*0.3484),S238*0.1939)</f>
        <v>383340.055</v>
      </c>
      <c r="U238" s="317" t="n">
        <v>931236</v>
      </c>
      <c r="V238" s="317" t="n">
        <v>261464</v>
      </c>
      <c r="W238" s="317" t="n">
        <v>6964</v>
      </c>
      <c r="X238" s="317" t="n">
        <v>0</v>
      </c>
      <c r="Y238" s="317" t="n">
        <v>0</v>
      </c>
      <c r="Z238" s="317" t="n">
        <v>0</v>
      </c>
      <c r="AA238" s="317" t="n">
        <v>1576040.055</v>
      </c>
      <c r="AB238" s="317" t="n">
        <v>383340.055</v>
      </c>
      <c r="AC238" s="317" t="n">
        <v>1192700</v>
      </c>
      <c r="AD238" s="317" t="n">
        <v>0</v>
      </c>
      <c r="AE238" s="317" t="n">
        <v>0</v>
      </c>
      <c r="AF238" s="317" t="n">
        <v>0</v>
      </c>
      <c r="AG238" s="317" t="n">
        <v>1192700</v>
      </c>
      <c r="AH238" s="317" t="n">
        <v>0</v>
      </c>
      <c r="AI238" s="317" t="n">
        <v>0</v>
      </c>
      <c r="AJ238" s="286" t="n">
        <v>4</v>
      </c>
      <c r="AK238" s="286" t="s">
        <v>720</v>
      </c>
      <c r="AL238" s="287" t="s">
        <v>48</v>
      </c>
      <c r="AM238" s="286"/>
      <c r="AN238" s="287" t="s">
        <v>586</v>
      </c>
      <c r="AO238" s="287" t="n">
        <v>383340.055</v>
      </c>
      <c r="AP238" s="319" t="n">
        <f aca="false">AR238+AT238+AU238+AV238+AX238+AY238+AZ238+BD238+BF238+BG238+BH238+BJ238+BK238+(BL238+BM238+BN238)/1000+(0.1*BO238)</f>
        <v>264.8566</v>
      </c>
      <c r="AQ238" s="319" t="n">
        <f aca="false">AR238+AT238+AU238+AV238+AX238+AY238+AZ238+BB238+BC238+BD238+BF238+BG238+BH238+BJ238+BK238+(BL238+BM238+BN238)/1000+(0.1*BO238)</f>
        <v>273.8566</v>
      </c>
      <c r="AR238" s="285" t="n">
        <v>0</v>
      </c>
      <c r="AS238" s="285" t="n">
        <v>0</v>
      </c>
      <c r="AT238" s="285" t="n">
        <v>130</v>
      </c>
      <c r="AU238" s="285" t="n">
        <v>38</v>
      </c>
      <c r="AV238" s="285" t="n">
        <v>0</v>
      </c>
      <c r="AW238" s="285" t="n">
        <v>0</v>
      </c>
      <c r="AX238" s="285" t="n">
        <v>0</v>
      </c>
      <c r="AY238" s="285" t="n">
        <v>0</v>
      </c>
      <c r="AZ238" s="285" t="n">
        <v>0</v>
      </c>
      <c r="BA238" s="285" t="n">
        <v>0</v>
      </c>
      <c r="BB238" s="285" t="n">
        <v>5</v>
      </c>
      <c r="BC238" s="285" t="n">
        <v>4</v>
      </c>
      <c r="BD238" s="285" t="n">
        <v>0</v>
      </c>
      <c r="BE238" s="285" t="n">
        <v>0</v>
      </c>
      <c r="BF238" s="285" t="n">
        <v>0</v>
      </c>
      <c r="BG238" s="285" t="n">
        <v>0</v>
      </c>
      <c r="BH238" s="285" t="n">
        <v>0</v>
      </c>
      <c r="BI238" s="285" t="n">
        <v>0</v>
      </c>
      <c r="BJ238" s="285" t="n">
        <v>0</v>
      </c>
      <c r="BK238" s="285" t="n">
        <v>0</v>
      </c>
      <c r="BL238" s="285" t="n">
        <v>21985</v>
      </c>
      <c r="BM238" s="285" t="n">
        <v>0</v>
      </c>
      <c r="BN238" s="285" t="n">
        <v>0</v>
      </c>
      <c r="BO238" s="285" t="n">
        <v>748.716</v>
      </c>
      <c r="BR238" s="290" t="n">
        <f aca="false">AR238*1000/0.072</f>
        <v>0</v>
      </c>
      <c r="BS238" s="290" t="n">
        <f aca="false">AT238*1000/0.072</f>
        <v>1805555.55555556</v>
      </c>
      <c r="BT238" s="290" t="n">
        <f aca="false">AU238*1000/0.072</f>
        <v>527777.777777778</v>
      </c>
      <c r="BU238" s="290" t="n">
        <f aca="false">SUM(BR238:BT238)</f>
        <v>2333333.33333333</v>
      </c>
      <c r="BV238" s="290" t="n">
        <f aca="false">AV238*1000/5</f>
        <v>0</v>
      </c>
      <c r="BW238" s="290" t="n">
        <f aca="false">AX238*1000/5</f>
        <v>0</v>
      </c>
      <c r="BX238" s="290" t="n">
        <f aca="false">AY238*1000/5</f>
        <v>0</v>
      </c>
      <c r="BY238" s="290" t="n">
        <f aca="false">SUM(BV238:BX238)</f>
        <v>0</v>
      </c>
      <c r="CA238" s="290" t="n">
        <f aca="false">IF($AM238="n",0,BR238)</f>
        <v>0</v>
      </c>
      <c r="CB238" s="290" t="n">
        <f aca="false">IF($AM238="n",0,BS238)</f>
        <v>1805555.55555556</v>
      </c>
      <c r="CC238" s="290" t="n">
        <f aca="false">IF($AM238="n",0,BT238)</f>
        <v>527777.777777778</v>
      </c>
      <c r="CD238" s="290" t="n">
        <f aca="false">SUM(CA238:CC238)</f>
        <v>2333333.33333333</v>
      </c>
      <c r="CE238" s="290" t="n">
        <f aca="false">IF($AM$2="n",0,BV238)</f>
        <v>0</v>
      </c>
      <c r="CF238" s="290" t="n">
        <f aca="false">IF($AM$2="n",0,BW238)</f>
        <v>0</v>
      </c>
      <c r="CG238" s="290" t="n">
        <f aca="false">IF($AM$2="n",0,BX238)</f>
        <v>0</v>
      </c>
      <c r="CH238" s="290" t="n">
        <f aca="false">SUM(CE238:CG238)</f>
        <v>0</v>
      </c>
    </row>
    <row r="239" customFormat="false" ht="15" hidden="false" customHeight="true" outlineLevel="0" collapsed="false">
      <c r="A239" s="285" t="n">
        <v>3917</v>
      </c>
      <c r="B239" s="285" t="s">
        <v>44</v>
      </c>
      <c r="C239" s="286" t="s">
        <v>587</v>
      </c>
      <c r="D239" s="287" t="s">
        <v>587</v>
      </c>
      <c r="E239" s="288" t="n">
        <f aca="false">IF(I239="regional",IF(R239*0.2975,S239*0.3484),S239*0.1939)</f>
        <v>355510.4956</v>
      </c>
      <c r="F239" s="288" t="n">
        <v>490459</v>
      </c>
      <c r="G239" s="289" t="n">
        <f aca="false">E239+F239</f>
        <v>845969.4956</v>
      </c>
      <c r="H239" s="286"/>
      <c r="I239" s="287" t="s">
        <v>48</v>
      </c>
      <c r="J239" s="287" t="s">
        <v>44</v>
      </c>
      <c r="K239" s="287" t="s">
        <v>589</v>
      </c>
      <c r="L239" s="287" t="s">
        <v>44</v>
      </c>
      <c r="M239" s="317" t="n">
        <v>152</v>
      </c>
      <c r="N239" s="317" t="n">
        <v>0.731</v>
      </c>
      <c r="O239" s="317" t="n">
        <v>0.833</v>
      </c>
      <c r="P239" s="317" t="n">
        <v>0.807</v>
      </c>
      <c r="Q239" s="317" t="n">
        <v>0.755</v>
      </c>
      <c r="R239" s="317" t="n">
        <v>1283965</v>
      </c>
      <c r="S239" s="317" t="n">
        <v>1020409</v>
      </c>
      <c r="T239" s="318" t="n">
        <f aca="false">IF(I239="regional",IF(R239&gt;0,R239*0.2975,S239*0.3484),S239*0.1939)</f>
        <v>381979.5875</v>
      </c>
      <c r="U239" s="317" t="n">
        <v>716811</v>
      </c>
      <c r="V239" s="317" t="n">
        <v>303598</v>
      </c>
      <c r="W239" s="317" t="n">
        <v>5338</v>
      </c>
      <c r="X239" s="317" t="n">
        <v>872438.5875</v>
      </c>
      <c r="Y239" s="317" t="n">
        <v>381979.5875</v>
      </c>
      <c r="Z239" s="317" t="n">
        <v>490459</v>
      </c>
      <c r="AA239" s="317" t="n">
        <v>529950</v>
      </c>
      <c r="AB239" s="317" t="n">
        <v>0</v>
      </c>
      <c r="AC239" s="317" t="n">
        <v>529950</v>
      </c>
      <c r="AD239" s="317" t="n">
        <v>490459</v>
      </c>
      <c r="AE239" s="317" t="n">
        <v>0</v>
      </c>
      <c r="AF239" s="317" t="n">
        <v>529950</v>
      </c>
      <c r="AG239" s="317" t="n">
        <v>0</v>
      </c>
      <c r="AH239" s="317" t="n">
        <v>393000</v>
      </c>
      <c r="AI239" s="317" t="n">
        <v>315000</v>
      </c>
      <c r="AJ239" s="286" t="s">
        <v>707</v>
      </c>
      <c r="AK239" s="286" t="s">
        <v>729</v>
      </c>
      <c r="AL239" s="287" t="s">
        <v>48</v>
      </c>
      <c r="AM239" s="286"/>
      <c r="AN239" s="287" t="s">
        <v>587</v>
      </c>
      <c r="AO239" s="287" t="n">
        <v>872438.5875</v>
      </c>
      <c r="AP239" s="319" t="n">
        <f aca="false">AR239+AT239+AU239+AV239+AX239+AY239+AZ239+BD239+BF239+BG239+BH239+BJ239+BK239+(BL239+BM239+BN239)/1000+(0.1*BO239)</f>
        <v>530.0685</v>
      </c>
      <c r="AQ239" s="319" t="n">
        <f aca="false">AR239+AT239+AU239+AV239+AX239+AY239+AZ239+BB239+BC239+BD239+BF239+BG239+BH239+BJ239+BK239+(BL239+BM239+BN239)/1000+(0.1*BO239)</f>
        <v>555.0685</v>
      </c>
      <c r="AR239" s="285" t="n">
        <v>208</v>
      </c>
      <c r="AS239" s="285" t="n">
        <v>315</v>
      </c>
      <c r="AT239" s="285" t="n">
        <v>127</v>
      </c>
      <c r="AU239" s="285" t="n">
        <v>0</v>
      </c>
      <c r="AV239" s="285" t="n">
        <v>0</v>
      </c>
      <c r="AW239" s="285" t="n">
        <v>17</v>
      </c>
      <c r="AX239" s="285" t="n">
        <v>0</v>
      </c>
      <c r="AY239" s="285" t="n">
        <v>0</v>
      </c>
      <c r="AZ239" s="285" t="n">
        <v>15</v>
      </c>
      <c r="BA239" s="285" t="n">
        <v>32</v>
      </c>
      <c r="BB239" s="285" t="n">
        <v>25</v>
      </c>
      <c r="BC239" s="285" t="n">
        <v>0</v>
      </c>
      <c r="BD239" s="285" t="n">
        <v>21</v>
      </c>
      <c r="BE239" s="285" t="n">
        <v>0</v>
      </c>
      <c r="BF239" s="285" t="n">
        <v>0</v>
      </c>
      <c r="BG239" s="285" t="n">
        <v>0</v>
      </c>
      <c r="BH239" s="285" t="n">
        <v>75</v>
      </c>
      <c r="BI239" s="285" t="n">
        <v>0</v>
      </c>
      <c r="BJ239" s="285" t="n">
        <v>0</v>
      </c>
      <c r="BK239" s="285" t="n">
        <v>0</v>
      </c>
      <c r="BL239" s="285" t="n">
        <v>0</v>
      </c>
      <c r="BM239" s="285" t="n">
        <v>0</v>
      </c>
      <c r="BN239" s="285" t="n">
        <v>8045</v>
      </c>
      <c r="BO239" s="285" t="n">
        <v>760.235</v>
      </c>
      <c r="BR239" s="290" t="n">
        <f aca="false">AR239*1000/0.072</f>
        <v>2888888.88888889</v>
      </c>
      <c r="BS239" s="290" t="n">
        <f aca="false">AT239*1000/0.072</f>
        <v>1763888.88888889</v>
      </c>
      <c r="BT239" s="290" t="n">
        <f aca="false">AU239*1000/0.072</f>
        <v>0</v>
      </c>
      <c r="BU239" s="290" t="n">
        <f aca="false">SUM(BR239:BT239)</f>
        <v>4652777.77777778</v>
      </c>
      <c r="BV239" s="290" t="n">
        <f aca="false">AV239*1000/5</f>
        <v>0</v>
      </c>
      <c r="BW239" s="290" t="n">
        <f aca="false">AX239*1000/5</f>
        <v>0</v>
      </c>
      <c r="BX239" s="290" t="n">
        <f aca="false">AY239*1000/5</f>
        <v>0</v>
      </c>
      <c r="BY239" s="290" t="n">
        <f aca="false">SUM(BV239:BX239)</f>
        <v>0</v>
      </c>
      <c r="CA239" s="290" t="n">
        <f aca="false">IF($AM239="n",0,BR239)</f>
        <v>2888888.88888889</v>
      </c>
      <c r="CB239" s="290" t="n">
        <f aca="false">IF($AM239="n",0,BS239)</f>
        <v>1763888.88888889</v>
      </c>
      <c r="CC239" s="290" t="n">
        <f aca="false">IF($AM239="n",0,BT239)</f>
        <v>0</v>
      </c>
      <c r="CD239" s="290" t="n">
        <f aca="false">SUM(CA239:CC239)</f>
        <v>4652777.77777778</v>
      </c>
      <c r="CE239" s="290" t="n">
        <f aca="false">IF($AM$2="n",0,BV239)</f>
        <v>0</v>
      </c>
      <c r="CF239" s="290" t="n">
        <f aca="false">IF($AM$2="n",0,BW239)</f>
        <v>0</v>
      </c>
      <c r="CG239" s="290" t="n">
        <f aca="false">IF($AM$2="n",0,BX239)</f>
        <v>0</v>
      </c>
      <c r="CH239" s="290" t="n">
        <f aca="false">SUM(CE239:CG239)</f>
        <v>0</v>
      </c>
    </row>
    <row r="240" customFormat="false" ht="15" hidden="false" customHeight="true" outlineLevel="0" collapsed="false">
      <c r="A240" s="285" t="n">
        <v>3915</v>
      </c>
      <c r="B240" s="285"/>
      <c r="C240" s="286" t="s">
        <v>590</v>
      </c>
      <c r="D240" s="287" t="s">
        <v>590</v>
      </c>
      <c r="E240" s="288" t="n">
        <f aca="false">IF(I240="regional",IF(R240*0.2975,S240*0.3484),S240*0.1939)</f>
        <v>45421.075</v>
      </c>
      <c r="F240" s="288" t="n">
        <v>0</v>
      </c>
      <c r="G240" s="289" t="n">
        <f aca="false">E240+F240</f>
        <v>45421.075</v>
      </c>
      <c r="H240" s="286"/>
      <c r="I240" s="287" t="s">
        <v>62</v>
      </c>
      <c r="J240" s="287"/>
      <c r="K240" s="287" t="s">
        <v>589</v>
      </c>
      <c r="L240" s="287"/>
      <c r="M240" s="317" t="n">
        <v>19</v>
      </c>
      <c r="N240" s="317" t="n">
        <v>0.954</v>
      </c>
      <c r="O240" s="317" t="n">
        <v>0.914</v>
      </c>
      <c r="P240" s="317" t="n">
        <v>0.937</v>
      </c>
      <c r="Q240" s="317" t="n">
        <v>1</v>
      </c>
      <c r="R240" s="317" t="n">
        <v>0</v>
      </c>
      <c r="S240" s="317" t="n">
        <v>234250</v>
      </c>
      <c r="T240" s="318" t="n">
        <f aca="false">IF(I240="regional",IF(R240&gt;0,R240*0.2975,S240*0.3484),S240*0.1939)</f>
        <v>45421.075</v>
      </c>
      <c r="U240" s="317" t="n">
        <v>172179</v>
      </c>
      <c r="V240" s="317" t="n">
        <v>62071</v>
      </c>
      <c r="W240" s="317" t="n">
        <v>1150</v>
      </c>
      <c r="X240" s="317" t="n">
        <v>0</v>
      </c>
      <c r="Y240" s="317" t="n">
        <v>0</v>
      </c>
      <c r="Z240" s="317" t="n">
        <v>0</v>
      </c>
      <c r="AA240" s="317" t="n">
        <v>279671.075</v>
      </c>
      <c r="AB240" s="317" t="n">
        <v>45421.075</v>
      </c>
      <c r="AC240" s="317" t="n">
        <v>234250</v>
      </c>
      <c r="AD240" s="317" t="n">
        <v>0</v>
      </c>
      <c r="AE240" s="317" t="n">
        <v>0</v>
      </c>
      <c r="AF240" s="317" t="n">
        <v>0</v>
      </c>
      <c r="AG240" s="317" t="n">
        <v>234250</v>
      </c>
      <c r="AH240" s="317" t="n">
        <v>0</v>
      </c>
      <c r="AI240" s="317" t="n">
        <v>0</v>
      </c>
      <c r="AJ240" s="286" t="s">
        <v>707</v>
      </c>
      <c r="AK240" s="286" t="s">
        <v>729</v>
      </c>
      <c r="AL240" s="287" t="s">
        <v>62</v>
      </c>
      <c r="AM240" s="286"/>
      <c r="AN240" s="287" t="s">
        <v>590</v>
      </c>
      <c r="AO240" s="287" t="n">
        <v>45421.075</v>
      </c>
      <c r="AP240" s="319" t="n">
        <f aca="false">AR240+AT240+AU240+AV240+AX240+AY240+AZ240+BD240+BF240+BG240+BH240+BJ240+BK240+(BL240+BM240+BN240)/1000+(0.1*BO240)</f>
        <v>12.9219</v>
      </c>
      <c r="AQ240" s="319" t="n">
        <f aca="false">AR240+AT240+AU240+AV240+AX240+AY240+AZ240+BB240+BC240+BD240+BF240+BG240+BH240+BJ240+BK240+(BL240+BM240+BN240)/1000+(0.1*BO240)</f>
        <v>19.9219</v>
      </c>
      <c r="AR240" s="285" t="n">
        <v>0</v>
      </c>
      <c r="AS240" s="285" t="n">
        <v>0</v>
      </c>
      <c r="AT240" s="285" t="n">
        <v>8</v>
      </c>
      <c r="AU240" s="285" t="n">
        <v>0</v>
      </c>
      <c r="AV240" s="285" t="n">
        <v>0</v>
      </c>
      <c r="AW240" s="285" t="n">
        <v>0</v>
      </c>
      <c r="AX240" s="285" t="n">
        <v>0</v>
      </c>
      <c r="AY240" s="285" t="n">
        <v>0</v>
      </c>
      <c r="AZ240" s="285" t="n">
        <v>0</v>
      </c>
      <c r="BA240" s="285" t="n">
        <v>0</v>
      </c>
      <c r="BB240" s="285" t="n">
        <v>1</v>
      </c>
      <c r="BC240" s="285" t="n">
        <v>6</v>
      </c>
      <c r="BD240" s="285" t="n">
        <v>0</v>
      </c>
      <c r="BE240" s="285" t="n">
        <v>0</v>
      </c>
      <c r="BF240" s="285" t="n">
        <v>0</v>
      </c>
      <c r="BG240" s="285" t="n">
        <v>0</v>
      </c>
      <c r="BH240" s="285" t="n">
        <v>0</v>
      </c>
      <c r="BI240" s="285" t="n">
        <v>0</v>
      </c>
      <c r="BJ240" s="285" t="n">
        <v>0</v>
      </c>
      <c r="BK240" s="285" t="n">
        <v>0</v>
      </c>
      <c r="BL240" s="285" t="n">
        <v>0</v>
      </c>
      <c r="BM240" s="285" t="n">
        <v>0</v>
      </c>
      <c r="BN240" s="285" t="n">
        <v>0</v>
      </c>
      <c r="BO240" s="285" t="n">
        <v>49.219</v>
      </c>
      <c r="BR240" s="290" t="n">
        <f aca="false">AR240*1000/0.072</f>
        <v>0</v>
      </c>
      <c r="BS240" s="290" t="n">
        <f aca="false">AT240*1000/0.072</f>
        <v>111111.111111111</v>
      </c>
      <c r="BT240" s="290" t="n">
        <f aca="false">AU240*1000/0.072</f>
        <v>0</v>
      </c>
      <c r="BU240" s="290" t="n">
        <f aca="false">SUM(BR240:BT240)</f>
        <v>111111.111111111</v>
      </c>
      <c r="BV240" s="290" t="n">
        <f aca="false">AV240*1000/5</f>
        <v>0</v>
      </c>
      <c r="BW240" s="290" t="n">
        <f aca="false">AX240*1000/5</f>
        <v>0</v>
      </c>
      <c r="BX240" s="290" t="n">
        <f aca="false">AY240*1000/5</f>
        <v>0</v>
      </c>
      <c r="BY240" s="290" t="n">
        <f aca="false">SUM(BV240:BX240)</f>
        <v>0</v>
      </c>
      <c r="CA240" s="290" t="n">
        <f aca="false">IF($AM240="n",0,BR240)</f>
        <v>0</v>
      </c>
      <c r="CB240" s="290" t="n">
        <f aca="false">IF($AM240="n",0,BS240)</f>
        <v>111111.111111111</v>
      </c>
      <c r="CC240" s="290" t="n">
        <f aca="false">IF($AM240="n",0,BT240)</f>
        <v>0</v>
      </c>
      <c r="CD240" s="290" t="n">
        <f aca="false">SUM(CA240:CC240)</f>
        <v>111111.111111111</v>
      </c>
      <c r="CE240" s="290" t="n">
        <f aca="false">IF($AM$2="n",0,BV240)</f>
        <v>0</v>
      </c>
      <c r="CF240" s="290" t="n">
        <f aca="false">IF($AM$2="n",0,BW240)</f>
        <v>0</v>
      </c>
      <c r="CG240" s="290" t="n">
        <f aca="false">IF($AM$2="n",0,BX240)</f>
        <v>0</v>
      </c>
      <c r="CH240" s="290" t="n">
        <f aca="false">SUM(CE240:CG240)</f>
        <v>0</v>
      </c>
    </row>
    <row r="241" customFormat="false" ht="15" hidden="false" customHeight="true" outlineLevel="0" collapsed="false">
      <c r="A241" s="285" t="n">
        <v>519</v>
      </c>
      <c r="B241" s="285"/>
      <c r="C241" s="286" t="s">
        <v>591</v>
      </c>
      <c r="D241" s="287" t="s">
        <v>591</v>
      </c>
      <c r="E241" s="288" t="n">
        <f aca="false">IF(I241="regional",IF(R241*0.2975,S241*0.3484),S241*0.1939)</f>
        <v>73843.1309</v>
      </c>
      <c r="F241" s="288" t="n">
        <v>0</v>
      </c>
      <c r="G241" s="289" t="n">
        <f aca="false">E241+F241</f>
        <v>73843.1309</v>
      </c>
      <c r="H241" s="286" t="s">
        <v>49</v>
      </c>
      <c r="I241" s="287" t="s">
        <v>62</v>
      </c>
      <c r="J241" s="287"/>
      <c r="K241" s="287" t="s">
        <v>449</v>
      </c>
      <c r="L241" s="287"/>
      <c r="M241" s="317" t="n">
        <v>41</v>
      </c>
      <c r="N241" s="317" t="n">
        <v>0.678</v>
      </c>
      <c r="O241" s="317" t="n">
        <v>0.671</v>
      </c>
      <c r="P241" s="317" t="n">
        <v>0.72</v>
      </c>
      <c r="Q241" s="317" t="n">
        <v>0.992</v>
      </c>
      <c r="R241" s="317" t="n">
        <v>0</v>
      </c>
      <c r="S241" s="317" t="n">
        <v>380831</v>
      </c>
      <c r="T241" s="318" t="n">
        <f aca="false">IF(I241="regional",IF(R241&gt;0,R241*0.2975,S241*0.3484),S241*0.1939)</f>
        <v>73843.1309</v>
      </c>
      <c r="U241" s="317" t="n">
        <v>263436</v>
      </c>
      <c r="V241" s="317" t="n">
        <v>117395</v>
      </c>
      <c r="W241" s="317" t="n">
        <v>1875</v>
      </c>
      <c r="X241" s="317" t="n">
        <v>0</v>
      </c>
      <c r="Y241" s="317" t="n">
        <v>0</v>
      </c>
      <c r="Z241" s="317" t="n">
        <v>0</v>
      </c>
      <c r="AA241" s="317" t="n">
        <v>454674.1309</v>
      </c>
      <c r="AB241" s="317" t="n">
        <v>73843.1309</v>
      </c>
      <c r="AC241" s="317" t="n">
        <v>380831</v>
      </c>
      <c r="AD241" s="317" t="n">
        <v>0</v>
      </c>
      <c r="AE241" s="317" t="n">
        <v>0</v>
      </c>
      <c r="AF241" s="317" t="n">
        <v>0</v>
      </c>
      <c r="AG241" s="317" t="n">
        <v>380831</v>
      </c>
      <c r="AH241" s="317" t="n">
        <v>0</v>
      </c>
      <c r="AI241" s="317" t="n">
        <v>0</v>
      </c>
      <c r="AJ241" s="286" t="s">
        <v>707</v>
      </c>
      <c r="AK241" s="286" t="s">
        <v>714</v>
      </c>
      <c r="AL241" s="287" t="s">
        <v>62</v>
      </c>
      <c r="AM241" s="286" t="s">
        <v>49</v>
      </c>
      <c r="AN241" s="287" t="s">
        <v>591</v>
      </c>
      <c r="AO241" s="287" t="n">
        <v>73843.1309</v>
      </c>
      <c r="AP241" s="319" t="n">
        <f aca="false">AR241+AT241+AU241+AV241+AX241+AY241+AZ241+BD241+BF241+BG241+BH241+BJ241+BK241+(BL241+BM241+BN241)/1000+(0.1*BO241)</f>
        <v>46</v>
      </c>
      <c r="AQ241" s="319" t="n">
        <f aca="false">AR241+AT241+AU241+AV241+AX241+AY241+AZ241+BB241+BC241+BD241+BF241+BG241+BH241+BJ241+BK241+(BL241+BM241+BN241)/1000+(0.1*BO241)</f>
        <v>62</v>
      </c>
      <c r="AR241" s="302" t="n">
        <v>0</v>
      </c>
      <c r="AS241" s="302" t="n">
        <v>0</v>
      </c>
      <c r="AT241" s="302" t="n">
        <v>46</v>
      </c>
      <c r="AU241" s="302" t="n">
        <v>0</v>
      </c>
      <c r="AV241" s="285" t="n">
        <v>0</v>
      </c>
      <c r="AW241" s="285" t="n">
        <v>0</v>
      </c>
      <c r="AX241" s="285" t="n">
        <v>0</v>
      </c>
      <c r="AY241" s="285" t="n">
        <v>0</v>
      </c>
      <c r="AZ241" s="302" t="n">
        <v>0</v>
      </c>
      <c r="BA241" s="302" t="n">
        <v>29</v>
      </c>
      <c r="BB241" s="302" t="n">
        <v>16</v>
      </c>
      <c r="BC241" s="302" t="n">
        <v>0</v>
      </c>
      <c r="BD241" s="302" t="n">
        <v>0</v>
      </c>
      <c r="BE241" s="302" t="n">
        <v>0</v>
      </c>
      <c r="BF241" s="302" t="n">
        <v>0</v>
      </c>
      <c r="BG241" s="302" t="n">
        <v>0</v>
      </c>
      <c r="BH241" s="302" t="n">
        <v>0</v>
      </c>
      <c r="BI241" s="302" t="n">
        <v>0</v>
      </c>
      <c r="BJ241" s="302" t="n">
        <v>0</v>
      </c>
      <c r="BK241" s="302" t="n">
        <v>0</v>
      </c>
      <c r="BL241" s="285" t="n">
        <v>0</v>
      </c>
      <c r="BM241" s="285" t="n">
        <v>0</v>
      </c>
      <c r="BN241" s="285" t="n">
        <v>0</v>
      </c>
      <c r="BO241" s="285" t="n">
        <v>0</v>
      </c>
      <c r="BP241" s="324"/>
      <c r="BR241" s="290" t="n">
        <f aca="false">AR241*1000/0.072</f>
        <v>0</v>
      </c>
      <c r="BS241" s="290" t="n">
        <f aca="false">AT241*1000/0.072</f>
        <v>638888.888888889</v>
      </c>
      <c r="BT241" s="290" t="n">
        <f aca="false">AU241*1000/0.072</f>
        <v>0</v>
      </c>
      <c r="BU241" s="290" t="n">
        <f aca="false">SUM(BR241:BT241)</f>
        <v>638888.888888889</v>
      </c>
      <c r="BV241" s="290" t="n">
        <f aca="false">AV241*1000/5</f>
        <v>0</v>
      </c>
      <c r="BW241" s="290" t="n">
        <f aca="false">AX241*1000/5</f>
        <v>0</v>
      </c>
      <c r="BX241" s="290" t="n">
        <f aca="false">AY241*1000/5</f>
        <v>0</v>
      </c>
      <c r="BY241" s="290" t="n">
        <f aca="false">SUM(BV241:BX241)</f>
        <v>0</v>
      </c>
      <c r="CA241" s="290" t="n">
        <f aca="false">IF($AM241="n",0,BR241)</f>
        <v>0</v>
      </c>
      <c r="CB241" s="290" t="n">
        <f aca="false">IF($AM241="n",0,BS241)</f>
        <v>0</v>
      </c>
      <c r="CC241" s="290" t="n">
        <f aca="false">IF($AM241="n",0,BT241)</f>
        <v>0</v>
      </c>
      <c r="CD241" s="290" t="n">
        <f aca="false">SUM(CA241:CC241)</f>
        <v>0</v>
      </c>
      <c r="CE241" s="290" t="n">
        <f aca="false">IF($AM$2="n",0,BV241)</f>
        <v>0</v>
      </c>
      <c r="CF241" s="290" t="n">
        <f aca="false">IF($AM$2="n",0,BW241)</f>
        <v>0</v>
      </c>
      <c r="CG241" s="290" t="n">
        <f aca="false">IF($AM$2="n",0,BX241)</f>
        <v>0</v>
      </c>
      <c r="CH241" s="290" t="n">
        <f aca="false">SUM(CE241:CG241)</f>
        <v>0</v>
      </c>
      <c r="CJ241" s="324"/>
      <c r="CK241" s="324"/>
      <c r="CL241" s="324"/>
      <c r="CM241" s="324"/>
      <c r="CN241" s="324"/>
      <c r="CO241" s="324"/>
      <c r="CP241" s="324"/>
      <c r="CQ241" s="324"/>
      <c r="CR241" s="324"/>
      <c r="CS241" s="324"/>
      <c r="CT241" s="324"/>
      <c r="CU241" s="324"/>
      <c r="CV241" s="324"/>
      <c r="CW241" s="324"/>
      <c r="CX241" s="324"/>
      <c r="CY241" s="324"/>
      <c r="CZ241" s="324"/>
      <c r="DA241" s="324"/>
      <c r="DB241" s="324"/>
      <c r="DC241" s="324"/>
      <c r="DD241" s="324"/>
      <c r="DE241" s="324"/>
      <c r="DF241" s="324"/>
      <c r="DG241" s="324"/>
      <c r="DH241" s="324"/>
      <c r="DI241" s="324"/>
      <c r="DJ241" s="324"/>
      <c r="DK241" s="324"/>
      <c r="DL241" s="324"/>
      <c r="DM241" s="324"/>
      <c r="DN241" s="324"/>
      <c r="DO241" s="324"/>
      <c r="DP241" s="324"/>
      <c r="DQ241" s="324"/>
      <c r="DR241" s="324"/>
      <c r="DS241" s="324"/>
      <c r="DT241" s="324"/>
      <c r="DU241" s="324"/>
      <c r="DV241" s="324"/>
      <c r="DW241" s="324"/>
      <c r="DX241" s="324"/>
      <c r="DY241" s="324"/>
      <c r="DZ241" s="324"/>
      <c r="EA241" s="324"/>
      <c r="EB241" s="324"/>
      <c r="EC241" s="324"/>
      <c r="ED241" s="324"/>
      <c r="EE241" s="324"/>
      <c r="EF241" s="324"/>
      <c r="EG241" s="324"/>
      <c r="EH241" s="324"/>
      <c r="EI241" s="324"/>
      <c r="EJ241" s="324"/>
      <c r="EK241" s="324"/>
      <c r="EL241" s="324"/>
      <c r="EM241" s="324"/>
      <c r="EN241" s="324"/>
      <c r="EO241" s="324"/>
      <c r="EP241" s="324"/>
      <c r="EQ241" s="324"/>
      <c r="ER241" s="324"/>
      <c r="ES241" s="324"/>
      <c r="ET241" s="324"/>
      <c r="EU241" s="324"/>
      <c r="EV241" s="324"/>
      <c r="EW241" s="324"/>
      <c r="EX241" s="324"/>
      <c r="EY241" s="324"/>
      <c r="EZ241" s="324"/>
      <c r="FA241" s="324"/>
      <c r="FB241" s="324"/>
      <c r="FC241" s="324"/>
      <c r="FD241" s="324"/>
      <c r="FE241" s="324"/>
      <c r="FF241" s="324"/>
      <c r="FG241" s="324"/>
      <c r="FH241" s="324"/>
      <c r="FI241" s="324"/>
      <c r="FJ241" s="324"/>
      <c r="FK241" s="324"/>
      <c r="FL241" s="324"/>
      <c r="FM241" s="324"/>
      <c r="FN241" s="324"/>
      <c r="FO241" s="324"/>
      <c r="FP241" s="324"/>
      <c r="FQ241" s="324"/>
      <c r="FR241" s="324"/>
      <c r="FS241" s="324"/>
      <c r="FT241" s="324"/>
      <c r="FU241" s="324"/>
      <c r="FV241" s="324"/>
      <c r="FW241" s="324"/>
      <c r="FX241" s="324"/>
      <c r="FY241" s="324"/>
      <c r="FZ241" s="324"/>
      <c r="GA241" s="324"/>
      <c r="GB241" s="324"/>
      <c r="GC241" s="324"/>
      <c r="GD241" s="324"/>
      <c r="GE241" s="324"/>
      <c r="GF241" s="324"/>
      <c r="GG241" s="324"/>
      <c r="GH241" s="324"/>
      <c r="GI241" s="324"/>
      <c r="GJ241" s="324"/>
      <c r="GK241" s="324"/>
      <c r="GL241" s="324"/>
      <c r="GM241" s="324"/>
      <c r="GN241" s="330"/>
      <c r="GO241" s="330"/>
      <c r="GP241" s="330"/>
      <c r="GQ241" s="330"/>
      <c r="GR241" s="330"/>
      <c r="GS241" s="330"/>
      <c r="GT241" s="330"/>
      <c r="GU241" s="330"/>
      <c r="GV241" s="330"/>
      <c r="GW241" s="330"/>
      <c r="GX241" s="330"/>
      <c r="GY241" s="330"/>
      <c r="GZ241" s="330"/>
      <c r="HA241" s="330"/>
      <c r="HB241" s="330"/>
      <c r="HC241" s="330"/>
      <c r="HD241" s="330"/>
      <c r="HE241" s="330"/>
      <c r="HF241" s="330"/>
      <c r="HG241" s="330"/>
      <c r="HH241" s="330"/>
      <c r="HI241" s="330"/>
      <c r="HJ241" s="330"/>
      <c r="HK241" s="330"/>
      <c r="HL241" s="330"/>
      <c r="HM241" s="330"/>
      <c r="HN241" s="330"/>
      <c r="HO241" s="330"/>
      <c r="HP241" s="330"/>
      <c r="HQ241" s="330"/>
      <c r="HR241" s="330"/>
      <c r="HS241" s="330"/>
      <c r="HT241" s="330"/>
      <c r="HU241" s="330"/>
      <c r="HV241" s="330"/>
      <c r="HW241" s="330"/>
      <c r="HX241" s="330"/>
      <c r="HY241" s="330"/>
      <c r="HZ241" s="330"/>
      <c r="IA241" s="330"/>
      <c r="IB241" s="330"/>
      <c r="IC241" s="330"/>
      <c r="ID241" s="330"/>
      <c r="IE241" s="330"/>
      <c r="IF241" s="330"/>
      <c r="IG241" s="330"/>
      <c r="IH241" s="330"/>
      <c r="II241" s="330"/>
      <c r="IJ241" s="330"/>
      <c r="IK241" s="330"/>
      <c r="IL241" s="330"/>
      <c r="IM241" s="330"/>
      <c r="IN241" s="330"/>
      <c r="IO241" s="330"/>
      <c r="IP241" s="330"/>
      <c r="IQ241" s="330"/>
      <c r="IR241" s="330"/>
      <c r="IS241" s="330"/>
      <c r="IT241" s="330"/>
      <c r="IU241" s="330"/>
      <c r="IV241" s="330"/>
      <c r="IW241" s="330"/>
    </row>
    <row r="242" customFormat="false" ht="15" hidden="false" customHeight="true" outlineLevel="0" collapsed="false">
      <c r="A242" s="285" t="n">
        <v>9805</v>
      </c>
      <c r="B242" s="285"/>
      <c r="C242" s="286" t="s">
        <v>593</v>
      </c>
      <c r="D242" s="287" t="s">
        <v>593</v>
      </c>
      <c r="E242" s="288" t="n">
        <f aca="false">IF(I242="regional",IF(R242*0.2975,S242*0.3484),S242*0.1939)</f>
        <v>466287.4112</v>
      </c>
      <c r="F242" s="288" t="n">
        <v>0</v>
      </c>
      <c r="G242" s="289" t="n">
        <f aca="false">E242+F242</f>
        <v>466287.4112</v>
      </c>
      <c r="H242" s="286" t="s">
        <v>49</v>
      </c>
      <c r="I242" s="287" t="s">
        <v>48</v>
      </c>
      <c r="J242" s="287" t="s">
        <v>49</v>
      </c>
      <c r="K242" s="287" t="s">
        <v>594</v>
      </c>
      <c r="L242" s="287"/>
      <c r="M242" s="317" t="n">
        <v>143</v>
      </c>
      <c r="N242" s="317" t="n">
        <v>0.947</v>
      </c>
      <c r="O242" s="317" t="n">
        <v>0.957</v>
      </c>
      <c r="P242" s="317" t="n">
        <v>0.939</v>
      </c>
      <c r="Q242" s="317" t="n">
        <v>0.889</v>
      </c>
      <c r="R242" s="317" t="n">
        <v>1500930</v>
      </c>
      <c r="S242" s="317" t="n">
        <v>1338368</v>
      </c>
      <c r="T242" s="318" t="n">
        <f aca="false">IF(I242="regional",IF(R242&gt;0,R242*0.2975,S242*0.3484),S242*0.1939)</f>
        <v>446526.675</v>
      </c>
      <c r="U242" s="317" t="n">
        <v>878311</v>
      </c>
      <c r="V242" s="317" t="n">
        <v>460057</v>
      </c>
      <c r="W242" s="317" t="n">
        <v>6956</v>
      </c>
      <c r="X242" s="317" t="n">
        <v>0</v>
      </c>
      <c r="Y242" s="317" t="n">
        <v>0</v>
      </c>
      <c r="Z242" s="317" t="n">
        <v>0</v>
      </c>
      <c r="AA242" s="317" t="n">
        <v>1784894.675</v>
      </c>
      <c r="AB242" s="317" t="n">
        <v>446526.675</v>
      </c>
      <c r="AC242" s="317" t="n">
        <v>1338368</v>
      </c>
      <c r="AD242" s="317" t="n">
        <v>0</v>
      </c>
      <c r="AE242" s="317" t="n">
        <v>0</v>
      </c>
      <c r="AF242" s="317" t="n">
        <v>0</v>
      </c>
      <c r="AG242" s="317" t="n">
        <v>1338368</v>
      </c>
      <c r="AH242" s="317" t="n">
        <v>0</v>
      </c>
      <c r="AI242" s="317" t="n">
        <v>0</v>
      </c>
      <c r="AJ242" s="286" t="s">
        <v>707</v>
      </c>
      <c r="AK242" s="286" t="s">
        <v>712</v>
      </c>
      <c r="AL242" s="287" t="s">
        <v>48</v>
      </c>
      <c r="AM242" s="286" t="s">
        <v>49</v>
      </c>
      <c r="AN242" s="287" t="s">
        <v>593</v>
      </c>
      <c r="AO242" s="287" t="n">
        <v>446526.675</v>
      </c>
      <c r="AP242" s="319" t="n">
        <f aca="false">AR242+AT242+AU242+AV242+AX242+AY242+AZ242+BD242+BF242+BG242+BH242+BJ242+BK242+(BL242+BM242+BN242)/1000+(0.1*BO242)</f>
        <v>367.5494</v>
      </c>
      <c r="AQ242" s="319" t="n">
        <f aca="false">AR242+AT242+AU242+AV242+AX242+AY242+AZ242+BB242+BC242+BD242+BF242+BG242+BH242+BJ242+BK242+(BL242+BM242+BN242)/1000+(0.1*BO242)</f>
        <v>519.5494</v>
      </c>
      <c r="AR242" s="285" t="n">
        <v>0</v>
      </c>
      <c r="AS242" s="285" t="n">
        <v>0</v>
      </c>
      <c r="AT242" s="285" t="n">
        <v>252</v>
      </c>
      <c r="AU242" s="285" t="n">
        <v>0</v>
      </c>
      <c r="AV242" s="285" t="n">
        <v>0</v>
      </c>
      <c r="AW242" s="285" t="n">
        <v>0</v>
      </c>
      <c r="AX242" s="285" t="n">
        <v>11</v>
      </c>
      <c r="AY242" s="285" t="n">
        <v>0</v>
      </c>
      <c r="AZ242" s="285" t="n">
        <v>0</v>
      </c>
      <c r="BA242" s="285" t="n">
        <v>0</v>
      </c>
      <c r="BB242" s="285" t="n">
        <v>152</v>
      </c>
      <c r="BC242" s="285" t="n">
        <v>0</v>
      </c>
      <c r="BD242" s="285" t="n">
        <v>0</v>
      </c>
      <c r="BE242" s="285" t="n">
        <v>0</v>
      </c>
      <c r="BF242" s="285" t="n">
        <v>0</v>
      </c>
      <c r="BG242" s="285" t="n">
        <v>0</v>
      </c>
      <c r="BH242" s="285" t="n">
        <v>0</v>
      </c>
      <c r="BI242" s="285" t="n">
        <v>0</v>
      </c>
      <c r="BJ242" s="285" t="n">
        <v>0</v>
      </c>
      <c r="BK242" s="285" t="n">
        <v>0</v>
      </c>
      <c r="BL242" s="285" t="n">
        <v>5000</v>
      </c>
      <c r="BM242" s="285" t="n">
        <v>0</v>
      </c>
      <c r="BN242" s="285" t="n">
        <v>0</v>
      </c>
      <c r="BO242" s="285" t="n">
        <v>995.494</v>
      </c>
      <c r="BR242" s="290" t="n">
        <f aca="false">AR242*1000/0.072</f>
        <v>0</v>
      </c>
      <c r="BS242" s="290" t="n">
        <f aca="false">AT242*1000/0.072</f>
        <v>3500000</v>
      </c>
      <c r="BT242" s="290" t="n">
        <f aca="false">AU242*1000/0.072</f>
        <v>0</v>
      </c>
      <c r="BU242" s="290" t="n">
        <f aca="false">SUM(BR242:BT242)</f>
        <v>3500000</v>
      </c>
      <c r="BV242" s="290" t="n">
        <f aca="false">AV242*1000/5</f>
        <v>0</v>
      </c>
      <c r="BW242" s="290" t="n">
        <f aca="false">AX242*1000/5</f>
        <v>2200</v>
      </c>
      <c r="BX242" s="290" t="n">
        <f aca="false">AY242*1000/5</f>
        <v>0</v>
      </c>
      <c r="BY242" s="290" t="n">
        <f aca="false">SUM(BV242:BX242)</f>
        <v>2200</v>
      </c>
      <c r="CA242" s="290" t="n">
        <f aca="false">IF($AM242="n",0,BR242)</f>
        <v>0</v>
      </c>
      <c r="CB242" s="290" t="n">
        <f aca="false">IF($AM242="n",0,BS242)</f>
        <v>0</v>
      </c>
      <c r="CC242" s="290" t="n">
        <f aca="false">IF($AM242="n",0,BT242)</f>
        <v>0</v>
      </c>
      <c r="CD242" s="290" t="n">
        <f aca="false">SUM(CA242:CC242)</f>
        <v>0</v>
      </c>
      <c r="CE242" s="290" t="n">
        <f aca="false">IF($AM$2="n",0,BV242)</f>
        <v>0</v>
      </c>
      <c r="CF242" s="290" t="n">
        <f aca="false">IF($AM$2="n",0,BW242)</f>
        <v>2200</v>
      </c>
      <c r="CG242" s="290" t="n">
        <f aca="false">IF($AM$2="n",0,BX242)</f>
        <v>0</v>
      </c>
      <c r="CH242" s="290" t="n">
        <f aca="false">SUM(CE242:CG242)</f>
        <v>2200</v>
      </c>
    </row>
    <row r="243" customFormat="false" ht="15" hidden="false" customHeight="true" outlineLevel="0" collapsed="false">
      <c r="A243" s="300" t="n">
        <v>4676</v>
      </c>
      <c r="B243" s="300"/>
      <c r="C243" s="301" t="s">
        <v>595</v>
      </c>
      <c r="D243" s="287" t="s">
        <v>595</v>
      </c>
      <c r="E243" s="288" t="n">
        <f aca="false">IF(I243="regional",IF(R243*0.2975,S243*0.3484),S243*0.1939)</f>
        <v>288290.548</v>
      </c>
      <c r="F243" s="288" t="n">
        <v>0</v>
      </c>
      <c r="G243" s="289" t="n">
        <f aca="false">E243+F243</f>
        <v>288290.548</v>
      </c>
      <c r="H243" s="286" t="s">
        <v>49</v>
      </c>
      <c r="I243" s="287" t="s">
        <v>48</v>
      </c>
      <c r="J243" s="287" t="s">
        <v>49</v>
      </c>
      <c r="K243" s="287" t="s">
        <v>306</v>
      </c>
      <c r="L243" s="287"/>
      <c r="M243" s="317" t="n">
        <v>152</v>
      </c>
      <c r="N243" s="317" t="n">
        <v>0.957</v>
      </c>
      <c r="O243" s="317" t="n">
        <v>0.944</v>
      </c>
      <c r="P243" s="317" t="n">
        <v>0.925</v>
      </c>
      <c r="Q243" s="317" t="n">
        <v>0.952</v>
      </c>
      <c r="R243" s="317" t="n">
        <v>1200354</v>
      </c>
      <c r="S243" s="317" t="n">
        <v>827470</v>
      </c>
      <c r="T243" s="318" t="n">
        <f aca="false">IF(I243="regional",IF(R243&gt;0,R243*0.2975,S243*0.3484),S243*0.1939)</f>
        <v>357105.315</v>
      </c>
      <c r="U243" s="317" t="n">
        <v>349393</v>
      </c>
      <c r="V243" s="317" t="n">
        <v>478077</v>
      </c>
      <c r="W243" s="317" t="n">
        <v>4000</v>
      </c>
      <c r="X243" s="317" t="n">
        <v>0</v>
      </c>
      <c r="Y243" s="317" t="n">
        <v>0</v>
      </c>
      <c r="Z243" s="317" t="n">
        <v>0</v>
      </c>
      <c r="AA243" s="317" t="n">
        <v>1184575.315</v>
      </c>
      <c r="AB243" s="317" t="n">
        <v>357105.315</v>
      </c>
      <c r="AC243" s="317" t="n">
        <v>827470</v>
      </c>
      <c r="AD243" s="317" t="n">
        <v>0</v>
      </c>
      <c r="AE243" s="317" t="n">
        <v>0</v>
      </c>
      <c r="AF243" s="317" t="n">
        <v>0</v>
      </c>
      <c r="AG243" s="317" t="n">
        <v>827470</v>
      </c>
      <c r="AH243" s="317" t="n">
        <v>0</v>
      </c>
      <c r="AI243" s="317" t="n">
        <v>0</v>
      </c>
      <c r="AJ243" s="301" t="n">
        <v>4</v>
      </c>
      <c r="AK243" s="301" t="s">
        <v>724</v>
      </c>
      <c r="AL243" s="287" t="s">
        <v>48</v>
      </c>
      <c r="AM243" s="286" t="s">
        <v>49</v>
      </c>
      <c r="AN243" s="343" t="s">
        <v>595</v>
      </c>
      <c r="AO243" s="343" t="n">
        <v>357105.315</v>
      </c>
      <c r="AP243" s="329" t="n">
        <v>0</v>
      </c>
      <c r="AQ243" s="319" t="n">
        <f aca="false">AR243+AT243+AU243+AV243+AX243+AY243+AZ243+BB243+BC243+BD243+BF243+BG243+BH243+BJ243+BK243+(BL243+BM243+BN243)/1000+(0.1*BO243)</f>
        <v>1695</v>
      </c>
      <c r="AR243" s="185" t="n">
        <v>618</v>
      </c>
      <c r="AS243" s="185" t="n">
        <v>0</v>
      </c>
      <c r="AT243" s="185" t="n">
        <v>978</v>
      </c>
      <c r="AU243" s="185" t="n">
        <v>0</v>
      </c>
      <c r="AV243" s="285" t="n">
        <v>0</v>
      </c>
      <c r="AW243" s="285" t="n">
        <v>0</v>
      </c>
      <c r="AX243" s="285" t="n">
        <v>0</v>
      </c>
      <c r="AY243" s="285" t="n">
        <v>0</v>
      </c>
      <c r="AZ243" s="185" t="n">
        <v>0</v>
      </c>
      <c r="BA243" s="185" t="n">
        <v>12</v>
      </c>
      <c r="BB243" s="185" t="n">
        <v>8</v>
      </c>
      <c r="BC243" s="185" t="n">
        <v>0</v>
      </c>
      <c r="BD243" s="185" t="n">
        <v>5</v>
      </c>
      <c r="BE243" s="185" t="n">
        <v>0</v>
      </c>
      <c r="BF243" s="185" t="n">
        <v>0</v>
      </c>
      <c r="BG243" s="185" t="n">
        <v>0</v>
      </c>
      <c r="BH243" s="185" t="n">
        <v>86</v>
      </c>
      <c r="BI243" s="185" t="n">
        <v>0</v>
      </c>
      <c r="BJ243" s="185" t="n">
        <v>0</v>
      </c>
      <c r="BK243" s="185" t="n">
        <v>0</v>
      </c>
      <c r="BL243" s="185" t="n">
        <v>0</v>
      </c>
      <c r="BM243" s="185" t="n">
        <v>0</v>
      </c>
      <c r="BN243" s="185" t="n">
        <v>0</v>
      </c>
      <c r="BO243" s="285" t="n">
        <v>0</v>
      </c>
      <c r="BR243" s="290" t="n">
        <f aca="false">AR243*1000/0.072</f>
        <v>8583333.33333333</v>
      </c>
      <c r="BS243" s="290" t="n">
        <f aca="false">AT243*1000/0.072</f>
        <v>13583333.3333333</v>
      </c>
      <c r="BT243" s="290" t="n">
        <f aca="false">AU243*1000/0.072</f>
        <v>0</v>
      </c>
      <c r="BU243" s="290" t="n">
        <f aca="false">SUM(BR243:BT243)</f>
        <v>22166666.6666667</v>
      </c>
      <c r="BV243" s="290" t="n">
        <f aca="false">AV243*1000/5</f>
        <v>0</v>
      </c>
      <c r="BW243" s="290" t="n">
        <f aca="false">AX243*1000/5</f>
        <v>0</v>
      </c>
      <c r="BX243" s="290" t="n">
        <f aca="false">AY243*1000/5</f>
        <v>0</v>
      </c>
      <c r="BY243" s="290" t="n">
        <f aca="false">SUM(BV243:BX243)</f>
        <v>0</v>
      </c>
      <c r="CA243" s="290" t="n">
        <f aca="false">IF($AM243="n",0,BR243)</f>
        <v>0</v>
      </c>
      <c r="CB243" s="290" t="n">
        <f aca="false">IF($AM243="n",0,BS243)</f>
        <v>0</v>
      </c>
      <c r="CC243" s="290" t="n">
        <f aca="false">IF($AM243="n",0,BT243)</f>
        <v>0</v>
      </c>
      <c r="CD243" s="290" t="n">
        <f aca="false">SUM(CA243:CC243)</f>
        <v>0</v>
      </c>
      <c r="CE243" s="290" t="n">
        <f aca="false">IF($AM$2="n",0,BV243)</f>
        <v>0</v>
      </c>
      <c r="CF243" s="290" t="n">
        <f aca="false">IF($AM$2="n",0,BW243)</f>
        <v>0</v>
      </c>
      <c r="CG243" s="290" t="n">
        <f aca="false">IF($AM$2="n",0,BX243)</f>
        <v>0</v>
      </c>
      <c r="CH243" s="290" t="n">
        <f aca="false">SUM(CE243:CG243)</f>
        <v>0</v>
      </c>
    </row>
    <row r="244" customFormat="false" ht="15" hidden="false" customHeight="true" outlineLevel="0" collapsed="false">
      <c r="A244" s="285" t="n">
        <v>4514</v>
      </c>
      <c r="B244" s="285"/>
      <c r="C244" s="286" t="s">
        <v>597</v>
      </c>
      <c r="D244" s="287" t="s">
        <v>597</v>
      </c>
      <c r="E244" s="288" t="n">
        <f aca="false">IF(I244="regional",IF(R244*0.2975,S244*0.3484),S244*0.1939)</f>
        <v>31635.5606</v>
      </c>
      <c r="F244" s="288" t="n">
        <v>0</v>
      </c>
      <c r="G244" s="289" t="n">
        <f aca="false">E244+F244</f>
        <v>31635.5606</v>
      </c>
      <c r="H244" s="286" t="s">
        <v>49</v>
      </c>
      <c r="I244" s="287" t="s">
        <v>62</v>
      </c>
      <c r="J244" s="287"/>
      <c r="K244" s="287" t="s">
        <v>599</v>
      </c>
      <c r="L244" s="287"/>
      <c r="M244" s="317" t="n">
        <v>10</v>
      </c>
      <c r="N244" s="317" t="n">
        <v>0.966</v>
      </c>
      <c r="O244" s="317" t="n">
        <v>0.966</v>
      </c>
      <c r="P244" s="317" t="n">
        <v>0.947</v>
      </c>
      <c r="Q244" s="317" t="n">
        <v>0.966</v>
      </c>
      <c r="R244" s="317" t="n">
        <v>0</v>
      </c>
      <c r="S244" s="317" t="n">
        <v>163154</v>
      </c>
      <c r="T244" s="318" t="n">
        <f aca="false">IF(I244="regional",IF(R244&gt;0,R244*0.2975,S244*0.3484),S244*0.1939)</f>
        <v>31635.5606</v>
      </c>
      <c r="U244" s="317" t="n">
        <v>139108</v>
      </c>
      <c r="V244" s="317" t="n">
        <v>24046</v>
      </c>
      <c r="W244" s="317" t="n">
        <v>800</v>
      </c>
      <c r="X244" s="317" t="n">
        <v>0</v>
      </c>
      <c r="Y244" s="317" t="n">
        <v>0</v>
      </c>
      <c r="Z244" s="317" t="n">
        <v>0</v>
      </c>
      <c r="AA244" s="317" t="n">
        <v>194789.5606</v>
      </c>
      <c r="AB244" s="317" t="n">
        <v>31635.5606</v>
      </c>
      <c r="AC244" s="317" t="n">
        <v>163154</v>
      </c>
      <c r="AD244" s="317" t="n">
        <v>0</v>
      </c>
      <c r="AE244" s="317" t="n">
        <v>0</v>
      </c>
      <c r="AF244" s="317" t="n">
        <v>0</v>
      </c>
      <c r="AG244" s="317" t="n">
        <v>163154</v>
      </c>
      <c r="AH244" s="317" t="n">
        <v>0</v>
      </c>
      <c r="AI244" s="317" t="n">
        <v>0</v>
      </c>
      <c r="AJ244" s="286" t="s">
        <v>707</v>
      </c>
      <c r="AK244" s="286" t="s">
        <v>714</v>
      </c>
      <c r="AL244" s="287" t="s">
        <v>62</v>
      </c>
      <c r="AM244" s="286" t="s">
        <v>49</v>
      </c>
      <c r="AN244" s="287" t="s">
        <v>597</v>
      </c>
      <c r="AO244" s="287" t="n">
        <v>31635.5606</v>
      </c>
      <c r="AP244" s="319" t="n">
        <f aca="false">AR244+AT244+AU244+AV244+AX244+AY244+AZ244+BD244+BF244+BG244+BH244+BJ244+BK244+(BL244+BM244+BN244)/1000+(0.1*BO244)</f>
        <v>8.7792</v>
      </c>
      <c r="AQ244" s="319" t="n">
        <f aca="false">AR244+AT244+AU244+AV244+AX244+AY244+AZ244+BB244+BC244+BD244+BF244+BG244+BH244+BJ244+BK244+(BL244+BM244+BN244)/1000+(0.1*BO244)</f>
        <v>8.7792</v>
      </c>
      <c r="AR244" s="285" t="n">
        <v>0</v>
      </c>
      <c r="AS244" s="285" t="n">
        <v>0</v>
      </c>
      <c r="AT244" s="285" t="n">
        <v>8</v>
      </c>
      <c r="AU244" s="285" t="n">
        <v>0</v>
      </c>
      <c r="AV244" s="285" t="n">
        <v>0</v>
      </c>
      <c r="AW244" s="285" t="n">
        <v>0</v>
      </c>
      <c r="AX244" s="285" t="n">
        <v>0</v>
      </c>
      <c r="AY244" s="285" t="n">
        <v>0</v>
      </c>
      <c r="AZ244" s="285" t="n">
        <v>0</v>
      </c>
      <c r="BA244" s="285" t="n">
        <v>0</v>
      </c>
      <c r="BB244" s="285" t="n">
        <v>0</v>
      </c>
      <c r="BC244" s="285" t="n">
        <v>0</v>
      </c>
      <c r="BD244" s="285" t="n">
        <v>0</v>
      </c>
      <c r="BE244" s="285" t="n">
        <v>0</v>
      </c>
      <c r="BF244" s="285" t="n">
        <v>0</v>
      </c>
      <c r="BG244" s="285" t="n">
        <v>0</v>
      </c>
      <c r="BH244" s="285" t="n">
        <v>0</v>
      </c>
      <c r="BI244" s="285" t="n">
        <v>0</v>
      </c>
      <c r="BJ244" s="285" t="n">
        <v>0</v>
      </c>
      <c r="BK244" s="285" t="n">
        <v>0</v>
      </c>
      <c r="BL244" s="285" t="n">
        <v>0</v>
      </c>
      <c r="BM244" s="285" t="n">
        <v>0</v>
      </c>
      <c r="BN244" s="285" t="n">
        <v>0</v>
      </c>
      <c r="BO244" s="285" t="n">
        <v>7.792</v>
      </c>
      <c r="BR244" s="290" t="n">
        <f aca="false">AR244*1000/0.072</f>
        <v>0</v>
      </c>
      <c r="BS244" s="290" t="n">
        <f aca="false">AT244*1000/0.072</f>
        <v>111111.111111111</v>
      </c>
      <c r="BT244" s="290" t="n">
        <f aca="false">AU244*1000/0.072</f>
        <v>0</v>
      </c>
      <c r="BU244" s="290" t="n">
        <f aca="false">SUM(BR244:BT244)</f>
        <v>111111.111111111</v>
      </c>
      <c r="BV244" s="290" t="n">
        <f aca="false">AV244*1000/5</f>
        <v>0</v>
      </c>
      <c r="BW244" s="290" t="n">
        <f aca="false">AX244*1000/5</f>
        <v>0</v>
      </c>
      <c r="BX244" s="290" t="n">
        <f aca="false">AY244*1000/5</f>
        <v>0</v>
      </c>
      <c r="BY244" s="290" t="n">
        <f aca="false">SUM(BV244:BX244)</f>
        <v>0</v>
      </c>
      <c r="CA244" s="290" t="n">
        <f aca="false">IF($AM244="n",0,BR244)</f>
        <v>0</v>
      </c>
      <c r="CB244" s="290" t="n">
        <f aca="false">IF($AM244="n",0,BS244)</f>
        <v>0</v>
      </c>
      <c r="CC244" s="290" t="n">
        <f aca="false">IF($AM244="n",0,BT244)</f>
        <v>0</v>
      </c>
      <c r="CD244" s="290" t="n">
        <f aca="false">SUM(CA244:CC244)</f>
        <v>0</v>
      </c>
      <c r="CE244" s="290" t="n">
        <f aca="false">IF($AM$2="n",0,BV244)</f>
        <v>0</v>
      </c>
      <c r="CF244" s="290" t="n">
        <f aca="false">IF($AM$2="n",0,BW244)</f>
        <v>0</v>
      </c>
      <c r="CG244" s="290" t="n">
        <f aca="false">IF($AM$2="n",0,BX244)</f>
        <v>0</v>
      </c>
      <c r="CH244" s="290" t="n">
        <f aca="false">SUM(CE244:CG244)</f>
        <v>0</v>
      </c>
    </row>
    <row r="245" customFormat="false" ht="15" hidden="false" customHeight="true" outlineLevel="0" collapsed="false">
      <c r="A245" s="285" t="n">
        <v>4842</v>
      </c>
      <c r="B245" s="285" t="s">
        <v>44</v>
      </c>
      <c r="C245" s="286" t="s">
        <v>768</v>
      </c>
      <c r="D245" s="287" t="s">
        <v>768</v>
      </c>
      <c r="E245" s="288" t="n">
        <f aca="false">IF(I245="regional",IF(R245*0.2975,S245*0.3484),S245*0.1939)</f>
        <v>381498</v>
      </c>
      <c r="F245" s="288" t="n">
        <v>663000</v>
      </c>
      <c r="G245" s="289" t="n">
        <f aca="false">E245+F245</f>
        <v>1044498</v>
      </c>
      <c r="H245" s="286"/>
      <c r="I245" s="287" t="s">
        <v>48</v>
      </c>
      <c r="J245" s="287" t="s">
        <v>44</v>
      </c>
      <c r="K245" s="287" t="s">
        <v>602</v>
      </c>
      <c r="L245" s="287" t="s">
        <v>44</v>
      </c>
      <c r="M245" s="317" t="n">
        <v>38</v>
      </c>
      <c r="N245" s="317" t="n">
        <v>0.787</v>
      </c>
      <c r="O245" s="317" t="n">
        <v>0.789</v>
      </c>
      <c r="P245" s="317" t="n">
        <v>0.925</v>
      </c>
      <c r="Q245" s="317" t="n">
        <v>0.952</v>
      </c>
      <c r="R245" s="317" t="n">
        <v>1152038</v>
      </c>
      <c r="S245" s="317" t="n">
        <v>1095000</v>
      </c>
      <c r="T245" s="318" t="n">
        <f aca="false">IF(I245="regional",IF(R245&gt;0,R245*0.2975,S245*0.3484),S245*0.1939)</f>
        <v>342731.305</v>
      </c>
      <c r="U245" s="317" t="n">
        <v>564100</v>
      </c>
      <c r="V245" s="317" t="n">
        <v>530900</v>
      </c>
      <c r="W245" s="317" t="n">
        <v>6400</v>
      </c>
      <c r="X245" s="317" t="n">
        <v>1005731.305</v>
      </c>
      <c r="Y245" s="317" t="n">
        <v>342731.305</v>
      </c>
      <c r="Z245" s="317" t="n">
        <v>663000</v>
      </c>
      <c r="AA245" s="317" t="n">
        <v>432000</v>
      </c>
      <c r="AB245" s="317" t="n">
        <v>0</v>
      </c>
      <c r="AC245" s="317" t="n">
        <v>432000</v>
      </c>
      <c r="AD245" s="317" t="n">
        <v>663000</v>
      </c>
      <c r="AE245" s="317" t="n">
        <v>0</v>
      </c>
      <c r="AF245" s="317" t="n">
        <v>432000</v>
      </c>
      <c r="AG245" s="317" t="n">
        <v>0</v>
      </c>
      <c r="AH245" s="317" t="n">
        <v>1564000</v>
      </c>
      <c r="AI245" s="317" t="n">
        <v>976000</v>
      </c>
      <c r="AJ245" s="286" t="s">
        <v>721</v>
      </c>
      <c r="AK245" s="286" t="s">
        <v>108</v>
      </c>
      <c r="AL245" s="287" t="s">
        <v>48</v>
      </c>
      <c r="AM245" s="286"/>
      <c r="AN245" s="287" t="s">
        <v>768</v>
      </c>
      <c r="AO245" s="287" t="n">
        <v>1005731.305</v>
      </c>
      <c r="AP245" s="319" t="n">
        <f aca="false">AR245+AT245+AU245+AV245+AX245+AY245+AZ245+BD245+BF245+BG245+BH245+BJ245+BK245+(BL245+BM245+BN245)/1000+(0.1*BO245)</f>
        <v>927</v>
      </c>
      <c r="AQ245" s="319" t="n">
        <f aca="false">AR245+AT245+AU245+AV245+AX245+AY245+AZ245+BB245+BC245+BD245+BF245+BG245+BH245+BJ245+BK245+(BL245+BM245+BN245)/1000+(0.1*BO245)</f>
        <v>947</v>
      </c>
      <c r="AR245" s="285" t="n">
        <v>400</v>
      </c>
      <c r="AS245" s="285" t="n">
        <v>976</v>
      </c>
      <c r="AT245" s="285" t="n">
        <v>395</v>
      </c>
      <c r="AU245" s="285" t="n">
        <v>0</v>
      </c>
      <c r="AV245" s="285" t="n">
        <v>0</v>
      </c>
      <c r="AW245" s="285" t="n">
        <v>0</v>
      </c>
      <c r="AX245" s="285" t="n">
        <v>0</v>
      </c>
      <c r="AY245" s="285" t="n">
        <v>0</v>
      </c>
      <c r="AZ245" s="285" t="n">
        <v>28</v>
      </c>
      <c r="BA245" s="285" t="n">
        <v>19</v>
      </c>
      <c r="BB245" s="285" t="n">
        <v>20</v>
      </c>
      <c r="BC245" s="285" t="n">
        <v>0</v>
      </c>
      <c r="BD245" s="285" t="n">
        <v>17</v>
      </c>
      <c r="BE245" s="285" t="n">
        <v>2</v>
      </c>
      <c r="BF245" s="285" t="n">
        <v>0</v>
      </c>
      <c r="BG245" s="285" t="n">
        <v>0</v>
      </c>
      <c r="BH245" s="285" t="n">
        <v>87</v>
      </c>
      <c r="BI245" s="285" t="n">
        <v>0</v>
      </c>
      <c r="BJ245" s="285" t="n">
        <v>0</v>
      </c>
      <c r="BK245" s="285" t="n">
        <v>0</v>
      </c>
      <c r="BL245" s="285" t="n">
        <v>0</v>
      </c>
      <c r="BM245" s="285" t="n">
        <v>0</v>
      </c>
      <c r="BN245" s="285" t="n">
        <v>0</v>
      </c>
      <c r="BO245" s="285" t="n">
        <v>0</v>
      </c>
      <c r="BR245" s="290" t="n">
        <f aca="false">AR245*1000/0.072</f>
        <v>5555555.55555556</v>
      </c>
      <c r="BS245" s="290" t="n">
        <f aca="false">AT245*1000/0.072</f>
        <v>5486111.11111111</v>
      </c>
      <c r="BT245" s="290" t="n">
        <f aca="false">AU245*1000/0.072</f>
        <v>0</v>
      </c>
      <c r="BU245" s="290" t="n">
        <f aca="false">SUM(BR245:BT245)</f>
        <v>11041666.6666667</v>
      </c>
      <c r="BV245" s="290" t="n">
        <f aca="false">AV245*1000/5</f>
        <v>0</v>
      </c>
      <c r="BW245" s="290" t="n">
        <f aca="false">AX245*1000/5</f>
        <v>0</v>
      </c>
      <c r="BX245" s="290" t="n">
        <f aca="false">AY245*1000/5</f>
        <v>0</v>
      </c>
      <c r="BY245" s="290" t="n">
        <f aca="false">SUM(BV245:BX245)</f>
        <v>0</v>
      </c>
      <c r="CA245" s="290" t="n">
        <f aca="false">IF($AM245="n",0,BR245)</f>
        <v>5555555.55555556</v>
      </c>
      <c r="CB245" s="290" t="n">
        <f aca="false">IF($AM245="n",0,BS245)</f>
        <v>5486111.11111111</v>
      </c>
      <c r="CC245" s="290" t="n">
        <f aca="false">IF($AM245="n",0,BT245)</f>
        <v>0</v>
      </c>
      <c r="CD245" s="290" t="n">
        <f aca="false">SUM(CA245:CC245)</f>
        <v>11041666.6666667</v>
      </c>
      <c r="CE245" s="290" t="n">
        <f aca="false">IF($AM$2="n",0,BV245)</f>
        <v>0</v>
      </c>
      <c r="CF245" s="290" t="n">
        <f aca="false">IF($AM$2="n",0,BW245)</f>
        <v>0</v>
      </c>
      <c r="CG245" s="290" t="n">
        <f aca="false">IF($AM$2="n",0,BX245)</f>
        <v>0</v>
      </c>
      <c r="CH245" s="290" t="n">
        <f aca="false">SUM(CE245:CG245)</f>
        <v>0</v>
      </c>
    </row>
    <row r="246" customFormat="false" ht="15" hidden="false" customHeight="true" outlineLevel="0" collapsed="false">
      <c r="A246" s="285" t="n">
        <v>4536</v>
      </c>
      <c r="B246" s="285" t="s">
        <v>44</v>
      </c>
      <c r="C246" s="286" t="s">
        <v>603</v>
      </c>
      <c r="D246" s="287" t="s">
        <v>603</v>
      </c>
      <c r="E246" s="288" t="n">
        <f aca="false">IF(I246="regional",IF(R246*0.2975,S246*0.3484),S246*0.1939)</f>
        <v>313270.1312</v>
      </c>
      <c r="F246" s="288" t="n">
        <v>0</v>
      </c>
      <c r="G246" s="289" t="n">
        <f aca="false">E246+F246</f>
        <v>313270.1312</v>
      </c>
      <c r="H246" s="286" t="s">
        <v>49</v>
      </c>
      <c r="I246" s="287" t="s">
        <v>48</v>
      </c>
      <c r="J246" s="287" t="s">
        <v>44</v>
      </c>
      <c r="K246" s="287" t="s">
        <v>604</v>
      </c>
      <c r="L246" s="287"/>
      <c r="M246" s="317" t="n">
        <v>111</v>
      </c>
      <c r="N246" s="317" t="n">
        <v>0.961</v>
      </c>
      <c r="O246" s="317" t="n">
        <v>0.96</v>
      </c>
      <c r="P246" s="317" t="n">
        <v>0.958</v>
      </c>
      <c r="Q246" s="317" t="n">
        <v>0.953</v>
      </c>
      <c r="R246" s="317" t="n">
        <v>1125920</v>
      </c>
      <c r="S246" s="317" t="n">
        <v>899168</v>
      </c>
      <c r="T246" s="318" t="n">
        <f aca="false">IF(I246="regional",IF(R246&gt;0,R246*0.2975,S246*0.3484),S246*0.1939)</f>
        <v>334961.2</v>
      </c>
      <c r="U246" s="317" t="n">
        <v>554638</v>
      </c>
      <c r="V246" s="317" t="n">
        <v>344530</v>
      </c>
      <c r="W246" s="317" t="n">
        <v>5100</v>
      </c>
      <c r="X246" s="317" t="n">
        <v>0</v>
      </c>
      <c r="Y246" s="317" t="n">
        <v>0</v>
      </c>
      <c r="Z246" s="317" t="n">
        <v>0</v>
      </c>
      <c r="AA246" s="317" t="n">
        <v>1234129.2</v>
      </c>
      <c r="AB246" s="317" t="n">
        <v>334961.2</v>
      </c>
      <c r="AC246" s="317" t="n">
        <v>899168</v>
      </c>
      <c r="AD246" s="317" t="n">
        <v>0</v>
      </c>
      <c r="AE246" s="317" t="n">
        <v>0</v>
      </c>
      <c r="AF246" s="317" t="n">
        <v>899168</v>
      </c>
      <c r="AG246" s="317" t="n">
        <v>0</v>
      </c>
      <c r="AH246" s="317" t="n">
        <v>775000</v>
      </c>
      <c r="AI246" s="317" t="n">
        <v>724000</v>
      </c>
      <c r="AJ246" s="286" t="n">
        <v>4</v>
      </c>
      <c r="AK246" s="286" t="s">
        <v>706</v>
      </c>
      <c r="AL246" s="287" t="s">
        <v>48</v>
      </c>
      <c r="AM246" s="286" t="s">
        <v>49</v>
      </c>
      <c r="AN246" s="287" t="s">
        <v>603</v>
      </c>
      <c r="AO246" s="287" t="n">
        <v>334961.2</v>
      </c>
      <c r="AP246" s="319" t="n">
        <f aca="false">AR246+AT246+AU246+AV246+AX246+AY246+AZ246+BD246+BF246+BG246+BH246+BJ246+BK246+(BL246+BM246+BN246)/1000+(0.1*BO246)</f>
        <v>289.6757</v>
      </c>
      <c r="AQ246" s="319" t="n">
        <f aca="false">AR246+AT246+AU246+AV246+AX246+AY246+AZ246+BB246+BC246+BD246+BF246+BG246+BH246+BJ246+BK246+(BL246+BM246+BN246)/1000+(0.1*BO246)</f>
        <v>297.6757</v>
      </c>
      <c r="AR246" s="285" t="n">
        <v>91</v>
      </c>
      <c r="AS246" s="285" t="n">
        <v>724</v>
      </c>
      <c r="AT246" s="285" t="n">
        <v>70</v>
      </c>
      <c r="AU246" s="285" t="n">
        <v>0</v>
      </c>
      <c r="AV246" s="285" t="n">
        <v>13</v>
      </c>
      <c r="AW246" s="285" t="n">
        <v>8</v>
      </c>
      <c r="AX246" s="285" t="n">
        <v>0</v>
      </c>
      <c r="AY246" s="285" t="n">
        <v>0</v>
      </c>
      <c r="AZ246" s="285" t="n">
        <v>0</v>
      </c>
      <c r="BA246" s="285" t="n">
        <v>29</v>
      </c>
      <c r="BB246" s="285" t="n">
        <v>8</v>
      </c>
      <c r="BC246" s="285" t="n">
        <v>0</v>
      </c>
      <c r="BD246" s="285" t="n">
        <v>0</v>
      </c>
      <c r="BE246" s="285" t="n">
        <v>0</v>
      </c>
      <c r="BF246" s="285" t="n">
        <v>0</v>
      </c>
      <c r="BG246" s="285" t="n">
        <v>0</v>
      </c>
      <c r="BH246" s="285" t="n">
        <v>0</v>
      </c>
      <c r="BI246" s="285" t="n">
        <v>0</v>
      </c>
      <c r="BJ246" s="285" t="n">
        <v>0</v>
      </c>
      <c r="BK246" s="285" t="n">
        <v>0</v>
      </c>
      <c r="BL246" s="285" t="n">
        <v>13935</v>
      </c>
      <c r="BM246" s="285" t="n">
        <v>0</v>
      </c>
      <c r="BN246" s="285" t="n">
        <v>70755</v>
      </c>
      <c r="BO246" s="285" t="n">
        <v>309.857</v>
      </c>
      <c r="BR246" s="290" t="n">
        <f aca="false">AR246*1000/0.072</f>
        <v>1263888.88888889</v>
      </c>
      <c r="BS246" s="290" t="n">
        <f aca="false">AT246*1000/0.072</f>
        <v>972222.222222222</v>
      </c>
      <c r="BT246" s="290" t="n">
        <f aca="false">AU246*1000/0.072</f>
        <v>0</v>
      </c>
      <c r="BU246" s="290" t="n">
        <f aca="false">SUM(BR246:BT246)</f>
        <v>2236111.11111111</v>
      </c>
      <c r="BV246" s="290" t="n">
        <f aca="false">AV246*1000/5</f>
        <v>2600</v>
      </c>
      <c r="BW246" s="290" t="n">
        <f aca="false">AX246*1000/5</f>
        <v>0</v>
      </c>
      <c r="BX246" s="290" t="n">
        <f aca="false">AY246*1000/5</f>
        <v>0</v>
      </c>
      <c r="BY246" s="290" t="n">
        <f aca="false">SUM(BV246:BX246)</f>
        <v>2600</v>
      </c>
      <c r="CA246" s="290" t="n">
        <f aca="false">IF($AM246="n",0,BR246)</f>
        <v>0</v>
      </c>
      <c r="CB246" s="290" t="n">
        <f aca="false">IF($AM246="n",0,BS246)</f>
        <v>0</v>
      </c>
      <c r="CC246" s="290" t="n">
        <f aca="false">IF($AM246="n",0,BT246)</f>
        <v>0</v>
      </c>
      <c r="CD246" s="290" t="n">
        <f aca="false">SUM(CA246:CC246)</f>
        <v>0</v>
      </c>
      <c r="CE246" s="290" t="n">
        <f aca="false">IF($AM$2="n",0,BV246)</f>
        <v>2600</v>
      </c>
      <c r="CF246" s="290" t="n">
        <f aca="false">IF($AM$2="n",0,BW246)</f>
        <v>0</v>
      </c>
      <c r="CG246" s="290" t="n">
        <f aca="false">IF($AM$2="n",0,BX246)</f>
        <v>0</v>
      </c>
      <c r="CH246" s="290" t="n">
        <f aca="false">SUM(CE246:CG246)</f>
        <v>2600</v>
      </c>
    </row>
    <row r="247" customFormat="false" ht="15" hidden="false" customHeight="true" outlineLevel="0" collapsed="false">
      <c r="A247" s="285" t="n">
        <v>3764</v>
      </c>
      <c r="B247" s="285"/>
      <c r="C247" s="286" t="s">
        <v>605</v>
      </c>
      <c r="D247" s="287" t="s">
        <v>605</v>
      </c>
      <c r="E247" s="288" t="n">
        <f aca="false">IF(I247="regional",IF(R247*0.2975,S247*0.3484),S247*0.1939)</f>
        <v>69704.1415</v>
      </c>
      <c r="F247" s="288" t="n">
        <v>0</v>
      </c>
      <c r="G247" s="289" t="n">
        <f aca="false">E247+F247</f>
        <v>69704.1415</v>
      </c>
      <c r="H247" s="286"/>
      <c r="I247" s="287" t="s">
        <v>62</v>
      </c>
      <c r="J247" s="287"/>
      <c r="K247" s="287" t="s">
        <v>604</v>
      </c>
      <c r="L247" s="287"/>
      <c r="M247" s="317" t="n">
        <v>30</v>
      </c>
      <c r="N247" s="317" t="n">
        <v>0.964</v>
      </c>
      <c r="O247" s="317" t="n">
        <v>0.977</v>
      </c>
      <c r="P247" s="317" t="n">
        <v>0.988</v>
      </c>
      <c r="Q247" s="317" t="n">
        <v>0.989</v>
      </c>
      <c r="R247" s="317" t="n">
        <v>0</v>
      </c>
      <c r="S247" s="317" t="n">
        <v>359485</v>
      </c>
      <c r="T247" s="318" t="n">
        <f aca="false">IF(I247="regional",IF(R247&gt;0,R247*0.2975,S247*0.3484),S247*0.1939)</f>
        <v>69704.1415</v>
      </c>
      <c r="U247" s="317" t="n">
        <v>257363</v>
      </c>
      <c r="V247" s="317" t="n">
        <v>102122</v>
      </c>
      <c r="W247" s="317" t="n">
        <v>1600</v>
      </c>
      <c r="X247" s="317" t="n">
        <v>0</v>
      </c>
      <c r="Y247" s="317" t="n">
        <v>0</v>
      </c>
      <c r="Z247" s="317" t="n">
        <v>0</v>
      </c>
      <c r="AA247" s="317" t="n">
        <v>429189.1415</v>
      </c>
      <c r="AB247" s="317" t="n">
        <v>69704.1415</v>
      </c>
      <c r="AC247" s="317" t="n">
        <v>359485</v>
      </c>
      <c r="AD247" s="317" t="n">
        <v>0</v>
      </c>
      <c r="AE247" s="317" t="n">
        <v>0</v>
      </c>
      <c r="AF247" s="317" t="n">
        <v>0</v>
      </c>
      <c r="AG247" s="317" t="n">
        <v>359485</v>
      </c>
      <c r="AH247" s="317" t="n">
        <v>0</v>
      </c>
      <c r="AI247" s="317" t="n">
        <v>0</v>
      </c>
      <c r="AJ247" s="286" t="n">
        <v>4</v>
      </c>
      <c r="AK247" s="286" t="s">
        <v>706</v>
      </c>
      <c r="AL247" s="287" t="s">
        <v>62</v>
      </c>
      <c r="AM247" s="286"/>
      <c r="AN247" s="287" t="s">
        <v>605</v>
      </c>
      <c r="AO247" s="287" t="n">
        <v>69704.1415</v>
      </c>
      <c r="AP247" s="319" t="n">
        <f aca="false">AR247+AT247+AU247+AV247+AX247+AY247+AZ247+BD247+BF247+BG247+BH247+BJ247+BK247+(BL247+BM247+BN247)/1000+(0.1*BO247)</f>
        <v>31</v>
      </c>
      <c r="AQ247" s="319" t="n">
        <f aca="false">AR247+AT247+AU247+AV247+AX247+AY247+AZ247+BB247+BC247+BD247+BF247+BG247+BH247+BJ247+BK247+(BL247+BM247+BN247)/1000+(0.1*BO247)</f>
        <v>31</v>
      </c>
      <c r="AR247" s="285" t="n">
        <v>0</v>
      </c>
      <c r="AS247" s="285" t="n">
        <v>0</v>
      </c>
      <c r="AT247" s="285" t="n">
        <v>24</v>
      </c>
      <c r="AU247" s="285" t="n">
        <v>5</v>
      </c>
      <c r="AV247" s="285" t="n">
        <v>0</v>
      </c>
      <c r="AW247" s="285" t="n">
        <v>-1</v>
      </c>
      <c r="AX247" s="285" t="n">
        <v>0</v>
      </c>
      <c r="AY247" s="285" t="n">
        <v>2</v>
      </c>
      <c r="AZ247" s="285" t="n">
        <v>0</v>
      </c>
      <c r="BA247" s="285" t="n">
        <v>21</v>
      </c>
      <c r="BB247" s="285" t="n">
        <v>0</v>
      </c>
      <c r="BC247" s="285" t="n">
        <v>0</v>
      </c>
      <c r="BD247" s="285" t="n">
        <v>0</v>
      </c>
      <c r="BE247" s="285" t="n">
        <v>0</v>
      </c>
      <c r="BF247" s="285" t="n">
        <v>0</v>
      </c>
      <c r="BG247" s="285" t="n">
        <v>0</v>
      </c>
      <c r="BH247" s="285" t="n">
        <v>0</v>
      </c>
      <c r="BI247" s="285" t="n">
        <v>0</v>
      </c>
      <c r="BJ247" s="285" t="n">
        <v>0</v>
      </c>
      <c r="BK247" s="285" t="n">
        <v>0</v>
      </c>
      <c r="BL247" s="285" t="n">
        <v>0</v>
      </c>
      <c r="BM247" s="285" t="n">
        <v>0</v>
      </c>
      <c r="BN247" s="285" t="n">
        <v>0</v>
      </c>
      <c r="BO247" s="285" t="n">
        <v>0</v>
      </c>
      <c r="BR247" s="290" t="n">
        <f aca="false">AR247*1000/0.072</f>
        <v>0</v>
      </c>
      <c r="BS247" s="290" t="n">
        <f aca="false">AT247*1000/0.072</f>
        <v>333333.333333333</v>
      </c>
      <c r="BT247" s="290" t="n">
        <f aca="false">AU247*1000/0.072</f>
        <v>69444.4444444445</v>
      </c>
      <c r="BU247" s="290" t="n">
        <f aca="false">SUM(BR247:BT247)</f>
        <v>402777.777777778</v>
      </c>
      <c r="BV247" s="290" t="n">
        <f aca="false">AV247*1000/5</f>
        <v>0</v>
      </c>
      <c r="BW247" s="290" t="n">
        <f aca="false">AX247*1000/5</f>
        <v>0</v>
      </c>
      <c r="BX247" s="290" t="n">
        <f aca="false">AY247*1000/5</f>
        <v>400</v>
      </c>
      <c r="BY247" s="290" t="n">
        <f aca="false">SUM(BV247:BX247)</f>
        <v>400</v>
      </c>
      <c r="CA247" s="290" t="n">
        <f aca="false">IF($AM247="n",0,BR247)</f>
        <v>0</v>
      </c>
      <c r="CB247" s="290" t="n">
        <f aca="false">IF($AM247="n",0,BS247)</f>
        <v>333333.333333333</v>
      </c>
      <c r="CC247" s="290" t="n">
        <f aca="false">IF($AM247="n",0,BT247)</f>
        <v>69444.4444444445</v>
      </c>
      <c r="CD247" s="290" t="n">
        <f aca="false">SUM(CA247:CC247)</f>
        <v>402777.777777778</v>
      </c>
      <c r="CE247" s="290" t="n">
        <f aca="false">IF($AM$2="n",0,BV247)</f>
        <v>0</v>
      </c>
      <c r="CF247" s="290" t="n">
        <f aca="false">IF($AM$2="n",0,BW247)</f>
        <v>0</v>
      </c>
      <c r="CG247" s="290" t="n">
        <f aca="false">IF($AM$2="n",0,BX247)</f>
        <v>400</v>
      </c>
      <c r="CH247" s="290" t="n">
        <f aca="false">SUM(CE247:CG247)</f>
        <v>400</v>
      </c>
    </row>
    <row r="248" customFormat="false" ht="15" hidden="false" customHeight="true" outlineLevel="0" collapsed="false">
      <c r="A248" s="285" t="n">
        <v>4530</v>
      </c>
      <c r="B248" s="285" t="s">
        <v>44</v>
      </c>
      <c r="C248" s="286" t="s">
        <v>606</v>
      </c>
      <c r="D248" s="287" t="s">
        <v>606</v>
      </c>
      <c r="E248" s="288" t="n">
        <f aca="false">IF(I248="regional",IF(R248*0.2975,S248*0.3484),S248*0.1939)</f>
        <v>119077.1972</v>
      </c>
      <c r="F248" s="288" t="n">
        <v>0</v>
      </c>
      <c r="G248" s="289" t="n">
        <f aca="false">E248+F248</f>
        <v>119077.1972</v>
      </c>
      <c r="H248" s="286" t="s">
        <v>44</v>
      </c>
      <c r="I248" s="287" t="s">
        <v>48</v>
      </c>
      <c r="J248" s="287" t="s">
        <v>44</v>
      </c>
      <c r="K248" s="287" t="s">
        <v>554</v>
      </c>
      <c r="L248" s="287"/>
      <c r="M248" s="317" t="n">
        <v>45</v>
      </c>
      <c r="N248" s="317" t="n">
        <v>0.793</v>
      </c>
      <c r="O248" s="317" t="n">
        <v>0.853</v>
      </c>
      <c r="P248" s="317" t="n">
        <v>0.855</v>
      </c>
      <c r="Q248" s="317" t="n">
        <v>0.479</v>
      </c>
      <c r="R248" s="317" t="n">
        <v>403389</v>
      </c>
      <c r="S248" s="317" t="n">
        <v>341783</v>
      </c>
      <c r="T248" s="318" t="n">
        <f aca="false">IF(I248="regional",IF(R248&gt;0,R248*0.2975,S248*0.3484),S248*0.1939)</f>
        <v>120008.2275</v>
      </c>
      <c r="U248" s="317" t="n">
        <v>192321</v>
      </c>
      <c r="V248" s="317" t="n">
        <v>149462</v>
      </c>
      <c r="W248" s="317" t="n">
        <v>1875</v>
      </c>
      <c r="X248" s="317" t="n">
        <v>0</v>
      </c>
      <c r="Y248" s="317" t="n">
        <v>0</v>
      </c>
      <c r="Z248" s="317" t="n">
        <v>0</v>
      </c>
      <c r="AA248" s="317" t="n">
        <v>461791.2275</v>
      </c>
      <c r="AB248" s="317" t="n">
        <v>120008.2275</v>
      </c>
      <c r="AC248" s="317" t="n">
        <v>341783</v>
      </c>
      <c r="AD248" s="317" t="n">
        <v>0</v>
      </c>
      <c r="AE248" s="317" t="n">
        <v>0</v>
      </c>
      <c r="AF248" s="317" t="n">
        <v>341783</v>
      </c>
      <c r="AG248" s="317" t="n">
        <v>0</v>
      </c>
      <c r="AH248" s="317" t="n">
        <v>440000</v>
      </c>
      <c r="AI248" s="317" t="n">
        <v>313000</v>
      </c>
      <c r="AJ248" s="286" t="s">
        <v>707</v>
      </c>
      <c r="AK248" s="286" t="s">
        <v>729</v>
      </c>
      <c r="AL248" s="287" t="s">
        <v>62</v>
      </c>
      <c r="AM248" s="286"/>
      <c r="AN248" s="287" t="s">
        <v>606</v>
      </c>
      <c r="AO248" s="287" t="n">
        <v>120008.2275</v>
      </c>
      <c r="AP248" s="319" t="n">
        <f aca="false">AR248+AT248+AU248+AV248+AX248+AY248+AZ248+BD248+BF248+BG248+BH248+BJ248+BK248+(BL248+BM248+BN248)/1000+(0.1*BO248)</f>
        <v>149.349</v>
      </c>
      <c r="AQ248" s="319" t="n">
        <f aca="false">AR248+AT248+AU248+AV248+AX248+AY248+AZ248+BB248+BC248+BD248+BF248+BG248+BH248+BJ248+BK248+(BL248+BM248+BN248)/1000+(0.1*BO248)</f>
        <v>151.349</v>
      </c>
      <c r="AR248" s="285" t="n">
        <v>5</v>
      </c>
      <c r="AS248" s="285" t="n">
        <v>313</v>
      </c>
      <c r="AT248" s="285" t="n">
        <v>66</v>
      </c>
      <c r="AU248" s="285" t="n">
        <v>0</v>
      </c>
      <c r="AV248" s="285" t="n">
        <v>5</v>
      </c>
      <c r="AW248" s="285" t="n">
        <v>313</v>
      </c>
      <c r="AX248" s="285" t="n">
        <v>66</v>
      </c>
      <c r="AY248" s="285" t="n">
        <v>0</v>
      </c>
      <c r="AZ248" s="285" t="n">
        <v>0</v>
      </c>
      <c r="BA248" s="285" t="n">
        <v>0</v>
      </c>
      <c r="BB248" s="285" t="n">
        <v>1</v>
      </c>
      <c r="BC248" s="285" t="n">
        <v>1</v>
      </c>
      <c r="BD248" s="285" t="n">
        <v>0</v>
      </c>
      <c r="BE248" s="285" t="n">
        <v>0</v>
      </c>
      <c r="BF248" s="285" t="n">
        <v>0</v>
      </c>
      <c r="BG248" s="285" t="n">
        <v>0</v>
      </c>
      <c r="BH248" s="285" t="n">
        <v>0</v>
      </c>
      <c r="BI248" s="285" t="n">
        <v>0</v>
      </c>
      <c r="BJ248" s="285" t="n">
        <v>0</v>
      </c>
      <c r="BK248" s="285" t="n">
        <v>0</v>
      </c>
      <c r="BL248" s="285" t="n">
        <v>0</v>
      </c>
      <c r="BM248" s="285" t="n">
        <v>0</v>
      </c>
      <c r="BN248" s="285" t="n">
        <v>0</v>
      </c>
      <c r="BO248" s="285" t="n">
        <v>73.49</v>
      </c>
      <c r="BR248" s="290" t="n">
        <f aca="false">AR248*1000/0.072</f>
        <v>69444.4444444445</v>
      </c>
      <c r="BS248" s="290" t="n">
        <f aca="false">AT248*1000/0.072</f>
        <v>916666.666666667</v>
      </c>
      <c r="BT248" s="290" t="n">
        <f aca="false">AU248*1000/0.072</f>
        <v>0</v>
      </c>
      <c r="BU248" s="290" t="n">
        <f aca="false">SUM(BR248:BT248)</f>
        <v>986111.111111111</v>
      </c>
      <c r="BV248" s="290" t="n">
        <f aca="false">AV248*1000/5</f>
        <v>1000</v>
      </c>
      <c r="BW248" s="290" t="n">
        <f aca="false">AX248*1000/5</f>
        <v>13200</v>
      </c>
      <c r="BX248" s="290" t="n">
        <f aca="false">AY248*1000/5</f>
        <v>0</v>
      </c>
      <c r="BY248" s="290" t="n">
        <f aca="false">SUM(BV248:BX248)</f>
        <v>14200</v>
      </c>
      <c r="CA248" s="290" t="n">
        <f aca="false">IF($AM248="n",0,BR248)</f>
        <v>69444.4444444445</v>
      </c>
      <c r="CB248" s="290" t="n">
        <f aca="false">IF($AM248="n",0,BS248)</f>
        <v>916666.666666667</v>
      </c>
      <c r="CC248" s="290" t="n">
        <f aca="false">IF($AM248="n",0,BT248)</f>
        <v>0</v>
      </c>
      <c r="CD248" s="290" t="n">
        <f aca="false">SUM(CA248:CC248)</f>
        <v>986111.111111111</v>
      </c>
      <c r="CE248" s="290" t="n">
        <f aca="false">IF($AM$2="n",0,BV248)</f>
        <v>1000</v>
      </c>
      <c r="CF248" s="290" t="n">
        <f aca="false">IF($AM$2="n",0,BW248)</f>
        <v>13200</v>
      </c>
      <c r="CG248" s="290" t="n">
        <f aca="false">IF($AM$2="n",0,BX248)</f>
        <v>0</v>
      </c>
      <c r="CH248" s="290" t="n">
        <f aca="false">SUM(CE248:CG248)</f>
        <v>14200</v>
      </c>
    </row>
    <row r="249" customFormat="false" ht="15" hidden="false" customHeight="true" outlineLevel="0" collapsed="false">
      <c r="A249" s="285" t="n">
        <v>4534</v>
      </c>
      <c r="B249" s="285"/>
      <c r="C249" s="286" t="s">
        <v>608</v>
      </c>
      <c r="D249" s="287" t="s">
        <v>608</v>
      </c>
      <c r="E249" s="288" t="n">
        <f aca="false">IF(I249="regional",IF(R249*0.2975,S249*0.3484),S249*0.1939)</f>
        <v>74305.7763</v>
      </c>
      <c r="F249" s="288" t="n">
        <v>0</v>
      </c>
      <c r="G249" s="289" t="n">
        <f aca="false">E249+F249</f>
        <v>74305.7763</v>
      </c>
      <c r="H249" s="286" t="s">
        <v>49</v>
      </c>
      <c r="I249" s="287" t="s">
        <v>62</v>
      </c>
      <c r="J249" s="287"/>
      <c r="K249" s="287" t="s">
        <v>609</v>
      </c>
      <c r="L249" s="287"/>
      <c r="M249" s="317" t="n">
        <v>20</v>
      </c>
      <c r="N249" s="317" t="n">
        <v>0.974</v>
      </c>
      <c r="O249" s="317" t="n">
        <v>0.974</v>
      </c>
      <c r="P249" s="317" t="n">
        <v>0.957</v>
      </c>
      <c r="Q249" s="317" t="n">
        <v>0.938</v>
      </c>
      <c r="R249" s="317" t="n">
        <v>0</v>
      </c>
      <c r="S249" s="317" t="n">
        <v>383217</v>
      </c>
      <c r="T249" s="318" t="n">
        <f aca="false">IF(I249="regional",IF(R249&gt;0,R249*0.2975,S249*0.3484),S249*0.1939)</f>
        <v>74305.7763</v>
      </c>
      <c r="U249" s="317" t="n">
        <v>302558</v>
      </c>
      <c r="V249" s="317" t="n">
        <v>80659</v>
      </c>
      <c r="W249" s="317" t="n">
        <v>1375</v>
      </c>
      <c r="X249" s="317" t="n">
        <v>0</v>
      </c>
      <c r="Y249" s="317" t="n">
        <v>0</v>
      </c>
      <c r="Z249" s="317" t="n">
        <v>0</v>
      </c>
      <c r="AA249" s="317" t="n">
        <v>457522.7763</v>
      </c>
      <c r="AB249" s="317" t="n">
        <v>74305.7763</v>
      </c>
      <c r="AC249" s="317" t="n">
        <v>383217</v>
      </c>
      <c r="AD249" s="317" t="n">
        <v>0</v>
      </c>
      <c r="AE249" s="317" t="n">
        <v>0</v>
      </c>
      <c r="AF249" s="317" t="n">
        <v>0</v>
      </c>
      <c r="AG249" s="317" t="n">
        <v>383217</v>
      </c>
      <c r="AH249" s="317" t="n">
        <v>0</v>
      </c>
      <c r="AI249" s="317" t="n">
        <v>0</v>
      </c>
      <c r="AJ249" s="286" t="n">
        <v>4</v>
      </c>
      <c r="AK249" s="286" t="s">
        <v>706</v>
      </c>
      <c r="AL249" s="287" t="s">
        <v>62</v>
      </c>
      <c r="AM249" s="286" t="s">
        <v>49</v>
      </c>
      <c r="AN249" s="287" t="s">
        <v>608</v>
      </c>
      <c r="AO249" s="287" t="n">
        <v>74305.7763</v>
      </c>
      <c r="AP249" s="319" t="n">
        <f aca="false">AR249+AT249+AU249+AV249+AX249+AY249+AZ249+BD249+BF249+BG249+BH249+BJ249+BK249+(BL249+BM249+BN249)/1000+(0.1*BO249)</f>
        <v>35.4144</v>
      </c>
      <c r="AQ249" s="319" t="n">
        <f aca="false">AR249+AT249+AU249+AV249+AX249+AY249+AZ249+BB249+BC249+BD249+BF249+BG249+BH249+BJ249+BK249+(BL249+BM249+BN249)/1000+(0.1*BO249)</f>
        <v>46.4144</v>
      </c>
      <c r="AR249" s="285" t="n">
        <v>0</v>
      </c>
      <c r="AS249" s="285" t="n">
        <v>0</v>
      </c>
      <c r="AT249" s="285" t="n">
        <v>13</v>
      </c>
      <c r="AU249" s="285" t="n">
        <v>7</v>
      </c>
      <c r="AV249" s="285" t="n">
        <v>0</v>
      </c>
      <c r="AW249" s="285" t="n">
        <v>0</v>
      </c>
      <c r="AX249" s="285" t="n">
        <v>0</v>
      </c>
      <c r="AY249" s="285" t="n">
        <v>3</v>
      </c>
      <c r="AZ249" s="285" t="n">
        <v>0</v>
      </c>
      <c r="BA249" s="285" t="n">
        <v>0</v>
      </c>
      <c r="BB249" s="285" t="n">
        <v>8</v>
      </c>
      <c r="BC249" s="285" t="n">
        <v>3</v>
      </c>
      <c r="BD249" s="285" t="n">
        <v>0</v>
      </c>
      <c r="BE249" s="285" t="n">
        <v>0</v>
      </c>
      <c r="BF249" s="285" t="n">
        <v>0</v>
      </c>
      <c r="BG249" s="285" t="n">
        <v>0</v>
      </c>
      <c r="BH249" s="285" t="n">
        <v>0</v>
      </c>
      <c r="BI249" s="285" t="n">
        <v>0</v>
      </c>
      <c r="BJ249" s="285" t="n">
        <v>0</v>
      </c>
      <c r="BK249" s="285" t="n">
        <v>0</v>
      </c>
      <c r="BL249" s="285" t="n">
        <v>0</v>
      </c>
      <c r="BM249" s="285" t="n">
        <v>0</v>
      </c>
      <c r="BN249" s="285" t="n">
        <v>0</v>
      </c>
      <c r="BO249" s="285" t="n">
        <v>124.144</v>
      </c>
      <c r="BR249" s="290" t="n">
        <f aca="false">AR249*1000/0.072</f>
        <v>0</v>
      </c>
      <c r="BS249" s="290" t="n">
        <f aca="false">AT249*1000/0.072</f>
        <v>180555.555555556</v>
      </c>
      <c r="BT249" s="290" t="n">
        <f aca="false">AU249*1000/0.072</f>
        <v>97222.2222222222</v>
      </c>
      <c r="BU249" s="290" t="n">
        <f aca="false">SUM(BR249:BT249)</f>
        <v>277777.777777778</v>
      </c>
      <c r="BV249" s="290" t="n">
        <f aca="false">AV249*1000/5</f>
        <v>0</v>
      </c>
      <c r="BW249" s="290" t="n">
        <f aca="false">AX249*1000/5</f>
        <v>0</v>
      </c>
      <c r="BX249" s="290" t="n">
        <f aca="false">AY249*1000/5</f>
        <v>600</v>
      </c>
      <c r="BY249" s="290" t="n">
        <f aca="false">SUM(BV249:BX249)</f>
        <v>600</v>
      </c>
      <c r="CA249" s="290" t="n">
        <f aca="false">IF($AM249="n",0,BR249)</f>
        <v>0</v>
      </c>
      <c r="CB249" s="290" t="n">
        <f aca="false">IF($AM249="n",0,BS249)</f>
        <v>0</v>
      </c>
      <c r="CC249" s="290" t="n">
        <f aca="false">IF($AM249="n",0,BT249)</f>
        <v>0</v>
      </c>
      <c r="CD249" s="290" t="n">
        <f aca="false">SUM(CA249:CC249)</f>
        <v>0</v>
      </c>
      <c r="CE249" s="290" t="n">
        <f aca="false">IF($AM$2="n",0,BV249)</f>
        <v>0</v>
      </c>
      <c r="CF249" s="290" t="n">
        <f aca="false">IF($AM$2="n",0,BW249)</f>
        <v>0</v>
      </c>
      <c r="CG249" s="290" t="n">
        <f aca="false">IF($AM$2="n",0,BX249)</f>
        <v>600</v>
      </c>
      <c r="CH249" s="290" t="n">
        <f aca="false">SUM(CE249:CG249)</f>
        <v>600</v>
      </c>
    </row>
    <row r="250" customFormat="false" ht="15" hidden="false" customHeight="true" outlineLevel="0" collapsed="false">
      <c r="A250" s="285" t="n">
        <v>4523</v>
      </c>
      <c r="B250" s="285" t="s">
        <v>44</v>
      </c>
      <c r="C250" s="286" t="s">
        <v>610</v>
      </c>
      <c r="D250" s="287" t="s">
        <v>610</v>
      </c>
      <c r="E250" s="288" t="n">
        <f aca="false">IF(I250="regional",IF(R250*0.2975,S250*0.3484),S250*0.1939)</f>
        <v>375283.9376</v>
      </c>
      <c r="F250" s="288" t="n">
        <v>59946</v>
      </c>
      <c r="G250" s="289" t="n">
        <f aca="false">E250+F250</f>
        <v>435229.9376</v>
      </c>
      <c r="H250" s="286"/>
      <c r="I250" s="287" t="s">
        <v>48</v>
      </c>
      <c r="J250" s="287" t="s">
        <v>44</v>
      </c>
      <c r="K250" s="287" t="s">
        <v>769</v>
      </c>
      <c r="L250" s="287" t="s">
        <v>44</v>
      </c>
      <c r="M250" s="317" t="n">
        <v>145</v>
      </c>
      <c r="N250" s="317" t="n">
        <v>0.557</v>
      </c>
      <c r="O250" s="317" t="n">
        <v>0.558</v>
      </c>
      <c r="P250" s="317" t="n">
        <v>0.602</v>
      </c>
      <c r="Q250" s="317" t="n">
        <v>0.705</v>
      </c>
      <c r="R250" s="317" t="n">
        <v>1383318</v>
      </c>
      <c r="S250" s="317" t="n">
        <v>1077164</v>
      </c>
      <c r="T250" s="318" t="n">
        <f aca="false">IF(I250="regional",IF(R250&gt;0,R250*0.2975,S250*0.3484),S250*0.1939)</f>
        <v>411537.105</v>
      </c>
      <c r="U250" s="317" t="n">
        <v>691883</v>
      </c>
      <c r="V250" s="317" t="n">
        <v>385281</v>
      </c>
      <c r="W250" s="317" t="n">
        <v>5214</v>
      </c>
      <c r="X250" s="317" t="n">
        <v>471483.105</v>
      </c>
      <c r="Y250" s="317" t="n">
        <v>411537.105</v>
      </c>
      <c r="Z250" s="317" t="n">
        <v>59946</v>
      </c>
      <c r="AA250" s="317" t="n">
        <v>1017218</v>
      </c>
      <c r="AB250" s="317" t="n">
        <v>0</v>
      </c>
      <c r="AC250" s="317" t="n">
        <v>1017218</v>
      </c>
      <c r="AD250" s="317" t="n">
        <v>59946</v>
      </c>
      <c r="AE250" s="317" t="n">
        <v>0</v>
      </c>
      <c r="AF250" s="317" t="n">
        <v>1017218</v>
      </c>
      <c r="AG250" s="317" t="n">
        <v>0</v>
      </c>
      <c r="AH250" s="317" t="n">
        <v>473000</v>
      </c>
      <c r="AI250" s="317" t="n">
        <v>515000</v>
      </c>
      <c r="AJ250" s="286" t="s">
        <v>707</v>
      </c>
      <c r="AK250" s="286" t="s">
        <v>708</v>
      </c>
      <c r="AL250" s="287" t="s">
        <v>48</v>
      </c>
      <c r="AM250" s="286"/>
      <c r="AN250" s="287" t="s">
        <v>610</v>
      </c>
      <c r="AO250" s="287" t="n">
        <v>471483.105</v>
      </c>
      <c r="AP250" s="319" t="n">
        <f aca="false">AR250+AT250+AU250+AV250+AX250+AY250+AZ250+BD250+BF250+BG250+BH250+BJ250+BK250+(BL250+BM250+BN250)/1000+(0.1*BO250)</f>
        <v>410.2721</v>
      </c>
      <c r="AQ250" s="319" t="n">
        <f aca="false">AR250+AT250+AU250+AV250+AX250+AY250+AZ250+BB250+BC250+BD250+BF250+BG250+BH250+BJ250+BK250+(BL250+BM250+BN250)/1000+(0.1*BO250)</f>
        <v>410.2721</v>
      </c>
      <c r="AR250" s="285" t="n">
        <v>145</v>
      </c>
      <c r="AS250" s="285" t="n">
        <v>515</v>
      </c>
      <c r="AT250" s="285" t="n">
        <v>143</v>
      </c>
      <c r="AU250" s="285" t="n">
        <v>0</v>
      </c>
      <c r="AV250" s="285" t="n">
        <v>0</v>
      </c>
      <c r="AW250" s="285" t="n">
        <v>0</v>
      </c>
      <c r="AX250" s="285" t="n">
        <v>0</v>
      </c>
      <c r="AY250" s="285" t="n">
        <v>0</v>
      </c>
      <c r="AZ250" s="285" t="n">
        <v>0</v>
      </c>
      <c r="BA250" s="285" t="n">
        <v>0</v>
      </c>
      <c r="BB250" s="285" t="n">
        <v>0</v>
      </c>
      <c r="BC250" s="285" t="n">
        <v>0</v>
      </c>
      <c r="BD250" s="285" t="n">
        <v>0</v>
      </c>
      <c r="BE250" s="285" t="n">
        <v>0</v>
      </c>
      <c r="BF250" s="285" t="n">
        <v>0</v>
      </c>
      <c r="BG250" s="285" t="n">
        <v>0</v>
      </c>
      <c r="BH250" s="285" t="n">
        <v>14</v>
      </c>
      <c r="BI250" s="285" t="n">
        <v>1</v>
      </c>
      <c r="BJ250" s="285" t="n">
        <v>0</v>
      </c>
      <c r="BK250" s="285" t="n">
        <v>0</v>
      </c>
      <c r="BL250" s="285" t="n">
        <v>10352</v>
      </c>
      <c r="BM250" s="285" t="n">
        <v>0</v>
      </c>
      <c r="BN250" s="285" t="n">
        <v>0</v>
      </c>
      <c r="BO250" s="285" t="n">
        <v>979.201</v>
      </c>
      <c r="BR250" s="290" t="n">
        <f aca="false">AR250*1000/0.072</f>
        <v>2013888.88888889</v>
      </c>
      <c r="BS250" s="290" t="n">
        <f aca="false">AT250*1000/0.072</f>
        <v>1986111.11111111</v>
      </c>
      <c r="BT250" s="290" t="n">
        <f aca="false">AU250*1000/0.072</f>
        <v>0</v>
      </c>
      <c r="BU250" s="290" t="n">
        <f aca="false">SUM(BR250:BT250)</f>
        <v>4000000</v>
      </c>
      <c r="BV250" s="290" t="n">
        <f aca="false">AV250*1000/5</f>
        <v>0</v>
      </c>
      <c r="BW250" s="290" t="n">
        <f aca="false">AX250*1000/5</f>
        <v>0</v>
      </c>
      <c r="BX250" s="290" t="n">
        <f aca="false">AY250*1000/5</f>
        <v>0</v>
      </c>
      <c r="BY250" s="290" t="n">
        <f aca="false">SUM(BV250:BX250)</f>
        <v>0</v>
      </c>
      <c r="CA250" s="290" t="n">
        <f aca="false">IF($AM250="n",0,BR250)</f>
        <v>2013888.88888889</v>
      </c>
      <c r="CB250" s="290" t="n">
        <f aca="false">IF($AM250="n",0,BS250)</f>
        <v>1986111.11111111</v>
      </c>
      <c r="CC250" s="290" t="n">
        <f aca="false">IF($AM250="n",0,BT250)</f>
        <v>0</v>
      </c>
      <c r="CD250" s="290" t="n">
        <f aca="false">SUM(CA250:CC250)</f>
        <v>4000000</v>
      </c>
      <c r="CE250" s="290" t="n">
        <f aca="false">IF($AM$2="n",0,BV250)</f>
        <v>0</v>
      </c>
      <c r="CF250" s="290" t="n">
        <f aca="false">IF($AM$2="n",0,BW250)</f>
        <v>0</v>
      </c>
      <c r="CG250" s="290" t="n">
        <f aca="false">IF($AM$2="n",0,BX250)</f>
        <v>0</v>
      </c>
      <c r="CH250" s="290" t="n">
        <f aca="false">SUM(CE250:CG250)</f>
        <v>0</v>
      </c>
    </row>
    <row r="251" customFormat="false" ht="15" hidden="false" customHeight="true" outlineLevel="0" collapsed="false">
      <c r="A251" s="285" t="n">
        <v>4533</v>
      </c>
      <c r="B251" s="285"/>
      <c r="C251" s="286" t="s">
        <v>612</v>
      </c>
      <c r="D251" s="287" t="s">
        <v>612</v>
      </c>
      <c r="E251" s="288" t="n">
        <f aca="false">IF(I251="regional",IF(R251*0.2975,S251*0.3484),S251*0.1939)</f>
        <v>16461.9161</v>
      </c>
      <c r="F251" s="288" t="n">
        <v>0</v>
      </c>
      <c r="G251" s="289" t="n">
        <f aca="false">E251+F251</f>
        <v>16461.9161</v>
      </c>
      <c r="H251" s="286"/>
      <c r="I251" s="287" t="s">
        <v>62</v>
      </c>
      <c r="J251" s="287"/>
      <c r="K251" s="287" t="s">
        <v>514</v>
      </c>
      <c r="L251" s="287"/>
      <c r="M251" s="317" t="n">
        <v>5</v>
      </c>
      <c r="N251" s="317" t="n">
        <v>0.923</v>
      </c>
      <c r="O251" s="317" t="n">
        <v>0.923</v>
      </c>
      <c r="P251" s="317" t="n">
        <v>0.923</v>
      </c>
      <c r="Q251" s="317" t="n">
        <v>1</v>
      </c>
      <c r="R251" s="317" t="n">
        <v>0</v>
      </c>
      <c r="S251" s="317" t="n">
        <v>84899</v>
      </c>
      <c r="T251" s="318" t="n">
        <f aca="false">IF(I251="regional",IF(R251&gt;0,R251*0.2975,S251*0.3484),S251*0.1939)</f>
        <v>16461.9161</v>
      </c>
      <c r="U251" s="317" t="n">
        <v>60000</v>
      </c>
      <c r="V251" s="317" t="n">
        <v>24899</v>
      </c>
      <c r="W251" s="317" t="n">
        <v>530</v>
      </c>
      <c r="X251" s="317" t="n">
        <v>0</v>
      </c>
      <c r="Y251" s="317" t="n">
        <v>0</v>
      </c>
      <c r="Z251" s="317" t="n">
        <v>0</v>
      </c>
      <c r="AA251" s="317" t="n">
        <v>101360.9161</v>
      </c>
      <c r="AB251" s="317" t="n">
        <v>16461.9161</v>
      </c>
      <c r="AC251" s="317" t="n">
        <v>84899</v>
      </c>
      <c r="AD251" s="317" t="n">
        <v>0</v>
      </c>
      <c r="AE251" s="317" t="n">
        <v>0</v>
      </c>
      <c r="AF251" s="317" t="n">
        <v>0</v>
      </c>
      <c r="AG251" s="317" t="n">
        <v>84899</v>
      </c>
      <c r="AH251" s="317" t="n">
        <v>0</v>
      </c>
      <c r="AI251" s="317" t="n">
        <v>0</v>
      </c>
      <c r="AJ251" s="286" t="n">
        <v>4</v>
      </c>
      <c r="AK251" s="286" t="s">
        <v>728</v>
      </c>
      <c r="AL251" s="287" t="s">
        <v>62</v>
      </c>
      <c r="AM251" s="286"/>
      <c r="AN251" s="287" t="s">
        <v>612</v>
      </c>
      <c r="AO251" s="287" t="n">
        <v>16461.9161</v>
      </c>
      <c r="AP251" s="319" t="n">
        <f aca="false">AR251+AT251+AU251+AV251+AX251+AY251+AZ251+BD251+BF251+BG251+BH251+BJ251+BK251+(BL251+BM251+BN251)/1000+(0.1*BO251)</f>
        <v>4</v>
      </c>
      <c r="AQ251" s="319" t="n">
        <f aca="false">AR251+AT251+AU251+AV251+AX251+AY251+AZ251+BB251+BC251+BD251+BF251+BG251+BH251+BJ251+BK251+(BL251+BM251+BN251)/1000+(0.1*BO251)</f>
        <v>6</v>
      </c>
      <c r="AR251" s="285" t="n">
        <v>0</v>
      </c>
      <c r="AS251" s="285" t="n">
        <v>0</v>
      </c>
      <c r="AT251" s="285" t="n">
        <v>4</v>
      </c>
      <c r="AU251" s="285" t="n">
        <v>0</v>
      </c>
      <c r="AV251" s="285" t="n">
        <v>0</v>
      </c>
      <c r="AW251" s="285" t="n">
        <v>0</v>
      </c>
      <c r="AX251" s="285" t="n">
        <v>0</v>
      </c>
      <c r="AY251" s="285" t="n">
        <v>0</v>
      </c>
      <c r="AZ251" s="285" t="n">
        <v>0</v>
      </c>
      <c r="BA251" s="285" t="n">
        <v>0</v>
      </c>
      <c r="BB251" s="285" t="n">
        <v>1</v>
      </c>
      <c r="BC251" s="285" t="n">
        <v>1</v>
      </c>
      <c r="BD251" s="285" t="n">
        <v>0</v>
      </c>
      <c r="BE251" s="285" t="n">
        <v>0</v>
      </c>
      <c r="BF251" s="285" t="n">
        <v>0</v>
      </c>
      <c r="BG251" s="285" t="n">
        <v>0</v>
      </c>
      <c r="BH251" s="285" t="n">
        <v>0</v>
      </c>
      <c r="BI251" s="285" t="n">
        <v>0</v>
      </c>
      <c r="BJ251" s="285" t="n">
        <v>0</v>
      </c>
      <c r="BK251" s="285" t="n">
        <v>0</v>
      </c>
      <c r="BL251" s="285" t="n">
        <v>0</v>
      </c>
      <c r="BM251" s="285" t="n">
        <v>0</v>
      </c>
      <c r="BN251" s="285" t="n">
        <v>0</v>
      </c>
      <c r="BO251" s="285" t="n">
        <v>0</v>
      </c>
      <c r="BR251" s="290" t="n">
        <f aca="false">AR251*1000/0.072</f>
        <v>0</v>
      </c>
      <c r="BS251" s="290" t="n">
        <f aca="false">AT251*1000/0.072</f>
        <v>55555.5555555556</v>
      </c>
      <c r="BT251" s="290" t="n">
        <f aca="false">AU251*1000/0.072</f>
        <v>0</v>
      </c>
      <c r="BU251" s="290" t="n">
        <f aca="false">SUM(BR251:BT251)</f>
        <v>55555.5555555556</v>
      </c>
      <c r="BV251" s="290" t="n">
        <f aca="false">AV251*1000/5</f>
        <v>0</v>
      </c>
      <c r="BW251" s="290" t="n">
        <f aca="false">AX251*1000/5</f>
        <v>0</v>
      </c>
      <c r="BX251" s="290" t="n">
        <f aca="false">AY251*1000/5</f>
        <v>0</v>
      </c>
      <c r="BY251" s="290" t="n">
        <f aca="false">SUM(BV251:BX251)</f>
        <v>0</v>
      </c>
      <c r="CA251" s="290" t="n">
        <f aca="false">IF($AM251="n",0,BR251)</f>
        <v>0</v>
      </c>
      <c r="CB251" s="290" t="n">
        <f aca="false">IF($AM251="n",0,BS251)</f>
        <v>55555.5555555556</v>
      </c>
      <c r="CC251" s="290" t="n">
        <f aca="false">IF($AM251="n",0,BT251)</f>
        <v>0</v>
      </c>
      <c r="CD251" s="290" t="n">
        <f aca="false">SUM(CA251:CC251)</f>
        <v>55555.5555555556</v>
      </c>
      <c r="CE251" s="290" t="n">
        <f aca="false">IF($AM$2="n",0,BV251)</f>
        <v>0</v>
      </c>
      <c r="CF251" s="290" t="n">
        <f aca="false">IF($AM$2="n",0,BW251)</f>
        <v>0</v>
      </c>
      <c r="CG251" s="290" t="n">
        <f aca="false">IF($AM$2="n",0,BX251)</f>
        <v>0</v>
      </c>
      <c r="CH251" s="290" t="n">
        <f aca="false">SUM(CE251:CG251)</f>
        <v>0</v>
      </c>
    </row>
    <row r="252" customFormat="false" ht="11.25" hidden="false" customHeight="false" outlineLevel="0" collapsed="false">
      <c r="A252" s="302" t="n">
        <v>9855</v>
      </c>
      <c r="B252" s="302"/>
      <c r="C252" s="303" t="s">
        <v>615</v>
      </c>
      <c r="D252" s="304" t="s">
        <v>615</v>
      </c>
      <c r="E252" s="288" t="n">
        <f aca="false">IF(I252="regional",IF(R252*0.2975,S252*0.3484),S252*0.1939)</f>
        <v>276371.784</v>
      </c>
      <c r="F252" s="305" t="n">
        <v>0</v>
      </c>
      <c r="G252" s="289" t="n">
        <f aca="false">E252+F252</f>
        <v>276371.784</v>
      </c>
      <c r="H252" s="303"/>
      <c r="I252" s="304" t="s">
        <v>48</v>
      </c>
      <c r="J252" s="304" t="s">
        <v>49</v>
      </c>
      <c r="K252" s="304" t="s">
        <v>421</v>
      </c>
      <c r="L252" s="304"/>
      <c r="M252" s="360" t="n">
        <v>102</v>
      </c>
      <c r="N252" s="360" t="n">
        <v>0.579</v>
      </c>
      <c r="O252" s="360" t="n">
        <v>0.624</v>
      </c>
      <c r="P252" s="360" t="n">
        <v>0.511</v>
      </c>
      <c r="Q252" s="360" t="n">
        <v>0.533</v>
      </c>
      <c r="R252" s="360" t="n">
        <v>825921</v>
      </c>
      <c r="S252" s="360" t="n">
        <v>793260</v>
      </c>
      <c r="T252" s="318" t="n">
        <f aca="false">IF(I252="regional",IF(R252&gt;0,R252*0.2975,S252*0.3484),S252*0.1939)</f>
        <v>245711.4975</v>
      </c>
      <c r="U252" s="360" t="n">
        <v>538792</v>
      </c>
      <c r="V252" s="360" t="n">
        <v>254468</v>
      </c>
      <c r="W252" s="360" t="n">
        <v>3520</v>
      </c>
      <c r="X252" s="360" t="n">
        <v>0</v>
      </c>
      <c r="Y252" s="360" t="n">
        <v>0</v>
      </c>
      <c r="Z252" s="360" t="n">
        <v>0</v>
      </c>
      <c r="AA252" s="360" t="n">
        <v>1038971.498</v>
      </c>
      <c r="AB252" s="360" t="n">
        <v>245711.4975</v>
      </c>
      <c r="AC252" s="360" t="n">
        <v>793260</v>
      </c>
      <c r="AD252" s="360" t="n">
        <v>0</v>
      </c>
      <c r="AE252" s="360" t="n">
        <v>0</v>
      </c>
      <c r="AF252" s="360" t="n">
        <v>0</v>
      </c>
      <c r="AG252" s="360" t="n">
        <v>793260</v>
      </c>
      <c r="AH252" s="360" t="n">
        <v>0</v>
      </c>
      <c r="AI252" s="360" t="n">
        <v>0</v>
      </c>
      <c r="AJ252" s="303" t="n">
        <v>4</v>
      </c>
      <c r="AK252" s="303" t="s">
        <v>720</v>
      </c>
      <c r="AL252" s="304" t="s">
        <v>48</v>
      </c>
      <c r="AM252" s="303"/>
      <c r="AN252" s="304" t="s">
        <v>615</v>
      </c>
      <c r="AO252" s="304" t="n">
        <v>245711.4975</v>
      </c>
      <c r="AP252" s="361" t="n">
        <f aca="false">AR252+AT252+AU252+AV252+AX252+AY252+AZ252+BD252+BF252+BG252+BH252+BJ252+BK252+(BL252+BM252+BN252)/1000+(0.1*BO252)</f>
        <v>281</v>
      </c>
      <c r="AQ252" s="319" t="n">
        <f aca="false">AR252+AT252+AU252+AV252+AX252+AY252+AZ252+BB252+BC252+BD252+BF252+BG252+BH252+BJ252+BK252+(BL252+BM252+BN252)/1000+(0.1*BO252)</f>
        <v>291</v>
      </c>
      <c r="AR252" s="302" t="n">
        <v>0</v>
      </c>
      <c r="AS252" s="302" t="n">
        <v>0</v>
      </c>
      <c r="AT252" s="302" t="n">
        <v>249</v>
      </c>
      <c r="AU252" s="302" t="n">
        <v>22</v>
      </c>
      <c r="AV252" s="302" t="n">
        <v>0</v>
      </c>
      <c r="AW252" s="302" t="n">
        <v>0</v>
      </c>
      <c r="AX252" s="302" t="n">
        <v>10</v>
      </c>
      <c r="AY252" s="302" t="n">
        <v>0</v>
      </c>
      <c r="AZ252" s="302" t="n">
        <v>0</v>
      </c>
      <c r="BA252" s="302" t="n">
        <v>0</v>
      </c>
      <c r="BB252" s="302" t="n">
        <v>7</v>
      </c>
      <c r="BC252" s="302" t="n">
        <v>3</v>
      </c>
      <c r="BD252" s="302" t="n">
        <v>0</v>
      </c>
      <c r="BE252" s="302" t="n">
        <v>0</v>
      </c>
      <c r="BF252" s="302" t="n">
        <v>0</v>
      </c>
      <c r="BG252" s="302" t="n">
        <v>0</v>
      </c>
      <c r="BH252" s="302" t="n">
        <v>0</v>
      </c>
      <c r="BI252" s="302" t="n">
        <v>0</v>
      </c>
      <c r="BJ252" s="302" t="n">
        <v>0</v>
      </c>
      <c r="BK252" s="302" t="n">
        <v>0</v>
      </c>
      <c r="BL252" s="302" t="n">
        <v>0</v>
      </c>
      <c r="BM252" s="302" t="n">
        <v>0</v>
      </c>
      <c r="BN252" s="302" t="n">
        <v>0</v>
      </c>
      <c r="BO252" s="302" t="n">
        <v>0</v>
      </c>
      <c r="BP252" s="324"/>
      <c r="BR252" s="290" t="n">
        <f aca="false">AR252*1000/0.072</f>
        <v>0</v>
      </c>
      <c r="BS252" s="290" t="n">
        <f aca="false">AT252*1000/0.072</f>
        <v>3458333.33333333</v>
      </c>
      <c r="BT252" s="290" t="n">
        <f aca="false">AU252*1000/0.072</f>
        <v>305555.555555556</v>
      </c>
      <c r="BU252" s="290" t="n">
        <f aca="false">SUM(BR252:BT252)</f>
        <v>3763888.88888889</v>
      </c>
      <c r="BV252" s="290" t="n">
        <f aca="false">AV252*1000/5</f>
        <v>0</v>
      </c>
      <c r="BW252" s="290" t="n">
        <f aca="false">AX252*1000/5</f>
        <v>2000</v>
      </c>
      <c r="BX252" s="290" t="n">
        <f aca="false">AY252*1000/5</f>
        <v>0</v>
      </c>
      <c r="BY252" s="290" t="n">
        <f aca="false">SUM(BV252:BX252)</f>
        <v>2000</v>
      </c>
      <c r="CA252" s="290" t="n">
        <f aca="false">IF($AM252="n",0,BR252)</f>
        <v>0</v>
      </c>
      <c r="CB252" s="290" t="n">
        <f aca="false">IF($AM252="n",0,BS252)</f>
        <v>3458333.33333333</v>
      </c>
      <c r="CC252" s="290" t="n">
        <f aca="false">IF($AM252="n",0,BT252)</f>
        <v>305555.555555556</v>
      </c>
      <c r="CD252" s="290" t="n">
        <f aca="false">SUM(CA252:CC252)</f>
        <v>3763888.88888889</v>
      </c>
      <c r="CE252" s="290" t="n">
        <f aca="false">IF($AM$2="n",0,BV252)</f>
        <v>0</v>
      </c>
      <c r="CF252" s="290" t="n">
        <f aca="false">IF($AM$2="n",0,BW252)</f>
        <v>2000</v>
      </c>
      <c r="CG252" s="290" t="n">
        <f aca="false">IF($AM$2="n",0,BX252)</f>
        <v>0</v>
      </c>
      <c r="CH252" s="290" t="n">
        <f aca="false">SUM(CE252:CG252)</f>
        <v>2000</v>
      </c>
      <c r="CJ252" s="324"/>
      <c r="CK252" s="324"/>
      <c r="CL252" s="324"/>
      <c r="CM252" s="324"/>
      <c r="CN252" s="324"/>
      <c r="CO252" s="324"/>
      <c r="CP252" s="324"/>
      <c r="CQ252" s="324"/>
      <c r="CR252" s="324"/>
      <c r="CS252" s="324"/>
      <c r="CT252" s="324"/>
      <c r="CU252" s="324"/>
      <c r="CV252" s="324"/>
      <c r="CW252" s="324"/>
      <c r="CX252" s="324"/>
      <c r="CY252" s="324"/>
      <c r="CZ252" s="324"/>
      <c r="DA252" s="324"/>
      <c r="DB252" s="324"/>
      <c r="DC252" s="324"/>
      <c r="DD252" s="324"/>
      <c r="DE252" s="324"/>
      <c r="DF252" s="324"/>
      <c r="DG252" s="324"/>
      <c r="DH252" s="324"/>
      <c r="DI252" s="324"/>
      <c r="DJ252" s="324"/>
      <c r="DK252" s="324"/>
      <c r="DL252" s="333"/>
      <c r="DM252" s="333"/>
      <c r="DN252" s="333"/>
      <c r="DO252" s="333"/>
      <c r="DP252" s="333"/>
      <c r="DQ252" s="333"/>
      <c r="DR252" s="333"/>
      <c r="DS252" s="333"/>
      <c r="DT252" s="333"/>
      <c r="DU252" s="333"/>
      <c r="DV252" s="333"/>
      <c r="DW252" s="333"/>
      <c r="DX252" s="333"/>
      <c r="DY252" s="333"/>
      <c r="DZ252" s="333"/>
      <c r="EA252" s="333"/>
      <c r="EB252" s="333"/>
      <c r="EC252" s="333"/>
      <c r="ED252" s="333"/>
      <c r="EE252" s="333"/>
      <c r="EF252" s="333"/>
      <c r="EG252" s="333"/>
      <c r="EH252" s="333"/>
      <c r="EI252" s="333"/>
      <c r="EJ252" s="333"/>
      <c r="EK252" s="333"/>
      <c r="EL252" s="333"/>
      <c r="EM252" s="333"/>
      <c r="EN252" s="333"/>
      <c r="EO252" s="333"/>
      <c r="EP252" s="333"/>
      <c r="EQ252" s="333"/>
      <c r="ER252" s="333"/>
      <c r="ES252" s="333"/>
      <c r="ET252" s="333"/>
      <c r="EU252" s="333"/>
      <c r="EV252" s="333"/>
      <c r="EW252" s="333"/>
      <c r="EX252" s="333"/>
      <c r="EY252" s="333"/>
      <c r="EZ252" s="333"/>
      <c r="FA252" s="333"/>
      <c r="FB252" s="333"/>
      <c r="FC252" s="333"/>
      <c r="FD252" s="333"/>
      <c r="FE252" s="333"/>
      <c r="FF252" s="333"/>
      <c r="FG252" s="333"/>
      <c r="FH252" s="333"/>
      <c r="FI252" s="333"/>
      <c r="FJ252" s="333"/>
      <c r="FK252" s="333"/>
      <c r="FL252" s="333"/>
      <c r="FM252" s="333"/>
      <c r="FN252" s="333"/>
      <c r="FO252" s="333"/>
      <c r="FP252" s="333"/>
      <c r="FQ252" s="333"/>
      <c r="FR252" s="333"/>
      <c r="FS252" s="333"/>
      <c r="FT252" s="333"/>
      <c r="FU252" s="333"/>
      <c r="FV252" s="333"/>
      <c r="FW252" s="333"/>
      <c r="FX252" s="333"/>
      <c r="FY252" s="333"/>
      <c r="FZ252" s="333"/>
      <c r="GA252" s="333"/>
      <c r="GB252" s="333"/>
      <c r="GC252" s="333"/>
      <c r="GD252" s="333"/>
      <c r="GE252" s="333"/>
      <c r="GF252" s="333"/>
      <c r="GG252" s="333"/>
      <c r="GH252" s="333"/>
      <c r="GI252" s="333"/>
      <c r="GJ252" s="333"/>
      <c r="GK252" s="333"/>
      <c r="GL252" s="333"/>
      <c r="GM252" s="333"/>
      <c r="GN252" s="333"/>
      <c r="GO252" s="333"/>
      <c r="GP252" s="333"/>
      <c r="GQ252" s="333"/>
      <c r="GR252" s="333"/>
      <c r="GS252" s="333"/>
      <c r="GT252" s="333"/>
      <c r="GU252" s="333"/>
      <c r="GV252" s="333"/>
      <c r="GW252" s="333"/>
      <c r="GX252" s="333"/>
      <c r="GY252" s="333"/>
      <c r="GZ252" s="333"/>
      <c r="HA252" s="333"/>
      <c r="HB252" s="333"/>
      <c r="HC252" s="333"/>
      <c r="HD252" s="333"/>
      <c r="HE252" s="333"/>
      <c r="HF252" s="333"/>
      <c r="HG252" s="333"/>
      <c r="HH252" s="333"/>
      <c r="HI252" s="333"/>
      <c r="HJ252" s="333"/>
      <c r="HK252" s="333"/>
      <c r="HL252" s="333"/>
      <c r="HM252" s="333"/>
      <c r="HN252" s="333"/>
      <c r="HO252" s="333"/>
      <c r="HP252" s="333"/>
      <c r="HQ252" s="333"/>
      <c r="HR252" s="333"/>
      <c r="HS252" s="333"/>
      <c r="HT252" s="333"/>
      <c r="HU252" s="333"/>
      <c r="HV252" s="333"/>
      <c r="HW252" s="333"/>
      <c r="HX252" s="333"/>
      <c r="HY252" s="333"/>
      <c r="HZ252" s="333"/>
      <c r="IA252" s="333"/>
      <c r="IB252" s="333"/>
      <c r="IC252" s="333"/>
      <c r="ID252" s="333"/>
      <c r="IE252" s="333"/>
      <c r="IF252" s="333"/>
      <c r="IG252" s="333"/>
      <c r="IH252" s="333"/>
      <c r="II252" s="333"/>
      <c r="IJ252" s="333"/>
      <c r="IK252" s="333"/>
      <c r="IL252" s="333"/>
      <c r="IM252" s="333"/>
      <c r="IN252" s="333"/>
      <c r="IO252" s="333"/>
      <c r="IP252" s="333"/>
      <c r="IQ252" s="333"/>
      <c r="IR252" s="333"/>
      <c r="IS252" s="333"/>
      <c r="IT252" s="333"/>
      <c r="IU252" s="333"/>
      <c r="IV252" s="333"/>
      <c r="IW252" s="333"/>
    </row>
    <row r="253" customFormat="false" ht="11.25" hidden="false" customHeight="false" outlineLevel="0" collapsed="false">
      <c r="A253" s="302" t="n">
        <v>4612</v>
      </c>
      <c r="B253" s="302"/>
      <c r="C253" s="303" t="s">
        <v>616</v>
      </c>
      <c r="D253" s="304" t="s">
        <v>616</v>
      </c>
      <c r="E253" s="288" t="n">
        <f aca="false">IF(I253="regional",IF(R253*0.2975,S253*0.3484),S253*0.1939)</f>
        <v>51471.1428</v>
      </c>
      <c r="F253" s="305" t="n">
        <v>0</v>
      </c>
      <c r="G253" s="306" t="n">
        <f aca="false">E253+F253</f>
        <v>51471.1428</v>
      </c>
      <c r="H253" s="303" t="s">
        <v>49</v>
      </c>
      <c r="I253" s="304" t="s">
        <v>62</v>
      </c>
      <c r="J253" s="304"/>
      <c r="K253" s="304" t="s">
        <v>98</v>
      </c>
      <c r="L253" s="304"/>
      <c r="M253" s="360" t="n">
        <v>18</v>
      </c>
      <c r="N253" s="360" t="n">
        <v>0.997</v>
      </c>
      <c r="O253" s="360" t="n">
        <v>0.997</v>
      </c>
      <c r="P253" s="360" t="n">
        <v>1</v>
      </c>
      <c r="Q253" s="360" t="n">
        <v>0.952</v>
      </c>
      <c r="R253" s="360" t="n">
        <v>0</v>
      </c>
      <c r="S253" s="360" t="n">
        <v>265452</v>
      </c>
      <c r="T253" s="318" t="n">
        <f aca="false">IF(I253="regional",IF(R253&gt;0,R253*0.2975,S253*0.3484),S253*0.1939)</f>
        <v>51471.1428</v>
      </c>
      <c r="U253" s="360" t="n">
        <v>222664</v>
      </c>
      <c r="V253" s="360" t="n">
        <v>42788</v>
      </c>
      <c r="W253" s="360" t="n">
        <v>0</v>
      </c>
      <c r="X253" s="360" t="n">
        <v>0</v>
      </c>
      <c r="Y253" s="360" t="n">
        <v>0</v>
      </c>
      <c r="Z253" s="360" t="n">
        <v>0</v>
      </c>
      <c r="AA253" s="360" t="n">
        <v>316923.1428</v>
      </c>
      <c r="AB253" s="360" t="n">
        <v>51471.1428</v>
      </c>
      <c r="AC253" s="360" t="n">
        <v>265452</v>
      </c>
      <c r="AD253" s="360" t="n">
        <v>0</v>
      </c>
      <c r="AE253" s="360" t="n">
        <v>0</v>
      </c>
      <c r="AF253" s="360" t="n">
        <v>0</v>
      </c>
      <c r="AG253" s="360" t="n">
        <v>265452</v>
      </c>
      <c r="AH253" s="360" t="n">
        <v>0</v>
      </c>
      <c r="AI253" s="360" t="n">
        <v>0</v>
      </c>
      <c r="AJ253" s="303" t="n">
        <v>4</v>
      </c>
      <c r="AK253" s="303" t="s">
        <v>706</v>
      </c>
      <c r="AL253" s="304" t="s">
        <v>62</v>
      </c>
      <c r="AM253" s="303" t="s">
        <v>49</v>
      </c>
      <c r="AN253" s="304" t="s">
        <v>616</v>
      </c>
      <c r="AO253" s="304" t="n">
        <v>51471.1428</v>
      </c>
      <c r="AP253" s="361" t="n">
        <f aca="false">AR253+AT253+AU253+AV253+AX253+AY253+AZ253+BD253+BF253+BG253+BH253+BJ253+BK253+(BL253+BM253+BN253)/1000+(0.1*BO253)</f>
        <v>14</v>
      </c>
      <c r="AQ253" s="319" t="n">
        <f aca="false">AR253+AT253+AU253+AV253+AX253+AY253+AZ253+BB253+BC253+BD253+BF253+BG253+BH253+BJ253+BK253+(BL253+BM253+BN253)/1000+(0.1*BO253)</f>
        <v>22</v>
      </c>
      <c r="AR253" s="302" t="n">
        <v>0</v>
      </c>
      <c r="AS253" s="302" t="n">
        <v>0</v>
      </c>
      <c r="AT253" s="302" t="n">
        <v>7</v>
      </c>
      <c r="AU253" s="302" t="n">
        <v>7</v>
      </c>
      <c r="AV253" s="302" t="n">
        <v>0</v>
      </c>
      <c r="AW253" s="302" t="n">
        <v>0</v>
      </c>
      <c r="AX253" s="302" t="n">
        <v>0</v>
      </c>
      <c r="AY253" s="302" t="n">
        <v>0</v>
      </c>
      <c r="AZ253" s="302" t="n">
        <v>0</v>
      </c>
      <c r="BA253" s="302" t="n">
        <v>5</v>
      </c>
      <c r="BB253" s="302" t="n">
        <v>8</v>
      </c>
      <c r="BC253" s="302" t="n">
        <v>0</v>
      </c>
      <c r="BD253" s="302" t="n">
        <v>0</v>
      </c>
      <c r="BE253" s="302" t="n">
        <v>0</v>
      </c>
      <c r="BF253" s="302" t="n">
        <v>0</v>
      </c>
      <c r="BG253" s="302" t="n">
        <v>0</v>
      </c>
      <c r="BH253" s="302" t="n">
        <v>0</v>
      </c>
      <c r="BI253" s="302" t="n">
        <v>0</v>
      </c>
      <c r="BJ253" s="302" t="n">
        <v>0</v>
      </c>
      <c r="BK253" s="302" t="n">
        <v>0</v>
      </c>
      <c r="BL253" s="302" t="n">
        <v>0</v>
      </c>
      <c r="BM253" s="302" t="n">
        <v>0</v>
      </c>
      <c r="BN253" s="302" t="n">
        <v>0</v>
      </c>
      <c r="BO253" s="302" t="n">
        <v>0</v>
      </c>
      <c r="BP253" s="324"/>
      <c r="BR253" s="290" t="n">
        <f aca="false">AR253*1000/0.072</f>
        <v>0</v>
      </c>
      <c r="BS253" s="290" t="n">
        <f aca="false">AT253*1000/0.072</f>
        <v>97222.2222222222</v>
      </c>
      <c r="BT253" s="290" t="n">
        <f aca="false">AU253*1000/0.072</f>
        <v>97222.2222222222</v>
      </c>
      <c r="BU253" s="362" t="n">
        <f aca="false">SUM(BR253:BT253)</f>
        <v>194444.444444444</v>
      </c>
      <c r="BV253" s="290" t="n">
        <f aca="false">AV253*1000/5</f>
        <v>0</v>
      </c>
      <c r="BW253" s="290" t="n">
        <f aca="false">AX253*1000/5</f>
        <v>0</v>
      </c>
      <c r="BX253" s="290" t="n">
        <f aca="false">AY253*1000/5</f>
        <v>0</v>
      </c>
      <c r="BY253" s="290" t="n">
        <f aca="false">SUM(BV253:BX253)</f>
        <v>0</v>
      </c>
      <c r="CA253" s="290" t="n">
        <f aca="false">IF($AM253="n",0,BR253)</f>
        <v>0</v>
      </c>
      <c r="CB253" s="290" t="n">
        <f aca="false">IF($AM253="n",0,BS253)</f>
        <v>0</v>
      </c>
      <c r="CC253" s="290" t="n">
        <f aca="false">IF($AM253="n",0,BT253)</f>
        <v>0</v>
      </c>
      <c r="CD253" s="290" t="n">
        <f aca="false">SUM(CA253:CC253)</f>
        <v>0</v>
      </c>
      <c r="CE253" s="290" t="n">
        <f aca="false">IF($AM$2="n",0,BV253)</f>
        <v>0</v>
      </c>
      <c r="CF253" s="290" t="n">
        <f aca="false">IF($AM$2="n",0,BW253)</f>
        <v>0</v>
      </c>
      <c r="CG253" s="290" t="n">
        <f aca="false">IF($AM$2="n",0,BX253)</f>
        <v>0</v>
      </c>
      <c r="CH253" s="290" t="n">
        <f aca="false">SUM(CE253:CG253)</f>
        <v>0</v>
      </c>
      <c r="CJ253" s="324"/>
      <c r="CK253" s="324"/>
      <c r="CL253" s="324"/>
      <c r="CM253" s="324"/>
      <c r="CN253" s="324"/>
      <c r="CO253" s="324"/>
      <c r="CP253" s="324"/>
      <c r="CQ253" s="324"/>
      <c r="CR253" s="324"/>
      <c r="CS253" s="324"/>
      <c r="CT253" s="324"/>
      <c r="CU253" s="324"/>
      <c r="CV253" s="324"/>
      <c r="CW253" s="324"/>
      <c r="CX253" s="324"/>
      <c r="CY253" s="324"/>
      <c r="CZ253" s="324"/>
      <c r="DA253" s="324"/>
      <c r="DB253" s="324"/>
      <c r="DC253" s="324"/>
      <c r="DD253" s="324"/>
      <c r="DE253" s="324"/>
      <c r="DF253" s="324"/>
      <c r="DG253" s="324"/>
      <c r="DH253" s="324"/>
      <c r="DI253" s="324"/>
      <c r="DJ253" s="324"/>
      <c r="DK253" s="324"/>
      <c r="DL253" s="333"/>
      <c r="DM253" s="333"/>
      <c r="DN253" s="333"/>
      <c r="DO253" s="333"/>
      <c r="DP253" s="333"/>
      <c r="DQ253" s="333"/>
      <c r="DR253" s="333"/>
      <c r="DS253" s="333"/>
      <c r="DT253" s="333"/>
      <c r="DU253" s="333"/>
      <c r="DV253" s="333"/>
      <c r="DW253" s="333"/>
      <c r="DX253" s="333"/>
      <c r="DY253" s="333"/>
      <c r="DZ253" s="333"/>
      <c r="EA253" s="333"/>
      <c r="EB253" s="333"/>
      <c r="EC253" s="333"/>
      <c r="ED253" s="333"/>
      <c r="EE253" s="333"/>
      <c r="EF253" s="333"/>
      <c r="EG253" s="333"/>
      <c r="EH253" s="333"/>
      <c r="EI253" s="333"/>
      <c r="EJ253" s="333"/>
      <c r="EK253" s="333"/>
      <c r="EL253" s="333"/>
      <c r="EM253" s="333"/>
      <c r="EN253" s="333"/>
      <c r="EO253" s="333"/>
      <c r="EP253" s="333"/>
      <c r="EQ253" s="333"/>
      <c r="ER253" s="333"/>
      <c r="ES253" s="333"/>
      <c r="ET253" s="333"/>
      <c r="EU253" s="333"/>
      <c r="EV253" s="333"/>
      <c r="EW253" s="333"/>
      <c r="EX253" s="333"/>
      <c r="EY253" s="333"/>
      <c r="EZ253" s="333"/>
      <c r="FA253" s="333"/>
      <c r="FB253" s="333"/>
      <c r="FC253" s="333"/>
      <c r="FD253" s="333"/>
      <c r="FE253" s="333"/>
      <c r="FF253" s="333"/>
      <c r="FG253" s="333"/>
      <c r="FH253" s="333"/>
      <c r="FI253" s="333"/>
      <c r="FJ253" s="333"/>
      <c r="FK253" s="333"/>
      <c r="FL253" s="333"/>
      <c r="FM253" s="333"/>
      <c r="FN253" s="333"/>
      <c r="FO253" s="333"/>
      <c r="FP253" s="333"/>
      <c r="FQ253" s="333"/>
      <c r="FR253" s="333"/>
      <c r="FS253" s="333"/>
      <c r="FT253" s="333"/>
      <c r="FU253" s="333"/>
      <c r="FV253" s="333"/>
      <c r="FW253" s="333"/>
      <c r="FX253" s="333"/>
      <c r="FY253" s="333"/>
      <c r="FZ253" s="333"/>
      <c r="GA253" s="333"/>
      <c r="GB253" s="333"/>
      <c r="GC253" s="333"/>
      <c r="GD253" s="333"/>
      <c r="GE253" s="333"/>
      <c r="GF253" s="333"/>
      <c r="GG253" s="333"/>
      <c r="GH253" s="333"/>
      <c r="GI253" s="333"/>
      <c r="GJ253" s="333"/>
      <c r="GK253" s="333"/>
      <c r="GL253" s="333"/>
      <c r="GM253" s="333"/>
      <c r="GN253" s="333"/>
      <c r="GO253" s="333"/>
      <c r="GP253" s="333"/>
      <c r="GQ253" s="333"/>
      <c r="GR253" s="333"/>
      <c r="GS253" s="333"/>
      <c r="GT253" s="333"/>
      <c r="GU253" s="333"/>
      <c r="GV253" s="333"/>
      <c r="GW253" s="333"/>
      <c r="GX253" s="333"/>
      <c r="GY253" s="333"/>
      <c r="GZ253" s="333"/>
      <c r="HA253" s="333"/>
      <c r="HB253" s="333"/>
      <c r="HC253" s="333"/>
      <c r="HD253" s="333"/>
      <c r="HE253" s="333"/>
      <c r="HF253" s="333"/>
      <c r="HG253" s="333"/>
      <c r="HH253" s="333"/>
      <c r="HI253" s="333"/>
      <c r="HJ253" s="333"/>
      <c r="HK253" s="333"/>
      <c r="HL253" s="333"/>
      <c r="HM253" s="333"/>
      <c r="HN253" s="333"/>
      <c r="HO253" s="333"/>
      <c r="HP253" s="333"/>
      <c r="HQ253" s="333"/>
      <c r="HR253" s="333"/>
      <c r="HS253" s="333"/>
      <c r="HT253" s="333"/>
      <c r="HU253" s="333"/>
      <c r="HV253" s="333"/>
      <c r="HW253" s="333"/>
      <c r="HX253" s="333"/>
      <c r="HY253" s="333"/>
      <c r="HZ253" s="333"/>
      <c r="IA253" s="333"/>
      <c r="IB253" s="333"/>
      <c r="IC253" s="333"/>
      <c r="ID253" s="333"/>
      <c r="IE253" s="333"/>
      <c r="IF253" s="333"/>
      <c r="IG253" s="333"/>
      <c r="IH253" s="333"/>
      <c r="II253" s="333"/>
      <c r="IJ253" s="333"/>
      <c r="IK253" s="333"/>
      <c r="IL253" s="333"/>
      <c r="IM253" s="333"/>
      <c r="IN253" s="333"/>
      <c r="IO253" s="333"/>
      <c r="IP253" s="333"/>
      <c r="IQ253" s="333"/>
      <c r="IR253" s="333"/>
      <c r="IS253" s="333"/>
      <c r="IT253" s="333"/>
      <c r="IU253" s="333"/>
      <c r="IV253" s="333"/>
      <c r="IW253" s="333"/>
    </row>
    <row r="254" customFormat="false" ht="11.25" hidden="false" customHeight="false" outlineLevel="0" collapsed="false">
      <c r="A254" s="307"/>
      <c r="B254" s="307"/>
      <c r="C254" s="308"/>
      <c r="D254" s="308"/>
      <c r="E254" s="308"/>
      <c r="F254" s="308"/>
      <c r="G254" s="308"/>
      <c r="H254" s="308"/>
      <c r="I254" s="308"/>
      <c r="J254" s="308"/>
      <c r="K254" s="308" t="n">
        <f aca="false">COUNTIF(L2:L253,"y")</f>
        <v>52</v>
      </c>
      <c r="L254" s="308"/>
      <c r="M254" s="308"/>
      <c r="N254" s="308"/>
      <c r="O254" s="308"/>
      <c r="P254" s="308"/>
      <c r="Q254" s="308"/>
      <c r="R254" s="308"/>
      <c r="S254" s="308"/>
      <c r="T254" s="308"/>
      <c r="U254" s="308"/>
      <c r="V254" s="308"/>
      <c r="W254" s="308"/>
      <c r="X254" s="308"/>
      <c r="Y254" s="308"/>
      <c r="Z254" s="308"/>
      <c r="AA254" s="308"/>
      <c r="AB254" s="308"/>
      <c r="AC254" s="308"/>
      <c r="AD254" s="308"/>
      <c r="AE254" s="308"/>
      <c r="AF254" s="308"/>
      <c r="AG254" s="308"/>
      <c r="AH254" s="308"/>
      <c r="AI254" s="308"/>
      <c r="AJ254" s="308"/>
      <c r="AK254" s="308"/>
      <c r="AL254" s="308"/>
      <c r="AM254" s="308"/>
      <c r="AN254" s="308"/>
      <c r="AO254" s="308"/>
      <c r="AP254" s="308"/>
      <c r="AQ254" s="308" t="n">
        <f aca="false">SUM(AQ2:AQ253)</f>
        <v>88892.364233</v>
      </c>
      <c r="AR254" s="308" t="n">
        <f aca="false">SUM(AR2:AR253)</f>
        <v>22774</v>
      </c>
      <c r="AS254" s="308" t="n">
        <f aca="false">SUM(AS2:AS253)</f>
        <v>50239</v>
      </c>
      <c r="AT254" s="308" t="n">
        <f aca="false">SUM(AT2:AT253)</f>
        <v>32961</v>
      </c>
      <c r="AU254" s="308" t="n">
        <f aca="false">SUM(AU2:AU253)</f>
        <v>2359</v>
      </c>
      <c r="AV254" s="308" t="n">
        <f aca="false">SUM(AV2:AV253)</f>
        <v>871</v>
      </c>
      <c r="AW254" s="363" t="n">
        <f aca="false">SUM(AW2:AW253)</f>
        <v>928</v>
      </c>
      <c r="AX254" s="308" t="n">
        <f aca="false">SUM(AX2:AX253)</f>
        <v>1052</v>
      </c>
      <c r="AY254" s="308" t="n">
        <f aca="false">SUM(AY2:AY253)</f>
        <v>207</v>
      </c>
      <c r="AZ254" s="308" t="n">
        <f aca="false">SUM(AZ2:AZ253)</f>
        <v>2064</v>
      </c>
      <c r="BA254" s="308" t="n">
        <f aca="false">SUM(BA2:BA253)</f>
        <v>3952</v>
      </c>
      <c r="BB254" s="308" t="n">
        <f aca="false">SUM(BB2:BB253)</f>
        <v>6439</v>
      </c>
      <c r="BC254" s="308" t="n">
        <f aca="false">SUM(BC2:BC253)</f>
        <v>464</v>
      </c>
      <c r="BD254" s="308" t="n">
        <f aca="false">SUM(BD2:BD253)</f>
        <v>2694</v>
      </c>
      <c r="BE254" s="308" t="n">
        <f aca="false">SUM(BE2:BE253)</f>
        <v>24</v>
      </c>
      <c r="BF254" s="308" t="n">
        <f aca="false">SUM(BF2:BF253)</f>
        <v>0</v>
      </c>
      <c r="BG254" s="308" t="n">
        <f aca="false">SUM(BG2:BG253)</f>
        <v>0</v>
      </c>
      <c r="BH254" s="308" t="n">
        <f aca="false">SUM(BH2:BH253)</f>
        <v>5047</v>
      </c>
      <c r="BI254" s="308" t="n">
        <f aca="false">SUM(BI2:BI253)</f>
        <v>82</v>
      </c>
      <c r="BJ254" s="308" t="n">
        <f aca="false">SUM(BJ2:BJ253)</f>
        <v>0</v>
      </c>
      <c r="BK254" s="308" t="n">
        <f aca="false">SUM(BK2:BK253)</f>
        <v>0</v>
      </c>
      <c r="BL254" s="308" t="n">
        <f aca="false">SUM(BL2:BL253)</f>
        <v>1896076</v>
      </c>
      <c r="BM254" s="308" t="n">
        <f aca="false">SUM(BM2:BM253)</f>
        <v>684022</v>
      </c>
      <c r="BN254" s="308" t="n">
        <f aca="false">SUM(BN2:BN253)</f>
        <v>2696101</v>
      </c>
      <c r="BO254" s="308" t="n">
        <f aca="false">SUM(BO2:BO253)</f>
        <v>66841.65233</v>
      </c>
      <c r="BP254" s="307"/>
      <c r="BQ254" s="309"/>
      <c r="BR254" s="364" t="n">
        <f aca="false">SUM(BR2:BR253)</f>
        <v>316305555.555556</v>
      </c>
      <c r="BS254" s="364" t="n">
        <f aca="false">SUM(BS2:BS253)</f>
        <v>457791666.666667</v>
      </c>
      <c r="BT254" s="364" t="n">
        <f aca="false">SUM(BT2:BT253)</f>
        <v>32763888.8888889</v>
      </c>
      <c r="BU254" s="290" t="n">
        <f aca="false">SUM(BU2:BU253)</f>
        <v>806861111.111111</v>
      </c>
      <c r="BV254" s="365" t="n">
        <f aca="false">SUM(BV2:BV253)</f>
        <v>174200</v>
      </c>
      <c r="BW254" s="365" t="n">
        <f aca="false">SUM(BW2:BW253)</f>
        <v>210400</v>
      </c>
      <c r="BX254" s="365" t="n">
        <f aca="false">SUM(BX2:BX253)</f>
        <v>41400</v>
      </c>
      <c r="BY254" s="365" t="n">
        <f aca="false">SUM(BY2:BY253)</f>
        <v>426000</v>
      </c>
      <c r="BZ254" s="309"/>
      <c r="CA254" s="290" t="n">
        <f aca="false">SUM(CA2:CA253)</f>
        <v>233013888.888889</v>
      </c>
      <c r="CB254" s="290" t="n">
        <f aca="false">SUM(CB2:CB253)</f>
        <v>322388888.888889</v>
      </c>
      <c r="CC254" s="290" t="n">
        <f aca="false">SUM(CC2:CC253)</f>
        <v>27138888.8888889</v>
      </c>
      <c r="CD254" s="307" t="n">
        <f aca="false">SUM(CA254:CC254)</f>
        <v>582541666.666667</v>
      </c>
      <c r="CE254" s="290" t="n">
        <f aca="false">IF($AM$2="n",0,BV254)</f>
        <v>174200</v>
      </c>
      <c r="CF254" s="290" t="n">
        <f aca="false">IF($AM$2="n",0,BW254)</f>
        <v>210400</v>
      </c>
      <c r="CG254" s="290" t="n">
        <f aca="false">IF($AM$2="n",0,BX254)</f>
        <v>41400</v>
      </c>
      <c r="CH254" s="290" t="n">
        <f aca="false">SUM(CE254:CG254)</f>
        <v>426000</v>
      </c>
      <c r="CI254" s="366"/>
      <c r="CJ254" s="307"/>
      <c r="CK254" s="307"/>
      <c r="CL254" s="307"/>
      <c r="CM254" s="307"/>
      <c r="CN254" s="307"/>
      <c r="CO254" s="307"/>
      <c r="CP254" s="307"/>
      <c r="CQ254" s="307"/>
      <c r="CR254" s="307"/>
      <c r="CS254" s="307"/>
      <c r="CT254" s="307"/>
      <c r="CU254" s="307"/>
      <c r="CV254" s="307"/>
      <c r="CW254" s="307"/>
      <c r="CX254" s="307"/>
      <c r="CY254" s="307"/>
      <c r="CZ254" s="307"/>
      <c r="DA254" s="307"/>
      <c r="DB254" s="307"/>
      <c r="DC254" s="307"/>
      <c r="DD254" s="307"/>
      <c r="DE254" s="307"/>
      <c r="DF254" s="307"/>
      <c r="DG254" s="307"/>
      <c r="DH254" s="307"/>
      <c r="DI254" s="307"/>
      <c r="DJ254" s="307"/>
      <c r="DK254" s="307"/>
      <c r="DL254" s="307"/>
      <c r="DM254" s="307"/>
      <c r="DN254" s="307"/>
      <c r="DO254" s="307"/>
      <c r="DP254" s="307"/>
      <c r="DQ254" s="307"/>
      <c r="DR254" s="307"/>
      <c r="DS254" s="307"/>
      <c r="DT254" s="307"/>
      <c r="DU254" s="307"/>
      <c r="DV254" s="307"/>
      <c r="DW254" s="307"/>
      <c r="DX254" s="307"/>
      <c r="DY254" s="307"/>
      <c r="DZ254" s="307"/>
      <c r="EA254" s="307"/>
      <c r="EB254" s="307"/>
      <c r="EC254" s="307"/>
      <c r="ED254" s="307"/>
      <c r="EE254" s="307"/>
      <c r="EF254" s="307"/>
      <c r="EG254" s="307"/>
      <c r="EH254" s="307"/>
      <c r="EI254" s="307"/>
      <c r="EJ254" s="307"/>
      <c r="EK254" s="307"/>
      <c r="EL254" s="307"/>
      <c r="EM254" s="307"/>
      <c r="EN254" s="307"/>
      <c r="EO254" s="307"/>
      <c r="EP254" s="307"/>
      <c r="EQ254" s="307"/>
      <c r="ER254" s="307"/>
      <c r="ES254" s="307"/>
      <c r="ET254" s="307"/>
      <c r="EU254" s="307"/>
      <c r="EV254" s="307"/>
      <c r="EW254" s="307"/>
      <c r="EX254" s="307"/>
      <c r="EY254" s="307"/>
      <c r="EZ254" s="307"/>
      <c r="FA254" s="307"/>
      <c r="FB254" s="307"/>
      <c r="FC254" s="307"/>
      <c r="FD254" s="307"/>
      <c r="FE254" s="307"/>
      <c r="FF254" s="307"/>
      <c r="FG254" s="307"/>
      <c r="FH254" s="307"/>
      <c r="FI254" s="307"/>
      <c r="FJ254" s="307"/>
      <c r="FK254" s="307"/>
      <c r="FL254" s="307"/>
      <c r="FM254" s="307"/>
      <c r="FN254" s="307"/>
      <c r="FO254" s="307"/>
      <c r="FP254" s="307"/>
      <c r="FQ254" s="307"/>
      <c r="FR254" s="307"/>
      <c r="FS254" s="307"/>
      <c r="FT254" s="307"/>
      <c r="FU254" s="307"/>
      <c r="FV254" s="307"/>
      <c r="FW254" s="307"/>
      <c r="FX254" s="307"/>
      <c r="FY254" s="307"/>
      <c r="FZ254" s="307"/>
      <c r="GA254" s="307"/>
      <c r="GB254" s="307"/>
      <c r="GC254" s="307"/>
      <c r="GD254" s="307"/>
      <c r="GE254" s="307"/>
      <c r="GF254" s="307"/>
      <c r="GG254" s="307"/>
      <c r="GH254" s="307"/>
      <c r="GI254" s="307"/>
      <c r="GJ254" s="307"/>
      <c r="GK254" s="307"/>
      <c r="GL254" s="307"/>
      <c r="GM254" s="307"/>
      <c r="GN254" s="307"/>
      <c r="GO254" s="307"/>
      <c r="GP254" s="307"/>
      <c r="GQ254" s="307"/>
      <c r="GR254" s="307"/>
      <c r="GS254" s="307"/>
      <c r="GT254" s="307"/>
      <c r="GU254" s="307"/>
      <c r="GV254" s="307"/>
      <c r="GW254" s="307"/>
      <c r="GX254" s="307"/>
      <c r="GY254" s="307"/>
      <c r="GZ254" s="307"/>
      <c r="HA254" s="307"/>
      <c r="HB254" s="307"/>
      <c r="HC254" s="307"/>
      <c r="HD254" s="307"/>
      <c r="HE254" s="307"/>
      <c r="HF254" s="307"/>
      <c r="HG254" s="307"/>
      <c r="HH254" s="307"/>
      <c r="HI254" s="307"/>
      <c r="HJ254" s="307"/>
      <c r="HK254" s="307"/>
      <c r="HL254" s="307"/>
      <c r="HM254" s="307"/>
      <c r="HN254" s="307"/>
      <c r="HO254" s="307"/>
      <c r="HP254" s="307"/>
      <c r="HQ254" s="307"/>
      <c r="HR254" s="307"/>
      <c r="HS254" s="307"/>
      <c r="HT254" s="307"/>
      <c r="HU254" s="307"/>
      <c r="HV254" s="307"/>
      <c r="HW254" s="307"/>
      <c r="HX254" s="307"/>
      <c r="HY254" s="307"/>
      <c r="HZ254" s="307"/>
      <c r="IA254" s="307"/>
      <c r="IB254" s="307"/>
      <c r="IC254" s="307"/>
      <c r="ID254" s="307"/>
      <c r="IE254" s="307"/>
      <c r="IF254" s="307"/>
      <c r="IG254" s="307"/>
      <c r="IH254" s="307"/>
      <c r="II254" s="307"/>
      <c r="IJ254" s="307"/>
      <c r="IK254" s="307"/>
      <c r="IL254" s="307"/>
      <c r="IM254" s="307"/>
      <c r="IN254" s="307"/>
      <c r="IO254" s="307"/>
      <c r="IP254" s="307"/>
      <c r="IQ254" s="307"/>
      <c r="IR254" s="307"/>
      <c r="IS254" s="307"/>
      <c r="IT254" s="307"/>
      <c r="IU254" s="307"/>
      <c r="IV254" s="307"/>
      <c r="IW254" s="307"/>
    </row>
    <row r="255" customFormat="false" ht="12" hidden="false" customHeight="false" outlineLevel="0" collapsed="false">
      <c r="A255" s="310"/>
      <c r="B255" s="310"/>
      <c r="C255" s="311"/>
      <c r="D255" s="311"/>
      <c r="E255" s="311"/>
      <c r="F255" s="311"/>
      <c r="G255" s="311"/>
      <c r="H255" s="311"/>
      <c r="I255" s="311"/>
      <c r="J255" s="311"/>
      <c r="K255" s="311"/>
      <c r="L255" s="311"/>
      <c r="M255" s="311"/>
      <c r="N255" s="311"/>
      <c r="O255" s="311"/>
      <c r="P255" s="311"/>
      <c r="Q255" s="311"/>
      <c r="R255" s="311"/>
      <c r="S255" s="311"/>
      <c r="T255" s="311"/>
      <c r="U255" s="311"/>
      <c r="V255" s="311"/>
      <c r="W255" s="311"/>
      <c r="X255" s="311"/>
      <c r="Y255" s="311"/>
      <c r="Z255" s="311"/>
      <c r="AA255" s="311"/>
      <c r="AB255" s="311"/>
      <c r="AC255" s="311"/>
      <c r="AD255" s="311"/>
      <c r="AE255" s="311"/>
      <c r="AF255" s="311"/>
      <c r="AG255" s="311"/>
      <c r="AH255" s="311"/>
      <c r="AI255" s="311"/>
      <c r="AJ255" s="311"/>
      <c r="AK255" s="311"/>
      <c r="AL255" s="311"/>
      <c r="AM255" s="311"/>
      <c r="AN255" s="311"/>
      <c r="AO255" s="311"/>
      <c r="AP255" s="367"/>
      <c r="AQ255" s="367"/>
      <c r="AR255" s="368" t="n">
        <f aca="false">AR254-SUMIF($AM$2:$AM$253,"n",AR2:AR253)</f>
        <v>16777</v>
      </c>
      <c r="AS255" s="369" t="n">
        <f aca="false">AS254-SUMIF($AM$2:$AM$253,"n",AS2:AS253)</f>
        <v>34563</v>
      </c>
      <c r="AT255" s="368" t="n">
        <f aca="false">AT254-SUMIF($AM$2:$AM$253,"n",AT2:AT253)</f>
        <v>23212</v>
      </c>
      <c r="AU255" s="368" t="n">
        <f aca="false">AU254-SUMIF($AM$2:$AM$253,"n",AU2:AU253)</f>
        <v>1954</v>
      </c>
      <c r="AV255" s="368" t="n">
        <f aca="false">AV254-SUMIF($AM$2:$AM$253,"n",AV2:AV253)</f>
        <v>466</v>
      </c>
      <c r="AW255" s="369" t="n">
        <f aca="false">AW254-SUMIF($AM$2:$AM$253,"n",AW2:AW253)</f>
        <v>523</v>
      </c>
      <c r="AX255" s="368" t="n">
        <f aca="false">AX254-SUMIF($AM$2:$AM$253,"n",AX2:AX253)</f>
        <v>845</v>
      </c>
      <c r="AY255" s="368" t="n">
        <f aca="false">AY254-SUMIF($AM$2:$AM$253,"n",AY2:AY253)</f>
        <v>175</v>
      </c>
      <c r="AZ255" s="368" t="n">
        <f aca="false">AZ254-SUMIF($AM$2:$AM$253,"n",AZ2:AZ253)</f>
        <v>748</v>
      </c>
      <c r="BA255" s="369" t="n">
        <f aca="false">BA254-SUMIF($AM$2:$AM$253,"n",BA2:BA253)</f>
        <v>2348</v>
      </c>
      <c r="BB255" s="369" t="n">
        <f aca="false">BB254-SUMIF($AM$2:$AM$253,"n",BB2:BB253)</f>
        <v>4762</v>
      </c>
      <c r="BC255" s="369" t="n">
        <f aca="false">BC254-SUMIF($AM$2:$AM$253,"n",BC2:BC253)</f>
        <v>421</v>
      </c>
      <c r="BD255" s="368" t="n">
        <f aca="false">BD254-SUMIF($AM$2:$AM$253,"n",BD2:BD253)</f>
        <v>1915</v>
      </c>
      <c r="BE255" s="369" t="n">
        <f aca="false">BE254-SUMIF($AM$2:$AM$253,"n",BE2:BE253)</f>
        <v>23</v>
      </c>
      <c r="BF255" s="369" t="n">
        <f aca="false">BF254-SUMIF($AM$2:$AM$253,"n",BF2:BF253)</f>
        <v>0</v>
      </c>
      <c r="BG255" s="369" t="n">
        <f aca="false">BG254-SUMIF($AM$2:$AM$253,"n",BG2:BG253)</f>
        <v>0</v>
      </c>
      <c r="BH255" s="368" t="n">
        <f aca="false">BH254-SUMIF($AM$2:$AM$253,"n",BH2:BH253)</f>
        <v>3526</v>
      </c>
      <c r="BI255" s="369" t="n">
        <f aca="false">BI254-SUMIF($AM$2:$AM$253,"n",BI2:BI253)</f>
        <v>43</v>
      </c>
      <c r="BJ255" s="369" t="n">
        <f aca="false">BJ254-SUMIF($AM$2:$AM$253,"n",BJ2:BJ253)</f>
        <v>0</v>
      </c>
      <c r="BK255" s="369" t="n">
        <f aca="false">BK254-SUMIF($AM$2:$AM$253,"n",BK2:BK253)</f>
        <v>0</v>
      </c>
      <c r="BL255" s="368" t="n">
        <f aca="false">BL254-SUMIF($AM$2:$AM$253,"n",BL2:BL253)</f>
        <v>1417657</v>
      </c>
      <c r="BM255" s="368" t="n">
        <f aca="false">BM254-SUMIF($AM$2:$AM$253,"n",BM2:BM253)</f>
        <v>184376</v>
      </c>
      <c r="BN255" s="368" t="n">
        <f aca="false">BN254-SUMIF($AM$2:$AM$253,"n",BN2:BN253)</f>
        <v>2196215</v>
      </c>
      <c r="BO255" s="368" t="n">
        <f aca="false">BO254-SUMIF($AM$2:$AM$253,"n",BO2:BO253)</f>
        <v>50061.32356</v>
      </c>
      <c r="BP255" s="370"/>
      <c r="BQ255" s="312"/>
      <c r="BR255" s="290" t="n">
        <f aca="false">BR254-SUMIF($AM$2:$AM$253,"n",BR2:BR253)</f>
        <v>233013888.888889</v>
      </c>
      <c r="BS255" s="290" t="n">
        <f aca="false">BS254-SUMIF($AM$2:$AM$253,"n",BS2:BS253)</f>
        <v>322388888.888889</v>
      </c>
      <c r="BT255" s="290" t="n">
        <f aca="false">BT254-SUMIF($AM$2:$AM$253,"n",BT2:BT253)</f>
        <v>27138888.8888889</v>
      </c>
      <c r="BU255" s="290" t="n">
        <f aca="false">SUM(BR255:BT255)</f>
        <v>582541666.666667</v>
      </c>
      <c r="BV255" s="290" t="n">
        <f aca="false">BV254-SUMIF($AM$2:$AM$253,"n",BV2:BV253)</f>
        <v>93200</v>
      </c>
      <c r="BW255" s="290" t="n">
        <f aca="false">BW254-SUMIF($AM$2:$AM$253,"n",BW2:BW253)</f>
        <v>169000</v>
      </c>
      <c r="BX255" s="290" t="n">
        <f aca="false">BX254-SUMIF($AM$2:$AM$253,"n",BX2:BX253)</f>
        <v>35000</v>
      </c>
      <c r="BY255" s="290" t="n">
        <f aca="false">BY254-SUMIF($AM$2:$AM$253,"n",BY2:BY253)</f>
        <v>297200</v>
      </c>
      <c r="BZ255" s="312"/>
      <c r="CA255" s="290"/>
      <c r="CB255" s="290"/>
      <c r="CC255" s="290"/>
      <c r="CD255" s="370"/>
      <c r="CE255" s="370"/>
      <c r="CF255" s="370"/>
      <c r="CG255" s="370"/>
      <c r="CH255" s="370"/>
      <c r="CI255" s="371"/>
      <c r="CJ255" s="370"/>
      <c r="CK255" s="370"/>
      <c r="CL255" s="370"/>
      <c r="CM255" s="370"/>
      <c r="CN255" s="370"/>
      <c r="CO255" s="370"/>
      <c r="CP255" s="370"/>
      <c r="CQ255" s="370"/>
      <c r="CR255" s="370"/>
      <c r="CS255" s="370"/>
      <c r="CT255" s="370"/>
      <c r="CU255" s="370"/>
      <c r="CV255" s="370"/>
      <c r="CW255" s="370"/>
      <c r="CX255" s="370"/>
      <c r="CY255" s="370"/>
      <c r="CZ255" s="370"/>
      <c r="DA255" s="370"/>
      <c r="DB255" s="370"/>
      <c r="DC255" s="370"/>
      <c r="DD255" s="370"/>
      <c r="DE255" s="370"/>
      <c r="DF255" s="370"/>
      <c r="DG255" s="370"/>
      <c r="DH255" s="370"/>
      <c r="DI255" s="370"/>
      <c r="DJ255" s="370"/>
      <c r="DK255" s="370"/>
      <c r="DL255" s="370"/>
      <c r="DM255" s="370"/>
      <c r="DN255" s="370"/>
      <c r="DO255" s="370"/>
      <c r="DP255" s="370"/>
      <c r="DQ255" s="370"/>
      <c r="DR255" s="370"/>
      <c r="DS255" s="370"/>
      <c r="DT255" s="370"/>
      <c r="DU255" s="370"/>
      <c r="DV255" s="370"/>
      <c r="DW255" s="370"/>
      <c r="DX255" s="370"/>
      <c r="DY255" s="370"/>
      <c r="DZ255" s="370"/>
      <c r="EA255" s="370"/>
      <c r="EB255" s="370"/>
      <c r="EC255" s="370"/>
      <c r="ED255" s="370"/>
      <c r="EE255" s="370"/>
      <c r="EF255" s="370"/>
      <c r="EG255" s="370"/>
      <c r="EH255" s="370"/>
      <c r="EI255" s="370"/>
      <c r="EJ255" s="370"/>
      <c r="EK255" s="370"/>
      <c r="EL255" s="370"/>
      <c r="EM255" s="370"/>
      <c r="EN255" s="370"/>
      <c r="EO255" s="370"/>
      <c r="EP255" s="370"/>
      <c r="EQ255" s="370"/>
      <c r="ER255" s="370"/>
      <c r="ES255" s="370"/>
      <c r="ET255" s="370"/>
      <c r="EU255" s="370"/>
      <c r="EV255" s="370"/>
      <c r="EW255" s="370"/>
      <c r="EX255" s="370"/>
      <c r="EY255" s="370"/>
      <c r="EZ255" s="370"/>
      <c r="FA255" s="370"/>
      <c r="FB255" s="370"/>
      <c r="FC255" s="370"/>
      <c r="FD255" s="370"/>
      <c r="FE255" s="370"/>
      <c r="FF255" s="370"/>
      <c r="FG255" s="370"/>
      <c r="FH255" s="370"/>
      <c r="FI255" s="370"/>
      <c r="FJ255" s="370"/>
      <c r="FK255" s="370"/>
      <c r="FL255" s="370"/>
      <c r="FM255" s="370"/>
      <c r="FN255" s="370"/>
      <c r="FO255" s="370"/>
      <c r="FP255" s="370"/>
      <c r="FQ255" s="370"/>
      <c r="FR255" s="370"/>
      <c r="FS255" s="370"/>
      <c r="FT255" s="370"/>
      <c r="FU255" s="370"/>
      <c r="FV255" s="370"/>
      <c r="FW255" s="370"/>
      <c r="FX255" s="370"/>
      <c r="FY255" s="370"/>
      <c r="FZ255" s="370"/>
      <c r="GA255" s="370"/>
      <c r="GB255" s="370"/>
      <c r="GC255" s="370"/>
      <c r="GD255" s="370"/>
      <c r="GE255" s="370"/>
      <c r="GF255" s="370"/>
      <c r="GG255" s="370"/>
      <c r="GH255" s="370"/>
      <c r="GI255" s="370"/>
      <c r="GJ255" s="370"/>
      <c r="GK255" s="370"/>
      <c r="GL255" s="370"/>
      <c r="GM255" s="370"/>
      <c r="GN255" s="370"/>
      <c r="GO255" s="370"/>
      <c r="GP255" s="370"/>
      <c r="GQ255" s="370"/>
      <c r="GR255" s="370"/>
      <c r="GS255" s="370"/>
      <c r="GT255" s="370"/>
      <c r="GU255" s="370"/>
      <c r="GV255" s="370"/>
      <c r="GW255" s="370"/>
      <c r="GX255" s="370"/>
      <c r="GY255" s="370"/>
      <c r="GZ255" s="370"/>
      <c r="HA255" s="370"/>
      <c r="HB255" s="370"/>
      <c r="HC255" s="370"/>
      <c r="HD255" s="370"/>
      <c r="HE255" s="370"/>
      <c r="HF255" s="370"/>
      <c r="HG255" s="370"/>
      <c r="HH255" s="370"/>
      <c r="HI255" s="370"/>
      <c r="HJ255" s="370"/>
      <c r="HK255" s="370"/>
      <c r="HL255" s="370"/>
      <c r="HM255" s="370"/>
      <c r="HN255" s="370"/>
      <c r="HO255" s="370"/>
      <c r="HP255" s="370"/>
      <c r="HQ255" s="370"/>
      <c r="HR255" s="370"/>
      <c r="HS255" s="370"/>
      <c r="HT255" s="370"/>
      <c r="HU255" s="370"/>
      <c r="HV255" s="370"/>
      <c r="HW255" s="370"/>
      <c r="HX255" s="370"/>
      <c r="HY255" s="370"/>
      <c r="HZ255" s="370"/>
      <c r="IA255" s="370"/>
      <c r="IB255" s="370"/>
      <c r="IC255" s="370"/>
      <c r="ID255" s="370"/>
      <c r="IE255" s="370"/>
      <c r="IF255" s="370"/>
      <c r="IG255" s="370"/>
      <c r="IH255" s="370"/>
      <c r="II255" s="370"/>
      <c r="IJ255" s="370"/>
      <c r="IK255" s="370"/>
      <c r="IL255" s="370"/>
      <c r="IM255" s="370"/>
      <c r="IN255" s="370"/>
      <c r="IO255" s="370"/>
      <c r="IP255" s="370"/>
      <c r="IQ255" s="370"/>
      <c r="IR255" s="370"/>
      <c r="IS255" s="370"/>
      <c r="IT255" s="370"/>
      <c r="IU255" s="370"/>
      <c r="IV255" s="370"/>
      <c r="IW255" s="370"/>
    </row>
    <row r="256" customFormat="false" ht="12" hidden="false" customHeight="false" outlineLevel="0" collapsed="false"/>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5" pageOrder="downThenOver" orientation="landscape" blackAndWhite="false" draft="false" cellComments="none" horizontalDpi="300" verticalDpi="300" copies="1"/>
  <headerFooter differentFirst="false" differentOddEven="false">
    <oddHeader/>
    <oddFooter/>
  </headerFooter>
  <colBreaks count="1" manualBreakCount="1">
    <brk id="9" man="true" max="65535" min="0"/>
  </col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84"/>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D6" activeCellId="0" sqref="D6"/>
    </sheetView>
  </sheetViews>
  <sheetFormatPr defaultColWidth="7.9921875" defaultRowHeight="12.75" customHeight="true" zeroHeight="false" outlineLevelRow="0" outlineLevelCol="0"/>
  <cols>
    <col collapsed="false" customWidth="false" hidden="false" outlineLevel="0" max="1" min="1" style="1" width="7.99"/>
    <col collapsed="false" customWidth="true" hidden="false" outlineLevel="0" max="2" min="2" style="1" width="44.85"/>
    <col collapsed="false" customWidth="true" hidden="false" outlineLevel="0" max="3" min="3" style="1" width="12.85"/>
    <col collapsed="false" customWidth="true" hidden="false" outlineLevel="0" max="4" min="4" style="1" width="15.7"/>
    <col collapsed="false" customWidth="true" hidden="false" outlineLevel="0" max="5" min="5" style="1" width="13.28"/>
    <col collapsed="false" customWidth="true" hidden="false" outlineLevel="0" max="6" min="6" style="1" width="14.85"/>
    <col collapsed="false" customWidth="true" hidden="false" outlineLevel="0" max="7" min="7" style="1" width="18.7"/>
    <col collapsed="false" customWidth="true" hidden="false" outlineLevel="0" max="8" min="8" style="1" width="14.99"/>
    <col collapsed="false" customWidth="false" hidden="false" outlineLevel="0" max="257" min="9" style="1" width="7.99"/>
  </cols>
  <sheetData>
    <row r="1" customFormat="false" ht="18.75" hidden="false" customHeight="false" outlineLevel="0" collapsed="false">
      <c r="A1" s="372" t="s">
        <v>838</v>
      </c>
    </row>
    <row r="2" customFormat="false" ht="20.25" hidden="false" customHeight="false" outlineLevel="0" collapsed="false">
      <c r="A2" s="239" t="s">
        <v>43</v>
      </c>
      <c r="B2" s="373"/>
      <c r="C2" s="373"/>
      <c r="D2" s="374" t="s">
        <v>839</v>
      </c>
      <c r="E2" s="374" t="s">
        <v>839</v>
      </c>
      <c r="F2" s="374" t="s">
        <v>839</v>
      </c>
      <c r="G2" s="374" t="s">
        <v>839</v>
      </c>
      <c r="H2" s="373"/>
      <c r="I2" s="373"/>
      <c r="J2" s="373"/>
      <c r="K2" s="373"/>
      <c r="L2" s="373"/>
      <c r="M2" s="373"/>
      <c r="N2" s="373"/>
      <c r="O2" s="373"/>
      <c r="P2" s="373"/>
      <c r="Q2" s="373"/>
      <c r="R2" s="373"/>
      <c r="S2" s="373"/>
      <c r="T2" s="373"/>
      <c r="U2" s="373"/>
      <c r="V2" s="373"/>
      <c r="W2" s="373"/>
      <c r="X2" s="373"/>
      <c r="Y2" s="373"/>
      <c r="Z2" s="373"/>
      <c r="AA2" s="373"/>
      <c r="AB2" s="373"/>
      <c r="AC2" s="373"/>
      <c r="AD2" s="373"/>
      <c r="AE2" s="373"/>
      <c r="AF2" s="373"/>
      <c r="AG2" s="373"/>
      <c r="AH2" s="373"/>
      <c r="AI2" s="373"/>
      <c r="AJ2" s="373"/>
      <c r="AK2" s="373"/>
      <c r="AL2" s="373"/>
      <c r="AM2" s="373"/>
      <c r="AN2" s="373"/>
      <c r="AO2" s="373"/>
      <c r="AP2" s="373"/>
      <c r="AQ2" s="373"/>
      <c r="AR2" s="373"/>
      <c r="AS2" s="373"/>
      <c r="AT2" s="373"/>
      <c r="AU2" s="373"/>
      <c r="AV2" s="373"/>
      <c r="AW2" s="373"/>
      <c r="AX2" s="373"/>
      <c r="AY2" s="373"/>
      <c r="AZ2" s="373"/>
      <c r="BA2" s="373"/>
      <c r="BB2" s="373"/>
      <c r="BC2" s="373"/>
      <c r="BD2" s="373"/>
      <c r="BE2" s="373"/>
      <c r="BF2" s="373"/>
      <c r="BG2" s="373"/>
      <c r="BH2" s="373"/>
      <c r="BI2" s="373"/>
      <c r="BJ2" s="373"/>
      <c r="BK2" s="373"/>
      <c r="BL2" s="373"/>
      <c r="BM2" s="373"/>
      <c r="BN2" s="373"/>
      <c r="BO2" s="373"/>
      <c r="BP2" s="373"/>
      <c r="BQ2" s="373"/>
      <c r="BR2" s="373"/>
      <c r="BS2" s="373"/>
      <c r="BT2" s="373"/>
      <c r="BU2" s="373"/>
      <c r="BV2" s="373"/>
      <c r="BW2" s="373"/>
      <c r="BX2" s="373"/>
      <c r="BY2" s="373"/>
      <c r="BZ2" s="373"/>
      <c r="CA2" s="373"/>
      <c r="CB2" s="373"/>
      <c r="CC2" s="373"/>
      <c r="CD2" s="373"/>
      <c r="CE2" s="373"/>
      <c r="CF2" s="373"/>
      <c r="CG2" s="373"/>
      <c r="CH2" s="373"/>
      <c r="CI2" s="373"/>
      <c r="CJ2" s="373"/>
      <c r="CK2" s="373"/>
      <c r="CL2" s="373"/>
      <c r="CM2" s="373"/>
      <c r="CN2" s="373"/>
      <c r="CO2" s="373"/>
      <c r="CP2" s="373"/>
      <c r="CQ2" s="373"/>
      <c r="CR2" s="373"/>
      <c r="CS2" s="373"/>
      <c r="CT2" s="373"/>
      <c r="CU2" s="373"/>
      <c r="CV2" s="373"/>
      <c r="CW2" s="373"/>
      <c r="CX2" s="373"/>
      <c r="CY2" s="373"/>
      <c r="CZ2" s="373"/>
      <c r="DA2" s="373"/>
      <c r="DB2" s="373"/>
      <c r="DC2" s="373"/>
      <c r="DD2" s="373"/>
      <c r="DE2" s="373"/>
      <c r="DF2" s="373"/>
      <c r="DG2" s="373"/>
      <c r="DH2" s="373"/>
      <c r="DI2" s="373"/>
      <c r="DJ2" s="373"/>
      <c r="DK2" s="373"/>
      <c r="DL2" s="373"/>
      <c r="DM2" s="373"/>
      <c r="DN2" s="373"/>
      <c r="DO2" s="373"/>
      <c r="DP2" s="373"/>
      <c r="DQ2" s="373"/>
      <c r="DR2" s="373"/>
      <c r="DS2" s="373"/>
      <c r="DT2" s="373"/>
      <c r="DU2" s="373"/>
      <c r="DV2" s="373"/>
      <c r="DW2" s="373"/>
      <c r="DX2" s="373"/>
      <c r="DY2" s="373"/>
      <c r="DZ2" s="373"/>
      <c r="EA2" s="373"/>
      <c r="EB2" s="373"/>
      <c r="EC2" s="373"/>
      <c r="ED2" s="373"/>
      <c r="EE2" s="373"/>
      <c r="EF2" s="373"/>
      <c r="EG2" s="373"/>
      <c r="EH2" s="373"/>
      <c r="EI2" s="373"/>
      <c r="EJ2" s="373"/>
      <c r="EK2" s="373"/>
      <c r="EL2" s="373"/>
      <c r="EM2" s="373"/>
      <c r="EN2" s="373"/>
      <c r="EO2" s="373"/>
      <c r="EP2" s="373"/>
      <c r="EQ2" s="373"/>
      <c r="ER2" s="373"/>
      <c r="ES2" s="373"/>
      <c r="ET2" s="373"/>
      <c r="EU2" s="373"/>
      <c r="EV2" s="373"/>
      <c r="EW2" s="373"/>
      <c r="EX2" s="373"/>
      <c r="EY2" s="373"/>
      <c r="EZ2" s="373"/>
      <c r="FA2" s="373"/>
      <c r="FB2" s="373"/>
      <c r="FC2" s="373"/>
      <c r="FD2" s="373"/>
      <c r="FE2" s="373"/>
      <c r="FF2" s="373"/>
      <c r="FG2" s="373"/>
      <c r="FH2" s="373"/>
      <c r="FI2" s="373"/>
      <c r="FJ2" s="373"/>
      <c r="FK2" s="373"/>
      <c r="FL2" s="373"/>
      <c r="FM2" s="373"/>
      <c r="FN2" s="373"/>
      <c r="FO2" s="373"/>
      <c r="FP2" s="373"/>
      <c r="FQ2" s="373"/>
      <c r="FR2" s="373"/>
      <c r="FS2" s="373"/>
      <c r="FT2" s="373"/>
      <c r="FU2" s="373"/>
      <c r="FV2" s="373"/>
      <c r="FW2" s="373"/>
      <c r="FX2" s="373"/>
      <c r="FY2" s="373"/>
      <c r="FZ2" s="373"/>
      <c r="GA2" s="373"/>
      <c r="GB2" s="373"/>
      <c r="GC2" s="373"/>
      <c r="GD2" s="373"/>
      <c r="GE2" s="373"/>
      <c r="GF2" s="373"/>
      <c r="GG2" s="373"/>
      <c r="GH2" s="373"/>
      <c r="GI2" s="373"/>
      <c r="GJ2" s="373"/>
      <c r="GK2" s="373"/>
      <c r="GL2" s="373"/>
      <c r="GM2" s="373"/>
      <c r="GN2" s="373"/>
      <c r="GO2" s="373"/>
      <c r="GP2" s="373"/>
      <c r="GQ2" s="373"/>
      <c r="GR2" s="373"/>
      <c r="GS2" s="373"/>
      <c r="GT2" s="373"/>
      <c r="GU2" s="373"/>
      <c r="GV2" s="373"/>
      <c r="GW2" s="373"/>
      <c r="GX2" s="373"/>
      <c r="GY2" s="373"/>
      <c r="GZ2" s="373"/>
      <c r="HA2" s="373"/>
      <c r="HB2" s="373"/>
      <c r="HC2" s="373"/>
      <c r="HD2" s="373"/>
      <c r="HE2" s="373"/>
      <c r="HF2" s="373"/>
      <c r="HG2" s="373"/>
      <c r="HH2" s="373"/>
      <c r="HI2" s="373"/>
      <c r="HJ2" s="373"/>
      <c r="HK2" s="373"/>
      <c r="HL2" s="373"/>
      <c r="HM2" s="373"/>
      <c r="HN2" s="373"/>
      <c r="HO2" s="373"/>
      <c r="HP2" s="373"/>
      <c r="HQ2" s="373"/>
      <c r="HR2" s="373"/>
      <c r="HS2" s="373"/>
      <c r="HT2" s="373"/>
      <c r="HU2" s="373"/>
      <c r="HV2" s="373"/>
      <c r="HW2" s="373"/>
      <c r="HX2" s="373"/>
      <c r="HY2" s="373"/>
      <c r="HZ2" s="373"/>
      <c r="IA2" s="373"/>
      <c r="IB2" s="373"/>
      <c r="IC2" s="373"/>
      <c r="ID2" s="373"/>
      <c r="IE2" s="373"/>
      <c r="IF2" s="373"/>
      <c r="IG2" s="373"/>
      <c r="IH2" s="373"/>
      <c r="II2" s="373"/>
      <c r="IJ2" s="373"/>
      <c r="IK2" s="373"/>
      <c r="IL2" s="373"/>
      <c r="IM2" s="373"/>
      <c r="IN2" s="373"/>
      <c r="IO2" s="373"/>
      <c r="IP2" s="373"/>
      <c r="IQ2" s="373"/>
      <c r="IR2" s="373"/>
      <c r="IS2" s="373"/>
      <c r="IT2" s="373"/>
      <c r="IU2" s="373"/>
      <c r="IV2" s="373"/>
      <c r="IW2" s="373"/>
    </row>
    <row r="3" customFormat="false" ht="12.75" hidden="false" customHeight="false" outlineLevel="0" collapsed="false">
      <c r="A3" s="373"/>
      <c r="B3" s="373"/>
      <c r="C3" s="373"/>
      <c r="D3" s="374" t="s">
        <v>840</v>
      </c>
      <c r="E3" s="374" t="s">
        <v>841</v>
      </c>
      <c r="F3" s="373" t="s">
        <v>842</v>
      </c>
      <c r="G3" s="374" t="s">
        <v>843</v>
      </c>
      <c r="H3" s="373"/>
      <c r="I3" s="373"/>
      <c r="J3" s="373"/>
      <c r="K3" s="373"/>
      <c r="L3" s="373"/>
      <c r="M3" s="373"/>
      <c r="N3" s="373"/>
      <c r="O3" s="373"/>
      <c r="P3" s="373"/>
      <c r="Q3" s="373"/>
      <c r="R3" s="373"/>
      <c r="S3" s="373"/>
      <c r="T3" s="373"/>
      <c r="U3" s="373"/>
      <c r="V3" s="373"/>
      <c r="W3" s="373"/>
      <c r="X3" s="373"/>
      <c r="Y3" s="373"/>
      <c r="Z3" s="373"/>
      <c r="AA3" s="373"/>
      <c r="AB3" s="373"/>
      <c r="AC3" s="373"/>
      <c r="AD3" s="373"/>
      <c r="AE3" s="373"/>
      <c r="AF3" s="373"/>
      <c r="AG3" s="373"/>
      <c r="AH3" s="373"/>
      <c r="AI3" s="373"/>
      <c r="AJ3" s="373"/>
      <c r="AK3" s="373"/>
      <c r="AL3" s="373"/>
      <c r="AM3" s="373"/>
      <c r="AN3" s="373"/>
      <c r="AO3" s="373"/>
      <c r="AP3" s="373"/>
      <c r="AQ3" s="373"/>
      <c r="AR3" s="373"/>
      <c r="AS3" s="373"/>
      <c r="AT3" s="373"/>
      <c r="AU3" s="373"/>
      <c r="AV3" s="373"/>
      <c r="AW3" s="373"/>
      <c r="AX3" s="373"/>
      <c r="AY3" s="373"/>
      <c r="AZ3" s="373"/>
      <c r="BA3" s="373"/>
      <c r="BB3" s="373"/>
      <c r="BC3" s="373"/>
      <c r="BD3" s="373"/>
      <c r="BE3" s="373"/>
      <c r="BF3" s="373"/>
      <c r="BG3" s="373"/>
      <c r="BH3" s="373"/>
      <c r="BI3" s="373"/>
      <c r="BJ3" s="373"/>
      <c r="BK3" s="373"/>
      <c r="BL3" s="373"/>
      <c r="BM3" s="373"/>
      <c r="BN3" s="373"/>
      <c r="BO3" s="373"/>
      <c r="BP3" s="373"/>
      <c r="BQ3" s="373"/>
      <c r="BR3" s="373"/>
      <c r="BS3" s="373"/>
      <c r="BT3" s="373"/>
      <c r="BU3" s="373"/>
      <c r="BV3" s="373"/>
      <c r="BW3" s="373"/>
      <c r="BX3" s="373"/>
      <c r="BY3" s="373"/>
      <c r="BZ3" s="373"/>
      <c r="CA3" s="373"/>
      <c r="CB3" s="373"/>
      <c r="CC3" s="373"/>
      <c r="CD3" s="373"/>
      <c r="CE3" s="373"/>
      <c r="CF3" s="373"/>
      <c r="CG3" s="373"/>
      <c r="CH3" s="373"/>
      <c r="CI3" s="373"/>
      <c r="CJ3" s="373"/>
      <c r="CK3" s="373"/>
      <c r="CL3" s="373"/>
      <c r="CM3" s="373"/>
      <c r="CN3" s="373"/>
      <c r="CO3" s="373"/>
      <c r="CP3" s="373"/>
      <c r="CQ3" s="373"/>
      <c r="CR3" s="373"/>
      <c r="CS3" s="373"/>
      <c r="CT3" s="373"/>
      <c r="CU3" s="373"/>
      <c r="CV3" s="373"/>
      <c r="CW3" s="373"/>
      <c r="CX3" s="373"/>
      <c r="CY3" s="373"/>
      <c r="CZ3" s="373"/>
      <c r="DA3" s="373"/>
      <c r="DB3" s="373"/>
      <c r="DC3" s="373"/>
      <c r="DD3" s="373"/>
      <c r="DE3" s="373"/>
      <c r="DF3" s="373"/>
      <c r="DG3" s="373"/>
      <c r="DH3" s="373"/>
      <c r="DI3" s="373"/>
      <c r="DJ3" s="373"/>
      <c r="DK3" s="373"/>
      <c r="DL3" s="373"/>
      <c r="DM3" s="373"/>
      <c r="DN3" s="373"/>
      <c r="DO3" s="373"/>
      <c r="DP3" s="373"/>
      <c r="DQ3" s="373"/>
      <c r="DR3" s="373"/>
      <c r="DS3" s="373"/>
      <c r="DT3" s="373"/>
      <c r="DU3" s="373"/>
      <c r="DV3" s="373"/>
      <c r="DW3" s="373"/>
      <c r="DX3" s="373"/>
      <c r="DY3" s="373"/>
      <c r="DZ3" s="373"/>
      <c r="EA3" s="373"/>
      <c r="EB3" s="373"/>
      <c r="EC3" s="373"/>
      <c r="ED3" s="373"/>
      <c r="EE3" s="373"/>
      <c r="EF3" s="373"/>
      <c r="EG3" s="373"/>
      <c r="EH3" s="373"/>
      <c r="EI3" s="373"/>
      <c r="EJ3" s="373"/>
      <c r="EK3" s="373"/>
      <c r="EL3" s="373"/>
      <c r="EM3" s="373"/>
      <c r="EN3" s="373"/>
      <c r="EO3" s="373"/>
      <c r="EP3" s="373"/>
      <c r="EQ3" s="373"/>
      <c r="ER3" s="373"/>
      <c r="ES3" s="373"/>
      <c r="ET3" s="373"/>
      <c r="EU3" s="373"/>
      <c r="EV3" s="373"/>
      <c r="EW3" s="373"/>
      <c r="EX3" s="373"/>
      <c r="EY3" s="373"/>
      <c r="EZ3" s="373"/>
      <c r="FA3" s="373"/>
      <c r="FB3" s="373"/>
      <c r="FC3" s="373"/>
      <c r="FD3" s="373"/>
      <c r="FE3" s="373"/>
      <c r="FF3" s="373"/>
      <c r="FG3" s="373"/>
      <c r="FH3" s="373"/>
      <c r="FI3" s="373"/>
      <c r="FJ3" s="373"/>
      <c r="FK3" s="373"/>
      <c r="FL3" s="373"/>
      <c r="FM3" s="373"/>
      <c r="FN3" s="373"/>
      <c r="FO3" s="373"/>
      <c r="FP3" s="373"/>
      <c r="FQ3" s="373"/>
      <c r="FR3" s="373"/>
      <c r="FS3" s="373"/>
      <c r="FT3" s="373"/>
      <c r="FU3" s="373"/>
      <c r="FV3" s="373"/>
      <c r="FW3" s="373"/>
      <c r="FX3" s="373"/>
      <c r="FY3" s="373"/>
      <c r="FZ3" s="373"/>
      <c r="GA3" s="373"/>
      <c r="GB3" s="373"/>
      <c r="GC3" s="373"/>
      <c r="GD3" s="373"/>
      <c r="GE3" s="373"/>
      <c r="GF3" s="373"/>
      <c r="GG3" s="373"/>
      <c r="GH3" s="373"/>
      <c r="GI3" s="373"/>
      <c r="GJ3" s="373"/>
      <c r="GK3" s="373"/>
      <c r="GL3" s="373"/>
      <c r="GM3" s="373"/>
      <c r="GN3" s="373"/>
      <c r="GO3" s="373"/>
      <c r="GP3" s="373"/>
      <c r="GQ3" s="373"/>
      <c r="GR3" s="373"/>
      <c r="GS3" s="373"/>
      <c r="GT3" s="373"/>
      <c r="GU3" s="373"/>
      <c r="GV3" s="373"/>
      <c r="GW3" s="373"/>
      <c r="GX3" s="373"/>
      <c r="GY3" s="373"/>
      <c r="GZ3" s="373"/>
      <c r="HA3" s="373"/>
      <c r="HB3" s="373"/>
      <c r="HC3" s="373"/>
      <c r="HD3" s="373"/>
      <c r="HE3" s="373"/>
      <c r="HF3" s="373"/>
      <c r="HG3" s="373"/>
      <c r="HH3" s="373"/>
      <c r="HI3" s="373"/>
      <c r="HJ3" s="373"/>
      <c r="HK3" s="373"/>
      <c r="HL3" s="373"/>
      <c r="HM3" s="373"/>
      <c r="HN3" s="373"/>
      <c r="HO3" s="373"/>
      <c r="HP3" s="373"/>
      <c r="HQ3" s="373"/>
      <c r="HR3" s="373"/>
      <c r="HS3" s="373"/>
      <c r="HT3" s="373"/>
      <c r="HU3" s="373"/>
      <c r="HV3" s="373"/>
      <c r="HW3" s="373"/>
      <c r="HX3" s="373"/>
      <c r="HY3" s="373"/>
      <c r="HZ3" s="373"/>
      <c r="IA3" s="373"/>
      <c r="IB3" s="373"/>
      <c r="IC3" s="373"/>
      <c r="ID3" s="373"/>
      <c r="IE3" s="373"/>
      <c r="IF3" s="373"/>
      <c r="IG3" s="373"/>
      <c r="IH3" s="373"/>
      <c r="II3" s="373"/>
      <c r="IJ3" s="373"/>
      <c r="IK3" s="373"/>
      <c r="IL3" s="373"/>
      <c r="IM3" s="373"/>
      <c r="IN3" s="373"/>
      <c r="IO3" s="373"/>
      <c r="IP3" s="373"/>
      <c r="IQ3" s="373"/>
      <c r="IR3" s="373"/>
      <c r="IS3" s="373"/>
      <c r="IT3" s="373"/>
      <c r="IU3" s="373"/>
      <c r="IV3" s="373"/>
      <c r="IW3" s="373"/>
    </row>
    <row r="4" customFormat="false" ht="27" hidden="false" customHeight="true" outlineLevel="0" collapsed="false">
      <c r="B4" s="277"/>
      <c r="C4" s="375" t="s">
        <v>798</v>
      </c>
      <c r="E4" s="376" t="s">
        <v>844</v>
      </c>
      <c r="G4" s="376" t="s">
        <v>845</v>
      </c>
      <c r="I4" s="277"/>
      <c r="J4" s="277"/>
      <c r="K4" s="277"/>
      <c r="L4" s="277"/>
    </row>
    <row r="5" customFormat="false" ht="12.75" hidden="false" customHeight="false" outlineLevel="0" collapsed="false">
      <c r="A5" s="277"/>
      <c r="B5" s="277" t="s">
        <v>846</v>
      </c>
      <c r="C5" s="63" t="n">
        <f aca="false">SUM(D5:G5)</f>
        <v>92182</v>
      </c>
      <c r="D5" s="377" t="n">
        <f aca="false">IF('general info'!B46="y",'Total Baseline'!B35,'Total Baseline'!B12)</f>
        <v>16777</v>
      </c>
      <c r="E5" s="377" t="n">
        <f aca="false">IF('general info'!B46="y",'Total Baseline'!D35,'Total Baseline'!D12)</f>
        <v>23212</v>
      </c>
      <c r="F5" s="377" t="n">
        <f aca="false">IF('general info'!B46="y",'Total Baseline'!E35,'Total Baseline'!E12)</f>
        <v>1954</v>
      </c>
      <c r="G5" s="378" t="n">
        <f aca="false">'Total Baseline'!C12</f>
        <v>50239</v>
      </c>
      <c r="I5" s="277"/>
      <c r="J5" s="277"/>
      <c r="K5" s="277"/>
      <c r="L5" s="277"/>
    </row>
    <row r="6" customFormat="false" ht="12.75" hidden="false" customHeight="false" outlineLevel="0" collapsed="false">
      <c r="A6" s="277"/>
      <c r="B6" s="277" t="s">
        <v>847</v>
      </c>
      <c r="C6" s="63" t="n">
        <f aca="false">SUM(D6:G6)</f>
        <v>2414</v>
      </c>
      <c r="D6" s="377" t="n">
        <f aca="false">IF('general info'!B46="y",'Total Baseline'!B36,'Total Baseline'!B13)</f>
        <v>466</v>
      </c>
      <c r="E6" s="377" t="n">
        <f aca="false">IF('general info'!B46="y",'Total Baseline'!D36,'Total Baseline'!D13)</f>
        <v>845</v>
      </c>
      <c r="F6" s="377" t="n">
        <f aca="false">IF('general info'!B46="y",'Total Baseline'!E36,'Total Baseline'!E13)</f>
        <v>175</v>
      </c>
      <c r="G6" s="379" t="n">
        <f aca="false">'Total Baseline'!C13</f>
        <v>928</v>
      </c>
      <c r="I6" s="277"/>
      <c r="J6" s="277"/>
      <c r="K6" s="277"/>
      <c r="L6" s="277"/>
    </row>
    <row r="7" customFormat="false" ht="12.75" hidden="false" customHeight="false" outlineLevel="0" collapsed="false">
      <c r="A7" s="277"/>
      <c r="B7" s="277" t="s">
        <v>848</v>
      </c>
      <c r="C7" s="63" t="n">
        <f aca="false">SUM(D7:G7)</f>
        <v>9883</v>
      </c>
      <c r="D7" s="377" t="n">
        <f aca="false">IF('general info'!B46="y",'Total Baseline'!B37,'Total Baseline'!B14)</f>
        <v>748</v>
      </c>
      <c r="E7" s="378" t="n">
        <f aca="false">IF('general info'!B46="y",'Total Baseline'!D37,'Total Baseline'!D14)</f>
        <v>4762</v>
      </c>
      <c r="F7" s="378" t="n">
        <f aca="false">IF('general info'!B46="y",'Total Baseline'!E37,'Total Baseline'!E14)</f>
        <v>421</v>
      </c>
      <c r="G7" s="378" t="n">
        <f aca="false">'Total Baseline'!C14</f>
        <v>3952</v>
      </c>
      <c r="I7" s="277"/>
      <c r="J7" s="277"/>
      <c r="K7" s="277"/>
      <c r="L7" s="277"/>
    </row>
    <row r="8" customFormat="false" ht="12.75" hidden="false" customHeight="false" outlineLevel="0" collapsed="false">
      <c r="A8" s="277"/>
      <c r="B8" s="277"/>
      <c r="C8" s="63"/>
      <c r="D8" s="380"/>
      <c r="E8" s="380"/>
      <c r="F8" s="380"/>
      <c r="G8" s="380"/>
      <c r="I8" s="277"/>
      <c r="J8" s="277"/>
      <c r="K8" s="277"/>
      <c r="L8" s="277"/>
    </row>
    <row r="9" customFormat="false" ht="12.75" hidden="false" customHeight="false" outlineLevel="0" collapsed="false">
      <c r="A9" s="277"/>
      <c r="B9" s="254" t="s">
        <v>43</v>
      </c>
      <c r="C9" s="63"/>
      <c r="D9" s="380"/>
      <c r="E9" s="380"/>
      <c r="F9" s="380"/>
      <c r="G9" s="380"/>
      <c r="I9" s="277"/>
      <c r="J9" s="277"/>
      <c r="K9" s="277"/>
      <c r="L9" s="277"/>
    </row>
    <row r="10" customFormat="false" ht="12.75" hidden="false" customHeight="false" outlineLevel="0" collapsed="false">
      <c r="A10" s="277"/>
      <c r="B10" s="277"/>
      <c r="C10" s="63"/>
      <c r="D10" s="380"/>
      <c r="E10" s="380"/>
      <c r="F10" s="380"/>
      <c r="G10" s="380"/>
      <c r="H10" s="380"/>
      <c r="I10" s="277"/>
      <c r="J10" s="277"/>
      <c r="K10" s="277"/>
      <c r="L10" s="277"/>
    </row>
    <row r="11" customFormat="false" ht="12.75" hidden="false" customHeight="false" outlineLevel="0" collapsed="false">
      <c r="A11" s="277"/>
      <c r="B11" s="277"/>
      <c r="C11" s="381" t="s">
        <v>849</v>
      </c>
      <c r="D11" s="382" t="s">
        <v>850</v>
      </c>
      <c r="E11" s="383"/>
      <c r="F11" s="383"/>
      <c r="G11" s="277"/>
      <c r="H11" s="277"/>
      <c r="I11" s="277"/>
      <c r="J11" s="277"/>
      <c r="K11" s="277"/>
      <c r="L11" s="277"/>
    </row>
    <row r="12" customFormat="false" ht="12.75" hidden="false" customHeight="false" outlineLevel="0" collapsed="false">
      <c r="A12" s="277"/>
      <c r="B12" s="277"/>
      <c r="C12" s="384" t="s">
        <v>851</v>
      </c>
      <c r="D12" s="384" t="s">
        <v>852</v>
      </c>
      <c r="G12" s="277"/>
      <c r="H12" s="277"/>
      <c r="I12" s="277"/>
      <c r="J12" s="277"/>
      <c r="K12" s="277"/>
      <c r="L12" s="277"/>
    </row>
    <row r="13" customFormat="false" ht="12.75" hidden="false" customHeight="false" outlineLevel="0" collapsed="false">
      <c r="A13" s="277"/>
      <c r="B13" s="277" t="s">
        <v>853</v>
      </c>
      <c r="C13" s="385" t="n">
        <v>0.072</v>
      </c>
      <c r="D13" s="103" t="n">
        <f aca="false">C5/C13</f>
        <v>1280305.55555556</v>
      </c>
      <c r="G13" s="277"/>
      <c r="H13" s="277"/>
      <c r="I13" s="277"/>
      <c r="J13" s="277"/>
      <c r="K13" s="277"/>
      <c r="L13" s="277"/>
    </row>
    <row r="14" customFormat="false" ht="12.75" hidden="false" customHeight="false" outlineLevel="0" collapsed="false">
      <c r="A14" s="277"/>
      <c r="B14" s="277"/>
      <c r="C14" s="386"/>
      <c r="D14" s="387"/>
      <c r="G14" s="277"/>
      <c r="H14" s="277"/>
      <c r="I14" s="277"/>
      <c r="J14" s="277"/>
      <c r="K14" s="277"/>
      <c r="L14" s="277"/>
    </row>
    <row r="15" customFormat="false" ht="12.75" hidden="false" customHeight="false" outlineLevel="0" collapsed="false">
      <c r="A15" s="277"/>
      <c r="B15" s="277"/>
      <c r="C15" s="386"/>
      <c r="D15" s="382" t="s">
        <v>850</v>
      </c>
      <c r="G15" s="277"/>
      <c r="H15" s="277"/>
      <c r="I15" s="277"/>
      <c r="J15" s="277"/>
      <c r="K15" s="277"/>
      <c r="L15" s="277"/>
    </row>
    <row r="16" customFormat="false" ht="12.75" hidden="false" customHeight="false" outlineLevel="0" collapsed="false">
      <c r="A16" s="277"/>
      <c r="B16" s="277"/>
      <c r="C16" s="388" t="s">
        <v>854</v>
      </c>
      <c r="D16" s="389" t="s">
        <v>855</v>
      </c>
      <c r="G16" s="277"/>
      <c r="H16" s="277"/>
      <c r="I16" s="277"/>
      <c r="J16" s="277"/>
      <c r="K16" s="277"/>
      <c r="L16" s="277"/>
    </row>
    <row r="17" customFormat="false" ht="12.75" hidden="false" customHeight="false" outlineLevel="0" collapsed="false">
      <c r="A17" s="277"/>
      <c r="B17" s="277" t="s">
        <v>856</v>
      </c>
      <c r="C17" s="390" t="n">
        <v>5</v>
      </c>
      <c r="D17" s="103" t="n">
        <f aca="false">C6/C17</f>
        <v>482.8</v>
      </c>
      <c r="G17" s="277"/>
      <c r="H17" s="277"/>
      <c r="I17" s="277"/>
      <c r="J17" s="277"/>
      <c r="K17" s="277"/>
      <c r="L17" s="277"/>
    </row>
    <row r="18" customFormat="false" ht="12.75" hidden="false" customHeight="false" outlineLevel="0" collapsed="false">
      <c r="A18" s="277"/>
      <c r="B18" s="277"/>
      <c r="C18" s="386"/>
      <c r="D18" s="277"/>
      <c r="G18" s="277"/>
      <c r="H18" s="277"/>
      <c r="I18" s="277"/>
      <c r="J18" s="277"/>
      <c r="K18" s="277"/>
      <c r="L18" s="277"/>
    </row>
    <row r="19" customFormat="false" ht="12.75" hidden="false" customHeight="false" outlineLevel="0" collapsed="false">
      <c r="A19" s="277"/>
      <c r="B19" s="277"/>
      <c r="C19" s="1" t="s">
        <v>857</v>
      </c>
      <c r="D19" s="277" t="n">
        <v>1</v>
      </c>
      <c r="E19" s="277" t="n">
        <f aca="false">D19+1</f>
        <v>2</v>
      </c>
      <c r="F19" s="277" t="n">
        <f aca="false">E19+1</f>
        <v>3</v>
      </c>
      <c r="G19" s="277" t="n">
        <f aca="false">F19+1</f>
        <v>4</v>
      </c>
      <c r="H19" s="277" t="n">
        <f aca="false">G19+1</f>
        <v>5</v>
      </c>
      <c r="I19" s="277" t="n">
        <f aca="false">H19+1</f>
        <v>6</v>
      </c>
      <c r="J19" s="277" t="n">
        <f aca="false">I19+1</f>
        <v>7</v>
      </c>
      <c r="K19" s="277" t="n">
        <f aca="false">J19+1</f>
        <v>8</v>
      </c>
      <c r="L19" s="277" t="n">
        <f aca="false">K19+1</f>
        <v>9</v>
      </c>
      <c r="M19" s="277" t="n">
        <f aca="false">L19+1</f>
        <v>10</v>
      </c>
    </row>
    <row r="20" customFormat="false" ht="12.75" hidden="false" customHeight="false" outlineLevel="0" collapsed="false">
      <c r="A20" s="277"/>
      <c r="B20" s="277" t="s">
        <v>858</v>
      </c>
      <c r="C20" s="391" t="n">
        <v>1</v>
      </c>
      <c r="D20" s="392" t="n">
        <f aca="false">D22-0.02</f>
        <v>0.93</v>
      </c>
      <c r="E20" s="392" t="n">
        <f aca="false">E22-0.02</f>
        <v>0.93</v>
      </c>
      <c r="F20" s="393" t="n">
        <f aca="false">F22-0.02</f>
        <v>0.93</v>
      </c>
      <c r="G20" s="392" t="n">
        <f aca="false">G22-0.02</f>
        <v>0.93</v>
      </c>
      <c r="H20" s="392" t="n">
        <f aca="false">H22-0.02</f>
        <v>0.93</v>
      </c>
      <c r="I20" s="392" t="n">
        <f aca="false">I22-0.02</f>
        <v>0.93</v>
      </c>
      <c r="J20" s="392" t="n">
        <f aca="false">J22-0.02</f>
        <v>0.93</v>
      </c>
      <c r="K20" s="392" t="n">
        <f aca="false">K22-0.02</f>
        <v>0.93</v>
      </c>
      <c r="L20" s="392" t="n">
        <f aca="false">L22-0.02</f>
        <v>0.93</v>
      </c>
      <c r="M20" s="392" t="n">
        <f aca="false">M22-0.02</f>
        <v>0.93</v>
      </c>
    </row>
    <row r="21" customFormat="false" ht="12.75" hidden="false" customHeight="false" outlineLevel="0" collapsed="false">
      <c r="A21" s="277"/>
      <c r="B21" s="277" t="s">
        <v>859</v>
      </c>
      <c r="C21" s="277" t="n">
        <f aca="false">$C$13*C20</f>
        <v>0.072</v>
      </c>
      <c r="D21" s="277" t="n">
        <f aca="false">$C$13*D20</f>
        <v>0.06696</v>
      </c>
      <c r="E21" s="277" t="n">
        <f aca="false">$C$13*E20</f>
        <v>0.06696</v>
      </c>
      <c r="F21" s="394" t="n">
        <f aca="false">$C$13*F20</f>
        <v>0.06696</v>
      </c>
      <c r="G21" s="277" t="n">
        <f aca="false">$C$13*G20</f>
        <v>0.06696</v>
      </c>
      <c r="H21" s="277" t="n">
        <f aca="false">$C$13*H20</f>
        <v>0.06696</v>
      </c>
      <c r="I21" s="277" t="n">
        <f aca="false">$C$13*I20</f>
        <v>0.06696</v>
      </c>
      <c r="J21" s="277" t="n">
        <f aca="false">$C$13*J20</f>
        <v>0.06696</v>
      </c>
      <c r="K21" s="277" t="n">
        <f aca="false">$C$13*K20</f>
        <v>0.06696</v>
      </c>
      <c r="L21" s="277" t="n">
        <f aca="false">$C$13*L20</f>
        <v>0.06696</v>
      </c>
      <c r="M21" s="277" t="n">
        <f aca="false">$C$13*M20</f>
        <v>0.06696</v>
      </c>
    </row>
    <row r="22" customFormat="false" ht="12.75" hidden="false" customHeight="false" outlineLevel="0" collapsed="false">
      <c r="A22" s="277"/>
      <c r="B22" s="277" t="s">
        <v>860</v>
      </c>
      <c r="C22" s="391" t="n">
        <v>1</v>
      </c>
      <c r="D22" s="395" t="n">
        <v>0.95</v>
      </c>
      <c r="E22" s="396" t="n">
        <f aca="false">D22</f>
        <v>0.95</v>
      </c>
      <c r="F22" s="397" t="n">
        <f aca="false">E22</f>
        <v>0.95</v>
      </c>
      <c r="G22" s="396" t="n">
        <f aca="false">F22</f>
        <v>0.95</v>
      </c>
      <c r="H22" s="396" t="n">
        <f aca="false">G22</f>
        <v>0.95</v>
      </c>
      <c r="I22" s="396" t="n">
        <f aca="false">H22</f>
        <v>0.95</v>
      </c>
      <c r="J22" s="396" t="n">
        <f aca="false">I22</f>
        <v>0.95</v>
      </c>
      <c r="K22" s="396" t="n">
        <f aca="false">J22</f>
        <v>0.95</v>
      </c>
      <c r="L22" s="396" t="n">
        <f aca="false">K22</f>
        <v>0.95</v>
      </c>
      <c r="M22" s="396" t="n">
        <f aca="false">L22</f>
        <v>0.95</v>
      </c>
    </row>
    <row r="23" customFormat="false" ht="12.75" hidden="false" customHeight="false" outlineLevel="0" collapsed="false">
      <c r="A23" s="277"/>
      <c r="B23" s="277" t="s">
        <v>861</v>
      </c>
      <c r="C23" s="398" t="n">
        <f aca="false">$C$13*C22</f>
        <v>0.072</v>
      </c>
      <c r="D23" s="398" t="n">
        <f aca="false">$C$13*D22</f>
        <v>0.0684</v>
      </c>
      <c r="E23" s="398" t="n">
        <f aca="false">$C$13*E22</f>
        <v>0.0684</v>
      </c>
      <c r="F23" s="398" t="n">
        <f aca="false">$C$13*F22</f>
        <v>0.0684</v>
      </c>
      <c r="G23" s="398" t="n">
        <f aca="false">$C$13*G22</f>
        <v>0.0684</v>
      </c>
      <c r="H23" s="398" t="n">
        <f aca="false">$C$13*H22</f>
        <v>0.0684</v>
      </c>
      <c r="I23" s="398" t="n">
        <f aca="false">$C$13*I22</f>
        <v>0.0684</v>
      </c>
      <c r="J23" s="398" t="n">
        <f aca="false">$C$13*J22</f>
        <v>0.0684</v>
      </c>
      <c r="K23" s="398" t="n">
        <f aca="false">$C$13*K22</f>
        <v>0.0684</v>
      </c>
      <c r="L23" s="398" t="n">
        <f aca="false">$C$13*L22</f>
        <v>0.0684</v>
      </c>
      <c r="M23" s="398" t="n">
        <f aca="false">$C$13*M22</f>
        <v>0.0684</v>
      </c>
    </row>
    <row r="24" customFormat="false" ht="12.75" hidden="false" customHeight="false" outlineLevel="0" collapsed="false">
      <c r="A24" s="277"/>
      <c r="B24" s="277"/>
      <c r="C24" s="398"/>
      <c r="D24" s="398"/>
      <c r="E24" s="398"/>
      <c r="F24" s="398"/>
      <c r="G24" s="398"/>
      <c r="H24" s="398"/>
      <c r="I24" s="398"/>
      <c r="J24" s="398"/>
      <c r="K24" s="398"/>
      <c r="L24" s="398"/>
      <c r="M24" s="398"/>
    </row>
    <row r="25" customFormat="false" ht="12.75" hidden="false" customHeight="false" outlineLevel="0" collapsed="false">
      <c r="A25" s="277"/>
      <c r="B25" s="277"/>
      <c r="C25" s="398"/>
      <c r="D25" s="398"/>
      <c r="E25" s="398"/>
      <c r="F25" s="398"/>
      <c r="G25" s="398"/>
      <c r="H25" s="398"/>
      <c r="I25" s="398"/>
      <c r="J25" s="398"/>
      <c r="K25" s="398"/>
      <c r="L25" s="398"/>
      <c r="M25" s="398"/>
    </row>
    <row r="26" customFormat="false" ht="12.75" hidden="false" customHeight="false" outlineLevel="0" collapsed="false">
      <c r="A26" s="277"/>
      <c r="B26" s="277"/>
      <c r="D26" s="277"/>
      <c r="E26" s="277"/>
      <c r="H26" s="277"/>
      <c r="I26" s="277"/>
      <c r="J26" s="277"/>
      <c r="K26" s="277"/>
      <c r="L26" s="277"/>
      <c r="M26" s="277"/>
    </row>
    <row r="27" customFormat="false" ht="12.75" hidden="false" customHeight="false" outlineLevel="0" collapsed="false">
      <c r="A27" s="277"/>
      <c r="B27" s="277"/>
      <c r="C27" s="1" t="s">
        <v>857</v>
      </c>
      <c r="D27" s="277" t="n">
        <v>1</v>
      </c>
      <c r="E27" s="277" t="n">
        <f aca="false">D27+1</f>
        <v>2</v>
      </c>
      <c r="F27" s="277" t="n">
        <f aca="false">E27+1</f>
        <v>3</v>
      </c>
      <c r="G27" s="277" t="n">
        <f aca="false">F27+1</f>
        <v>4</v>
      </c>
      <c r="H27" s="277" t="n">
        <f aca="false">G27+1</f>
        <v>5</v>
      </c>
      <c r="I27" s="277" t="n">
        <f aca="false">H27+1</f>
        <v>6</v>
      </c>
      <c r="J27" s="277" t="n">
        <f aca="false">I27+1</f>
        <v>7</v>
      </c>
      <c r="K27" s="277" t="n">
        <f aca="false">J27+1</f>
        <v>8</v>
      </c>
      <c r="L27" s="277" t="n">
        <f aca="false">K27+1</f>
        <v>9</v>
      </c>
      <c r="M27" s="277" t="n">
        <f aca="false">L27+1</f>
        <v>10</v>
      </c>
      <c r="N27" s="1" t="s">
        <v>862</v>
      </c>
    </row>
    <row r="28" customFormat="false" ht="12.75" hidden="false" customHeight="false" outlineLevel="0" collapsed="false">
      <c r="A28" s="277"/>
      <c r="B28" s="277" t="s">
        <v>863</v>
      </c>
      <c r="C28" s="399" t="n">
        <v>1</v>
      </c>
      <c r="D28" s="396" t="n">
        <f aca="false">D30*0.98</f>
        <v>1.14953668284552</v>
      </c>
      <c r="E28" s="396" t="n">
        <f aca="false">E30*0.98</f>
        <v>1.15325370305657</v>
      </c>
      <c r="F28" s="397" t="n">
        <f aca="false">F30*0.98</f>
        <v>1.16606699211894</v>
      </c>
      <c r="G28" s="396" t="n">
        <f aca="false">G30*0.98</f>
        <v>1.18605067498842</v>
      </c>
      <c r="H28" s="396" t="n">
        <f aca="false">H30*0.98</f>
        <v>1.21038406703342</v>
      </c>
      <c r="I28" s="396" t="n">
        <f aca="false">I30*0.98</f>
        <v>1.23903697869936</v>
      </c>
      <c r="J28" s="396" t="n">
        <f aca="false">J30*0.98</f>
        <v>1.27198082580759</v>
      </c>
      <c r="K28" s="396" t="n">
        <f aca="false">K30*0.98</f>
        <v>1.3091886964632</v>
      </c>
      <c r="L28" s="396" t="n">
        <f aca="false">L30*0.98</f>
        <v>1.35063538274087</v>
      </c>
      <c r="M28" s="396" t="n">
        <f aca="false">M30*0.98</f>
        <v>1.39629738116379</v>
      </c>
      <c r="N28" s="280" t="n">
        <f aca="false">NPV(D37,D28:M28)</f>
        <v>9.51476788559264</v>
      </c>
    </row>
    <row r="29" customFormat="false" ht="12.75" hidden="false" customHeight="false" outlineLevel="0" collapsed="false">
      <c r="A29" s="277"/>
      <c r="B29" s="277" t="s">
        <v>864</v>
      </c>
      <c r="C29" s="400" t="n">
        <f aca="false">C17*C28</f>
        <v>5</v>
      </c>
      <c r="D29" s="401" t="n">
        <f aca="false">$C$29*D28</f>
        <v>5.74768341422761</v>
      </c>
      <c r="E29" s="401" t="n">
        <f aca="false">$C$29*E28</f>
        <v>5.76626851528286</v>
      </c>
      <c r="F29" s="400" t="n">
        <f aca="false">$C$29*F28</f>
        <v>5.83033496059471</v>
      </c>
      <c r="G29" s="401" t="n">
        <f aca="false">$C$29*G28</f>
        <v>5.9302533749421</v>
      </c>
      <c r="H29" s="401" t="n">
        <f aca="false">$C$29*H28</f>
        <v>6.05192033516709</v>
      </c>
      <c r="I29" s="401" t="n">
        <f aca="false">$C$29*I28</f>
        <v>6.1951848934968</v>
      </c>
      <c r="J29" s="401" t="n">
        <f aca="false">$C$29*J28</f>
        <v>6.35990412903796</v>
      </c>
      <c r="K29" s="401" t="n">
        <f aca="false">$C$29*K28</f>
        <v>6.54594348231601</v>
      </c>
      <c r="L29" s="401" t="n">
        <f aca="false">$C$29*L28</f>
        <v>6.75317691370433</v>
      </c>
      <c r="M29" s="401" t="n">
        <f aca="false">$C$29*M28</f>
        <v>6.98148690581895</v>
      </c>
    </row>
    <row r="30" customFormat="false" ht="12.75" hidden="false" customHeight="false" outlineLevel="0" collapsed="false">
      <c r="A30" s="277"/>
      <c r="B30" s="277" t="s">
        <v>865</v>
      </c>
      <c r="C30" s="402" t="n">
        <v>1</v>
      </c>
      <c r="D30" s="403" t="n">
        <f aca="false">1+D33</f>
        <v>1.17299661514849</v>
      </c>
      <c r="E30" s="403" t="n">
        <f aca="false">D30*(1+E33)</f>
        <v>1.17678949291487</v>
      </c>
      <c r="F30" s="404" t="n">
        <f aca="false">E30*(1+F33)</f>
        <v>1.18986427767239</v>
      </c>
      <c r="G30" s="403" t="n">
        <f aca="false">F30*(1+G33)</f>
        <v>1.21025579080451</v>
      </c>
      <c r="H30" s="403" t="n">
        <f aca="false">G30*(1+H33)</f>
        <v>1.23508578268716</v>
      </c>
      <c r="I30" s="403" t="n">
        <f aca="false">H30*(1+I33)</f>
        <v>1.26432344765241</v>
      </c>
      <c r="J30" s="403" t="n">
        <f aca="false">I30*(1+J33)</f>
        <v>1.29793961817101</v>
      </c>
      <c r="K30" s="403" t="n">
        <f aca="false">J30*(1+K33)</f>
        <v>1.33590683312572</v>
      </c>
      <c r="L30" s="403" t="n">
        <f aca="false">K30*(1+L33)</f>
        <v>1.37819937014374</v>
      </c>
      <c r="M30" s="403" t="n">
        <f aca="false">L30*(1+M33)</f>
        <v>1.4247932460855</v>
      </c>
      <c r="N30" s="280" t="n">
        <f aca="false">NPV(D37,D30:M30)</f>
        <v>9.70894682203331</v>
      </c>
    </row>
    <row r="31" customFormat="false" ht="12.75" hidden="false" customHeight="false" outlineLevel="0" collapsed="false">
      <c r="A31" s="277"/>
      <c r="B31" s="277" t="s">
        <v>866</v>
      </c>
      <c r="C31" s="401" t="n">
        <f aca="false">$C$17*C30</f>
        <v>5</v>
      </c>
      <c r="D31" s="401" t="n">
        <f aca="false">$C$31*D30</f>
        <v>5.86498307574246</v>
      </c>
      <c r="E31" s="401" t="n">
        <f aca="false">$C$31*E30</f>
        <v>5.88394746457434</v>
      </c>
      <c r="F31" s="401" t="n">
        <f aca="false">$C$31*F30</f>
        <v>5.94932138836195</v>
      </c>
      <c r="G31" s="401" t="n">
        <f aca="false">$C$31*G30</f>
        <v>6.05127895402255</v>
      </c>
      <c r="H31" s="401" t="n">
        <f aca="false">$C$31*H30</f>
        <v>6.17542891343581</v>
      </c>
      <c r="I31" s="401" t="n">
        <f aca="false">$C$31*I30</f>
        <v>6.32161723826204</v>
      </c>
      <c r="J31" s="401" t="n">
        <f aca="false">$C$31*J30</f>
        <v>6.48969809085506</v>
      </c>
      <c r="K31" s="401" t="n">
        <f aca="false">$C$31*K30</f>
        <v>6.67953416562859</v>
      </c>
      <c r="L31" s="401" t="n">
        <f aca="false">$C$31*L30</f>
        <v>6.8909968507187</v>
      </c>
      <c r="M31" s="401" t="n">
        <f aca="false">$C$31*M30</f>
        <v>7.1239662304275</v>
      </c>
    </row>
    <row r="32" customFormat="false" ht="12.75" hidden="false" customHeight="false" outlineLevel="0" collapsed="false">
      <c r="A32" s="277"/>
      <c r="B32" s="254" t="s">
        <v>43</v>
      </c>
      <c r="C32" s="380"/>
      <c r="D32" s="277"/>
      <c r="G32" s="277"/>
      <c r="H32" s="277"/>
      <c r="I32" s="277"/>
      <c r="J32" s="277"/>
      <c r="K32" s="277"/>
      <c r="L32" s="277"/>
    </row>
    <row r="33" customFormat="false" ht="12.75" hidden="false" customHeight="false" outlineLevel="0" collapsed="false">
      <c r="B33" s="277"/>
      <c r="C33" s="405" t="s">
        <v>867</v>
      </c>
      <c r="D33" s="382" t="n">
        <v>0.172996615148493</v>
      </c>
      <c r="E33" s="382" t="n">
        <v>0.00323349421250929</v>
      </c>
      <c r="F33" s="406" t="n">
        <v>0.0111105553170217</v>
      </c>
      <c r="G33" s="382" t="n">
        <v>0.0171376799142257</v>
      </c>
      <c r="H33" s="382" t="n">
        <v>0.0205163173531658</v>
      </c>
      <c r="I33" s="382" t="n">
        <v>0.0236725783545446</v>
      </c>
      <c r="J33" s="382" t="n">
        <v>0.026588267884317</v>
      </c>
      <c r="K33" s="382" t="n">
        <v>0.029251911585999</v>
      </c>
      <c r="L33" s="382" t="n">
        <v>0.0316582982954498</v>
      </c>
      <c r="M33" s="382" t="n">
        <v>0.0338077907675289</v>
      </c>
      <c r="N33" s="382" t="s">
        <v>43</v>
      </c>
    </row>
    <row r="34" customFormat="false" ht="12.75" hidden="false" customHeight="false" outlineLevel="0" collapsed="false">
      <c r="B34" s="405" t="s">
        <v>868</v>
      </c>
      <c r="D34" s="382" t="n">
        <v>1.23158837841692</v>
      </c>
      <c r="E34" s="382" t="n">
        <f aca="false">D34</f>
        <v>1.23158837841692</v>
      </c>
      <c r="F34" s="382" t="n">
        <f aca="false">E34</f>
        <v>1.23158837841692</v>
      </c>
      <c r="G34" s="382" t="n">
        <f aca="false">F34</f>
        <v>1.23158837841692</v>
      </c>
      <c r="H34" s="382" t="n">
        <f aca="false">G34</f>
        <v>1.23158837841692</v>
      </c>
      <c r="I34" s="382" t="n">
        <f aca="false">H34</f>
        <v>1.23158837841692</v>
      </c>
      <c r="J34" s="382" t="n">
        <f aca="false">I34</f>
        <v>1.23158837841692</v>
      </c>
      <c r="K34" s="382" t="n">
        <f aca="false">J34</f>
        <v>1.23158837841692</v>
      </c>
      <c r="L34" s="382" t="n">
        <f aca="false">K34</f>
        <v>1.23158837841692</v>
      </c>
      <c r="M34" s="382" t="n">
        <f aca="false">L34</f>
        <v>1.23158837841692</v>
      </c>
      <c r="N34" s="280" t="n">
        <f aca="false">NPV(D37,D34:M34)</f>
        <v>9.509999</v>
      </c>
    </row>
    <row r="35" customFormat="false" ht="12.75" hidden="false" customHeight="false" outlineLevel="0" collapsed="false">
      <c r="B35" s="405" t="s">
        <v>869</v>
      </c>
      <c r="D35" s="382" t="n">
        <v>1.25748955241916</v>
      </c>
      <c r="E35" s="382" t="n">
        <f aca="false">D35</f>
        <v>1.25748955241916</v>
      </c>
      <c r="F35" s="382" t="n">
        <f aca="false">E35</f>
        <v>1.25748955241916</v>
      </c>
      <c r="G35" s="382" t="n">
        <f aca="false">F35</f>
        <v>1.25748955241916</v>
      </c>
      <c r="H35" s="382" t="n">
        <f aca="false">G35</f>
        <v>1.25748955241916</v>
      </c>
      <c r="I35" s="382" t="n">
        <f aca="false">H35</f>
        <v>1.25748955241916</v>
      </c>
      <c r="J35" s="382" t="n">
        <f aca="false">I35</f>
        <v>1.25748955241916</v>
      </c>
      <c r="K35" s="382" t="n">
        <f aca="false">J35</f>
        <v>1.25748955241916</v>
      </c>
      <c r="L35" s="382" t="n">
        <f aca="false">K35</f>
        <v>1.25748955241916</v>
      </c>
      <c r="M35" s="382" t="n">
        <f aca="false">L35</f>
        <v>1.25748955241916</v>
      </c>
      <c r="N35" s="280" t="n">
        <f aca="false">NPV(D37,D35:M35)</f>
        <v>9.710001</v>
      </c>
    </row>
    <row r="36" customFormat="false" ht="12.75" hidden="false" customHeight="false" outlineLevel="0" collapsed="false">
      <c r="B36" s="405"/>
    </row>
    <row r="37" customFormat="false" ht="12.75" hidden="false" customHeight="false" outlineLevel="0" collapsed="false">
      <c r="C37" s="1" t="s">
        <v>870</v>
      </c>
      <c r="D37" s="396" t="n">
        <v>0.05</v>
      </c>
    </row>
    <row r="73" customFormat="false" ht="12.75" hidden="false" customHeight="false" outlineLevel="0" collapsed="false">
      <c r="B73" s="280"/>
    </row>
    <row r="84" customFormat="false" ht="12.75" hidden="false" customHeight="false" outlineLevel="0" collapsed="false">
      <c r="B84" s="280"/>
    </row>
  </sheetData>
  <printOptions headings="false" gridLines="false" gridLinesSet="true" horizontalCentered="false" verticalCentered="false"/>
  <pageMargins left="0.747916666666667" right="0.747916666666667" top="0.984027777777778" bottom="0.984027777777778" header="0.511811023622047" footer="0.5"/>
  <pageSetup paperSize="1" scale="100" fitToWidth="1" fitToHeight="1" pageOrder="downThenOver" orientation="landscape" blackAndWhite="false" draft="false" cellComments="none" horizontalDpi="300" verticalDpi="300" copies="1"/>
  <headerFooter differentFirst="false" differentOddEven="false">
    <oddHeader/>
    <oddFooter>&amp;L&amp;A&amp;C&amp;D &amp;T</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C84"/>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6" activeCellId="0" sqref="C6"/>
    </sheetView>
  </sheetViews>
  <sheetFormatPr defaultColWidth="7.9921875" defaultRowHeight="12.75" customHeight="true" zeroHeight="false" outlineLevelRow="0" outlineLevelCol="0"/>
  <cols>
    <col collapsed="false" customWidth="false" hidden="false" outlineLevel="0" max="1" min="1" style="1" width="7.99"/>
    <col collapsed="false" customWidth="true" hidden="false" outlineLevel="0" max="2" min="2" style="1" width="21.28"/>
    <col collapsed="false" customWidth="true" hidden="false" outlineLevel="0" max="3" min="3" style="1" width="9.99"/>
    <col collapsed="false" customWidth="false" hidden="false" outlineLevel="0" max="257" min="4" style="1" width="7.99"/>
  </cols>
  <sheetData>
    <row r="1" customFormat="false" ht="18.75" hidden="false" customHeight="false" outlineLevel="0" collapsed="false">
      <c r="B1" s="407" t="s">
        <v>871</v>
      </c>
    </row>
    <row r="2" customFormat="false" ht="18.75" hidden="false" customHeight="false" outlineLevel="0" collapsed="false">
      <c r="B2" s="407"/>
    </row>
    <row r="3" customFormat="false" ht="18.75" hidden="false" customHeight="false" outlineLevel="0" collapsed="false">
      <c r="B3" s="407"/>
    </row>
    <row r="5" customFormat="false" ht="12.75" hidden="false" customHeight="false" outlineLevel="0" collapsed="false">
      <c r="B5" s="373" t="s">
        <v>872</v>
      </c>
    </row>
    <row r="6" customFormat="false" ht="12.75" hidden="false" customHeight="false" outlineLevel="0" collapsed="false">
      <c r="B6" s="1" t="s">
        <v>783</v>
      </c>
      <c r="C6" s="63" t="n">
        <f aca="false">'Total Baseline'!B12+'Total Baseline'!D12+'Total Baseline'!E12</f>
        <v>58094</v>
      </c>
    </row>
    <row r="7" customFormat="false" ht="12.75" hidden="false" customHeight="false" outlineLevel="0" collapsed="false">
      <c r="B7" s="1" t="s">
        <v>784</v>
      </c>
      <c r="C7" s="63" t="n">
        <f aca="false">'Total Baseline'!B13+'Total Baseline'!D13+'Total Baseline'!E13</f>
        <v>2130</v>
      </c>
    </row>
    <row r="8" customFormat="false" ht="12.75" hidden="false" customHeight="false" outlineLevel="0" collapsed="false">
      <c r="B8" s="277" t="s">
        <v>785</v>
      </c>
      <c r="C8" s="63" t="n">
        <f aca="false">'Total Baseline'!B14</f>
        <v>2064</v>
      </c>
    </row>
    <row r="9" customFormat="false" ht="12.75" hidden="false" customHeight="false" outlineLevel="0" collapsed="false">
      <c r="B9" s="1" t="s">
        <v>873</v>
      </c>
      <c r="C9" s="63" t="n">
        <f aca="false">'Total Baseline'!B19+'Total Baseline'!B20</f>
        <v>7741</v>
      </c>
    </row>
    <row r="10" customFormat="false" ht="12.75" hidden="false" customHeight="false" outlineLevel="0" collapsed="false">
      <c r="B10" s="1" t="s">
        <v>874</v>
      </c>
      <c r="C10" s="63" t="n">
        <f aca="false">'Total Baseline'!F25</f>
        <v>6684.165233</v>
      </c>
    </row>
    <row r="11" customFormat="false" ht="12.75" hidden="false" customHeight="false" outlineLevel="0" collapsed="false">
      <c r="B11" s="1" t="s">
        <v>875</v>
      </c>
      <c r="C11" s="63" t="n">
        <f aca="false">'Total Baseline'!F27</f>
        <v>5276.199</v>
      </c>
    </row>
    <row r="12" customFormat="false" ht="12.75" hidden="false" customHeight="false" outlineLevel="0" collapsed="false">
      <c r="B12" s="1" t="s">
        <v>876</v>
      </c>
      <c r="C12" s="408"/>
    </row>
    <row r="13" customFormat="false" ht="12.75" hidden="false" customHeight="false" outlineLevel="0" collapsed="false">
      <c r="B13" s="1" t="s">
        <v>798</v>
      </c>
      <c r="C13" s="409" t="n">
        <f aca="false">SUM(C6:C11)</f>
        <v>81989.364233</v>
      </c>
    </row>
    <row r="14" customFormat="false" ht="12.75" hidden="false" customHeight="false" outlineLevel="0" collapsed="false">
      <c r="C14" s="409"/>
    </row>
    <row r="16" customFormat="false" ht="12.75" hidden="false" customHeight="false" outlineLevel="0" collapsed="false">
      <c r="B16" s="373" t="s">
        <v>877</v>
      </c>
    </row>
    <row r="17" customFormat="false" ht="12.75" hidden="false" customHeight="false" outlineLevel="0" collapsed="false">
      <c r="B17" s="1" t="s">
        <v>783</v>
      </c>
      <c r="C17" s="63" t="n">
        <f aca="false">'Total Baseline'!B35+'Total Baseline'!D35+'Total Baseline'!E35</f>
        <v>41943</v>
      </c>
    </row>
    <row r="18" customFormat="false" ht="12.75" hidden="false" customHeight="false" outlineLevel="0" collapsed="false">
      <c r="B18" s="1" t="s">
        <v>784</v>
      </c>
      <c r="C18" s="63" t="n">
        <f aca="false">'Total Baseline'!B36+'Total Baseline'!D36+'Total Baseline'!E36</f>
        <v>1486</v>
      </c>
    </row>
    <row r="19" customFormat="false" ht="12.75" hidden="false" customHeight="false" outlineLevel="0" collapsed="false">
      <c r="B19" s="277" t="s">
        <v>785</v>
      </c>
      <c r="C19" s="63" t="n">
        <f aca="false">'Total Baseline'!B37</f>
        <v>748</v>
      </c>
    </row>
    <row r="20" customFormat="false" ht="12.75" hidden="false" customHeight="false" outlineLevel="0" collapsed="false">
      <c r="B20" s="1" t="s">
        <v>873</v>
      </c>
      <c r="C20" s="63" t="n">
        <f aca="false">'Total Baseline'!B42+'Total Baseline'!B43</f>
        <v>5441</v>
      </c>
    </row>
    <row r="21" customFormat="false" ht="12.75" hidden="false" customHeight="false" outlineLevel="0" collapsed="false">
      <c r="B21" s="1" t="s">
        <v>874</v>
      </c>
      <c r="C21" s="63" t="n">
        <f aca="false">'Total Baseline'!F48</f>
        <v>5006.132356</v>
      </c>
    </row>
    <row r="22" customFormat="false" ht="12.75" hidden="false" customHeight="false" outlineLevel="0" collapsed="false">
      <c r="B22" s="1" t="s">
        <v>875</v>
      </c>
      <c r="C22" s="63" t="n">
        <f aca="false">'Total Baseline'!F50</f>
        <v>3798.248</v>
      </c>
    </row>
    <row r="23" customFormat="false" ht="12.75" hidden="false" customHeight="false" outlineLevel="0" collapsed="false">
      <c r="B23" s="1" t="s">
        <v>876</v>
      </c>
      <c r="C23" s="408"/>
    </row>
    <row r="24" customFormat="false" ht="12.75" hidden="false" customHeight="false" outlineLevel="0" collapsed="false">
      <c r="B24" s="1" t="s">
        <v>798</v>
      </c>
      <c r="C24" s="409" t="n">
        <f aca="false">SUM(C17:C22)</f>
        <v>58422.380356</v>
      </c>
    </row>
    <row r="27" customFormat="false" ht="12.75" hidden="false" customHeight="false" outlineLevel="0" collapsed="false">
      <c r="B27" s="1" t="s">
        <v>878</v>
      </c>
    </row>
    <row r="73" customFormat="false" ht="12.75" hidden="false" customHeight="false" outlineLevel="0" collapsed="false">
      <c r="B73" s="280"/>
    </row>
    <row r="84" customFormat="false" ht="12.75" hidden="false" customHeight="false" outlineLevel="0" collapsed="false">
      <c r="B84" s="280"/>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1999-08-12T18:47:48Z</dcterms:created>
  <dc:creator>mnataraj</dc:creator>
  <dc:description/>
  <dc:language>en-US</dc:language>
  <cp:lastModifiedBy>kkindal</cp:lastModifiedBy>
  <cp:lastPrinted>2000-08-08T18:32:08Z</cp:lastPrinted>
  <cp:revision>0</cp:revision>
  <dc:subject/>
  <dc:title/>
</cp:coreProperties>
</file>